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omments16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S:\Projects\Budget Development\Agency B6 Folder_FY23\"/>
    </mc:Choice>
  </mc:AlternateContent>
  <xr:revisionPtr revIDLastSave="0" documentId="13_ncr:1_{453F93C6-A147-424A-8813-367DFD2B61BC}" xr6:coauthVersionLast="45" xr6:coauthVersionMax="45" xr10:uidLastSave="{00000000-0000-0000-0000-000000000000}"/>
  <bookViews>
    <workbookView xWindow="-120" yWindow="-120" windowWidth="29040" windowHeight="15840" xr2:uid="{00000000-000D-0000-FFFF-FFFF00000000}"/>
  </bookViews>
  <sheets>
    <sheet name="TAAA|0001-00" sheetId="12" r:id="rId1"/>
    <sheet name="TAAA|0338-01" sheetId="13" r:id="rId2"/>
    <sheet name="TAAA|0338-02" sheetId="14" r:id="rId3"/>
    <sheet name="TAAI|0276-00" sheetId="23" r:id="rId4"/>
    <sheet name="TAAB|0001-00" sheetId="15" r:id="rId5"/>
    <sheet name="TAAB|0338-01" sheetId="16" r:id="rId6"/>
    <sheet name="TAAB|0338-02" sheetId="17" r:id="rId7"/>
    <sheet name="TAAF|0276-00" sheetId="22" r:id="rId8"/>
    <sheet name="TAAC|0001-00" sheetId="18" r:id="rId9"/>
    <sheet name="TAAC|0338-01" sheetId="19" r:id="rId10"/>
    <sheet name="TAAC|0338-02" sheetId="20" r:id="rId11"/>
    <sheet name="TAAD|0001-00" sheetId="21" r:id="rId12"/>
    <sheet name="TACA|0001-00" sheetId="24" r:id="rId13"/>
    <sheet name="TACA|0338-02" sheetId="25" r:id="rId14"/>
    <sheet name="Data" sheetId="5" r:id="rId15"/>
    <sheet name="Benefits" sheetId="7" r:id="rId16"/>
    <sheet name="B6" sheetId="9" r:id="rId17"/>
    <sheet name="Summary" sheetId="10" r:id="rId18"/>
    <sheet name="FundSummary" sheetId="11" r:id="rId19"/>
  </sheets>
  <definedNames>
    <definedName name="AdjGroupHlth" localSheetId="0">'TAAA|0001-00'!$H$39</definedName>
    <definedName name="AdjGroupHlth" localSheetId="1">'TAAA|0338-01'!$H$39</definedName>
    <definedName name="AdjGroupHlth" localSheetId="2">'TAAA|0338-02'!$H$39</definedName>
    <definedName name="AdjGroupHlth" localSheetId="4">'TAAB|0001-00'!$H$39</definedName>
    <definedName name="AdjGroupHlth" localSheetId="5">'TAAB|0338-01'!$H$39</definedName>
    <definedName name="AdjGroupHlth" localSheetId="6">'TAAB|0338-02'!$H$39</definedName>
    <definedName name="AdjGroupHlth" localSheetId="8">'TAAC|0001-00'!$H$39</definedName>
    <definedName name="AdjGroupHlth" localSheetId="9">'TAAC|0338-01'!$H$39</definedName>
    <definedName name="AdjGroupHlth" localSheetId="10">'TAAC|0338-02'!$H$39</definedName>
    <definedName name="AdjGroupHlth" localSheetId="11">'TAAD|0001-00'!$H$39</definedName>
    <definedName name="AdjGroupHlth" localSheetId="7">'TAAF|0276-00'!$H$39</definedName>
    <definedName name="AdjGroupHlth" localSheetId="3">'TAAI|0276-00'!$H$39</definedName>
    <definedName name="AdjGroupHlth" localSheetId="12">'TACA|0001-00'!$H$39</definedName>
    <definedName name="AdjGroupHlth" localSheetId="13">'TACA|0338-02'!$H$39</definedName>
    <definedName name="AdjGroupHlth">'B6'!$H$39</definedName>
    <definedName name="AdjGroupSalary" localSheetId="0">'TAAA|0001-00'!$G$39</definedName>
    <definedName name="AdjGroupSalary" localSheetId="1">'TAAA|0338-01'!$G$39</definedName>
    <definedName name="AdjGroupSalary" localSheetId="2">'TAAA|0338-02'!$G$39</definedName>
    <definedName name="AdjGroupSalary" localSheetId="4">'TAAB|0001-00'!$G$39</definedName>
    <definedName name="AdjGroupSalary" localSheetId="5">'TAAB|0338-01'!$G$39</definedName>
    <definedName name="AdjGroupSalary" localSheetId="6">'TAAB|0338-02'!$G$39</definedName>
    <definedName name="AdjGroupSalary" localSheetId="8">'TAAC|0001-00'!$G$39</definedName>
    <definedName name="AdjGroupSalary" localSheetId="9">'TAAC|0338-01'!$G$39</definedName>
    <definedName name="AdjGroupSalary" localSheetId="10">'TAAC|0338-02'!$G$39</definedName>
    <definedName name="AdjGroupSalary" localSheetId="11">'TAAD|0001-00'!$G$39</definedName>
    <definedName name="AdjGroupSalary" localSheetId="7">'TAAF|0276-00'!$G$39</definedName>
    <definedName name="AdjGroupSalary" localSheetId="3">'TAAI|0276-00'!$G$39</definedName>
    <definedName name="AdjGroupSalary" localSheetId="12">'TACA|0001-00'!$G$39</definedName>
    <definedName name="AdjGroupSalary" localSheetId="13">'TACA|0338-02'!$G$39</definedName>
    <definedName name="AdjGroupSalary">'B6'!$G$39</definedName>
    <definedName name="AdjGroupVB" localSheetId="0">'TAAA|0001-00'!$I$39</definedName>
    <definedName name="AdjGroupVB" localSheetId="1">'TAAA|0338-01'!$I$39</definedName>
    <definedName name="AdjGroupVB" localSheetId="2">'TAAA|0338-02'!$I$39</definedName>
    <definedName name="AdjGroupVB" localSheetId="4">'TAAB|0001-00'!$I$39</definedName>
    <definedName name="AdjGroupVB" localSheetId="5">'TAAB|0338-01'!$I$39</definedName>
    <definedName name="AdjGroupVB" localSheetId="6">'TAAB|0338-02'!$I$39</definedName>
    <definedName name="AdjGroupVB" localSheetId="8">'TAAC|0001-00'!$I$39</definedName>
    <definedName name="AdjGroupVB" localSheetId="9">'TAAC|0338-01'!$I$39</definedName>
    <definedName name="AdjGroupVB" localSheetId="10">'TAAC|0338-02'!$I$39</definedName>
    <definedName name="AdjGroupVB" localSheetId="11">'TAAD|0001-00'!$I$39</definedName>
    <definedName name="AdjGroupVB" localSheetId="7">'TAAF|0276-00'!$I$39</definedName>
    <definedName name="AdjGroupVB" localSheetId="3">'TAAI|0276-00'!$I$39</definedName>
    <definedName name="AdjGroupVB" localSheetId="12">'TACA|0001-00'!$I$39</definedName>
    <definedName name="AdjGroupVB" localSheetId="13">'TACA|0338-02'!$I$39</definedName>
    <definedName name="AdjGroupVB">'B6'!$I$39</definedName>
    <definedName name="AdjGroupVBBY" localSheetId="0">'TAAA|0001-00'!$M$39</definedName>
    <definedName name="AdjGroupVBBY" localSheetId="1">'TAAA|0338-01'!$M$39</definedName>
    <definedName name="AdjGroupVBBY" localSheetId="2">'TAAA|0338-02'!$M$39</definedName>
    <definedName name="AdjGroupVBBY" localSheetId="4">'TAAB|0001-00'!$M$39</definedName>
    <definedName name="AdjGroupVBBY" localSheetId="5">'TAAB|0338-01'!$M$39</definedName>
    <definedName name="AdjGroupVBBY" localSheetId="6">'TAAB|0338-02'!$M$39</definedName>
    <definedName name="AdjGroupVBBY" localSheetId="8">'TAAC|0001-00'!$M$39</definedName>
    <definedName name="AdjGroupVBBY" localSheetId="9">'TAAC|0338-01'!$M$39</definedName>
    <definedName name="AdjGroupVBBY" localSheetId="10">'TAAC|0338-02'!$M$39</definedName>
    <definedName name="AdjGroupVBBY" localSheetId="11">'TAAD|0001-00'!$M$39</definedName>
    <definedName name="AdjGroupVBBY" localSheetId="7">'TAAF|0276-00'!$M$39</definedName>
    <definedName name="AdjGroupVBBY" localSheetId="3">'TAAI|0276-00'!$M$39</definedName>
    <definedName name="AdjGroupVBBY" localSheetId="12">'TACA|0001-00'!$M$39</definedName>
    <definedName name="AdjGroupVBBY" localSheetId="13">'TACA|0338-02'!$M$39</definedName>
    <definedName name="AdjGroupVBBY">'B6'!$M$39</definedName>
    <definedName name="AdjPermHlth" localSheetId="0">'TAAA|0001-00'!$H$38</definedName>
    <definedName name="AdjPermHlth" localSheetId="1">'TAAA|0338-01'!$H$38</definedName>
    <definedName name="AdjPermHlth" localSheetId="2">'TAAA|0338-02'!$H$38</definedName>
    <definedName name="AdjPermHlth" localSheetId="4">'TAAB|0001-00'!$H$38</definedName>
    <definedName name="AdjPermHlth" localSheetId="5">'TAAB|0338-01'!$H$38</definedName>
    <definedName name="AdjPermHlth" localSheetId="6">'TAAB|0338-02'!$H$38</definedName>
    <definedName name="AdjPermHlth" localSheetId="8">'TAAC|0001-00'!$H$38</definedName>
    <definedName name="AdjPermHlth" localSheetId="9">'TAAC|0338-01'!$H$38</definedName>
    <definedName name="AdjPermHlth" localSheetId="10">'TAAC|0338-02'!$H$38</definedName>
    <definedName name="AdjPermHlth" localSheetId="11">'TAAD|0001-00'!$H$38</definedName>
    <definedName name="AdjPermHlth" localSheetId="7">'TAAF|0276-00'!$H$38</definedName>
    <definedName name="AdjPermHlth" localSheetId="3">'TAAI|0276-00'!$H$38</definedName>
    <definedName name="AdjPermHlth" localSheetId="12">'TACA|0001-00'!$H$38</definedName>
    <definedName name="AdjPermHlth" localSheetId="13">'TACA|0338-02'!$H$38</definedName>
    <definedName name="AdjPermHlth">'B6'!$H$38</definedName>
    <definedName name="AdjPermHlthBY" localSheetId="0">'TAAA|0001-00'!$L$38</definedName>
    <definedName name="AdjPermHlthBY" localSheetId="1">'TAAA|0338-01'!$L$38</definedName>
    <definedName name="AdjPermHlthBY" localSheetId="2">'TAAA|0338-02'!$L$38</definedName>
    <definedName name="AdjPermHlthBY" localSheetId="4">'TAAB|0001-00'!$L$38</definedName>
    <definedName name="AdjPermHlthBY" localSheetId="5">'TAAB|0338-01'!$L$38</definedName>
    <definedName name="AdjPermHlthBY" localSheetId="6">'TAAB|0338-02'!$L$38</definedName>
    <definedName name="AdjPermHlthBY" localSheetId="8">'TAAC|0001-00'!$L$38</definedName>
    <definedName name="AdjPermHlthBY" localSheetId="9">'TAAC|0338-01'!$L$38</definedName>
    <definedName name="AdjPermHlthBY" localSheetId="10">'TAAC|0338-02'!$L$38</definedName>
    <definedName name="AdjPermHlthBY" localSheetId="11">'TAAD|0001-00'!$L$38</definedName>
    <definedName name="AdjPermHlthBY" localSheetId="7">'TAAF|0276-00'!$L$38</definedName>
    <definedName name="AdjPermHlthBY" localSheetId="3">'TAAI|0276-00'!$L$38</definedName>
    <definedName name="AdjPermHlthBY" localSheetId="12">'TACA|0001-00'!$L$38</definedName>
    <definedName name="AdjPermHlthBY" localSheetId="13">'TACA|0338-02'!$L$38</definedName>
    <definedName name="AdjPermHlthBY">'B6'!$L$38</definedName>
    <definedName name="AdjPermSalary" localSheetId="0">'TAAA|0001-00'!$G$38</definedName>
    <definedName name="AdjPermSalary" localSheetId="1">'TAAA|0338-01'!$G$38</definedName>
    <definedName name="AdjPermSalary" localSheetId="2">'TAAA|0338-02'!$G$38</definedName>
    <definedName name="AdjPermSalary" localSheetId="4">'TAAB|0001-00'!$G$38</definedName>
    <definedName name="AdjPermSalary" localSheetId="5">'TAAB|0338-01'!$G$38</definedName>
    <definedName name="AdjPermSalary" localSheetId="6">'TAAB|0338-02'!$G$38</definedName>
    <definedName name="AdjPermSalary" localSheetId="8">'TAAC|0001-00'!$G$38</definedName>
    <definedName name="AdjPermSalary" localSheetId="9">'TAAC|0338-01'!$G$38</definedName>
    <definedName name="AdjPermSalary" localSheetId="10">'TAAC|0338-02'!$G$38</definedName>
    <definedName name="AdjPermSalary" localSheetId="11">'TAAD|0001-00'!$G$38</definedName>
    <definedName name="AdjPermSalary" localSheetId="7">'TAAF|0276-00'!$G$38</definedName>
    <definedName name="AdjPermSalary" localSheetId="3">'TAAI|0276-00'!$G$38</definedName>
    <definedName name="AdjPermSalary" localSheetId="12">'TACA|0001-00'!$G$38</definedName>
    <definedName name="AdjPermSalary" localSheetId="13">'TACA|0338-02'!$G$38</definedName>
    <definedName name="AdjPermSalary">'B6'!$G$38</definedName>
    <definedName name="AdjPermVB" localSheetId="0">'TAAA|0001-00'!$I$38</definedName>
    <definedName name="AdjPermVB" localSheetId="1">'TAAA|0338-01'!$I$38</definedName>
    <definedName name="AdjPermVB" localSheetId="2">'TAAA|0338-02'!$I$38</definedName>
    <definedName name="AdjPermVB" localSheetId="4">'TAAB|0001-00'!$I$38</definedName>
    <definedName name="AdjPermVB" localSheetId="5">'TAAB|0338-01'!$I$38</definedName>
    <definedName name="AdjPermVB" localSheetId="6">'TAAB|0338-02'!$I$38</definedName>
    <definedName name="AdjPermVB" localSheetId="8">'TAAC|0001-00'!$I$38</definedName>
    <definedName name="AdjPermVB" localSheetId="9">'TAAC|0338-01'!$I$38</definedName>
    <definedName name="AdjPermVB" localSheetId="10">'TAAC|0338-02'!$I$38</definedName>
    <definedName name="AdjPermVB" localSheetId="11">'TAAD|0001-00'!$I$38</definedName>
    <definedName name="AdjPermVB" localSheetId="7">'TAAF|0276-00'!$I$38</definedName>
    <definedName name="AdjPermVB" localSheetId="3">'TAAI|0276-00'!$I$38</definedName>
    <definedName name="AdjPermVB" localSheetId="12">'TACA|0001-00'!$I$38</definedName>
    <definedName name="AdjPermVB" localSheetId="13">'TACA|0338-02'!$I$38</definedName>
    <definedName name="AdjPermVB">'B6'!$I$38</definedName>
    <definedName name="AdjPermVBBY" localSheetId="0">'TAAA|0001-00'!$M$38</definedName>
    <definedName name="AdjPermVBBY" localSheetId="1">'TAAA|0338-01'!$M$38</definedName>
    <definedName name="AdjPermVBBY" localSheetId="2">'TAAA|0338-02'!$M$38</definedName>
    <definedName name="AdjPermVBBY" localSheetId="4">'TAAB|0001-00'!$M$38</definedName>
    <definedName name="AdjPermVBBY" localSheetId="5">'TAAB|0338-01'!$M$38</definedName>
    <definedName name="AdjPermVBBY" localSheetId="6">'TAAB|0338-02'!$M$38</definedName>
    <definedName name="AdjPermVBBY" localSheetId="8">'TAAC|0001-00'!$M$38</definedName>
    <definedName name="AdjPermVBBY" localSheetId="9">'TAAC|0338-01'!$M$38</definedName>
    <definedName name="AdjPermVBBY" localSheetId="10">'TAAC|0338-02'!$M$38</definedName>
    <definedName name="AdjPermVBBY" localSheetId="11">'TAAD|0001-00'!$M$38</definedName>
    <definedName name="AdjPermVBBY" localSheetId="7">'TAAF|0276-00'!$M$38</definedName>
    <definedName name="AdjPermVBBY" localSheetId="3">'TAAI|0276-00'!$M$38</definedName>
    <definedName name="AdjPermVBBY" localSheetId="12">'TACA|0001-00'!$M$38</definedName>
    <definedName name="AdjPermVBBY" localSheetId="13">'TACA|0338-02'!$M$38</definedName>
    <definedName name="AdjPermVBBY">'B6'!$M$38</definedName>
    <definedName name="AdjustedTotal" localSheetId="0">'TAAA|0001-00'!$J$16</definedName>
    <definedName name="AdjustedTotal" localSheetId="1">'TAAA|0338-01'!$J$16</definedName>
    <definedName name="AdjustedTotal" localSheetId="2">'TAAA|0338-02'!$J$16</definedName>
    <definedName name="AdjustedTotal" localSheetId="4">'TAAB|0001-00'!$J$16</definedName>
    <definedName name="AdjustedTotal" localSheetId="5">'TAAB|0338-01'!$J$16</definedName>
    <definedName name="AdjustedTotal" localSheetId="6">'TAAB|0338-02'!$J$16</definedName>
    <definedName name="AdjustedTotal" localSheetId="8">'TAAC|0001-00'!$J$16</definedName>
    <definedName name="AdjustedTotal" localSheetId="9">'TAAC|0338-01'!$J$16</definedName>
    <definedName name="AdjustedTotal" localSheetId="10">'TAAC|0338-02'!$J$16</definedName>
    <definedName name="AdjustedTotal" localSheetId="11">'TAAD|0001-00'!$J$16</definedName>
    <definedName name="AdjustedTotal" localSheetId="7">'TAAF|0276-00'!$J$16</definedName>
    <definedName name="AdjustedTotal" localSheetId="3">'TAAI|0276-00'!$J$16</definedName>
    <definedName name="AdjustedTotal" localSheetId="12">'TACA|0001-00'!$J$16</definedName>
    <definedName name="AdjustedTotal" localSheetId="13">'TACA|0338-02'!$J$16</definedName>
    <definedName name="AdjustedTotal">'B6'!$J$16</definedName>
    <definedName name="AgencyNum" localSheetId="0">'TAAA|0001-00'!$M$1</definedName>
    <definedName name="AgencyNum" localSheetId="1">'TAAA|0338-01'!$M$1</definedName>
    <definedName name="AgencyNum" localSheetId="2">'TAAA|0338-02'!$M$1</definedName>
    <definedName name="AgencyNum" localSheetId="4">'TAAB|0001-00'!$M$1</definedName>
    <definedName name="AgencyNum" localSheetId="5">'TAAB|0338-01'!$M$1</definedName>
    <definedName name="AgencyNum" localSheetId="6">'TAAB|0338-02'!$M$1</definedName>
    <definedName name="AgencyNum" localSheetId="8">'TAAC|0001-00'!$M$1</definedName>
    <definedName name="AgencyNum" localSheetId="9">'TAAC|0338-01'!$M$1</definedName>
    <definedName name="AgencyNum" localSheetId="10">'TAAC|0338-02'!$M$1</definedName>
    <definedName name="AgencyNum" localSheetId="11">'TAAD|0001-00'!$M$1</definedName>
    <definedName name="AgencyNum" localSheetId="7">'TAAF|0276-00'!$M$1</definedName>
    <definedName name="AgencyNum" localSheetId="3">'TAAI|0276-00'!$M$1</definedName>
    <definedName name="AgencyNum" localSheetId="12">'TACA|0001-00'!$M$1</definedName>
    <definedName name="AgencyNum" localSheetId="13">'TACA|0338-02'!$M$1</definedName>
    <definedName name="AgencyNum">'B6'!$M$1</definedName>
    <definedName name="AppropFTP" localSheetId="0">'TAAA|0001-00'!$F$15</definedName>
    <definedName name="AppropFTP" localSheetId="1">'TAAA|0338-01'!$F$15</definedName>
    <definedName name="AppropFTP" localSheetId="2">'TAAA|0338-02'!$F$15</definedName>
    <definedName name="AppropFTP" localSheetId="4">'TAAB|0001-00'!$F$15</definedName>
    <definedName name="AppropFTP" localSheetId="5">'TAAB|0338-01'!$F$15</definedName>
    <definedName name="AppropFTP" localSheetId="6">'TAAB|0338-02'!$F$15</definedName>
    <definedName name="AppropFTP" localSheetId="8">'TAAC|0001-00'!$F$15</definedName>
    <definedName name="AppropFTP" localSheetId="9">'TAAC|0338-01'!$F$15</definedName>
    <definedName name="AppropFTP" localSheetId="10">'TAAC|0338-02'!$F$15</definedName>
    <definedName name="AppropFTP" localSheetId="11">'TAAD|0001-00'!$F$15</definedName>
    <definedName name="AppropFTP" localSheetId="7">'TAAF|0276-00'!$F$15</definedName>
    <definedName name="AppropFTP" localSheetId="3">'TAAI|0276-00'!$F$15</definedName>
    <definedName name="AppropFTP" localSheetId="12">'TACA|0001-00'!$F$15</definedName>
    <definedName name="AppropFTP" localSheetId="13">'TACA|0338-02'!$F$15</definedName>
    <definedName name="AppropFTP">'B6'!$F$15</definedName>
    <definedName name="AppropTotal" localSheetId="0">'TAAA|0001-00'!$J$15</definedName>
    <definedName name="AppropTotal" localSheetId="1">'TAAA|0338-01'!$J$15</definedName>
    <definedName name="AppropTotal" localSheetId="2">'TAAA|0338-02'!$J$15</definedName>
    <definedName name="AppropTotal" localSheetId="4">'TAAB|0001-00'!$J$15</definedName>
    <definedName name="AppropTotal" localSheetId="5">'TAAB|0338-01'!$J$15</definedName>
    <definedName name="AppropTotal" localSheetId="6">'TAAB|0338-02'!$J$15</definedName>
    <definedName name="AppropTotal" localSheetId="8">'TAAC|0001-00'!$J$15</definedName>
    <definedName name="AppropTotal" localSheetId="9">'TAAC|0338-01'!$J$15</definedName>
    <definedName name="AppropTotal" localSheetId="10">'TAAC|0338-02'!$J$15</definedName>
    <definedName name="AppropTotal" localSheetId="11">'TAAD|0001-00'!$J$15</definedName>
    <definedName name="AppropTotal" localSheetId="7">'TAAF|0276-00'!$J$15</definedName>
    <definedName name="AppropTotal" localSheetId="3">'TAAI|0276-00'!$J$15</definedName>
    <definedName name="AppropTotal" localSheetId="12">'TACA|0001-00'!$J$15</definedName>
    <definedName name="AppropTotal" localSheetId="13">'TACA|0338-02'!$J$15</definedName>
    <definedName name="AppropTotal">'B6'!$J$15</definedName>
    <definedName name="AtZHealth" localSheetId="0">'TAAA|0001-00'!$H$45</definedName>
    <definedName name="AtZHealth" localSheetId="1">'TAAA|0338-01'!$H$45</definedName>
    <definedName name="AtZHealth" localSheetId="2">'TAAA|0338-02'!$H$45</definedName>
    <definedName name="AtZHealth" localSheetId="4">'TAAB|0001-00'!$H$45</definedName>
    <definedName name="AtZHealth" localSheetId="5">'TAAB|0338-01'!$H$45</definedName>
    <definedName name="AtZHealth" localSheetId="6">'TAAB|0338-02'!$H$45</definedName>
    <definedName name="AtZHealth" localSheetId="8">'TAAC|0001-00'!$H$45</definedName>
    <definedName name="AtZHealth" localSheetId="9">'TAAC|0338-01'!$H$45</definedName>
    <definedName name="AtZHealth" localSheetId="10">'TAAC|0338-02'!$H$45</definedName>
    <definedName name="AtZHealth" localSheetId="11">'TAAD|0001-00'!$H$45</definedName>
    <definedName name="AtZHealth" localSheetId="7">'TAAF|0276-00'!$H$45</definedName>
    <definedName name="AtZHealth" localSheetId="3">'TAAI|0276-00'!$H$45</definedName>
    <definedName name="AtZHealth" localSheetId="12">'TACA|0001-00'!$H$45</definedName>
    <definedName name="AtZHealth" localSheetId="13">'TACA|0338-02'!$H$45</definedName>
    <definedName name="AtZHealth">'B6'!$H$45</definedName>
    <definedName name="AtZSalary" localSheetId="0">'TAAA|0001-00'!$G$45</definedName>
    <definedName name="AtZSalary" localSheetId="1">'TAAA|0338-01'!$G$45</definedName>
    <definedName name="AtZSalary" localSheetId="2">'TAAA|0338-02'!$G$45</definedName>
    <definedName name="AtZSalary" localSheetId="4">'TAAB|0001-00'!$G$45</definedName>
    <definedName name="AtZSalary" localSheetId="5">'TAAB|0338-01'!$G$45</definedName>
    <definedName name="AtZSalary" localSheetId="6">'TAAB|0338-02'!$G$45</definedName>
    <definedName name="AtZSalary" localSheetId="8">'TAAC|0001-00'!$G$45</definedName>
    <definedName name="AtZSalary" localSheetId="9">'TAAC|0338-01'!$G$45</definedName>
    <definedName name="AtZSalary" localSheetId="10">'TAAC|0338-02'!$G$45</definedName>
    <definedName name="AtZSalary" localSheetId="11">'TAAD|0001-00'!$G$45</definedName>
    <definedName name="AtZSalary" localSheetId="7">'TAAF|0276-00'!$G$45</definedName>
    <definedName name="AtZSalary" localSheetId="3">'TAAI|0276-00'!$G$45</definedName>
    <definedName name="AtZSalary" localSheetId="12">'TACA|0001-00'!$G$45</definedName>
    <definedName name="AtZSalary" localSheetId="13">'TACA|0338-02'!$G$45</definedName>
    <definedName name="AtZSalary">'B6'!$G$45</definedName>
    <definedName name="AtZTotal" localSheetId="0">'TAAA|0001-00'!$J$45</definedName>
    <definedName name="AtZTotal" localSheetId="1">'TAAA|0338-01'!$J$45</definedName>
    <definedName name="AtZTotal" localSheetId="2">'TAAA|0338-02'!$J$45</definedName>
    <definedName name="AtZTotal" localSheetId="4">'TAAB|0001-00'!$J$45</definedName>
    <definedName name="AtZTotal" localSheetId="5">'TAAB|0338-01'!$J$45</definedName>
    <definedName name="AtZTotal" localSheetId="6">'TAAB|0338-02'!$J$45</definedName>
    <definedName name="AtZTotal" localSheetId="8">'TAAC|0001-00'!$J$45</definedName>
    <definedName name="AtZTotal" localSheetId="9">'TAAC|0338-01'!$J$45</definedName>
    <definedName name="AtZTotal" localSheetId="10">'TAAC|0338-02'!$J$45</definedName>
    <definedName name="AtZTotal" localSheetId="11">'TAAD|0001-00'!$J$45</definedName>
    <definedName name="AtZTotal" localSheetId="7">'TAAF|0276-00'!$J$45</definedName>
    <definedName name="AtZTotal" localSheetId="3">'TAAI|0276-00'!$J$45</definedName>
    <definedName name="AtZTotal" localSheetId="12">'TACA|0001-00'!$J$45</definedName>
    <definedName name="AtZTotal" localSheetId="13">'TACA|0338-02'!$J$45</definedName>
    <definedName name="AtZTotal">'B6'!$J$45</definedName>
    <definedName name="AtZVarBen" localSheetId="0">'TAAA|0001-00'!$I$45</definedName>
    <definedName name="AtZVarBen" localSheetId="1">'TAAA|0338-01'!$I$45</definedName>
    <definedName name="AtZVarBen" localSheetId="2">'TAAA|0338-02'!$I$45</definedName>
    <definedName name="AtZVarBen" localSheetId="4">'TAAB|0001-00'!$I$45</definedName>
    <definedName name="AtZVarBen" localSheetId="5">'TAAB|0338-01'!$I$45</definedName>
    <definedName name="AtZVarBen" localSheetId="6">'TAAB|0338-02'!$I$45</definedName>
    <definedName name="AtZVarBen" localSheetId="8">'TAAC|0001-00'!$I$45</definedName>
    <definedName name="AtZVarBen" localSheetId="9">'TAAC|0338-01'!$I$45</definedName>
    <definedName name="AtZVarBen" localSheetId="10">'TAAC|0338-02'!$I$45</definedName>
    <definedName name="AtZVarBen" localSheetId="11">'TAAD|0001-00'!$I$45</definedName>
    <definedName name="AtZVarBen" localSheetId="7">'TAAF|0276-00'!$I$45</definedName>
    <definedName name="AtZVarBen" localSheetId="3">'TAAI|0276-00'!$I$45</definedName>
    <definedName name="AtZVarBen" localSheetId="12">'TACA|0001-00'!$I$45</definedName>
    <definedName name="AtZVarBen" localSheetId="13">'TACA|0338-02'!$I$45</definedName>
    <definedName name="AtZVarBen">'B6'!$I$45</definedName>
    <definedName name="BudgetUnit" localSheetId="0">'TAAA|0001-00'!$M$3</definedName>
    <definedName name="BudgetUnit" localSheetId="1">'TAAA|0338-01'!$M$3</definedName>
    <definedName name="BudgetUnit" localSheetId="2">'TAAA|0338-02'!$M$3</definedName>
    <definedName name="BudgetUnit" localSheetId="4">'TAAB|0001-00'!$M$3</definedName>
    <definedName name="BudgetUnit" localSheetId="5">'TAAB|0338-01'!$M$3</definedName>
    <definedName name="BudgetUnit" localSheetId="6">'TAAB|0338-02'!$M$3</definedName>
    <definedName name="BudgetUnit" localSheetId="8">'TAAC|0001-00'!$M$3</definedName>
    <definedName name="BudgetUnit" localSheetId="9">'TAAC|0338-01'!$M$3</definedName>
    <definedName name="BudgetUnit" localSheetId="10">'TAAC|0338-02'!$M$3</definedName>
    <definedName name="BudgetUnit" localSheetId="11">'TAAD|0001-00'!$M$3</definedName>
    <definedName name="BudgetUnit" localSheetId="7">'TAAF|0276-00'!$M$3</definedName>
    <definedName name="BudgetUnit" localSheetId="3">'TAAI|0276-00'!$M$3</definedName>
    <definedName name="BudgetUnit" localSheetId="12">'TACA|0001-00'!$M$3</definedName>
    <definedName name="BudgetUnit" localSheetId="13">'TACA|0338-02'!$M$3</definedName>
    <definedName name="BudgetUnit">'B6'!$M$3</definedName>
    <definedName name="BudgetYear">Benefits!$D$4</definedName>
    <definedName name="CECGroup">Benefits!$C$39</definedName>
    <definedName name="CECOrigElectSalary" localSheetId="0">'TAAA|0001-00'!$G$74</definedName>
    <definedName name="CECOrigElectSalary" localSheetId="1">'TAAA|0338-01'!$G$74</definedName>
    <definedName name="CECOrigElectSalary" localSheetId="2">'TAAA|0338-02'!$G$74</definedName>
    <definedName name="CECOrigElectSalary" localSheetId="4">'TAAB|0001-00'!$G$74</definedName>
    <definedName name="CECOrigElectSalary" localSheetId="5">'TAAB|0338-01'!$G$74</definedName>
    <definedName name="CECOrigElectSalary" localSheetId="6">'TAAB|0338-02'!$G$74</definedName>
    <definedName name="CECOrigElectSalary" localSheetId="8">'TAAC|0001-00'!$G$74</definedName>
    <definedName name="CECOrigElectSalary" localSheetId="9">'TAAC|0338-01'!$G$74</definedName>
    <definedName name="CECOrigElectSalary" localSheetId="10">'TAAC|0338-02'!$G$74</definedName>
    <definedName name="CECOrigElectSalary" localSheetId="11">'TAAD|0001-00'!$G$74</definedName>
    <definedName name="CECOrigElectSalary" localSheetId="7">'TAAF|0276-00'!$G$74</definedName>
    <definedName name="CECOrigElectSalary" localSheetId="3">'TAAI|0276-00'!$G$74</definedName>
    <definedName name="CECOrigElectSalary" localSheetId="12">'TACA|0001-00'!$G$74</definedName>
    <definedName name="CECOrigElectSalary" localSheetId="13">'TACA|0338-02'!$G$74</definedName>
    <definedName name="CECOrigElectSalary">'B6'!$G$74</definedName>
    <definedName name="CECOrigElectVB" localSheetId="0">'TAAA|0001-00'!$I$74</definedName>
    <definedName name="CECOrigElectVB" localSheetId="1">'TAAA|0338-01'!$I$74</definedName>
    <definedName name="CECOrigElectVB" localSheetId="2">'TAAA|0338-02'!$I$74</definedName>
    <definedName name="CECOrigElectVB" localSheetId="4">'TAAB|0001-00'!$I$74</definedName>
    <definedName name="CECOrigElectVB" localSheetId="5">'TAAB|0338-01'!$I$74</definedName>
    <definedName name="CECOrigElectVB" localSheetId="6">'TAAB|0338-02'!$I$74</definedName>
    <definedName name="CECOrigElectVB" localSheetId="8">'TAAC|0001-00'!$I$74</definedName>
    <definedName name="CECOrigElectVB" localSheetId="9">'TAAC|0338-01'!$I$74</definedName>
    <definedName name="CECOrigElectVB" localSheetId="10">'TAAC|0338-02'!$I$74</definedName>
    <definedName name="CECOrigElectVB" localSheetId="11">'TAAD|0001-00'!$I$74</definedName>
    <definedName name="CECOrigElectVB" localSheetId="7">'TAAF|0276-00'!$I$74</definedName>
    <definedName name="CECOrigElectVB" localSheetId="3">'TAAI|0276-00'!$I$74</definedName>
    <definedName name="CECOrigElectVB" localSheetId="12">'TACA|0001-00'!$I$74</definedName>
    <definedName name="CECOrigElectVB" localSheetId="13">'TACA|0338-02'!$I$74</definedName>
    <definedName name="CECOrigElectVB">'B6'!$I$74</definedName>
    <definedName name="CECOrigGroupSalary" localSheetId="0">'TAAA|0001-00'!$G$73</definedName>
    <definedName name="CECOrigGroupSalary" localSheetId="1">'TAAA|0338-01'!$G$73</definedName>
    <definedName name="CECOrigGroupSalary" localSheetId="2">'TAAA|0338-02'!$G$73</definedName>
    <definedName name="CECOrigGroupSalary" localSheetId="4">'TAAB|0001-00'!$G$73</definedName>
    <definedName name="CECOrigGroupSalary" localSheetId="5">'TAAB|0338-01'!$G$73</definedName>
    <definedName name="CECOrigGroupSalary" localSheetId="6">'TAAB|0338-02'!$G$73</definedName>
    <definedName name="CECOrigGroupSalary" localSheetId="8">'TAAC|0001-00'!$G$73</definedName>
    <definedName name="CECOrigGroupSalary" localSheetId="9">'TAAC|0338-01'!$G$73</definedName>
    <definedName name="CECOrigGroupSalary" localSheetId="10">'TAAC|0338-02'!$G$73</definedName>
    <definedName name="CECOrigGroupSalary" localSheetId="11">'TAAD|0001-00'!$G$73</definedName>
    <definedName name="CECOrigGroupSalary" localSheetId="7">'TAAF|0276-00'!$G$73</definedName>
    <definedName name="CECOrigGroupSalary" localSheetId="3">'TAAI|0276-00'!$G$73</definedName>
    <definedName name="CECOrigGroupSalary" localSheetId="12">'TACA|0001-00'!$G$73</definedName>
    <definedName name="CECOrigGroupSalary" localSheetId="13">'TACA|0338-02'!$G$73</definedName>
    <definedName name="CECOrigGroupSalary">'B6'!$G$73</definedName>
    <definedName name="CECOrigGroupVB" localSheetId="0">'TAAA|0001-00'!$I$73</definedName>
    <definedName name="CECOrigGroupVB" localSheetId="1">'TAAA|0338-01'!$I$73</definedName>
    <definedName name="CECOrigGroupVB" localSheetId="2">'TAAA|0338-02'!$I$73</definedName>
    <definedName name="CECOrigGroupVB" localSheetId="4">'TAAB|0001-00'!$I$73</definedName>
    <definedName name="CECOrigGroupVB" localSheetId="5">'TAAB|0338-01'!$I$73</definedName>
    <definedName name="CECOrigGroupVB" localSheetId="6">'TAAB|0338-02'!$I$73</definedName>
    <definedName name="CECOrigGroupVB" localSheetId="8">'TAAC|0001-00'!$I$73</definedName>
    <definedName name="CECOrigGroupVB" localSheetId="9">'TAAC|0338-01'!$I$73</definedName>
    <definedName name="CECOrigGroupVB" localSheetId="10">'TAAC|0338-02'!$I$73</definedName>
    <definedName name="CECOrigGroupVB" localSheetId="11">'TAAD|0001-00'!$I$73</definedName>
    <definedName name="CECOrigGroupVB" localSheetId="7">'TAAF|0276-00'!$I$73</definedName>
    <definedName name="CECOrigGroupVB" localSheetId="3">'TAAI|0276-00'!$I$73</definedName>
    <definedName name="CECOrigGroupVB" localSheetId="12">'TACA|0001-00'!$I$73</definedName>
    <definedName name="CECOrigGroupVB" localSheetId="13">'TACA|0338-02'!$I$73</definedName>
    <definedName name="CECOrigGroupVB">'B6'!$I$73</definedName>
    <definedName name="CECOrigPermSalary" localSheetId="0">'TAAA|0001-00'!$G$72</definedName>
    <definedName name="CECOrigPermSalary" localSheetId="1">'TAAA|0338-01'!$G$72</definedName>
    <definedName name="CECOrigPermSalary" localSheetId="2">'TAAA|0338-02'!$G$72</definedName>
    <definedName name="CECOrigPermSalary" localSheetId="4">'TAAB|0001-00'!$G$72</definedName>
    <definedName name="CECOrigPermSalary" localSheetId="5">'TAAB|0338-01'!$G$72</definedName>
    <definedName name="CECOrigPermSalary" localSheetId="6">'TAAB|0338-02'!$G$72</definedName>
    <definedName name="CECOrigPermSalary" localSheetId="8">'TAAC|0001-00'!$G$72</definedName>
    <definedName name="CECOrigPermSalary" localSheetId="9">'TAAC|0338-01'!$G$72</definedName>
    <definedName name="CECOrigPermSalary" localSheetId="10">'TAAC|0338-02'!$G$72</definedName>
    <definedName name="CECOrigPermSalary" localSheetId="11">'TAAD|0001-00'!$G$72</definedName>
    <definedName name="CECOrigPermSalary" localSheetId="7">'TAAF|0276-00'!$G$72</definedName>
    <definedName name="CECOrigPermSalary" localSheetId="3">'TAAI|0276-00'!$G$72</definedName>
    <definedName name="CECOrigPermSalary" localSheetId="12">'TACA|0001-00'!$G$72</definedName>
    <definedName name="CECOrigPermSalary" localSheetId="13">'TACA|0338-02'!$G$72</definedName>
    <definedName name="CECOrigPermSalary">'B6'!$G$72</definedName>
    <definedName name="CECOrigPermVB" localSheetId="0">'TAAA|0001-00'!$I$72</definedName>
    <definedName name="CECOrigPermVB" localSheetId="1">'TAAA|0338-01'!$I$72</definedName>
    <definedName name="CECOrigPermVB" localSheetId="2">'TAAA|0338-02'!$I$72</definedName>
    <definedName name="CECOrigPermVB" localSheetId="4">'TAAB|0001-00'!$I$72</definedName>
    <definedName name="CECOrigPermVB" localSheetId="5">'TAAB|0338-01'!$I$72</definedName>
    <definedName name="CECOrigPermVB" localSheetId="6">'TAAB|0338-02'!$I$72</definedName>
    <definedName name="CECOrigPermVB" localSheetId="8">'TAAC|0001-00'!$I$72</definedName>
    <definedName name="CECOrigPermVB" localSheetId="9">'TAAC|0338-01'!$I$72</definedName>
    <definedName name="CECOrigPermVB" localSheetId="10">'TAAC|0338-02'!$I$72</definedName>
    <definedName name="CECOrigPermVB" localSheetId="11">'TAAD|0001-00'!$I$72</definedName>
    <definedName name="CECOrigPermVB" localSheetId="7">'TAAF|0276-00'!$I$72</definedName>
    <definedName name="CECOrigPermVB" localSheetId="3">'TAAI|0276-00'!$I$72</definedName>
    <definedName name="CECOrigPermVB" localSheetId="12">'TACA|0001-00'!$I$72</definedName>
    <definedName name="CECOrigPermVB" localSheetId="13">'TACA|0338-02'!$I$72</definedName>
    <definedName name="CECOrigPermVB">'B6'!$I$72</definedName>
    <definedName name="CECPerm">Benefits!$C$38</definedName>
    <definedName name="CECpermCalc" localSheetId="0">'TAAA|0001-00'!$E$72</definedName>
    <definedName name="CECpermCalc" localSheetId="1">'TAAA|0338-01'!$E$72</definedName>
    <definedName name="CECpermCalc" localSheetId="2">'TAAA|0338-02'!$E$72</definedName>
    <definedName name="CECpermCalc" localSheetId="4">'TAAB|0001-00'!$E$72</definedName>
    <definedName name="CECpermCalc" localSheetId="5">'TAAB|0338-01'!$E$72</definedName>
    <definedName name="CECpermCalc" localSheetId="6">'TAAB|0338-02'!$E$72</definedName>
    <definedName name="CECpermCalc" localSheetId="8">'TAAC|0001-00'!$E$72</definedName>
    <definedName name="CECpermCalc" localSheetId="9">'TAAC|0338-01'!$E$72</definedName>
    <definedName name="CECpermCalc" localSheetId="10">'TAAC|0338-02'!$E$72</definedName>
    <definedName name="CECpermCalc" localSheetId="11">'TAAD|0001-00'!$E$72</definedName>
    <definedName name="CECpermCalc" localSheetId="7">'TAAF|0276-00'!$E$72</definedName>
    <definedName name="CECpermCalc" localSheetId="3">'TAAI|0276-00'!$E$72</definedName>
    <definedName name="CECpermCalc" localSheetId="12">'TACA|0001-00'!$E$72</definedName>
    <definedName name="CECpermCalc" localSheetId="13">'TACA|0338-02'!$E$72</definedName>
    <definedName name="CECpermCalc">'B6'!$E$72</definedName>
    <definedName name="Department" localSheetId="0">'TAAA|0001-00'!$D$1</definedName>
    <definedName name="Department" localSheetId="1">'TAAA|0338-01'!$D$1</definedName>
    <definedName name="Department" localSheetId="2">'TAAA|0338-02'!$D$1</definedName>
    <definedName name="Department" localSheetId="4">'TAAB|0001-00'!$D$1</definedName>
    <definedName name="Department" localSheetId="5">'TAAB|0338-01'!$D$1</definedName>
    <definedName name="Department" localSheetId="6">'TAAB|0338-02'!$D$1</definedName>
    <definedName name="Department" localSheetId="8">'TAAC|0001-00'!$D$1</definedName>
    <definedName name="Department" localSheetId="9">'TAAC|0338-01'!$D$1</definedName>
    <definedName name="Department" localSheetId="10">'TAAC|0338-02'!$D$1</definedName>
    <definedName name="Department" localSheetId="11">'TAAD|0001-00'!$D$1</definedName>
    <definedName name="Department" localSheetId="7">'TAAF|0276-00'!$D$1</definedName>
    <definedName name="Department" localSheetId="3">'TAAI|0276-00'!$D$1</definedName>
    <definedName name="Department" localSheetId="12">'TACA|0001-00'!$D$1</definedName>
    <definedName name="Department" localSheetId="13">'TACA|0338-02'!$D$1</definedName>
    <definedName name="Department">'B6'!$D$1</definedName>
    <definedName name="DHR">Benefits!$C$11</definedName>
    <definedName name="DHRBY">Benefits!$D$11</definedName>
    <definedName name="DHRCHG">Benefits!$E$11</definedName>
    <definedName name="Division" localSheetId="0">'TAAA|0001-00'!$D$2</definedName>
    <definedName name="Division" localSheetId="1">'TAAA|0338-01'!$D$2</definedName>
    <definedName name="Division" localSheetId="2">'TAAA|0338-02'!$D$2</definedName>
    <definedName name="Division" localSheetId="4">'TAAB|0001-00'!$D$2</definedName>
    <definedName name="Division" localSheetId="5">'TAAB|0338-01'!$D$2</definedName>
    <definedName name="Division" localSheetId="6">'TAAB|0338-02'!$D$2</definedName>
    <definedName name="Division" localSheetId="8">'TAAC|0001-00'!$D$2</definedName>
    <definedName name="Division" localSheetId="9">'TAAC|0338-01'!$D$2</definedName>
    <definedName name="Division" localSheetId="10">'TAAC|0338-02'!$D$2</definedName>
    <definedName name="Division" localSheetId="11">'TAAD|0001-00'!$D$2</definedName>
    <definedName name="Division" localSheetId="7">'TAAF|0276-00'!$D$2</definedName>
    <definedName name="Division" localSheetId="3">'TAAI|0276-00'!$D$2</definedName>
    <definedName name="Division" localSheetId="12">'TACA|0001-00'!$D$2</definedName>
    <definedName name="Division" localSheetId="13">'TACA|0338-02'!$D$2</definedName>
    <definedName name="Division">'B6'!$D$2</definedName>
    <definedName name="DUCECElect" localSheetId="0">'TAAA|0001-00'!$J$74</definedName>
    <definedName name="DUCECElect" localSheetId="1">'TAAA|0338-01'!$J$74</definedName>
    <definedName name="DUCECElect" localSheetId="2">'TAAA|0338-02'!$J$74</definedName>
    <definedName name="DUCECElect" localSheetId="4">'TAAB|0001-00'!$J$74</definedName>
    <definedName name="DUCECElect" localSheetId="5">'TAAB|0338-01'!$J$74</definedName>
    <definedName name="DUCECElect" localSheetId="6">'TAAB|0338-02'!$J$74</definedName>
    <definedName name="DUCECElect" localSheetId="8">'TAAC|0001-00'!$J$74</definedName>
    <definedName name="DUCECElect" localSheetId="9">'TAAC|0338-01'!$J$74</definedName>
    <definedName name="DUCECElect" localSheetId="10">'TAAC|0338-02'!$J$74</definedName>
    <definedName name="DUCECElect" localSheetId="11">'TAAD|0001-00'!$J$74</definedName>
    <definedName name="DUCECElect" localSheetId="7">'TAAF|0276-00'!$J$74</definedName>
    <definedName name="DUCECElect" localSheetId="3">'TAAI|0276-00'!$J$74</definedName>
    <definedName name="DUCECElect" localSheetId="12">'TACA|0001-00'!$J$74</definedName>
    <definedName name="DUCECElect" localSheetId="13">'TACA|0338-02'!$J$74</definedName>
    <definedName name="DUCECElect">'B6'!$J$74</definedName>
    <definedName name="DUCECGroup" localSheetId="0">'TAAA|0001-00'!$J$73</definedName>
    <definedName name="DUCECGroup" localSheetId="1">'TAAA|0338-01'!$J$73</definedName>
    <definedName name="DUCECGroup" localSheetId="2">'TAAA|0338-02'!$J$73</definedName>
    <definedName name="DUCECGroup" localSheetId="4">'TAAB|0001-00'!$J$73</definedName>
    <definedName name="DUCECGroup" localSheetId="5">'TAAB|0338-01'!$J$73</definedName>
    <definedName name="DUCECGroup" localSheetId="6">'TAAB|0338-02'!$J$73</definedName>
    <definedName name="DUCECGroup" localSheetId="8">'TAAC|0001-00'!$J$73</definedName>
    <definedName name="DUCECGroup" localSheetId="9">'TAAC|0338-01'!$J$73</definedName>
    <definedName name="DUCECGroup" localSheetId="10">'TAAC|0338-02'!$J$73</definedName>
    <definedName name="DUCECGroup" localSheetId="11">'TAAD|0001-00'!$J$73</definedName>
    <definedName name="DUCECGroup" localSheetId="7">'TAAF|0276-00'!$J$73</definedName>
    <definedName name="DUCECGroup" localSheetId="3">'TAAI|0276-00'!$J$73</definedName>
    <definedName name="DUCECGroup" localSheetId="12">'TACA|0001-00'!$J$73</definedName>
    <definedName name="DUCECGroup" localSheetId="13">'TACA|0338-02'!$J$73</definedName>
    <definedName name="DUCECGroup">'B6'!$J$73</definedName>
    <definedName name="DUCECPerm" localSheetId="0">'TAAA|0001-00'!$J$72</definedName>
    <definedName name="DUCECPerm" localSheetId="1">'TAAA|0338-01'!$J$72</definedName>
    <definedName name="DUCECPerm" localSheetId="2">'TAAA|0338-02'!$J$72</definedName>
    <definedName name="DUCECPerm" localSheetId="4">'TAAB|0001-00'!$J$72</definedName>
    <definedName name="DUCECPerm" localSheetId="5">'TAAB|0338-01'!$J$72</definedName>
    <definedName name="DUCECPerm" localSheetId="6">'TAAB|0338-02'!$J$72</definedName>
    <definedName name="DUCECPerm" localSheetId="8">'TAAC|0001-00'!$J$72</definedName>
    <definedName name="DUCECPerm" localSheetId="9">'TAAC|0338-01'!$J$72</definedName>
    <definedName name="DUCECPerm" localSheetId="10">'TAAC|0338-02'!$J$72</definedName>
    <definedName name="DUCECPerm" localSheetId="11">'TAAD|0001-00'!$J$72</definedName>
    <definedName name="DUCECPerm" localSheetId="7">'TAAF|0276-00'!$J$72</definedName>
    <definedName name="DUCECPerm" localSheetId="3">'TAAI|0276-00'!$J$72</definedName>
    <definedName name="DUCECPerm" localSheetId="12">'TACA|0001-00'!$J$72</definedName>
    <definedName name="DUCECPerm" localSheetId="13">'TACA|0338-02'!$J$72</definedName>
    <definedName name="DUCECPerm">'B6'!$J$72</definedName>
    <definedName name="DUEleven" localSheetId="0">'TAAA|0001-00'!$J$75</definedName>
    <definedName name="DUEleven" localSheetId="1">'TAAA|0338-01'!$J$75</definedName>
    <definedName name="DUEleven" localSheetId="2">'TAAA|0338-02'!$J$75</definedName>
    <definedName name="DUEleven" localSheetId="4">'TAAB|0001-00'!$J$75</definedName>
    <definedName name="DUEleven" localSheetId="5">'TAAB|0338-01'!$J$75</definedName>
    <definedName name="DUEleven" localSheetId="6">'TAAB|0338-02'!$J$75</definedName>
    <definedName name="DUEleven" localSheetId="8">'TAAC|0001-00'!$J$75</definedName>
    <definedName name="DUEleven" localSheetId="9">'TAAC|0338-01'!$J$75</definedName>
    <definedName name="DUEleven" localSheetId="10">'TAAC|0338-02'!$J$75</definedName>
    <definedName name="DUEleven" localSheetId="11">'TAAD|0001-00'!$J$75</definedName>
    <definedName name="DUEleven" localSheetId="7">'TAAF|0276-00'!$J$75</definedName>
    <definedName name="DUEleven" localSheetId="3">'TAAI|0276-00'!$J$75</definedName>
    <definedName name="DUEleven" localSheetId="12">'TACA|0001-00'!$J$75</definedName>
    <definedName name="DUEleven" localSheetId="13">'TACA|0338-02'!$J$75</definedName>
    <definedName name="DUEleven">'B6'!$J$75</definedName>
    <definedName name="DUHealthBen" localSheetId="0">'TAAA|0001-00'!$J$68</definedName>
    <definedName name="DUHealthBen" localSheetId="1">'TAAA|0338-01'!$J$68</definedName>
    <definedName name="DUHealthBen" localSheetId="2">'TAAA|0338-02'!$J$68</definedName>
    <definedName name="DUHealthBen" localSheetId="4">'TAAB|0001-00'!$J$68</definedName>
    <definedName name="DUHealthBen" localSheetId="5">'TAAB|0338-01'!$J$68</definedName>
    <definedName name="DUHealthBen" localSheetId="6">'TAAB|0338-02'!$J$68</definedName>
    <definedName name="DUHealthBen" localSheetId="8">'TAAC|0001-00'!$J$68</definedName>
    <definedName name="DUHealthBen" localSheetId="9">'TAAC|0338-01'!$J$68</definedName>
    <definedName name="DUHealthBen" localSheetId="10">'TAAC|0338-02'!$J$68</definedName>
    <definedName name="DUHealthBen" localSheetId="11">'TAAD|0001-00'!$J$68</definedName>
    <definedName name="DUHealthBen" localSheetId="7">'TAAF|0276-00'!$J$68</definedName>
    <definedName name="DUHealthBen" localSheetId="3">'TAAI|0276-00'!$J$68</definedName>
    <definedName name="DUHealthBen" localSheetId="12">'TACA|0001-00'!$J$68</definedName>
    <definedName name="DUHealthBen" localSheetId="13">'TACA|0338-02'!$J$68</definedName>
    <definedName name="DUHealthBen">'B6'!$J$68</definedName>
    <definedName name="DUNine" localSheetId="0">'TAAA|0001-00'!$J$67</definedName>
    <definedName name="DUNine" localSheetId="1">'TAAA|0338-01'!$J$67</definedName>
    <definedName name="DUNine" localSheetId="2">'TAAA|0338-02'!$J$67</definedName>
    <definedName name="DUNine" localSheetId="4">'TAAB|0001-00'!$J$67</definedName>
    <definedName name="DUNine" localSheetId="5">'TAAB|0338-01'!$J$67</definedName>
    <definedName name="DUNine" localSheetId="6">'TAAB|0338-02'!$J$67</definedName>
    <definedName name="DUNine" localSheetId="8">'TAAC|0001-00'!$J$67</definedName>
    <definedName name="DUNine" localSheetId="9">'TAAC|0338-01'!$J$67</definedName>
    <definedName name="DUNine" localSheetId="10">'TAAC|0338-02'!$J$67</definedName>
    <definedName name="DUNine" localSheetId="11">'TAAD|0001-00'!$J$67</definedName>
    <definedName name="DUNine" localSheetId="7">'TAAF|0276-00'!$J$67</definedName>
    <definedName name="DUNine" localSheetId="3">'TAAI|0276-00'!$J$67</definedName>
    <definedName name="DUNine" localSheetId="12">'TACA|0001-00'!$J$67</definedName>
    <definedName name="DUNine" localSheetId="13">'TACA|0338-02'!$J$67</definedName>
    <definedName name="DUNine">'B6'!$J$67</definedName>
    <definedName name="DUThirteen" localSheetId="0">'TAAA|0001-00'!$J$80</definedName>
    <definedName name="DUThirteen" localSheetId="1">'TAAA|0338-01'!$J$80</definedName>
    <definedName name="DUThirteen" localSheetId="2">'TAAA|0338-02'!$J$80</definedName>
    <definedName name="DUThirteen" localSheetId="4">'TAAB|0001-00'!$J$80</definedName>
    <definedName name="DUThirteen" localSheetId="5">'TAAB|0338-01'!$J$80</definedName>
    <definedName name="DUThirteen" localSheetId="6">'TAAB|0338-02'!$J$80</definedName>
    <definedName name="DUThirteen" localSheetId="8">'TAAC|0001-00'!$J$80</definedName>
    <definedName name="DUThirteen" localSheetId="9">'TAAC|0338-01'!$J$80</definedName>
    <definedName name="DUThirteen" localSheetId="10">'TAAC|0338-02'!$J$80</definedName>
    <definedName name="DUThirteen" localSheetId="11">'TAAD|0001-00'!$J$80</definedName>
    <definedName name="DUThirteen" localSheetId="7">'TAAF|0276-00'!$J$80</definedName>
    <definedName name="DUThirteen" localSheetId="3">'TAAI|0276-00'!$J$80</definedName>
    <definedName name="DUThirteen" localSheetId="12">'TACA|0001-00'!$J$80</definedName>
    <definedName name="DUThirteen" localSheetId="13">'TACA|0338-02'!$J$80</definedName>
    <definedName name="DUThirteen">'B6'!$J$80</definedName>
    <definedName name="DUVariableBen" localSheetId="0">'TAAA|0001-00'!$J$69</definedName>
    <definedName name="DUVariableBen" localSheetId="1">'TAAA|0338-01'!$J$69</definedName>
    <definedName name="DUVariableBen" localSheetId="2">'TAAA|0338-02'!$J$69</definedName>
    <definedName name="DUVariableBen" localSheetId="4">'TAAB|0001-00'!$J$69</definedName>
    <definedName name="DUVariableBen" localSheetId="5">'TAAB|0338-01'!$J$69</definedName>
    <definedName name="DUVariableBen" localSheetId="6">'TAAB|0338-02'!$J$69</definedName>
    <definedName name="DUVariableBen" localSheetId="8">'TAAC|0001-00'!$J$69</definedName>
    <definedName name="DUVariableBen" localSheetId="9">'TAAC|0338-01'!$J$69</definedName>
    <definedName name="DUVariableBen" localSheetId="10">'TAAC|0338-02'!$J$69</definedName>
    <definedName name="DUVariableBen" localSheetId="11">'TAAD|0001-00'!$J$69</definedName>
    <definedName name="DUVariableBen" localSheetId="7">'TAAF|0276-00'!$J$69</definedName>
    <definedName name="DUVariableBen" localSheetId="3">'TAAI|0276-00'!$J$69</definedName>
    <definedName name="DUVariableBen" localSheetId="12">'TACA|0001-00'!$J$69</definedName>
    <definedName name="DUVariableBen" localSheetId="13">'TACA|0338-02'!$J$69</definedName>
    <definedName name="DUVariableBen">'B6'!$J$69</definedName>
    <definedName name="Elect_chg_health" localSheetId="0">'TAAA|0001-00'!$L$12</definedName>
    <definedName name="Elect_chg_health" localSheetId="1">'TAAA|0338-01'!$L$12</definedName>
    <definedName name="Elect_chg_health" localSheetId="2">'TAAA|0338-02'!$L$12</definedName>
    <definedName name="Elect_chg_health" localSheetId="4">'TAAB|0001-00'!$L$12</definedName>
    <definedName name="Elect_chg_health" localSheetId="5">'TAAB|0338-01'!$L$12</definedName>
    <definedName name="Elect_chg_health" localSheetId="6">'TAAB|0338-02'!$L$12</definedName>
    <definedName name="Elect_chg_health" localSheetId="8">'TAAC|0001-00'!$L$12</definedName>
    <definedName name="Elect_chg_health" localSheetId="9">'TAAC|0338-01'!$L$12</definedName>
    <definedName name="Elect_chg_health" localSheetId="10">'TAAC|0338-02'!$L$12</definedName>
    <definedName name="Elect_chg_health" localSheetId="11">'TAAD|0001-00'!$L$12</definedName>
    <definedName name="Elect_chg_health" localSheetId="7">'TAAF|0276-00'!$L$12</definedName>
    <definedName name="Elect_chg_health" localSheetId="3">'TAAI|0276-00'!$L$12</definedName>
    <definedName name="Elect_chg_health" localSheetId="12">'TACA|0001-00'!$L$12</definedName>
    <definedName name="Elect_chg_health" localSheetId="13">'TACA|0338-02'!$L$12</definedName>
    <definedName name="Elect_chg_health">'B6'!$L$12</definedName>
    <definedName name="Elect_chg_Var" localSheetId="0">'TAAA|0001-00'!$M$12</definedName>
    <definedName name="Elect_chg_Var" localSheetId="1">'TAAA|0338-01'!$M$12</definedName>
    <definedName name="Elect_chg_Var" localSheetId="2">'TAAA|0338-02'!$M$12</definedName>
    <definedName name="Elect_chg_Var" localSheetId="4">'TAAB|0001-00'!$M$12</definedName>
    <definedName name="Elect_chg_Var" localSheetId="5">'TAAB|0338-01'!$M$12</definedName>
    <definedName name="Elect_chg_Var" localSheetId="6">'TAAB|0338-02'!$M$12</definedName>
    <definedName name="Elect_chg_Var" localSheetId="8">'TAAC|0001-00'!$M$12</definedName>
    <definedName name="Elect_chg_Var" localSheetId="9">'TAAC|0338-01'!$M$12</definedName>
    <definedName name="Elect_chg_Var" localSheetId="10">'TAAC|0338-02'!$M$12</definedName>
    <definedName name="Elect_chg_Var" localSheetId="11">'TAAD|0001-00'!$M$12</definedName>
    <definedName name="Elect_chg_Var" localSheetId="7">'TAAF|0276-00'!$M$12</definedName>
    <definedName name="Elect_chg_Var" localSheetId="3">'TAAI|0276-00'!$M$12</definedName>
    <definedName name="Elect_chg_Var" localSheetId="12">'TACA|0001-00'!$M$12</definedName>
    <definedName name="Elect_chg_Var" localSheetId="13">'TACA|0338-02'!$M$12</definedName>
    <definedName name="Elect_chg_Var">'B6'!$M$12</definedName>
    <definedName name="elect_FTP" localSheetId="0">'TAAA|0001-00'!$F$12</definedName>
    <definedName name="elect_FTP" localSheetId="1">'TAAA|0338-01'!$F$12</definedName>
    <definedName name="elect_FTP" localSheetId="2">'TAAA|0338-02'!$F$12</definedName>
    <definedName name="elect_FTP" localSheetId="4">'TAAB|0001-00'!$F$12</definedName>
    <definedName name="elect_FTP" localSheetId="5">'TAAB|0338-01'!$F$12</definedName>
    <definedName name="elect_FTP" localSheetId="6">'TAAB|0338-02'!$F$12</definedName>
    <definedName name="elect_FTP" localSheetId="8">'TAAC|0001-00'!$F$12</definedName>
    <definedName name="elect_FTP" localSheetId="9">'TAAC|0338-01'!$F$12</definedName>
    <definedName name="elect_FTP" localSheetId="10">'TAAC|0338-02'!$F$12</definedName>
    <definedName name="elect_FTP" localSheetId="11">'TAAD|0001-00'!$F$12</definedName>
    <definedName name="elect_FTP" localSheetId="7">'TAAF|0276-00'!$F$12</definedName>
    <definedName name="elect_FTP" localSheetId="3">'TAAI|0276-00'!$F$12</definedName>
    <definedName name="elect_FTP" localSheetId="12">'TACA|0001-00'!$F$12</definedName>
    <definedName name="elect_FTP" localSheetId="13">'TACA|0338-02'!$F$12</definedName>
    <definedName name="elect_FTP">'B6'!$F$12</definedName>
    <definedName name="Elect_health" localSheetId="0">'TAAA|0001-00'!$H$12</definedName>
    <definedName name="Elect_health" localSheetId="1">'TAAA|0338-01'!$H$12</definedName>
    <definedName name="Elect_health" localSheetId="2">'TAAA|0338-02'!$H$12</definedName>
    <definedName name="Elect_health" localSheetId="4">'TAAB|0001-00'!$H$12</definedName>
    <definedName name="Elect_health" localSheetId="5">'TAAB|0338-01'!$H$12</definedName>
    <definedName name="Elect_health" localSheetId="6">'TAAB|0338-02'!$H$12</definedName>
    <definedName name="Elect_health" localSheetId="8">'TAAC|0001-00'!$H$12</definedName>
    <definedName name="Elect_health" localSheetId="9">'TAAC|0338-01'!$H$12</definedName>
    <definedName name="Elect_health" localSheetId="10">'TAAC|0338-02'!$H$12</definedName>
    <definedName name="Elect_health" localSheetId="11">'TAAD|0001-00'!$H$12</definedName>
    <definedName name="Elect_health" localSheetId="7">'TAAF|0276-00'!$H$12</definedName>
    <definedName name="Elect_health" localSheetId="3">'TAAI|0276-00'!$H$12</definedName>
    <definedName name="Elect_health" localSheetId="12">'TACA|0001-00'!$H$12</definedName>
    <definedName name="Elect_health" localSheetId="13">'TACA|0338-02'!$H$12</definedName>
    <definedName name="Elect_health">'B6'!$H$12</definedName>
    <definedName name="Elect_name" localSheetId="0">'TAAA|0001-00'!$C$12</definedName>
    <definedName name="Elect_name" localSheetId="1">'TAAA|0338-01'!$C$12</definedName>
    <definedName name="Elect_name" localSheetId="2">'TAAA|0338-02'!$C$12</definedName>
    <definedName name="Elect_name" localSheetId="4">'TAAB|0001-00'!$C$12</definedName>
    <definedName name="Elect_name" localSheetId="5">'TAAB|0338-01'!$C$12</definedName>
    <definedName name="Elect_name" localSheetId="6">'TAAB|0338-02'!$C$12</definedName>
    <definedName name="Elect_name" localSheetId="8">'TAAC|0001-00'!$C$12</definedName>
    <definedName name="Elect_name" localSheetId="9">'TAAC|0338-01'!$C$12</definedName>
    <definedName name="Elect_name" localSheetId="10">'TAAC|0338-02'!$C$12</definedName>
    <definedName name="Elect_name" localSheetId="11">'TAAD|0001-00'!$C$12</definedName>
    <definedName name="Elect_name" localSheetId="7">'TAAF|0276-00'!$C$12</definedName>
    <definedName name="Elect_name" localSheetId="3">'TAAI|0276-00'!$C$12</definedName>
    <definedName name="Elect_name" localSheetId="12">'TACA|0001-00'!$C$12</definedName>
    <definedName name="Elect_name" localSheetId="13">'TACA|0338-02'!$C$12</definedName>
    <definedName name="Elect_name">'B6'!$C$12</definedName>
    <definedName name="Elect_salary" localSheetId="0">'TAAA|0001-00'!$G$12</definedName>
    <definedName name="Elect_salary" localSheetId="1">'TAAA|0338-01'!$G$12</definedName>
    <definedName name="Elect_salary" localSheetId="2">'TAAA|0338-02'!$G$12</definedName>
    <definedName name="Elect_salary" localSheetId="4">'TAAB|0001-00'!$G$12</definedName>
    <definedName name="Elect_salary" localSheetId="5">'TAAB|0338-01'!$G$12</definedName>
    <definedName name="Elect_salary" localSheetId="6">'TAAB|0338-02'!$G$12</definedName>
    <definedName name="Elect_salary" localSheetId="8">'TAAC|0001-00'!$G$12</definedName>
    <definedName name="Elect_salary" localSheetId="9">'TAAC|0338-01'!$G$12</definedName>
    <definedName name="Elect_salary" localSheetId="10">'TAAC|0338-02'!$G$12</definedName>
    <definedName name="Elect_salary" localSheetId="11">'TAAD|0001-00'!$G$12</definedName>
    <definedName name="Elect_salary" localSheetId="7">'TAAF|0276-00'!$G$12</definedName>
    <definedName name="Elect_salary" localSheetId="3">'TAAI|0276-00'!$G$12</definedName>
    <definedName name="Elect_salary" localSheetId="12">'TACA|0001-00'!$G$12</definedName>
    <definedName name="Elect_salary" localSheetId="13">'TACA|0338-02'!$G$12</definedName>
    <definedName name="Elect_salary">'B6'!$G$12</definedName>
    <definedName name="Elect_Var" localSheetId="0">'TAAA|0001-00'!$I$12</definedName>
    <definedName name="Elect_Var" localSheetId="1">'TAAA|0338-01'!$I$12</definedName>
    <definedName name="Elect_Var" localSheetId="2">'TAAA|0338-02'!$I$12</definedName>
    <definedName name="Elect_Var" localSheetId="4">'TAAB|0001-00'!$I$12</definedName>
    <definedName name="Elect_Var" localSheetId="5">'TAAB|0338-01'!$I$12</definedName>
    <definedName name="Elect_Var" localSheetId="6">'TAAB|0338-02'!$I$12</definedName>
    <definedName name="Elect_Var" localSheetId="8">'TAAC|0001-00'!$I$12</definedName>
    <definedName name="Elect_Var" localSheetId="9">'TAAC|0338-01'!$I$12</definedName>
    <definedName name="Elect_Var" localSheetId="10">'TAAC|0338-02'!$I$12</definedName>
    <definedName name="Elect_Var" localSheetId="11">'TAAD|0001-00'!$I$12</definedName>
    <definedName name="Elect_Var" localSheetId="7">'TAAF|0276-00'!$I$12</definedName>
    <definedName name="Elect_Var" localSheetId="3">'TAAI|0276-00'!$I$12</definedName>
    <definedName name="Elect_Var" localSheetId="12">'TACA|0001-00'!$I$12</definedName>
    <definedName name="Elect_Var" localSheetId="13">'TACA|0338-02'!$I$12</definedName>
    <definedName name="Elect_Var">'B6'!$I$12</definedName>
    <definedName name="Elect_VarBen" localSheetId="0">'TAAA|0001-00'!$I$12</definedName>
    <definedName name="Elect_VarBen" localSheetId="1">'TAAA|0338-01'!$I$12</definedName>
    <definedName name="Elect_VarBen" localSheetId="2">'TAAA|0338-02'!$I$12</definedName>
    <definedName name="Elect_VarBen" localSheetId="4">'TAAB|0001-00'!$I$12</definedName>
    <definedName name="Elect_VarBen" localSheetId="5">'TAAB|0338-01'!$I$12</definedName>
    <definedName name="Elect_VarBen" localSheetId="6">'TAAB|0338-02'!$I$12</definedName>
    <definedName name="Elect_VarBen" localSheetId="8">'TAAC|0001-00'!$I$12</definedName>
    <definedName name="Elect_VarBen" localSheetId="9">'TAAC|0338-01'!$I$12</definedName>
    <definedName name="Elect_VarBen" localSheetId="10">'TAAC|0338-02'!$I$12</definedName>
    <definedName name="Elect_VarBen" localSheetId="11">'TAAD|0001-00'!$I$12</definedName>
    <definedName name="Elect_VarBen" localSheetId="7">'TAAF|0276-00'!$I$12</definedName>
    <definedName name="Elect_VarBen" localSheetId="3">'TAAI|0276-00'!$I$12</definedName>
    <definedName name="Elect_VarBen" localSheetId="12">'TACA|0001-00'!$I$12</definedName>
    <definedName name="Elect_VarBen" localSheetId="13">'TACA|0338-02'!$I$12</definedName>
    <definedName name="Elect_VarBen">'B6'!$I$12</definedName>
    <definedName name="ElectVB">Benefits!$C$14</definedName>
    <definedName name="ElectVBBY">Benefits!$D$14</definedName>
    <definedName name="ElectVBCHG">Benefits!$E$14</definedName>
    <definedName name="FillRate_Avg">Benefits!$C$40</definedName>
    <definedName name="FillRateAvg_B6" localSheetId="0">'TAAA|0001-00'!#REF!</definedName>
    <definedName name="FillRateAvg_B6" localSheetId="1">'TAAA|0338-01'!#REF!</definedName>
    <definedName name="FillRateAvg_B6" localSheetId="2">'TAAA|0338-02'!#REF!</definedName>
    <definedName name="FillRateAvg_B6" localSheetId="4">'TAAB|0001-00'!#REF!</definedName>
    <definedName name="FillRateAvg_B6" localSheetId="5">'TAAB|0338-01'!#REF!</definedName>
    <definedName name="FillRateAvg_B6" localSheetId="6">'TAAB|0338-02'!#REF!</definedName>
    <definedName name="FillRateAvg_B6" localSheetId="8">'TAAC|0001-00'!#REF!</definedName>
    <definedName name="FillRateAvg_B6" localSheetId="9">'TAAC|0338-01'!#REF!</definedName>
    <definedName name="FillRateAvg_B6" localSheetId="10">'TAAC|0338-02'!#REF!</definedName>
    <definedName name="FillRateAvg_B6" localSheetId="11">'TAAD|0001-00'!#REF!</definedName>
    <definedName name="FillRateAvg_B6" localSheetId="7">'TAAF|0276-00'!#REF!</definedName>
    <definedName name="FillRateAvg_B6" localSheetId="3">'TAAI|0276-00'!#REF!</definedName>
    <definedName name="FillRateAvg_B6" localSheetId="12">'TACA|0001-00'!#REF!</definedName>
    <definedName name="FillRateAvg_B6" localSheetId="13">'TACA|0338-02'!#REF!</definedName>
    <definedName name="FillRateAvg_B6">'B6'!#REF!</definedName>
    <definedName name="FiscalYear" localSheetId="0">'TAAA|0001-00'!$M$4</definedName>
    <definedName name="FiscalYear" localSheetId="1">'TAAA|0338-01'!$M$4</definedName>
    <definedName name="FiscalYear" localSheetId="2">'TAAA|0338-02'!$M$4</definedName>
    <definedName name="FiscalYear" localSheetId="4">'TAAB|0001-00'!$M$4</definedName>
    <definedName name="FiscalYear" localSheetId="5">'TAAB|0338-01'!$M$4</definedName>
    <definedName name="FiscalYear" localSheetId="6">'TAAB|0338-02'!$M$4</definedName>
    <definedName name="FiscalYear" localSheetId="8">'TAAC|0001-00'!$M$4</definedName>
    <definedName name="FiscalYear" localSheetId="9">'TAAC|0338-01'!$M$4</definedName>
    <definedName name="FiscalYear" localSheetId="10">'TAAC|0338-02'!$M$4</definedName>
    <definedName name="FiscalYear" localSheetId="11">'TAAD|0001-00'!$M$4</definedName>
    <definedName name="FiscalYear" localSheetId="7">'TAAF|0276-00'!$M$4</definedName>
    <definedName name="FiscalYear" localSheetId="3">'TAAI|0276-00'!$M$4</definedName>
    <definedName name="FiscalYear" localSheetId="12">'TACA|0001-00'!$M$4</definedName>
    <definedName name="FiscalYear" localSheetId="13">'TACA|0338-02'!$M$4</definedName>
    <definedName name="FiscalYear">'B6'!$M$4</definedName>
    <definedName name="FundName" localSheetId="0">'TAAA|0001-00'!$I$5</definedName>
    <definedName name="FundName" localSheetId="1">'TAAA|0338-01'!$I$5</definedName>
    <definedName name="FundName" localSheetId="2">'TAAA|0338-02'!$I$5</definedName>
    <definedName name="FundName" localSheetId="4">'TAAB|0001-00'!$I$5</definedName>
    <definedName name="FundName" localSheetId="5">'TAAB|0338-01'!$I$5</definedName>
    <definedName name="FundName" localSheetId="6">'TAAB|0338-02'!$I$5</definedName>
    <definedName name="FundName" localSheetId="8">'TAAC|0001-00'!$I$5</definedName>
    <definedName name="FundName" localSheetId="9">'TAAC|0338-01'!$I$5</definedName>
    <definedName name="FundName" localSheetId="10">'TAAC|0338-02'!$I$5</definedName>
    <definedName name="FundName" localSheetId="11">'TAAD|0001-00'!$I$5</definedName>
    <definedName name="FundName" localSheetId="7">'TAAF|0276-00'!$I$5</definedName>
    <definedName name="FundName" localSheetId="3">'TAAI|0276-00'!$I$5</definedName>
    <definedName name="FundName" localSheetId="12">'TACA|0001-00'!$I$5</definedName>
    <definedName name="FundName" localSheetId="13">'TACA|0338-02'!$I$5</definedName>
    <definedName name="FundName">'B6'!$I$5</definedName>
    <definedName name="FundNum" localSheetId="0">'TAAA|0001-00'!$N$5</definedName>
    <definedName name="FundNum" localSheetId="1">'TAAA|0338-01'!$N$5</definedName>
    <definedName name="FundNum" localSheetId="2">'TAAA|0338-02'!$N$5</definedName>
    <definedName name="FundNum" localSheetId="4">'TAAB|0001-00'!$N$5</definedName>
    <definedName name="FundNum" localSheetId="5">'TAAB|0338-01'!$N$5</definedName>
    <definedName name="FundNum" localSheetId="6">'TAAB|0338-02'!$N$5</definedName>
    <definedName name="FundNum" localSheetId="8">'TAAC|0001-00'!$N$5</definedName>
    <definedName name="FundNum" localSheetId="9">'TAAC|0338-01'!$N$5</definedName>
    <definedName name="FundNum" localSheetId="10">'TAAC|0338-02'!$N$5</definedName>
    <definedName name="FundNum" localSheetId="11">'TAAD|0001-00'!$N$5</definedName>
    <definedName name="FundNum" localSheetId="7">'TAAF|0276-00'!$N$5</definedName>
    <definedName name="FundNum" localSheetId="3">'TAAI|0276-00'!$N$5</definedName>
    <definedName name="FundNum" localSheetId="12">'TACA|0001-00'!$N$5</definedName>
    <definedName name="FundNum" localSheetId="13">'TACA|0338-02'!$N$5</definedName>
    <definedName name="FundNum">'B6'!$N$5</definedName>
    <definedName name="FundNumber" localSheetId="0">'TAAA|0001-00'!$N$5</definedName>
    <definedName name="FundNumber" localSheetId="1">'TAAA|0338-01'!$N$5</definedName>
    <definedName name="FundNumber" localSheetId="2">'TAAA|0338-02'!$N$5</definedName>
    <definedName name="FundNumber" localSheetId="4">'TAAB|0001-00'!$N$5</definedName>
    <definedName name="FundNumber" localSheetId="5">'TAAB|0338-01'!$N$5</definedName>
    <definedName name="FundNumber" localSheetId="6">'TAAB|0338-02'!$N$5</definedName>
    <definedName name="FundNumber" localSheetId="8">'TAAC|0001-00'!$N$5</definedName>
    <definedName name="FundNumber" localSheetId="9">'TAAC|0338-01'!$N$5</definedName>
    <definedName name="FundNumber" localSheetId="10">'TAAC|0338-02'!$N$5</definedName>
    <definedName name="FundNumber" localSheetId="11">'TAAD|0001-00'!$N$5</definedName>
    <definedName name="FundNumber" localSheetId="7">'TAAF|0276-00'!$N$5</definedName>
    <definedName name="FundNumber" localSheetId="3">'TAAI|0276-00'!$N$5</definedName>
    <definedName name="FundNumber" localSheetId="12">'TACA|0001-00'!$N$5</definedName>
    <definedName name="FundNumber" localSheetId="13">'TACA|0338-02'!$N$5</definedName>
    <definedName name="FundNumber">'B6'!$N$5</definedName>
    <definedName name="FundSummaryEst">FundSummary!$H$5</definedName>
    <definedName name="FundSummaryLastColumn">FundSummary!$M$6</definedName>
    <definedName name="FundSummaryPermActual">FundSummary!$F$5</definedName>
    <definedName name="FundSummaryPermBY">FundSummary!$L$5</definedName>
    <definedName name="FundSummaryPermCY">FundSummary!$I$5</definedName>
    <definedName name="FundSummaryProj">FundSummary!$K$5</definedName>
    <definedName name="FundSummaryStartData">FundSummary!$E$8</definedName>
    <definedName name="Group_name" localSheetId="0">'TAAA|0001-00'!$C$11</definedName>
    <definedName name="Group_name" localSheetId="1">'TAAA|0338-01'!$C$11</definedName>
    <definedName name="Group_name" localSheetId="2">'TAAA|0338-02'!$C$11</definedName>
    <definedName name="Group_name" localSheetId="4">'TAAB|0001-00'!$C$11</definedName>
    <definedName name="Group_name" localSheetId="5">'TAAB|0338-01'!$C$11</definedName>
    <definedName name="Group_name" localSheetId="6">'TAAB|0338-02'!$C$11</definedName>
    <definedName name="Group_name" localSheetId="8">'TAAC|0001-00'!$C$11</definedName>
    <definedName name="Group_name" localSheetId="9">'TAAC|0338-01'!$C$11</definedName>
    <definedName name="Group_name" localSheetId="10">'TAAC|0338-02'!$C$11</definedName>
    <definedName name="Group_name" localSheetId="11">'TAAD|0001-00'!$C$11</definedName>
    <definedName name="Group_name" localSheetId="7">'TAAF|0276-00'!$C$11</definedName>
    <definedName name="Group_name" localSheetId="3">'TAAI|0276-00'!$C$11</definedName>
    <definedName name="Group_name" localSheetId="12">'TACA|0001-00'!$C$11</definedName>
    <definedName name="Group_name" localSheetId="13">'TACA|0338-02'!$C$11</definedName>
    <definedName name="Group_name">'B6'!$C$11</definedName>
    <definedName name="GroupFxdBen" localSheetId="0">'TAAA|0001-00'!$H$11</definedName>
    <definedName name="GroupFxdBen" localSheetId="1">'TAAA|0338-01'!$H$11</definedName>
    <definedName name="GroupFxdBen" localSheetId="2">'TAAA|0338-02'!$H$11</definedName>
    <definedName name="GroupFxdBen" localSheetId="4">'TAAB|0001-00'!$H$11</definedName>
    <definedName name="GroupFxdBen" localSheetId="5">'TAAB|0338-01'!$H$11</definedName>
    <definedName name="GroupFxdBen" localSheetId="6">'TAAB|0338-02'!$H$11</definedName>
    <definedName name="GroupFxdBen" localSheetId="8">'TAAC|0001-00'!$H$11</definedName>
    <definedName name="GroupFxdBen" localSheetId="9">'TAAC|0338-01'!$H$11</definedName>
    <definedName name="GroupFxdBen" localSheetId="10">'TAAC|0338-02'!$H$11</definedName>
    <definedName name="GroupFxdBen" localSheetId="11">'TAAD|0001-00'!$H$11</definedName>
    <definedName name="GroupFxdBen" localSheetId="7">'TAAF|0276-00'!$H$11</definedName>
    <definedName name="GroupFxdBen" localSheetId="3">'TAAI|0276-00'!$H$11</definedName>
    <definedName name="GroupFxdBen" localSheetId="12">'TACA|0001-00'!$H$11</definedName>
    <definedName name="GroupFxdBen" localSheetId="13">'TACA|0338-02'!$H$11</definedName>
    <definedName name="GroupFxdBen">'B6'!$H$11</definedName>
    <definedName name="GroupSalary" localSheetId="0">'TAAA|0001-00'!$G$11</definedName>
    <definedName name="GroupSalary" localSheetId="1">'TAAA|0338-01'!$G$11</definedName>
    <definedName name="GroupSalary" localSheetId="2">'TAAA|0338-02'!$G$11</definedName>
    <definedName name="GroupSalary" localSheetId="4">'TAAB|0001-00'!$G$11</definedName>
    <definedName name="GroupSalary" localSheetId="5">'TAAB|0338-01'!$G$11</definedName>
    <definedName name="GroupSalary" localSheetId="6">'TAAB|0338-02'!$G$11</definedName>
    <definedName name="GroupSalary" localSheetId="8">'TAAC|0001-00'!$G$11</definedName>
    <definedName name="GroupSalary" localSheetId="9">'TAAC|0338-01'!$G$11</definedName>
    <definedName name="GroupSalary" localSheetId="10">'TAAC|0338-02'!$G$11</definedName>
    <definedName name="GroupSalary" localSheetId="11">'TAAD|0001-00'!$G$11</definedName>
    <definedName name="GroupSalary" localSheetId="7">'TAAF|0276-00'!$G$11</definedName>
    <definedName name="GroupSalary" localSheetId="3">'TAAI|0276-00'!$G$11</definedName>
    <definedName name="GroupSalary" localSheetId="12">'TACA|0001-00'!$G$11</definedName>
    <definedName name="GroupSalary" localSheetId="13">'TACA|0338-02'!$G$11</definedName>
    <definedName name="GroupSalary">'B6'!$G$11</definedName>
    <definedName name="GroupVarBen" localSheetId="0">'TAAA|0001-00'!$I$11</definedName>
    <definedName name="GroupVarBen" localSheetId="1">'TAAA|0338-01'!$I$11</definedName>
    <definedName name="GroupVarBen" localSheetId="2">'TAAA|0338-02'!$I$11</definedName>
    <definedName name="GroupVarBen" localSheetId="4">'TAAB|0001-00'!$I$11</definedName>
    <definedName name="GroupVarBen" localSheetId="5">'TAAB|0338-01'!$I$11</definedName>
    <definedName name="GroupVarBen" localSheetId="6">'TAAB|0338-02'!$I$11</definedName>
    <definedName name="GroupVarBen" localSheetId="8">'TAAC|0001-00'!$I$11</definedName>
    <definedName name="GroupVarBen" localSheetId="9">'TAAC|0338-01'!$I$11</definedName>
    <definedName name="GroupVarBen" localSheetId="10">'TAAC|0338-02'!$I$11</definedName>
    <definedName name="GroupVarBen" localSheetId="11">'TAAD|0001-00'!$I$11</definedName>
    <definedName name="GroupVarBen" localSheetId="7">'TAAF|0276-00'!$I$11</definedName>
    <definedName name="GroupVarBen" localSheetId="3">'TAAI|0276-00'!$I$11</definedName>
    <definedName name="GroupVarBen" localSheetId="12">'TACA|0001-00'!$I$11</definedName>
    <definedName name="GroupVarBen" localSheetId="13">'TACA|0338-02'!$I$11</definedName>
    <definedName name="GroupVarBen">'B6'!$I$11</definedName>
    <definedName name="GroupVB">Benefits!$C$13</definedName>
    <definedName name="GroupVBBY">Benefits!$D$13</definedName>
    <definedName name="GroupVBCHG">Benefits!$E$13</definedName>
    <definedName name="Health">Benefits!$C$15</definedName>
    <definedName name="HealthBY">Benefits!$D$15</definedName>
    <definedName name="HealthCHG">Benefits!$E$15</definedName>
    <definedName name="Life">Benefits!$C$9</definedName>
    <definedName name="LifeBY">Benefits!$D$9</definedName>
    <definedName name="LifeCHG">Benefits!$E$9</definedName>
    <definedName name="LUMAFund" localSheetId="0">'TAAA|0001-00'!$M$2</definedName>
    <definedName name="LUMAFund" localSheetId="1">'TAAA|0338-01'!$M$2</definedName>
    <definedName name="LUMAFund" localSheetId="2">'TAAA|0338-02'!$M$2</definedName>
    <definedName name="LUMAFund" localSheetId="4">'TAAB|0001-00'!$M$2</definedName>
    <definedName name="LUMAFund" localSheetId="5">'TAAB|0338-01'!$M$2</definedName>
    <definedName name="LUMAFund" localSheetId="6">'TAAB|0338-02'!$M$2</definedName>
    <definedName name="LUMAFund" localSheetId="8">'TAAC|0001-00'!$M$2</definedName>
    <definedName name="LUMAFund" localSheetId="9">'TAAC|0338-01'!$M$2</definedName>
    <definedName name="LUMAFund" localSheetId="10">'TAAC|0338-02'!$M$2</definedName>
    <definedName name="LUMAFund" localSheetId="11">'TAAD|0001-00'!$M$2</definedName>
    <definedName name="LUMAFund" localSheetId="7">'TAAF|0276-00'!$M$2</definedName>
    <definedName name="LUMAFund" localSheetId="3">'TAAI|0276-00'!$M$2</definedName>
    <definedName name="LUMAFund" localSheetId="12">'TACA|0001-00'!$M$2</definedName>
    <definedName name="LUMAFund" localSheetId="13">'TACA|0338-02'!$M$2</definedName>
    <definedName name="LUMAFund">'B6'!$M$2</definedName>
    <definedName name="MAXSSDI">Benefits!$F$5</definedName>
    <definedName name="MAXSSDIBY">Benefits!$G$5</definedName>
    <definedName name="NEW_AdjGroup" localSheetId="0">'TAAA|0001-00'!$AC$39</definedName>
    <definedName name="NEW_AdjGroup" localSheetId="1">'TAAA|0338-01'!$AC$39</definedName>
    <definedName name="NEW_AdjGroup" localSheetId="2">'TAAA|0338-02'!$AC$39</definedName>
    <definedName name="NEW_AdjGroup" localSheetId="4">'TAAB|0001-00'!$AC$39</definedName>
    <definedName name="NEW_AdjGroup" localSheetId="5">'TAAB|0338-01'!$AC$39</definedName>
    <definedName name="NEW_AdjGroup" localSheetId="6">'TAAB|0338-02'!$AC$39</definedName>
    <definedName name="NEW_AdjGroup" localSheetId="8">'TAAC|0001-00'!$AC$39</definedName>
    <definedName name="NEW_AdjGroup" localSheetId="9">'TAAC|0338-01'!$AC$39</definedName>
    <definedName name="NEW_AdjGroup" localSheetId="10">'TAAC|0338-02'!$AC$39</definedName>
    <definedName name="NEW_AdjGroup" localSheetId="11">'TAAD|0001-00'!$AC$39</definedName>
    <definedName name="NEW_AdjGroup" localSheetId="7">'TAAF|0276-00'!$AC$39</definedName>
    <definedName name="NEW_AdjGroup" localSheetId="3">'TAAI|0276-00'!$AC$39</definedName>
    <definedName name="NEW_AdjGroup" localSheetId="12">'TACA|0001-00'!$AC$39</definedName>
    <definedName name="NEW_AdjGroup" localSheetId="13">'TACA|0338-02'!$AC$39</definedName>
    <definedName name="NEW_AdjGroup">'B6'!$AC$39</definedName>
    <definedName name="NEW_AdjGroupSalary" localSheetId="0">'TAAA|0001-00'!$AA$39</definedName>
    <definedName name="NEW_AdjGroupSalary" localSheetId="1">'TAAA|0338-01'!$AA$39</definedName>
    <definedName name="NEW_AdjGroupSalary" localSheetId="2">'TAAA|0338-02'!$AA$39</definedName>
    <definedName name="NEW_AdjGroupSalary" localSheetId="4">'TAAB|0001-00'!$AA$39</definedName>
    <definedName name="NEW_AdjGroupSalary" localSheetId="5">'TAAB|0338-01'!$AA$39</definedName>
    <definedName name="NEW_AdjGroupSalary" localSheetId="6">'TAAB|0338-02'!$AA$39</definedName>
    <definedName name="NEW_AdjGroupSalary" localSheetId="8">'TAAC|0001-00'!$AA$39</definedName>
    <definedName name="NEW_AdjGroupSalary" localSheetId="9">'TAAC|0338-01'!$AA$39</definedName>
    <definedName name="NEW_AdjGroupSalary" localSheetId="10">'TAAC|0338-02'!$AA$39</definedName>
    <definedName name="NEW_AdjGroupSalary" localSheetId="11">'TAAD|0001-00'!$AA$39</definedName>
    <definedName name="NEW_AdjGroupSalary" localSheetId="7">'TAAF|0276-00'!$AA$39</definedName>
    <definedName name="NEW_AdjGroupSalary" localSheetId="3">'TAAI|0276-00'!$AA$39</definedName>
    <definedName name="NEW_AdjGroupSalary" localSheetId="12">'TACA|0001-00'!$AA$39</definedName>
    <definedName name="NEW_AdjGroupSalary" localSheetId="13">'TACA|0338-02'!$AA$39</definedName>
    <definedName name="NEW_AdjGroupSalary">'B6'!$AA$39</definedName>
    <definedName name="NEW_AdjGroupVB" localSheetId="0">'TAAA|0001-00'!$AB$39</definedName>
    <definedName name="NEW_AdjGroupVB" localSheetId="1">'TAAA|0338-01'!$AB$39</definedName>
    <definedName name="NEW_AdjGroupVB" localSheetId="2">'TAAA|0338-02'!$AB$39</definedName>
    <definedName name="NEW_AdjGroupVB" localSheetId="4">'TAAB|0001-00'!$AB$39</definedName>
    <definedName name="NEW_AdjGroupVB" localSheetId="5">'TAAB|0338-01'!$AB$39</definedName>
    <definedName name="NEW_AdjGroupVB" localSheetId="6">'TAAB|0338-02'!$AB$39</definedName>
    <definedName name="NEW_AdjGroupVB" localSheetId="8">'TAAC|0001-00'!$AB$39</definedName>
    <definedName name="NEW_AdjGroupVB" localSheetId="9">'TAAC|0338-01'!$AB$39</definedName>
    <definedName name="NEW_AdjGroupVB" localSheetId="10">'TAAC|0338-02'!$AB$39</definedName>
    <definedName name="NEW_AdjGroupVB" localSheetId="11">'TAAD|0001-00'!$AB$39</definedName>
    <definedName name="NEW_AdjGroupVB" localSheetId="7">'TAAF|0276-00'!$AB$39</definedName>
    <definedName name="NEW_AdjGroupVB" localSheetId="3">'TAAI|0276-00'!$AB$39</definedName>
    <definedName name="NEW_AdjGroupVB" localSheetId="12">'TACA|0001-00'!$AB$39</definedName>
    <definedName name="NEW_AdjGroupVB" localSheetId="13">'TACA|0338-02'!$AB$39</definedName>
    <definedName name="NEW_AdjGroupVB">'B6'!$AB$39</definedName>
    <definedName name="NEW_AdjONLYGroup" localSheetId="0">'TAAA|0001-00'!$AC$45</definedName>
    <definedName name="NEW_AdjONLYGroup" localSheetId="1">'TAAA|0338-01'!$AC$45</definedName>
    <definedName name="NEW_AdjONLYGroup" localSheetId="2">'TAAA|0338-02'!$AC$45</definedName>
    <definedName name="NEW_AdjONLYGroup" localSheetId="4">'TAAB|0001-00'!$AC$45</definedName>
    <definedName name="NEW_AdjONLYGroup" localSheetId="5">'TAAB|0338-01'!$AC$45</definedName>
    <definedName name="NEW_AdjONLYGroup" localSheetId="6">'TAAB|0338-02'!$AC$45</definedName>
    <definedName name="NEW_AdjONLYGroup" localSheetId="8">'TAAC|0001-00'!$AC$45</definedName>
    <definedName name="NEW_AdjONLYGroup" localSheetId="9">'TAAC|0338-01'!$AC$45</definedName>
    <definedName name="NEW_AdjONLYGroup" localSheetId="10">'TAAC|0338-02'!$AC$45</definedName>
    <definedName name="NEW_AdjONLYGroup" localSheetId="11">'TAAD|0001-00'!$AC$45</definedName>
    <definedName name="NEW_AdjONLYGroup" localSheetId="7">'TAAF|0276-00'!$AC$45</definedName>
    <definedName name="NEW_AdjONLYGroup" localSheetId="3">'TAAI|0276-00'!$AC$45</definedName>
    <definedName name="NEW_AdjONLYGroup" localSheetId="12">'TACA|0001-00'!$AC$45</definedName>
    <definedName name="NEW_AdjONLYGroup" localSheetId="13">'TACA|0338-02'!$AC$45</definedName>
    <definedName name="NEW_AdjONLYGroup">'B6'!$AC$45</definedName>
    <definedName name="NEW_AdjONLYGroupSalary" localSheetId="0">'TAAA|0001-00'!$AA$45</definedName>
    <definedName name="NEW_AdjONLYGroupSalary" localSheetId="1">'TAAA|0338-01'!$AA$45</definedName>
    <definedName name="NEW_AdjONLYGroupSalary" localSheetId="2">'TAAA|0338-02'!$AA$45</definedName>
    <definedName name="NEW_AdjONLYGroupSalary" localSheetId="4">'TAAB|0001-00'!$AA$45</definedName>
    <definedName name="NEW_AdjONLYGroupSalary" localSheetId="5">'TAAB|0338-01'!$AA$45</definedName>
    <definedName name="NEW_AdjONLYGroupSalary" localSheetId="6">'TAAB|0338-02'!$AA$45</definedName>
    <definedName name="NEW_AdjONLYGroupSalary" localSheetId="8">'TAAC|0001-00'!$AA$45</definedName>
    <definedName name="NEW_AdjONLYGroupSalary" localSheetId="9">'TAAC|0338-01'!$AA$45</definedName>
    <definedName name="NEW_AdjONLYGroupSalary" localSheetId="10">'TAAC|0338-02'!$AA$45</definedName>
    <definedName name="NEW_AdjONLYGroupSalary" localSheetId="11">'TAAD|0001-00'!$AA$45</definedName>
    <definedName name="NEW_AdjONLYGroupSalary" localSheetId="7">'TAAF|0276-00'!$AA$45</definedName>
    <definedName name="NEW_AdjONLYGroupSalary" localSheetId="3">'TAAI|0276-00'!$AA$45</definedName>
    <definedName name="NEW_AdjONLYGroupSalary" localSheetId="12">'TACA|0001-00'!$AA$45</definedName>
    <definedName name="NEW_AdjONLYGroupSalary" localSheetId="13">'TACA|0338-02'!$AA$45</definedName>
    <definedName name="NEW_AdjONLYGroupSalary">'B6'!$AA$45</definedName>
    <definedName name="NEW_AdjONLYGroupVB" localSheetId="0">'TAAA|0001-00'!$AB$45</definedName>
    <definedName name="NEW_AdjONLYGroupVB" localSheetId="1">'TAAA|0338-01'!$AB$45</definedName>
    <definedName name="NEW_AdjONLYGroupVB" localSheetId="2">'TAAA|0338-02'!$AB$45</definedName>
    <definedName name="NEW_AdjONLYGroupVB" localSheetId="4">'TAAB|0001-00'!$AB$45</definedName>
    <definedName name="NEW_AdjONLYGroupVB" localSheetId="5">'TAAB|0338-01'!$AB$45</definedName>
    <definedName name="NEW_AdjONLYGroupVB" localSheetId="6">'TAAB|0338-02'!$AB$45</definedName>
    <definedName name="NEW_AdjONLYGroupVB" localSheetId="8">'TAAC|0001-00'!$AB$45</definedName>
    <definedName name="NEW_AdjONLYGroupVB" localSheetId="9">'TAAC|0338-01'!$AB$45</definedName>
    <definedName name="NEW_AdjONLYGroupVB" localSheetId="10">'TAAC|0338-02'!$AB$45</definedName>
    <definedName name="NEW_AdjONLYGroupVB" localSheetId="11">'TAAD|0001-00'!$AB$45</definedName>
    <definedName name="NEW_AdjONLYGroupVB" localSheetId="7">'TAAF|0276-00'!$AB$45</definedName>
    <definedName name="NEW_AdjONLYGroupVB" localSheetId="3">'TAAI|0276-00'!$AB$45</definedName>
    <definedName name="NEW_AdjONLYGroupVB" localSheetId="12">'TACA|0001-00'!$AB$45</definedName>
    <definedName name="NEW_AdjONLYGroupVB" localSheetId="13">'TACA|0338-02'!$AB$45</definedName>
    <definedName name="NEW_AdjONLYGroupVB">'B6'!$AB$45</definedName>
    <definedName name="NEW_AdjONLYPerm" localSheetId="0">'TAAA|0001-00'!$AC$44</definedName>
    <definedName name="NEW_AdjONLYPerm" localSheetId="1">'TAAA|0338-01'!$AC$44</definedName>
    <definedName name="NEW_AdjONLYPerm" localSheetId="2">'TAAA|0338-02'!$AC$44</definedName>
    <definedName name="NEW_AdjONLYPerm" localSheetId="4">'TAAB|0001-00'!$AC$44</definedName>
    <definedName name="NEW_AdjONLYPerm" localSheetId="5">'TAAB|0338-01'!$AC$44</definedName>
    <definedName name="NEW_AdjONLYPerm" localSheetId="6">'TAAB|0338-02'!$AC$44</definedName>
    <definedName name="NEW_AdjONLYPerm" localSheetId="8">'TAAC|0001-00'!$AC$44</definedName>
    <definedName name="NEW_AdjONLYPerm" localSheetId="9">'TAAC|0338-01'!$AC$44</definedName>
    <definedName name="NEW_AdjONLYPerm" localSheetId="10">'TAAC|0338-02'!$AC$44</definedName>
    <definedName name="NEW_AdjONLYPerm" localSheetId="11">'TAAD|0001-00'!$AC$44</definedName>
    <definedName name="NEW_AdjONLYPerm" localSheetId="7">'TAAF|0276-00'!$AC$44</definedName>
    <definedName name="NEW_AdjONLYPerm" localSheetId="3">'TAAI|0276-00'!$AC$44</definedName>
    <definedName name="NEW_AdjONLYPerm" localSheetId="12">'TACA|0001-00'!$AC$44</definedName>
    <definedName name="NEW_AdjONLYPerm" localSheetId="13">'TACA|0338-02'!$AC$44</definedName>
    <definedName name="NEW_AdjONLYPerm">'B6'!$AC$44</definedName>
    <definedName name="NEW_AdjONLYPermSalary" localSheetId="0">'TAAA|0001-00'!$AA$44</definedName>
    <definedName name="NEW_AdjONLYPermSalary" localSheetId="1">'TAAA|0338-01'!$AA$44</definedName>
    <definedName name="NEW_AdjONLYPermSalary" localSheetId="2">'TAAA|0338-02'!$AA$44</definedName>
    <definedName name="NEW_AdjONLYPermSalary" localSheetId="4">'TAAB|0001-00'!$AA$44</definedName>
    <definedName name="NEW_AdjONLYPermSalary" localSheetId="5">'TAAB|0338-01'!$AA$44</definedName>
    <definedName name="NEW_AdjONLYPermSalary" localSheetId="6">'TAAB|0338-02'!$AA$44</definedName>
    <definedName name="NEW_AdjONLYPermSalary" localSheetId="8">'TAAC|0001-00'!$AA$44</definedName>
    <definedName name="NEW_AdjONLYPermSalary" localSheetId="9">'TAAC|0338-01'!$AA$44</definedName>
    <definedName name="NEW_AdjONLYPermSalary" localSheetId="10">'TAAC|0338-02'!$AA$44</definedName>
    <definedName name="NEW_AdjONLYPermSalary" localSheetId="11">'TAAD|0001-00'!$AA$44</definedName>
    <definedName name="NEW_AdjONLYPermSalary" localSheetId="7">'TAAF|0276-00'!$AA$44</definedName>
    <definedName name="NEW_AdjONLYPermSalary" localSheetId="3">'TAAI|0276-00'!$AA$44</definedName>
    <definedName name="NEW_AdjONLYPermSalary" localSheetId="12">'TACA|0001-00'!$AA$44</definedName>
    <definedName name="NEW_AdjONLYPermSalary" localSheetId="13">'TACA|0338-02'!$AA$44</definedName>
    <definedName name="NEW_AdjONLYPermSalary">'B6'!$AA$44</definedName>
    <definedName name="NEW_AdjONLYPermVB" localSheetId="0">'TAAA|0001-00'!$AB$44</definedName>
    <definedName name="NEW_AdjONLYPermVB" localSheetId="1">'TAAA|0338-01'!$AB$44</definedName>
    <definedName name="NEW_AdjONLYPermVB" localSheetId="2">'TAAA|0338-02'!$AB$44</definedName>
    <definedName name="NEW_AdjONLYPermVB" localSheetId="4">'TAAB|0001-00'!$AB$44</definedName>
    <definedName name="NEW_AdjONLYPermVB" localSheetId="5">'TAAB|0338-01'!$AB$44</definedName>
    <definedName name="NEW_AdjONLYPermVB" localSheetId="6">'TAAB|0338-02'!$AB$44</definedName>
    <definedName name="NEW_AdjONLYPermVB" localSheetId="8">'TAAC|0001-00'!$AB$44</definedName>
    <definedName name="NEW_AdjONLYPermVB" localSheetId="9">'TAAC|0338-01'!$AB$44</definedName>
    <definedName name="NEW_AdjONLYPermVB" localSheetId="10">'TAAC|0338-02'!$AB$44</definedName>
    <definedName name="NEW_AdjONLYPermVB" localSheetId="11">'TAAD|0001-00'!$AB$44</definedName>
    <definedName name="NEW_AdjONLYPermVB" localSheetId="7">'TAAF|0276-00'!$AB$44</definedName>
    <definedName name="NEW_AdjONLYPermVB" localSheetId="3">'TAAI|0276-00'!$AB$44</definedName>
    <definedName name="NEW_AdjONLYPermVB" localSheetId="12">'TACA|0001-00'!$AB$44</definedName>
    <definedName name="NEW_AdjONLYPermVB" localSheetId="13">'TACA|0338-02'!$AB$44</definedName>
    <definedName name="NEW_AdjONLYPermVB">'B6'!$AB$44</definedName>
    <definedName name="NEW_AdjPerm" localSheetId="0">'TAAA|0001-00'!$AC$38</definedName>
    <definedName name="NEW_AdjPerm" localSheetId="1">'TAAA|0338-01'!$AC$38</definedName>
    <definedName name="NEW_AdjPerm" localSheetId="2">'TAAA|0338-02'!$AC$38</definedName>
    <definedName name="NEW_AdjPerm" localSheetId="4">'TAAB|0001-00'!$AC$38</definedName>
    <definedName name="NEW_AdjPerm" localSheetId="5">'TAAB|0338-01'!$AC$38</definedName>
    <definedName name="NEW_AdjPerm" localSheetId="6">'TAAB|0338-02'!$AC$38</definedName>
    <definedName name="NEW_AdjPerm" localSheetId="8">'TAAC|0001-00'!$AC$38</definedName>
    <definedName name="NEW_AdjPerm" localSheetId="9">'TAAC|0338-01'!$AC$38</definedName>
    <definedName name="NEW_AdjPerm" localSheetId="10">'TAAC|0338-02'!$AC$38</definedName>
    <definedName name="NEW_AdjPerm" localSheetId="11">'TAAD|0001-00'!$AC$38</definedName>
    <definedName name="NEW_AdjPerm" localSheetId="7">'TAAF|0276-00'!$AC$38</definedName>
    <definedName name="NEW_AdjPerm" localSheetId="3">'TAAI|0276-00'!$AC$38</definedName>
    <definedName name="NEW_AdjPerm" localSheetId="12">'TACA|0001-00'!$AC$38</definedName>
    <definedName name="NEW_AdjPerm" localSheetId="13">'TACA|0338-02'!$AC$38</definedName>
    <definedName name="NEW_AdjPerm">'B6'!$AC$38</definedName>
    <definedName name="NEW_AdjPermSalary" localSheetId="0">'TAAA|0001-00'!$AA$38</definedName>
    <definedName name="NEW_AdjPermSalary" localSheetId="1">'TAAA|0338-01'!$AA$38</definedName>
    <definedName name="NEW_AdjPermSalary" localSheetId="2">'TAAA|0338-02'!$AA$38</definedName>
    <definedName name="NEW_AdjPermSalary" localSheetId="4">'TAAB|0001-00'!$AA$38</definedName>
    <definedName name="NEW_AdjPermSalary" localSheetId="5">'TAAB|0338-01'!$AA$38</definedName>
    <definedName name="NEW_AdjPermSalary" localSheetId="6">'TAAB|0338-02'!$AA$38</definedName>
    <definedName name="NEW_AdjPermSalary" localSheetId="8">'TAAC|0001-00'!$AA$38</definedName>
    <definedName name="NEW_AdjPermSalary" localSheetId="9">'TAAC|0338-01'!$AA$38</definedName>
    <definedName name="NEW_AdjPermSalary" localSheetId="10">'TAAC|0338-02'!$AA$38</definedName>
    <definedName name="NEW_AdjPermSalary" localSheetId="11">'TAAD|0001-00'!$AA$38</definedName>
    <definedName name="NEW_AdjPermSalary" localSheetId="7">'TAAF|0276-00'!$AA$38</definedName>
    <definedName name="NEW_AdjPermSalary" localSheetId="3">'TAAI|0276-00'!$AA$38</definedName>
    <definedName name="NEW_AdjPermSalary" localSheetId="12">'TACA|0001-00'!$AA$38</definedName>
    <definedName name="NEW_AdjPermSalary" localSheetId="13">'TACA|0338-02'!$AA$38</definedName>
    <definedName name="NEW_AdjPermSalary">'B6'!$AA$38</definedName>
    <definedName name="NEW_AdjPermVB" localSheetId="0">'TAAA|0001-00'!$AB$38</definedName>
    <definedName name="NEW_AdjPermVB" localSheetId="1">'TAAA|0338-01'!$AB$38</definedName>
    <definedName name="NEW_AdjPermVB" localSheetId="2">'TAAA|0338-02'!$AB$38</definedName>
    <definedName name="NEW_AdjPermVB" localSheetId="4">'TAAB|0001-00'!$AB$38</definedName>
    <definedName name="NEW_AdjPermVB" localSheetId="5">'TAAB|0338-01'!$AB$38</definedName>
    <definedName name="NEW_AdjPermVB" localSheetId="6">'TAAB|0338-02'!$AB$38</definedName>
    <definedName name="NEW_AdjPermVB" localSheetId="8">'TAAC|0001-00'!$AB$38</definedName>
    <definedName name="NEW_AdjPermVB" localSheetId="9">'TAAC|0338-01'!$AB$38</definedName>
    <definedName name="NEW_AdjPermVB" localSheetId="10">'TAAC|0338-02'!$AB$38</definedName>
    <definedName name="NEW_AdjPermVB" localSheetId="11">'TAAD|0001-00'!$AB$38</definedName>
    <definedName name="NEW_AdjPermVB" localSheetId="7">'TAAF|0276-00'!$AB$38</definedName>
    <definedName name="NEW_AdjPermVB" localSheetId="3">'TAAI|0276-00'!$AB$38</definedName>
    <definedName name="NEW_AdjPermVB" localSheetId="12">'TACA|0001-00'!$AB$38</definedName>
    <definedName name="NEW_AdjPermVB" localSheetId="13">'TACA|0338-02'!$AB$38</definedName>
    <definedName name="NEW_AdjPermVB">'B6'!$AB$38</definedName>
    <definedName name="NEW_GroupFilled" localSheetId="0">'TAAA|0001-00'!$AC$11</definedName>
    <definedName name="NEW_GroupFilled" localSheetId="1">'TAAA|0338-01'!$AC$11</definedName>
    <definedName name="NEW_GroupFilled" localSheetId="2">'TAAA|0338-02'!$AC$11</definedName>
    <definedName name="NEW_GroupFilled" localSheetId="4">'TAAB|0001-00'!$AC$11</definedName>
    <definedName name="NEW_GroupFilled" localSheetId="5">'TAAB|0338-01'!$AC$11</definedName>
    <definedName name="NEW_GroupFilled" localSheetId="6">'TAAB|0338-02'!$AC$11</definedName>
    <definedName name="NEW_GroupFilled" localSheetId="8">'TAAC|0001-00'!$AC$11</definedName>
    <definedName name="NEW_GroupFilled" localSheetId="9">'TAAC|0338-01'!$AC$11</definedName>
    <definedName name="NEW_GroupFilled" localSheetId="10">'TAAC|0338-02'!$AC$11</definedName>
    <definedName name="NEW_GroupFilled" localSheetId="11">'TAAD|0001-00'!$AC$11</definedName>
    <definedName name="NEW_GroupFilled" localSheetId="7">'TAAF|0276-00'!$AC$11</definedName>
    <definedName name="NEW_GroupFilled" localSheetId="3">'TAAI|0276-00'!$AC$11</definedName>
    <definedName name="NEW_GroupFilled" localSheetId="12">'TACA|0001-00'!$AC$11</definedName>
    <definedName name="NEW_GroupFilled" localSheetId="13">'TACA|0338-02'!$AC$11</definedName>
    <definedName name="NEW_GroupFilled">'B6'!$AC$11</definedName>
    <definedName name="NEW_GroupSalaryFilled" localSheetId="0">'TAAA|0001-00'!$AA$11</definedName>
    <definedName name="NEW_GroupSalaryFilled" localSheetId="1">'TAAA|0338-01'!$AA$11</definedName>
    <definedName name="NEW_GroupSalaryFilled" localSheetId="2">'TAAA|0338-02'!$AA$11</definedName>
    <definedName name="NEW_GroupSalaryFilled" localSheetId="4">'TAAB|0001-00'!$AA$11</definedName>
    <definedName name="NEW_GroupSalaryFilled" localSheetId="5">'TAAB|0338-01'!$AA$11</definedName>
    <definedName name="NEW_GroupSalaryFilled" localSheetId="6">'TAAB|0338-02'!$AA$11</definedName>
    <definedName name="NEW_GroupSalaryFilled" localSheetId="8">'TAAC|0001-00'!$AA$11</definedName>
    <definedName name="NEW_GroupSalaryFilled" localSheetId="9">'TAAC|0338-01'!$AA$11</definedName>
    <definedName name="NEW_GroupSalaryFilled" localSheetId="10">'TAAC|0338-02'!$AA$11</definedName>
    <definedName name="NEW_GroupSalaryFilled" localSheetId="11">'TAAD|0001-00'!$AA$11</definedName>
    <definedName name="NEW_GroupSalaryFilled" localSheetId="7">'TAAF|0276-00'!$AA$11</definedName>
    <definedName name="NEW_GroupSalaryFilled" localSheetId="3">'TAAI|0276-00'!$AA$11</definedName>
    <definedName name="NEW_GroupSalaryFilled" localSheetId="12">'TACA|0001-00'!$AA$11</definedName>
    <definedName name="NEW_GroupSalaryFilled" localSheetId="13">'TACA|0338-02'!$AA$11</definedName>
    <definedName name="NEW_GroupSalaryFilled">'B6'!$AA$11</definedName>
    <definedName name="NEW_GroupVBFilled" localSheetId="0">'TAAA|0001-00'!$AB$11</definedName>
    <definedName name="NEW_GroupVBFilled" localSheetId="1">'TAAA|0338-01'!$AB$11</definedName>
    <definedName name="NEW_GroupVBFilled" localSheetId="2">'TAAA|0338-02'!$AB$11</definedName>
    <definedName name="NEW_GroupVBFilled" localSheetId="4">'TAAB|0001-00'!$AB$11</definedName>
    <definedName name="NEW_GroupVBFilled" localSheetId="5">'TAAB|0338-01'!$AB$11</definedName>
    <definedName name="NEW_GroupVBFilled" localSheetId="6">'TAAB|0338-02'!$AB$11</definedName>
    <definedName name="NEW_GroupVBFilled" localSheetId="8">'TAAC|0001-00'!$AB$11</definedName>
    <definedName name="NEW_GroupVBFilled" localSheetId="9">'TAAC|0338-01'!$AB$11</definedName>
    <definedName name="NEW_GroupVBFilled" localSheetId="10">'TAAC|0338-02'!$AB$11</definedName>
    <definedName name="NEW_GroupVBFilled" localSheetId="11">'TAAD|0001-00'!$AB$11</definedName>
    <definedName name="NEW_GroupVBFilled" localSheetId="7">'TAAF|0276-00'!$AB$11</definedName>
    <definedName name="NEW_GroupVBFilled" localSheetId="3">'TAAI|0276-00'!$AB$11</definedName>
    <definedName name="NEW_GroupVBFilled" localSheetId="12">'TACA|0001-00'!$AB$11</definedName>
    <definedName name="NEW_GroupVBFilled" localSheetId="13">'TACA|0338-02'!$AB$11</definedName>
    <definedName name="NEW_GroupVBFilled">'B6'!$AB$11</definedName>
    <definedName name="NEW_PermFilled" localSheetId="0">'TAAA|0001-00'!$AC$10</definedName>
    <definedName name="NEW_PermFilled" localSheetId="1">'TAAA|0338-01'!$AC$10</definedName>
    <definedName name="NEW_PermFilled" localSheetId="2">'TAAA|0338-02'!$AC$10</definedName>
    <definedName name="NEW_PermFilled" localSheetId="4">'TAAB|0001-00'!$AC$10</definedName>
    <definedName name="NEW_PermFilled" localSheetId="5">'TAAB|0338-01'!$AC$10</definedName>
    <definedName name="NEW_PermFilled" localSheetId="6">'TAAB|0338-02'!$AC$10</definedName>
    <definedName name="NEW_PermFilled" localSheetId="8">'TAAC|0001-00'!$AC$10</definedName>
    <definedName name="NEW_PermFilled" localSheetId="9">'TAAC|0338-01'!$AC$10</definedName>
    <definedName name="NEW_PermFilled" localSheetId="10">'TAAC|0338-02'!$AC$10</definedName>
    <definedName name="NEW_PermFilled" localSheetId="11">'TAAD|0001-00'!$AC$10</definedName>
    <definedName name="NEW_PermFilled" localSheetId="7">'TAAF|0276-00'!$AC$10</definedName>
    <definedName name="NEW_PermFilled" localSheetId="3">'TAAI|0276-00'!$AC$10</definedName>
    <definedName name="NEW_PermFilled" localSheetId="12">'TACA|0001-00'!$AC$10</definedName>
    <definedName name="NEW_PermFilled" localSheetId="13">'TACA|0338-02'!$AC$10</definedName>
    <definedName name="NEW_PermFilled">'B6'!$AC$10</definedName>
    <definedName name="NEW_PermSalaryFilled" localSheetId="0">'TAAA|0001-00'!$AA$10</definedName>
    <definedName name="NEW_PermSalaryFilled" localSheetId="1">'TAAA|0338-01'!$AA$10</definedName>
    <definedName name="NEW_PermSalaryFilled" localSheetId="2">'TAAA|0338-02'!$AA$10</definedName>
    <definedName name="NEW_PermSalaryFilled" localSheetId="4">'TAAB|0001-00'!$AA$10</definedName>
    <definedName name="NEW_PermSalaryFilled" localSheetId="5">'TAAB|0338-01'!$AA$10</definedName>
    <definedName name="NEW_PermSalaryFilled" localSheetId="6">'TAAB|0338-02'!$AA$10</definedName>
    <definedName name="NEW_PermSalaryFilled" localSheetId="8">'TAAC|0001-00'!$AA$10</definedName>
    <definedName name="NEW_PermSalaryFilled" localSheetId="9">'TAAC|0338-01'!$AA$10</definedName>
    <definedName name="NEW_PermSalaryFilled" localSheetId="10">'TAAC|0338-02'!$AA$10</definedName>
    <definedName name="NEW_PermSalaryFilled" localSheetId="11">'TAAD|0001-00'!$AA$10</definedName>
    <definedName name="NEW_PermSalaryFilled" localSheetId="7">'TAAF|0276-00'!$AA$10</definedName>
    <definedName name="NEW_PermSalaryFilled" localSheetId="3">'TAAI|0276-00'!$AA$10</definedName>
    <definedName name="NEW_PermSalaryFilled" localSheetId="12">'TACA|0001-00'!$AA$10</definedName>
    <definedName name="NEW_PermSalaryFilled" localSheetId="13">'TACA|0338-02'!$AA$10</definedName>
    <definedName name="NEW_PermSalaryFilled">'B6'!$AA$10</definedName>
    <definedName name="NEW_PermVBFilled" localSheetId="0">'TAAA|0001-00'!$AB$10</definedName>
    <definedName name="NEW_PermVBFilled" localSheetId="1">'TAAA|0338-01'!$AB$10</definedName>
    <definedName name="NEW_PermVBFilled" localSheetId="2">'TAAA|0338-02'!$AB$10</definedName>
    <definedName name="NEW_PermVBFilled" localSheetId="4">'TAAB|0001-00'!$AB$10</definedName>
    <definedName name="NEW_PermVBFilled" localSheetId="5">'TAAB|0338-01'!$AB$10</definedName>
    <definedName name="NEW_PermVBFilled" localSheetId="6">'TAAB|0338-02'!$AB$10</definedName>
    <definedName name="NEW_PermVBFilled" localSheetId="8">'TAAC|0001-00'!$AB$10</definedName>
    <definedName name="NEW_PermVBFilled" localSheetId="9">'TAAC|0338-01'!$AB$10</definedName>
    <definedName name="NEW_PermVBFilled" localSheetId="10">'TAAC|0338-02'!$AB$10</definedName>
    <definedName name="NEW_PermVBFilled" localSheetId="11">'TAAD|0001-00'!$AB$10</definedName>
    <definedName name="NEW_PermVBFilled" localSheetId="7">'TAAF|0276-00'!$AB$10</definedName>
    <definedName name="NEW_PermVBFilled" localSheetId="3">'TAAI|0276-00'!$AB$10</definedName>
    <definedName name="NEW_PermVBFilled" localSheetId="12">'TACA|0001-00'!$AB$10</definedName>
    <definedName name="NEW_PermVBFilled" localSheetId="13">'TACA|0338-02'!$AB$10</definedName>
    <definedName name="NEW_PermVBFilled">'B6'!$AB$10</definedName>
    <definedName name="OneTimePC_Total" localSheetId="0">'TAAA|0001-00'!$J$63</definedName>
    <definedName name="OneTimePC_Total" localSheetId="1">'TAAA|0338-01'!$J$63</definedName>
    <definedName name="OneTimePC_Total" localSheetId="2">'TAAA|0338-02'!$J$63</definedName>
    <definedName name="OneTimePC_Total" localSheetId="4">'TAAB|0001-00'!$J$63</definedName>
    <definedName name="OneTimePC_Total" localSheetId="5">'TAAB|0338-01'!$J$63</definedName>
    <definedName name="OneTimePC_Total" localSheetId="6">'TAAB|0338-02'!$J$63</definedName>
    <definedName name="OneTimePC_Total" localSheetId="8">'TAAC|0001-00'!$J$63</definedName>
    <definedName name="OneTimePC_Total" localSheetId="9">'TAAC|0338-01'!$J$63</definedName>
    <definedName name="OneTimePC_Total" localSheetId="10">'TAAC|0338-02'!$J$63</definedName>
    <definedName name="OneTimePC_Total" localSheetId="11">'TAAD|0001-00'!$J$63</definedName>
    <definedName name="OneTimePC_Total" localSheetId="7">'TAAF|0276-00'!$J$63</definedName>
    <definedName name="OneTimePC_Total" localSheetId="3">'TAAI|0276-00'!$J$63</definedName>
    <definedName name="OneTimePC_Total" localSheetId="12">'TACA|0001-00'!$J$63</definedName>
    <definedName name="OneTimePC_Total" localSheetId="13">'TACA|0338-02'!$J$63</definedName>
    <definedName name="OneTimePC_Total">'B6'!$J$63</definedName>
    <definedName name="OrigApprop" localSheetId="0">'TAAA|0001-00'!$E$15</definedName>
    <definedName name="OrigApprop" localSheetId="1">'TAAA|0338-01'!$E$15</definedName>
    <definedName name="OrigApprop" localSheetId="2">'TAAA|0338-02'!$E$15</definedName>
    <definedName name="OrigApprop" localSheetId="4">'TAAB|0001-00'!$E$15</definedName>
    <definedName name="OrigApprop" localSheetId="5">'TAAB|0338-01'!$E$15</definedName>
    <definedName name="OrigApprop" localSheetId="6">'TAAB|0338-02'!$E$15</definedName>
    <definedName name="OrigApprop" localSheetId="8">'TAAC|0001-00'!$E$15</definedName>
    <definedName name="OrigApprop" localSheetId="9">'TAAC|0338-01'!$E$15</definedName>
    <definedName name="OrigApprop" localSheetId="10">'TAAC|0338-02'!$E$15</definedName>
    <definedName name="OrigApprop" localSheetId="11">'TAAD|0001-00'!$E$15</definedName>
    <definedName name="OrigApprop" localSheetId="7">'TAAF|0276-00'!$E$15</definedName>
    <definedName name="OrigApprop" localSheetId="3">'TAAI|0276-00'!$E$15</definedName>
    <definedName name="OrigApprop" localSheetId="12">'TACA|0001-00'!$E$15</definedName>
    <definedName name="OrigApprop" localSheetId="13">'TACA|0338-02'!$E$15</definedName>
    <definedName name="OrigApprop">'B6'!$E$15</definedName>
    <definedName name="perm_name" localSheetId="0">'TAAA|0001-00'!$C$10</definedName>
    <definedName name="perm_name" localSheetId="1">'TAAA|0338-01'!$C$10</definedName>
    <definedName name="perm_name" localSheetId="2">'TAAA|0338-02'!$C$10</definedName>
    <definedName name="perm_name" localSheetId="4">'TAAB|0001-00'!$C$10</definedName>
    <definedName name="perm_name" localSheetId="5">'TAAB|0338-01'!$C$10</definedName>
    <definedName name="perm_name" localSheetId="6">'TAAB|0338-02'!$C$10</definedName>
    <definedName name="perm_name" localSheetId="8">'TAAC|0001-00'!$C$10</definedName>
    <definedName name="perm_name" localSheetId="9">'TAAC|0338-01'!$C$10</definedName>
    <definedName name="perm_name" localSheetId="10">'TAAC|0338-02'!$C$10</definedName>
    <definedName name="perm_name" localSheetId="11">'TAAD|0001-00'!$C$10</definedName>
    <definedName name="perm_name" localSheetId="7">'TAAF|0276-00'!$C$10</definedName>
    <definedName name="perm_name" localSheetId="3">'TAAI|0276-00'!$C$10</definedName>
    <definedName name="perm_name" localSheetId="12">'TACA|0001-00'!$C$10</definedName>
    <definedName name="perm_name" localSheetId="13">'TACA|0338-02'!$C$10</definedName>
    <definedName name="perm_name">'B6'!$C$10</definedName>
    <definedName name="PermFTP" localSheetId="0">'TAAA|0001-00'!$F$10</definedName>
    <definedName name="PermFTP" localSheetId="1">'TAAA|0338-01'!$F$10</definedName>
    <definedName name="PermFTP" localSheetId="2">'TAAA|0338-02'!$F$10</definedName>
    <definedName name="PermFTP" localSheetId="4">'TAAB|0001-00'!$F$10</definedName>
    <definedName name="PermFTP" localSheetId="5">'TAAB|0338-01'!$F$10</definedName>
    <definedName name="PermFTP" localSheetId="6">'TAAB|0338-02'!$F$10</definedName>
    <definedName name="PermFTP" localSheetId="8">'TAAC|0001-00'!$F$10</definedName>
    <definedName name="PermFTP" localSheetId="9">'TAAC|0338-01'!$F$10</definedName>
    <definedName name="PermFTP" localSheetId="10">'TAAC|0338-02'!$F$10</definedName>
    <definedName name="PermFTP" localSheetId="11">'TAAD|0001-00'!$F$10</definedName>
    <definedName name="PermFTP" localSheetId="7">'TAAF|0276-00'!$F$10</definedName>
    <definedName name="PermFTP" localSheetId="3">'TAAI|0276-00'!$F$10</definedName>
    <definedName name="PermFTP" localSheetId="12">'TACA|0001-00'!$F$10</definedName>
    <definedName name="PermFTP" localSheetId="13">'TACA|0338-02'!$F$10</definedName>
    <definedName name="PermFTP">'B6'!$F$10</definedName>
    <definedName name="PermFxdBen" localSheetId="0">'TAAA|0001-00'!$H$10</definedName>
    <definedName name="PermFxdBen" localSheetId="1">'TAAA|0338-01'!$H$10</definedName>
    <definedName name="PermFxdBen" localSheetId="2">'TAAA|0338-02'!$H$10</definedName>
    <definedName name="PermFxdBen" localSheetId="4">'TAAB|0001-00'!$H$10</definedName>
    <definedName name="PermFxdBen" localSheetId="5">'TAAB|0338-01'!$H$10</definedName>
    <definedName name="PermFxdBen" localSheetId="6">'TAAB|0338-02'!$H$10</definedName>
    <definedName name="PermFxdBen" localSheetId="8">'TAAC|0001-00'!$H$10</definedName>
    <definedName name="PermFxdBen" localSheetId="9">'TAAC|0338-01'!$H$10</definedName>
    <definedName name="PermFxdBen" localSheetId="10">'TAAC|0338-02'!$H$10</definedName>
    <definedName name="PermFxdBen" localSheetId="11">'TAAD|0001-00'!$H$10</definedName>
    <definedName name="PermFxdBen" localSheetId="7">'TAAF|0276-00'!$H$10</definedName>
    <definedName name="PermFxdBen" localSheetId="3">'TAAI|0276-00'!$H$10</definedName>
    <definedName name="PermFxdBen" localSheetId="12">'TACA|0001-00'!$H$10</definedName>
    <definedName name="PermFxdBen" localSheetId="13">'TACA|0338-02'!$H$10</definedName>
    <definedName name="PermFxdBen">'B6'!$H$10</definedName>
    <definedName name="PermFxdBenChg" localSheetId="0">'TAAA|0001-00'!$L$10</definedName>
    <definedName name="PermFxdBenChg" localSheetId="1">'TAAA|0338-01'!$L$10</definedName>
    <definedName name="PermFxdBenChg" localSheetId="2">'TAAA|0338-02'!$L$10</definedName>
    <definedName name="PermFxdBenChg" localSheetId="4">'TAAB|0001-00'!$L$10</definedName>
    <definedName name="PermFxdBenChg" localSheetId="5">'TAAB|0338-01'!$L$10</definedName>
    <definedName name="PermFxdBenChg" localSheetId="6">'TAAB|0338-02'!$L$10</definedName>
    <definedName name="PermFxdBenChg" localSheetId="8">'TAAC|0001-00'!$L$10</definedName>
    <definedName name="PermFxdBenChg" localSheetId="9">'TAAC|0338-01'!$L$10</definedName>
    <definedName name="PermFxdBenChg" localSheetId="10">'TAAC|0338-02'!$L$10</definedName>
    <definedName name="PermFxdBenChg" localSheetId="11">'TAAD|0001-00'!$L$10</definedName>
    <definedName name="PermFxdBenChg" localSheetId="7">'TAAF|0276-00'!$L$10</definedName>
    <definedName name="PermFxdBenChg" localSheetId="3">'TAAI|0276-00'!$L$10</definedName>
    <definedName name="PermFxdBenChg" localSheetId="12">'TACA|0001-00'!$L$10</definedName>
    <definedName name="PermFxdBenChg" localSheetId="13">'TACA|0338-02'!$L$10</definedName>
    <definedName name="PermFxdBenChg">'B6'!$L$10</definedName>
    <definedName name="PermFxdChg" localSheetId="0">'TAAA|0001-00'!$L$10</definedName>
    <definedName name="PermFxdChg" localSheetId="1">'TAAA|0338-01'!$L$10</definedName>
    <definedName name="PermFxdChg" localSheetId="2">'TAAA|0338-02'!$L$10</definedName>
    <definedName name="PermFxdChg" localSheetId="4">'TAAB|0001-00'!$L$10</definedName>
    <definedName name="PermFxdChg" localSheetId="5">'TAAB|0338-01'!$L$10</definedName>
    <definedName name="PermFxdChg" localSheetId="6">'TAAB|0338-02'!$L$10</definedName>
    <definedName name="PermFxdChg" localSheetId="8">'TAAC|0001-00'!$L$10</definedName>
    <definedName name="PermFxdChg" localSheetId="9">'TAAC|0338-01'!$L$10</definedName>
    <definedName name="PermFxdChg" localSheetId="10">'TAAC|0338-02'!$L$10</definedName>
    <definedName name="PermFxdChg" localSheetId="11">'TAAD|0001-00'!$L$10</definedName>
    <definedName name="PermFxdChg" localSheetId="7">'TAAF|0276-00'!$L$10</definedName>
    <definedName name="PermFxdChg" localSheetId="3">'TAAI|0276-00'!$L$10</definedName>
    <definedName name="PermFxdChg" localSheetId="12">'TACA|0001-00'!$L$10</definedName>
    <definedName name="PermFxdChg" localSheetId="13">'TACA|0338-02'!$L$10</definedName>
    <definedName name="PermFxdChg">'B6'!$L$10</definedName>
    <definedName name="PermSalary" localSheetId="0">'TAAA|0001-00'!$G$10</definedName>
    <definedName name="PermSalary" localSheetId="1">'TAAA|0338-01'!$G$10</definedName>
    <definedName name="PermSalary" localSheetId="2">'TAAA|0338-02'!$G$10</definedName>
    <definedName name="PermSalary" localSheetId="4">'TAAB|0001-00'!$G$10</definedName>
    <definedName name="PermSalary" localSheetId="5">'TAAB|0338-01'!$G$10</definedName>
    <definedName name="PermSalary" localSheetId="6">'TAAB|0338-02'!$G$10</definedName>
    <definedName name="PermSalary" localSheetId="8">'TAAC|0001-00'!$G$10</definedName>
    <definedName name="PermSalary" localSheetId="9">'TAAC|0338-01'!$G$10</definedName>
    <definedName name="PermSalary" localSheetId="10">'TAAC|0338-02'!$G$10</definedName>
    <definedName name="PermSalary" localSheetId="11">'TAAD|0001-00'!$G$10</definedName>
    <definedName name="PermSalary" localSheetId="7">'TAAF|0276-00'!$G$10</definedName>
    <definedName name="PermSalary" localSheetId="3">'TAAI|0276-00'!$G$10</definedName>
    <definedName name="PermSalary" localSheetId="12">'TACA|0001-00'!$G$10</definedName>
    <definedName name="PermSalary" localSheetId="13">'TACA|0338-02'!$G$10</definedName>
    <definedName name="PermSalary">'B6'!$G$10</definedName>
    <definedName name="PermVarBen" localSheetId="0">'TAAA|0001-00'!$I$10</definedName>
    <definedName name="PermVarBen" localSheetId="1">'TAAA|0338-01'!$I$10</definedName>
    <definedName name="PermVarBen" localSheetId="2">'TAAA|0338-02'!$I$10</definedName>
    <definedName name="PermVarBen" localSheetId="4">'TAAB|0001-00'!$I$10</definedName>
    <definedName name="PermVarBen" localSheetId="5">'TAAB|0338-01'!$I$10</definedName>
    <definedName name="PermVarBen" localSheetId="6">'TAAB|0338-02'!$I$10</definedName>
    <definedName name="PermVarBen" localSheetId="8">'TAAC|0001-00'!$I$10</definedName>
    <definedName name="PermVarBen" localSheetId="9">'TAAC|0338-01'!$I$10</definedName>
    <definedName name="PermVarBen" localSheetId="10">'TAAC|0338-02'!$I$10</definedName>
    <definedName name="PermVarBen" localSheetId="11">'TAAD|0001-00'!$I$10</definedName>
    <definedName name="PermVarBen" localSheetId="7">'TAAF|0276-00'!$I$10</definedName>
    <definedName name="PermVarBen" localSheetId="3">'TAAI|0276-00'!$I$10</definedName>
    <definedName name="PermVarBen" localSheetId="12">'TACA|0001-00'!$I$10</definedName>
    <definedName name="PermVarBen" localSheetId="13">'TACA|0338-02'!$I$10</definedName>
    <definedName name="PermVarBen">'B6'!$I$10</definedName>
    <definedName name="PermVarBenChg" localSheetId="0">'TAAA|0001-00'!$M$10</definedName>
    <definedName name="PermVarBenChg" localSheetId="1">'TAAA|0338-01'!$M$10</definedName>
    <definedName name="PermVarBenChg" localSheetId="2">'TAAA|0338-02'!$M$10</definedName>
    <definedName name="PermVarBenChg" localSheetId="4">'TAAB|0001-00'!$M$10</definedName>
    <definedName name="PermVarBenChg" localSheetId="5">'TAAB|0338-01'!$M$10</definedName>
    <definedName name="PermVarBenChg" localSheetId="6">'TAAB|0338-02'!$M$10</definedName>
    <definedName name="PermVarBenChg" localSheetId="8">'TAAC|0001-00'!$M$10</definedName>
    <definedName name="PermVarBenChg" localSheetId="9">'TAAC|0338-01'!$M$10</definedName>
    <definedName name="PermVarBenChg" localSheetId="10">'TAAC|0338-02'!$M$10</definedName>
    <definedName name="PermVarBenChg" localSheetId="11">'TAAD|0001-00'!$M$10</definedName>
    <definedName name="PermVarBenChg" localSheetId="7">'TAAF|0276-00'!$M$10</definedName>
    <definedName name="PermVarBenChg" localSheetId="3">'TAAI|0276-00'!$M$10</definedName>
    <definedName name="PermVarBenChg" localSheetId="12">'TACA|0001-00'!$M$10</definedName>
    <definedName name="PermVarBenChg" localSheetId="13">'TACA|0338-02'!$M$10</definedName>
    <definedName name="PermVarBenChg">'B6'!$M$10</definedName>
    <definedName name="PermVB">Benefits!$C$12</definedName>
    <definedName name="PermVBBY">Benefits!$D$12</definedName>
    <definedName name="PermVBCHG">Benefits!$E$12</definedName>
    <definedName name="_xlnm.Print_Area" localSheetId="16">'B6'!$A$1:$N$81</definedName>
    <definedName name="_xlnm.Print_Area" localSheetId="15">Benefits!$A$1:$G$36</definedName>
    <definedName name="_xlnm.Print_Area" localSheetId="0">'TAAA|0001-00'!$A$1:$N$81</definedName>
    <definedName name="_xlnm.Print_Area" localSheetId="1">'TAAA|0338-01'!$A$1:$N$81</definedName>
    <definedName name="_xlnm.Print_Area" localSheetId="2">'TAAA|0338-02'!$A$1:$N$81</definedName>
    <definedName name="_xlnm.Print_Area" localSheetId="4">'TAAB|0001-00'!$A$1:$N$81</definedName>
    <definedName name="_xlnm.Print_Area" localSheetId="5">'TAAB|0338-01'!$A$1:$N$81</definedName>
    <definedName name="_xlnm.Print_Area" localSheetId="6">'TAAB|0338-02'!$A$1:$N$81</definedName>
    <definedName name="_xlnm.Print_Area" localSheetId="8">'TAAC|0001-00'!$A$1:$N$81</definedName>
    <definedName name="_xlnm.Print_Area" localSheetId="9">'TAAC|0338-01'!$A$1:$N$81</definedName>
    <definedName name="_xlnm.Print_Area" localSheetId="10">'TAAC|0338-02'!$A$1:$N$81</definedName>
    <definedName name="_xlnm.Print_Area" localSheetId="11">'TAAD|0001-00'!$A$1:$N$81</definedName>
    <definedName name="_xlnm.Print_Area" localSheetId="7">'TAAF|0276-00'!$A$1:$N$81</definedName>
    <definedName name="_xlnm.Print_Area" localSheetId="3">'TAAI|0276-00'!$A$1:$N$81</definedName>
    <definedName name="_xlnm.Print_Area" localSheetId="12">'TACA|0001-00'!$A$1:$N$81</definedName>
    <definedName name="_xlnm.Print_Area" localSheetId="13">'TACA|0338-02'!$A$1:$N$81</definedName>
    <definedName name="Prog_Unadjusted_Total" localSheetId="0">'TAAA|0001-00'!$C$8:$N$16</definedName>
    <definedName name="Prog_Unadjusted_Total" localSheetId="1">'TAAA|0338-01'!$C$8:$N$16</definedName>
    <definedName name="Prog_Unadjusted_Total" localSheetId="2">'TAAA|0338-02'!$C$8:$N$16</definedName>
    <definedName name="Prog_Unadjusted_Total" localSheetId="4">'TAAB|0001-00'!$C$8:$N$16</definedName>
    <definedName name="Prog_Unadjusted_Total" localSheetId="5">'TAAB|0338-01'!$C$8:$N$16</definedName>
    <definedName name="Prog_Unadjusted_Total" localSheetId="6">'TAAB|0338-02'!$C$8:$N$16</definedName>
    <definedName name="Prog_Unadjusted_Total" localSheetId="8">'TAAC|0001-00'!$C$8:$N$16</definedName>
    <definedName name="Prog_Unadjusted_Total" localSheetId="9">'TAAC|0338-01'!$C$8:$N$16</definedName>
    <definedName name="Prog_Unadjusted_Total" localSheetId="10">'TAAC|0338-02'!$C$8:$N$16</definedName>
    <definedName name="Prog_Unadjusted_Total" localSheetId="11">'TAAD|0001-00'!$C$8:$N$16</definedName>
    <definedName name="Prog_Unadjusted_Total" localSheetId="7">'TAAF|0276-00'!$C$8:$N$16</definedName>
    <definedName name="Prog_Unadjusted_Total" localSheetId="3">'TAAI|0276-00'!$C$8:$N$16</definedName>
    <definedName name="Prog_Unadjusted_Total" localSheetId="12">'TACA|0001-00'!$C$8:$N$16</definedName>
    <definedName name="Prog_Unadjusted_Total" localSheetId="13">'TACA|0338-02'!$C$8:$N$16</definedName>
    <definedName name="Prog_Unadjusted_Total">'B6'!$C$8:$N$16</definedName>
    <definedName name="Program" localSheetId="0">'TAAA|0001-00'!$D$3</definedName>
    <definedName name="Program" localSheetId="1">'TAAA|0338-01'!$D$3</definedName>
    <definedName name="Program" localSheetId="2">'TAAA|0338-02'!$D$3</definedName>
    <definedName name="Program" localSheetId="4">'TAAB|0001-00'!$D$3</definedName>
    <definedName name="Program" localSheetId="5">'TAAB|0338-01'!$D$3</definedName>
    <definedName name="Program" localSheetId="6">'TAAB|0338-02'!$D$3</definedName>
    <definedName name="Program" localSheetId="8">'TAAC|0001-00'!$D$3</definedName>
    <definedName name="Program" localSheetId="9">'TAAC|0338-01'!$D$3</definedName>
    <definedName name="Program" localSheetId="10">'TAAC|0338-02'!$D$3</definedName>
    <definedName name="Program" localSheetId="11">'TAAD|0001-00'!$D$3</definedName>
    <definedName name="Program" localSheetId="7">'TAAF|0276-00'!$D$3</definedName>
    <definedName name="Program" localSheetId="3">'TAAI|0276-00'!$D$3</definedName>
    <definedName name="Program" localSheetId="12">'TACA|0001-00'!$D$3</definedName>
    <definedName name="Program" localSheetId="13">'TACA|0338-02'!$D$3</definedName>
    <definedName name="Program">'B6'!$D$3</definedName>
    <definedName name="PTHealth">Benefits!$C$16</definedName>
    <definedName name="PTHealthBY">Benefits!$D$16</definedName>
    <definedName name="PTHealthChg">Benefits!$E$16</definedName>
    <definedName name="Retire1">Benefits!$C$20</definedName>
    <definedName name="Retire1BY">Benefits!$D$20</definedName>
    <definedName name="Retire1CHG">Benefits!$E$20</definedName>
    <definedName name="Retire2">Benefits!$C$21</definedName>
    <definedName name="Retire2BY">Benefits!$D$21</definedName>
    <definedName name="Retire2CHG">Benefits!$E$21</definedName>
    <definedName name="Retire4">Benefits!$C$22</definedName>
    <definedName name="Retire4BY">Benefits!$D$22</definedName>
    <definedName name="Retire4CHG">Benefits!$E$22</definedName>
    <definedName name="Retire5">Benefits!$C$23</definedName>
    <definedName name="Retire5BY">Benefits!$D$23</definedName>
    <definedName name="Retire5CHG">Benefits!$E$23</definedName>
    <definedName name="Retire6">Benefits!$C$24</definedName>
    <definedName name="Retire6BY">Benefits!$D$24</definedName>
    <definedName name="Retire6CHG">Benefits!$E$24</definedName>
    <definedName name="Retire7">Benefits!$C$25</definedName>
    <definedName name="Retire7BY">Benefits!$D$25</definedName>
    <definedName name="Retire7CHG">Benefits!$E$25</definedName>
    <definedName name="Retire8">Benefits!$C$26</definedName>
    <definedName name="Retire8BY">Benefits!$D$26</definedName>
    <definedName name="Retire8CHG">Benefits!$E$26</definedName>
    <definedName name="Retirement_Rates">Benefits!$A$19:$E$26</definedName>
    <definedName name="RoundedAppropSalary" localSheetId="0">'TAAA|0001-00'!$G$52</definedName>
    <definedName name="RoundedAppropSalary" localSheetId="1">'TAAA|0338-01'!$G$52</definedName>
    <definedName name="RoundedAppropSalary" localSheetId="2">'TAAA|0338-02'!$G$52</definedName>
    <definedName name="RoundedAppropSalary" localSheetId="4">'TAAB|0001-00'!$G$52</definedName>
    <definedName name="RoundedAppropSalary" localSheetId="5">'TAAB|0338-01'!$G$52</definedName>
    <definedName name="RoundedAppropSalary" localSheetId="6">'TAAB|0338-02'!$G$52</definedName>
    <definedName name="RoundedAppropSalary" localSheetId="8">'TAAC|0001-00'!$G$52</definedName>
    <definedName name="RoundedAppropSalary" localSheetId="9">'TAAC|0338-01'!$G$52</definedName>
    <definedName name="RoundedAppropSalary" localSheetId="10">'TAAC|0338-02'!$G$52</definedName>
    <definedName name="RoundedAppropSalary" localSheetId="11">'TAAD|0001-00'!$G$52</definedName>
    <definedName name="RoundedAppropSalary" localSheetId="7">'TAAF|0276-00'!$G$52</definedName>
    <definedName name="RoundedAppropSalary" localSheetId="3">'TAAI|0276-00'!$G$52</definedName>
    <definedName name="RoundedAppropSalary" localSheetId="12">'TACA|0001-00'!$G$52</definedName>
    <definedName name="RoundedAppropSalary" localSheetId="13">'TACA|0338-02'!$G$52</definedName>
    <definedName name="RoundedAppropSalary">'B6'!$G$52</definedName>
    <definedName name="SalaryChg" localSheetId="0">'TAAA|0001-00'!$K$10</definedName>
    <definedName name="SalaryChg" localSheetId="1">'TAAA|0338-01'!$K$10</definedName>
    <definedName name="SalaryChg" localSheetId="2">'TAAA|0338-02'!$K$10</definedName>
    <definedName name="SalaryChg" localSheetId="4">'TAAB|0001-00'!$K$10</definedName>
    <definedName name="SalaryChg" localSheetId="5">'TAAB|0338-01'!$K$10</definedName>
    <definedName name="SalaryChg" localSheetId="6">'TAAB|0338-02'!$K$10</definedName>
    <definedName name="SalaryChg" localSheetId="8">'TAAC|0001-00'!$K$10</definedName>
    <definedName name="SalaryChg" localSheetId="9">'TAAC|0338-01'!$K$10</definedName>
    <definedName name="SalaryChg" localSheetId="10">'TAAC|0338-02'!$K$10</definedName>
    <definedName name="SalaryChg" localSheetId="11">'TAAD|0001-00'!$K$10</definedName>
    <definedName name="SalaryChg" localSheetId="7">'TAAF|0276-00'!$K$10</definedName>
    <definedName name="SalaryChg" localSheetId="3">'TAAI|0276-00'!$K$10</definedName>
    <definedName name="SalaryChg" localSheetId="12">'TACA|0001-00'!$K$10</definedName>
    <definedName name="SalaryChg" localSheetId="13">'TACA|0338-02'!$K$10</definedName>
    <definedName name="SalaryChg">'B6'!$K$10</definedName>
    <definedName name="Sick">Benefits!$C$10</definedName>
    <definedName name="SickBY">Benefits!$D$10</definedName>
    <definedName name="SickCHG">Benefits!$E$10</definedName>
    <definedName name="SSDI">Benefits!$C$5</definedName>
    <definedName name="SSDIBY">Benefits!$D$5</definedName>
    <definedName name="SSDICHG">Benefits!$E$5</definedName>
    <definedName name="SSHI">Benefits!$C$6</definedName>
    <definedName name="SSHIBY">Benefits!$D$6</definedName>
    <definedName name="SSHICHG">Benefits!$E$6</definedName>
    <definedName name="SubCECBase" localSheetId="0">'TAAA|0001-00'!#REF!</definedName>
    <definedName name="SubCECBase" localSheetId="1">'TAAA|0338-01'!#REF!</definedName>
    <definedName name="SubCECBase" localSheetId="2">'TAAA|0338-02'!#REF!</definedName>
    <definedName name="SubCECBase" localSheetId="4">'TAAB|0001-00'!#REF!</definedName>
    <definedName name="SubCECBase" localSheetId="5">'TAAB|0338-01'!#REF!</definedName>
    <definedName name="SubCECBase" localSheetId="6">'TAAB|0338-02'!#REF!</definedName>
    <definedName name="SubCECBase" localSheetId="8">'TAAC|0001-00'!#REF!</definedName>
    <definedName name="SubCECBase" localSheetId="9">'TAAC|0338-01'!#REF!</definedName>
    <definedName name="SubCECBase" localSheetId="10">'TAAC|0338-02'!#REF!</definedName>
    <definedName name="SubCECBase" localSheetId="11">'TAAD|0001-00'!#REF!</definedName>
    <definedName name="SubCECBase" localSheetId="7">'TAAF|0276-00'!#REF!</definedName>
    <definedName name="SubCECBase" localSheetId="3">'TAAI|0276-00'!#REF!</definedName>
    <definedName name="SubCECBase" localSheetId="12">'TACA|0001-00'!#REF!</definedName>
    <definedName name="SubCECBase" localSheetId="13">'TACA|0338-02'!#REF!</definedName>
    <definedName name="SubCECBase">'B6'!#REF!</definedName>
    <definedName name="TAAA000100col_1_27TH_PP">Data!$BA$561</definedName>
    <definedName name="TAAA000100col_DHR">Data!$BI$561</definedName>
    <definedName name="TAAA000100col_DHR_BY">Data!$BU$561</definedName>
    <definedName name="TAAA000100col_DHR_CHG">Data!$CG$561</definedName>
    <definedName name="TAAA000100col_FTI_SALARY_ELECT">Data!$AZ$561</definedName>
    <definedName name="TAAA000100col_FTI_SALARY_PERM">Data!$AY$561</definedName>
    <definedName name="TAAA000100col_FTI_SALARY_SSDI">Data!$AX$561</definedName>
    <definedName name="TAAA000100col_Group_Ben">Data!$CM$561</definedName>
    <definedName name="TAAA000100col_Group_Salary">Data!$CL$561</definedName>
    <definedName name="TAAA000100col_HEALTH_ELECT">Data!$BC$561</definedName>
    <definedName name="TAAA000100col_HEALTH_ELECT_BY">Data!$BO$561</definedName>
    <definedName name="TAAA000100col_HEALTH_ELECT_CHG">Data!$CA$561</definedName>
    <definedName name="TAAA000100col_HEALTH_PERM">Data!$BB$561</definedName>
    <definedName name="TAAA000100col_HEALTH_PERM_BY">Data!$BN$561</definedName>
    <definedName name="TAAA000100col_HEALTH_PERM_CHG">Data!$BZ$561</definedName>
    <definedName name="TAAA000100col_INC_FTI">Data!$AS$561</definedName>
    <definedName name="TAAA000100col_LIFE_INS">Data!$BG$561</definedName>
    <definedName name="TAAA000100col_LIFE_INS_BY">Data!$BS$561</definedName>
    <definedName name="TAAA000100col_LIFE_INS_CHG">Data!$CE$561</definedName>
    <definedName name="TAAA000100col_RETIREMENT">Data!$BF$561</definedName>
    <definedName name="TAAA000100col_RETIREMENT_BY">Data!$BR$561</definedName>
    <definedName name="TAAA000100col_RETIREMENT_CHG">Data!$CD$561</definedName>
    <definedName name="TAAA000100col_ROWS_PER_PCN">Data!$AW$561</definedName>
    <definedName name="TAAA000100col_SICK">Data!$BK$561</definedName>
    <definedName name="TAAA000100col_SICK_BY">Data!$BW$561</definedName>
    <definedName name="TAAA000100col_SICK_CHG">Data!$CI$561</definedName>
    <definedName name="TAAA000100col_SSDI">Data!$BD$561</definedName>
    <definedName name="TAAA000100col_SSDI_BY">Data!$BP$561</definedName>
    <definedName name="TAAA000100col_SSDI_CHG">Data!$CB$561</definedName>
    <definedName name="TAAA000100col_SSHI">Data!$BE$561</definedName>
    <definedName name="TAAA000100col_SSHI_BY">Data!$BQ$561</definedName>
    <definedName name="TAAA000100col_SSHI_CHGv">Data!$CC$561</definedName>
    <definedName name="TAAA000100col_TOT_VB_ELECT">Data!$BM$561</definedName>
    <definedName name="TAAA000100col_TOT_VB_ELECT_BY">Data!$BY$561</definedName>
    <definedName name="TAAA000100col_TOT_VB_ELECT_CHG">Data!$CK$561</definedName>
    <definedName name="TAAA000100col_TOT_VB_PERM">Data!$BL$561</definedName>
    <definedName name="TAAA000100col_TOT_VB_PERM_BY">Data!$BX$561</definedName>
    <definedName name="TAAA000100col_TOT_VB_PERM_CHG">Data!$CJ$561</definedName>
    <definedName name="TAAA000100col_TOTAL_ELECT_PCN_FTI">Data!$AT$561</definedName>
    <definedName name="TAAA000100col_TOTAL_ELECT_PCN_FTI_ALT">Data!$AV$561</definedName>
    <definedName name="TAAA000100col_TOTAL_PERM_PCN_FTI">Data!$AU$561</definedName>
    <definedName name="TAAA000100col_UNEMP_INS">Data!$BH$561</definedName>
    <definedName name="TAAA000100col_UNEMP_INS_BY">Data!$BT$561</definedName>
    <definedName name="TAAA000100col_UNEMP_INS_CHG">Data!$CF$561</definedName>
    <definedName name="TAAA000100col_WORKERS_COMP">Data!$BJ$561</definedName>
    <definedName name="TAAA000100col_WORKERS_COMP_BY">Data!$BV$561</definedName>
    <definedName name="TAAA000100col_WORKERS_COMP_CHG">Data!$CH$561</definedName>
    <definedName name="TAAA033801col_1_27TH_PP">Data!$BA$563</definedName>
    <definedName name="TAAA033801col_DHR">Data!$BI$563</definedName>
    <definedName name="TAAA033801col_DHR_BY">Data!$BU$563</definedName>
    <definedName name="TAAA033801col_DHR_CHG">Data!$CG$563</definedName>
    <definedName name="TAAA033801col_FTI_SALARY_ELECT">Data!$AZ$563</definedName>
    <definedName name="TAAA033801col_FTI_SALARY_PERM">Data!$AY$563</definedName>
    <definedName name="TAAA033801col_FTI_SALARY_SSDI">Data!$AX$563</definedName>
    <definedName name="TAAA033801col_Group_Ben">Data!$CM$563</definedName>
    <definedName name="TAAA033801col_Group_Salary">Data!$CL$563</definedName>
    <definedName name="TAAA033801col_HEALTH_ELECT">Data!$BC$563</definedName>
    <definedName name="TAAA033801col_HEALTH_ELECT_BY">Data!$BO$563</definedName>
    <definedName name="TAAA033801col_HEALTH_ELECT_CHG">Data!$CA$563</definedName>
    <definedName name="TAAA033801col_HEALTH_PERM">Data!$BB$563</definedName>
    <definedName name="TAAA033801col_HEALTH_PERM_BY">Data!$BN$563</definedName>
    <definedName name="TAAA033801col_HEALTH_PERM_CHG">Data!$BZ$563</definedName>
    <definedName name="TAAA033801col_INC_FTI">Data!$AS$563</definedName>
    <definedName name="TAAA033801col_LIFE_INS">Data!$BG$563</definedName>
    <definedName name="TAAA033801col_LIFE_INS_BY">Data!$BS$563</definedName>
    <definedName name="TAAA033801col_LIFE_INS_CHG">Data!$CE$563</definedName>
    <definedName name="TAAA033801col_RETIREMENT">Data!$BF$563</definedName>
    <definedName name="TAAA033801col_RETIREMENT_BY">Data!$BR$563</definedName>
    <definedName name="TAAA033801col_RETIREMENT_CHG">Data!$CD$563</definedName>
    <definedName name="TAAA033801col_ROWS_PER_PCN">Data!$AW$563</definedName>
    <definedName name="TAAA033801col_SICK">Data!$BK$563</definedName>
    <definedName name="TAAA033801col_SICK_BY">Data!$BW$563</definedName>
    <definedName name="TAAA033801col_SICK_CHG">Data!$CI$563</definedName>
    <definedName name="TAAA033801col_SSDI">Data!$BD$563</definedName>
    <definedName name="TAAA033801col_SSDI_BY">Data!$BP$563</definedName>
    <definedName name="TAAA033801col_SSDI_CHG">Data!$CB$563</definedName>
    <definedName name="TAAA033801col_SSHI">Data!$BE$563</definedName>
    <definedName name="TAAA033801col_SSHI_BY">Data!$BQ$563</definedName>
    <definedName name="TAAA033801col_SSHI_CHGv">Data!$CC$563</definedName>
    <definedName name="TAAA033801col_TOT_VB_ELECT">Data!$BM$563</definedName>
    <definedName name="TAAA033801col_TOT_VB_ELECT_BY">Data!$BY$563</definedName>
    <definedName name="TAAA033801col_TOT_VB_ELECT_CHG">Data!$CK$563</definedName>
    <definedName name="TAAA033801col_TOT_VB_PERM">Data!$BL$563</definedName>
    <definedName name="TAAA033801col_TOT_VB_PERM_BY">Data!$BX$563</definedName>
    <definedName name="TAAA033801col_TOT_VB_PERM_CHG">Data!$CJ$563</definedName>
    <definedName name="TAAA033801col_TOTAL_ELECT_PCN_FTI">Data!$AT$563</definedName>
    <definedName name="TAAA033801col_TOTAL_ELECT_PCN_FTI_ALT">Data!$AV$563</definedName>
    <definedName name="TAAA033801col_TOTAL_PERM_PCN_FTI">Data!$AU$563</definedName>
    <definedName name="TAAA033801col_UNEMP_INS">Data!$BH$563</definedName>
    <definedName name="TAAA033801col_UNEMP_INS_BY">Data!$BT$563</definedName>
    <definedName name="TAAA033801col_UNEMP_INS_CHG">Data!$CF$563</definedName>
    <definedName name="TAAA033801col_WORKERS_COMP">Data!$BJ$563</definedName>
    <definedName name="TAAA033801col_WORKERS_COMP_BY">Data!$BV$563</definedName>
    <definedName name="TAAA033801col_WORKERS_COMP_CHG">Data!$CH$563</definedName>
    <definedName name="TAAA033802col_1_27TH_PP">Data!$BA$565</definedName>
    <definedName name="TAAA033802col_DHR">Data!$BI$565</definedName>
    <definedName name="TAAA033802col_DHR_BY">Data!$BU$565</definedName>
    <definedName name="TAAA033802col_DHR_CHG">Data!$CG$565</definedName>
    <definedName name="TAAA033802col_FTI_SALARY_ELECT">Data!$AZ$565</definedName>
    <definedName name="TAAA033802col_FTI_SALARY_PERM">Data!$AY$565</definedName>
    <definedName name="TAAA033802col_FTI_SALARY_SSDI">Data!$AX$565</definedName>
    <definedName name="TAAA033802col_Group_Ben">Data!$CM$565</definedName>
    <definedName name="TAAA033802col_Group_Salary">Data!$CL$565</definedName>
    <definedName name="TAAA033802col_HEALTH_ELECT">Data!$BC$565</definedName>
    <definedName name="TAAA033802col_HEALTH_ELECT_BY">Data!$BO$565</definedName>
    <definedName name="TAAA033802col_HEALTH_ELECT_CHG">Data!$CA$565</definedName>
    <definedName name="TAAA033802col_HEALTH_PERM">Data!$BB$565</definedName>
    <definedName name="TAAA033802col_HEALTH_PERM_BY">Data!$BN$565</definedName>
    <definedName name="TAAA033802col_HEALTH_PERM_CHG">Data!$BZ$565</definedName>
    <definedName name="TAAA033802col_INC_FTI">Data!$AS$565</definedName>
    <definedName name="TAAA033802col_LIFE_INS">Data!$BG$565</definedName>
    <definedName name="TAAA033802col_LIFE_INS_BY">Data!$BS$565</definedName>
    <definedName name="TAAA033802col_LIFE_INS_CHG">Data!$CE$565</definedName>
    <definedName name="TAAA033802col_RETIREMENT">Data!$BF$565</definedName>
    <definedName name="TAAA033802col_RETIREMENT_BY">Data!$BR$565</definedName>
    <definedName name="TAAA033802col_RETIREMENT_CHG">Data!$CD$565</definedName>
    <definedName name="TAAA033802col_ROWS_PER_PCN">Data!$AW$565</definedName>
    <definedName name="TAAA033802col_SICK">Data!$BK$565</definedName>
    <definedName name="TAAA033802col_SICK_BY">Data!$BW$565</definedName>
    <definedName name="TAAA033802col_SICK_CHG">Data!$CI$565</definedName>
    <definedName name="TAAA033802col_SSDI">Data!$BD$565</definedName>
    <definedName name="TAAA033802col_SSDI_BY">Data!$BP$565</definedName>
    <definedName name="TAAA033802col_SSDI_CHG">Data!$CB$565</definedName>
    <definedName name="TAAA033802col_SSHI">Data!$BE$565</definedName>
    <definedName name="TAAA033802col_SSHI_BY">Data!$BQ$565</definedName>
    <definedName name="TAAA033802col_SSHI_CHGv">Data!$CC$565</definedName>
    <definedName name="TAAA033802col_TOT_VB_ELECT">Data!$BM$565</definedName>
    <definedName name="TAAA033802col_TOT_VB_ELECT_BY">Data!$BY$565</definedName>
    <definedName name="TAAA033802col_TOT_VB_ELECT_CHG">Data!$CK$565</definedName>
    <definedName name="TAAA033802col_TOT_VB_PERM">Data!$BL$565</definedName>
    <definedName name="TAAA033802col_TOT_VB_PERM_BY">Data!$BX$565</definedName>
    <definedName name="TAAA033802col_TOT_VB_PERM_CHG">Data!$CJ$565</definedName>
    <definedName name="TAAA033802col_TOTAL_ELECT_PCN_FTI">Data!$AT$565</definedName>
    <definedName name="TAAA033802col_TOTAL_ELECT_PCN_FTI_ALT">Data!$AV$565</definedName>
    <definedName name="TAAA033802col_TOTAL_PERM_PCN_FTI">Data!$AU$565</definedName>
    <definedName name="TAAA033802col_UNEMP_INS">Data!$BH$565</definedName>
    <definedName name="TAAA033802col_UNEMP_INS_BY">Data!$BT$565</definedName>
    <definedName name="TAAA033802col_UNEMP_INS_CHG">Data!$CF$565</definedName>
    <definedName name="TAAA033802col_WORKERS_COMP">Data!$BJ$565</definedName>
    <definedName name="TAAA033802col_WORKERS_COMP_BY">Data!$BV$565</definedName>
    <definedName name="TAAA033802col_WORKERS_COMP_CHG">Data!$CH$565</definedName>
    <definedName name="TAAB000100col_1_27TH_PP">Data!$BA$567</definedName>
    <definedName name="TAAB000100col_DHR">Data!$BI$567</definedName>
    <definedName name="TAAB000100col_DHR_BY">Data!$BU$567</definedName>
    <definedName name="TAAB000100col_DHR_CHG">Data!$CG$567</definedName>
    <definedName name="TAAB000100col_FTI_SALARY_ELECT">Data!$AZ$567</definedName>
    <definedName name="TAAB000100col_FTI_SALARY_PERM">Data!$AY$567</definedName>
    <definedName name="TAAB000100col_FTI_SALARY_SSDI">Data!$AX$567</definedName>
    <definedName name="TAAB000100col_Group_Ben">Data!$CM$567</definedName>
    <definedName name="TAAB000100col_Group_Salary">Data!$CL$567</definedName>
    <definedName name="TAAB000100col_HEALTH_ELECT">Data!$BC$567</definedName>
    <definedName name="TAAB000100col_HEALTH_ELECT_BY">Data!$BO$567</definedName>
    <definedName name="TAAB000100col_HEALTH_ELECT_CHG">Data!$CA$567</definedName>
    <definedName name="TAAB000100col_HEALTH_PERM">Data!$BB$567</definedName>
    <definedName name="TAAB000100col_HEALTH_PERM_BY">Data!$BN$567</definedName>
    <definedName name="TAAB000100col_HEALTH_PERM_CHG">Data!$BZ$567</definedName>
    <definedName name="TAAB000100col_INC_FTI">Data!$AS$567</definedName>
    <definedName name="TAAB000100col_LIFE_INS">Data!$BG$567</definedName>
    <definedName name="TAAB000100col_LIFE_INS_BY">Data!$BS$567</definedName>
    <definedName name="TAAB000100col_LIFE_INS_CHG">Data!$CE$567</definedName>
    <definedName name="TAAB000100col_RETIREMENT">Data!$BF$567</definedName>
    <definedName name="TAAB000100col_RETIREMENT_BY">Data!$BR$567</definedName>
    <definedName name="TAAB000100col_RETIREMENT_CHG">Data!$CD$567</definedName>
    <definedName name="TAAB000100col_ROWS_PER_PCN">Data!$AW$567</definedName>
    <definedName name="TAAB000100col_SICK">Data!$BK$567</definedName>
    <definedName name="TAAB000100col_SICK_BY">Data!$BW$567</definedName>
    <definedName name="TAAB000100col_SICK_CHG">Data!$CI$567</definedName>
    <definedName name="TAAB000100col_SSDI">Data!$BD$567</definedName>
    <definedName name="TAAB000100col_SSDI_BY">Data!$BP$567</definedName>
    <definedName name="TAAB000100col_SSDI_CHG">Data!$CB$567</definedName>
    <definedName name="TAAB000100col_SSHI">Data!$BE$567</definedName>
    <definedName name="TAAB000100col_SSHI_BY">Data!$BQ$567</definedName>
    <definedName name="TAAB000100col_SSHI_CHGv">Data!$CC$567</definedName>
    <definedName name="TAAB000100col_TOT_VB_ELECT">Data!$BM$567</definedName>
    <definedName name="TAAB000100col_TOT_VB_ELECT_BY">Data!$BY$567</definedName>
    <definedName name="TAAB000100col_TOT_VB_ELECT_CHG">Data!$CK$567</definedName>
    <definedName name="TAAB000100col_TOT_VB_PERM">Data!$BL$567</definedName>
    <definedName name="TAAB000100col_TOT_VB_PERM_BY">Data!$BX$567</definedName>
    <definedName name="TAAB000100col_TOT_VB_PERM_CHG">Data!$CJ$567</definedName>
    <definedName name="TAAB000100col_TOTAL_ELECT_PCN_FTI">Data!$AT$567</definedName>
    <definedName name="TAAB000100col_TOTAL_ELECT_PCN_FTI_ALT">Data!$AV$567</definedName>
    <definedName name="TAAB000100col_TOTAL_PERM_PCN_FTI">Data!$AU$567</definedName>
    <definedName name="TAAB000100col_UNEMP_INS">Data!$BH$567</definedName>
    <definedName name="TAAB000100col_UNEMP_INS_BY">Data!$BT$567</definedName>
    <definedName name="TAAB000100col_UNEMP_INS_CHG">Data!$CF$567</definedName>
    <definedName name="TAAB000100col_WORKERS_COMP">Data!$BJ$567</definedName>
    <definedName name="TAAB000100col_WORKERS_COMP_BY">Data!$BV$567</definedName>
    <definedName name="TAAB000100col_WORKERS_COMP_CHG">Data!$CH$567</definedName>
    <definedName name="TAAB033801col_1_27TH_PP">Data!$BA$569</definedName>
    <definedName name="TAAB033801col_DHR">Data!$BI$569</definedName>
    <definedName name="TAAB033801col_DHR_BY">Data!$BU$569</definedName>
    <definedName name="TAAB033801col_DHR_CHG">Data!$CG$569</definedName>
    <definedName name="TAAB033801col_FTI_SALARY_ELECT">Data!$AZ$569</definedName>
    <definedName name="TAAB033801col_FTI_SALARY_PERM">Data!$AY$569</definedName>
    <definedName name="TAAB033801col_FTI_SALARY_SSDI">Data!$AX$569</definedName>
    <definedName name="TAAB033801col_Group_Ben">Data!$CM$569</definedName>
    <definedName name="TAAB033801col_Group_Salary">Data!$CL$569</definedName>
    <definedName name="TAAB033801col_HEALTH_ELECT">Data!$BC$569</definedName>
    <definedName name="TAAB033801col_HEALTH_ELECT_BY">Data!$BO$569</definedName>
    <definedName name="TAAB033801col_HEALTH_ELECT_CHG">Data!$CA$569</definedName>
    <definedName name="TAAB033801col_HEALTH_PERM">Data!$BB$569</definedName>
    <definedName name="TAAB033801col_HEALTH_PERM_BY">Data!$BN$569</definedName>
    <definedName name="TAAB033801col_HEALTH_PERM_CHG">Data!$BZ$569</definedName>
    <definedName name="TAAB033801col_INC_FTI">Data!$AS$569</definedName>
    <definedName name="TAAB033801col_LIFE_INS">Data!$BG$569</definedName>
    <definedName name="TAAB033801col_LIFE_INS_BY">Data!$BS$569</definedName>
    <definedName name="TAAB033801col_LIFE_INS_CHG">Data!$CE$569</definedName>
    <definedName name="TAAB033801col_RETIREMENT">Data!$BF$569</definedName>
    <definedName name="TAAB033801col_RETIREMENT_BY">Data!$BR$569</definedName>
    <definedName name="TAAB033801col_RETIREMENT_CHG">Data!$CD$569</definedName>
    <definedName name="TAAB033801col_ROWS_PER_PCN">Data!$AW$569</definedName>
    <definedName name="TAAB033801col_SICK">Data!$BK$569</definedName>
    <definedName name="TAAB033801col_SICK_BY">Data!$BW$569</definedName>
    <definedName name="TAAB033801col_SICK_CHG">Data!$CI$569</definedName>
    <definedName name="TAAB033801col_SSDI">Data!$BD$569</definedName>
    <definedName name="TAAB033801col_SSDI_BY">Data!$BP$569</definedName>
    <definedName name="TAAB033801col_SSDI_CHG">Data!$CB$569</definedName>
    <definedName name="TAAB033801col_SSHI">Data!$BE$569</definedName>
    <definedName name="TAAB033801col_SSHI_BY">Data!$BQ$569</definedName>
    <definedName name="TAAB033801col_SSHI_CHGv">Data!$CC$569</definedName>
    <definedName name="TAAB033801col_TOT_VB_ELECT">Data!$BM$569</definedName>
    <definedName name="TAAB033801col_TOT_VB_ELECT_BY">Data!$BY$569</definedName>
    <definedName name="TAAB033801col_TOT_VB_ELECT_CHG">Data!$CK$569</definedName>
    <definedName name="TAAB033801col_TOT_VB_PERM">Data!$BL$569</definedName>
    <definedName name="TAAB033801col_TOT_VB_PERM_BY">Data!$BX$569</definedName>
    <definedName name="TAAB033801col_TOT_VB_PERM_CHG">Data!$CJ$569</definedName>
    <definedName name="TAAB033801col_TOTAL_ELECT_PCN_FTI">Data!$AT$569</definedName>
    <definedName name="TAAB033801col_TOTAL_ELECT_PCN_FTI_ALT">Data!$AV$569</definedName>
    <definedName name="TAAB033801col_TOTAL_PERM_PCN_FTI">Data!$AU$569</definedName>
    <definedName name="TAAB033801col_UNEMP_INS">Data!$BH$569</definedName>
    <definedName name="TAAB033801col_UNEMP_INS_BY">Data!$BT$569</definedName>
    <definedName name="TAAB033801col_UNEMP_INS_CHG">Data!$CF$569</definedName>
    <definedName name="TAAB033801col_WORKERS_COMP">Data!$BJ$569</definedName>
    <definedName name="TAAB033801col_WORKERS_COMP_BY">Data!$BV$569</definedName>
    <definedName name="TAAB033801col_WORKERS_COMP_CHG">Data!$CH$569</definedName>
    <definedName name="TAAB033802col_1_27TH_PP">Data!$BA$571</definedName>
    <definedName name="TAAB033802col_DHR">Data!$BI$571</definedName>
    <definedName name="TAAB033802col_DHR_BY">Data!$BU$571</definedName>
    <definedName name="TAAB033802col_DHR_CHG">Data!$CG$571</definedName>
    <definedName name="TAAB033802col_FTI_SALARY_ELECT">Data!$AZ$571</definedName>
    <definedName name="TAAB033802col_FTI_SALARY_PERM">Data!$AY$571</definedName>
    <definedName name="TAAB033802col_FTI_SALARY_SSDI">Data!$AX$571</definedName>
    <definedName name="TAAB033802col_Group_Ben">Data!$CM$571</definedName>
    <definedName name="TAAB033802col_Group_Salary">Data!$CL$571</definedName>
    <definedName name="TAAB033802col_HEALTH_ELECT">Data!$BC$571</definedName>
    <definedName name="TAAB033802col_HEALTH_ELECT_BY">Data!$BO$571</definedName>
    <definedName name="TAAB033802col_HEALTH_ELECT_CHG">Data!$CA$571</definedName>
    <definedName name="TAAB033802col_HEALTH_PERM">Data!$BB$571</definedName>
    <definedName name="TAAB033802col_HEALTH_PERM_BY">Data!$BN$571</definedName>
    <definedName name="TAAB033802col_HEALTH_PERM_CHG">Data!$BZ$571</definedName>
    <definedName name="TAAB033802col_INC_FTI">Data!$AS$571</definedName>
    <definedName name="TAAB033802col_LIFE_INS">Data!$BG$571</definedName>
    <definedName name="TAAB033802col_LIFE_INS_BY">Data!$BS$571</definedName>
    <definedName name="TAAB033802col_LIFE_INS_CHG">Data!$CE$571</definedName>
    <definedName name="TAAB033802col_RETIREMENT">Data!$BF$571</definedName>
    <definedName name="TAAB033802col_RETIREMENT_BY">Data!$BR$571</definedName>
    <definedName name="TAAB033802col_RETIREMENT_CHG">Data!$CD$571</definedName>
    <definedName name="TAAB033802col_ROWS_PER_PCN">Data!$AW$571</definedName>
    <definedName name="TAAB033802col_SICK">Data!$BK$571</definedName>
    <definedName name="TAAB033802col_SICK_BY">Data!$BW$571</definedName>
    <definedName name="TAAB033802col_SICK_CHG">Data!$CI$571</definedName>
    <definedName name="TAAB033802col_SSDI">Data!$BD$571</definedName>
    <definedName name="TAAB033802col_SSDI_BY">Data!$BP$571</definedName>
    <definedName name="TAAB033802col_SSDI_CHG">Data!$CB$571</definedName>
    <definedName name="TAAB033802col_SSHI">Data!$BE$571</definedName>
    <definedName name="TAAB033802col_SSHI_BY">Data!$BQ$571</definedName>
    <definedName name="TAAB033802col_SSHI_CHGv">Data!$CC$571</definedName>
    <definedName name="TAAB033802col_TOT_VB_ELECT">Data!$BM$571</definedName>
    <definedName name="TAAB033802col_TOT_VB_ELECT_BY">Data!$BY$571</definedName>
    <definedName name="TAAB033802col_TOT_VB_ELECT_CHG">Data!$CK$571</definedName>
    <definedName name="TAAB033802col_TOT_VB_PERM">Data!$BL$571</definedName>
    <definedName name="TAAB033802col_TOT_VB_PERM_BY">Data!$BX$571</definedName>
    <definedName name="TAAB033802col_TOT_VB_PERM_CHG">Data!$CJ$571</definedName>
    <definedName name="TAAB033802col_TOTAL_ELECT_PCN_FTI">Data!$AT$571</definedName>
    <definedName name="TAAB033802col_TOTAL_ELECT_PCN_FTI_ALT">Data!$AV$571</definedName>
    <definedName name="TAAB033802col_TOTAL_PERM_PCN_FTI">Data!$AU$571</definedName>
    <definedName name="TAAB033802col_UNEMP_INS">Data!$BH$571</definedName>
    <definedName name="TAAB033802col_UNEMP_INS_BY">Data!$BT$571</definedName>
    <definedName name="TAAB033802col_UNEMP_INS_CHG">Data!$CF$571</definedName>
    <definedName name="TAAB033802col_WORKERS_COMP">Data!$BJ$571</definedName>
    <definedName name="TAAB033802col_WORKERS_COMP_BY">Data!$BV$571</definedName>
    <definedName name="TAAB033802col_WORKERS_COMP_CHG">Data!$CH$571</definedName>
    <definedName name="TAAC000100col_1_27TH_PP">Data!$BA$573</definedName>
    <definedName name="TAAC000100col_DHR">Data!$BI$573</definedName>
    <definedName name="TAAC000100col_DHR_BY">Data!$BU$573</definedName>
    <definedName name="TAAC000100col_DHR_CHG">Data!$CG$573</definedName>
    <definedName name="TAAC000100col_FTI_SALARY_ELECT">Data!$AZ$573</definedName>
    <definedName name="TAAC000100col_FTI_SALARY_PERM">Data!$AY$573</definedName>
    <definedName name="TAAC000100col_FTI_SALARY_SSDI">Data!$AX$573</definedName>
    <definedName name="TAAC000100col_Group_Ben">Data!$CM$573</definedName>
    <definedName name="TAAC000100col_Group_Salary">Data!$CL$573</definedName>
    <definedName name="TAAC000100col_HEALTH_ELECT">Data!$BC$573</definedName>
    <definedName name="TAAC000100col_HEALTH_ELECT_BY">Data!$BO$573</definedName>
    <definedName name="TAAC000100col_HEALTH_ELECT_CHG">Data!$CA$573</definedName>
    <definedName name="TAAC000100col_HEALTH_PERM">Data!$BB$573</definedName>
    <definedName name="TAAC000100col_HEALTH_PERM_BY">Data!$BN$573</definedName>
    <definedName name="TAAC000100col_HEALTH_PERM_CHG">Data!$BZ$573</definedName>
    <definedName name="TAAC000100col_INC_FTI">Data!$AS$573</definedName>
    <definedName name="TAAC000100col_LIFE_INS">Data!$BG$573</definedName>
    <definedName name="TAAC000100col_LIFE_INS_BY">Data!$BS$573</definedName>
    <definedName name="TAAC000100col_LIFE_INS_CHG">Data!$CE$573</definedName>
    <definedName name="TAAC000100col_RETIREMENT">Data!$BF$573</definedName>
    <definedName name="TAAC000100col_RETIREMENT_BY">Data!$BR$573</definedName>
    <definedName name="TAAC000100col_RETIREMENT_CHG">Data!$CD$573</definedName>
    <definedName name="TAAC000100col_ROWS_PER_PCN">Data!$AW$573</definedName>
    <definedName name="TAAC000100col_SICK">Data!$BK$573</definedName>
    <definedName name="TAAC000100col_SICK_BY">Data!$BW$573</definedName>
    <definedName name="TAAC000100col_SICK_CHG">Data!$CI$573</definedName>
    <definedName name="TAAC000100col_SSDI">Data!$BD$573</definedName>
    <definedName name="TAAC000100col_SSDI_BY">Data!$BP$573</definedName>
    <definedName name="TAAC000100col_SSDI_CHG">Data!$CB$573</definedName>
    <definedName name="TAAC000100col_SSHI">Data!$BE$573</definedName>
    <definedName name="TAAC000100col_SSHI_BY">Data!$BQ$573</definedName>
    <definedName name="TAAC000100col_SSHI_CHGv">Data!$CC$573</definedName>
    <definedName name="TAAC000100col_TOT_VB_ELECT">Data!$BM$573</definedName>
    <definedName name="TAAC000100col_TOT_VB_ELECT_BY">Data!$BY$573</definedName>
    <definedName name="TAAC000100col_TOT_VB_ELECT_CHG">Data!$CK$573</definedName>
    <definedName name="TAAC000100col_TOT_VB_PERM">Data!$BL$573</definedName>
    <definedName name="TAAC000100col_TOT_VB_PERM_BY">Data!$BX$573</definedName>
    <definedName name="TAAC000100col_TOT_VB_PERM_CHG">Data!$CJ$573</definedName>
    <definedName name="TAAC000100col_TOTAL_ELECT_PCN_FTI">Data!$AT$573</definedName>
    <definedName name="TAAC000100col_TOTAL_ELECT_PCN_FTI_ALT">Data!$AV$573</definedName>
    <definedName name="TAAC000100col_TOTAL_PERM_PCN_FTI">Data!$AU$573</definedName>
    <definedName name="TAAC000100col_UNEMP_INS">Data!$BH$573</definedName>
    <definedName name="TAAC000100col_UNEMP_INS_BY">Data!$BT$573</definedName>
    <definedName name="TAAC000100col_UNEMP_INS_CHG">Data!$CF$573</definedName>
    <definedName name="TAAC000100col_WORKERS_COMP">Data!$BJ$573</definedName>
    <definedName name="TAAC000100col_WORKERS_COMP_BY">Data!$BV$573</definedName>
    <definedName name="TAAC000100col_WORKERS_COMP_CHG">Data!$CH$573</definedName>
    <definedName name="TAAC033801col_1_27TH_PP">Data!$BA$575</definedName>
    <definedName name="TAAC033801col_DHR">Data!$BI$575</definedName>
    <definedName name="TAAC033801col_DHR_BY">Data!$BU$575</definedName>
    <definedName name="TAAC033801col_DHR_CHG">Data!$CG$575</definedName>
    <definedName name="TAAC033801col_FTI_SALARY_ELECT">Data!$AZ$575</definedName>
    <definedName name="TAAC033801col_FTI_SALARY_PERM">Data!$AY$575</definedName>
    <definedName name="TAAC033801col_FTI_SALARY_SSDI">Data!$AX$575</definedName>
    <definedName name="TAAC033801col_Group_Ben">Data!$CM$575</definedName>
    <definedName name="TAAC033801col_Group_Salary">Data!$CL$575</definedName>
    <definedName name="TAAC033801col_HEALTH_ELECT">Data!$BC$575</definedName>
    <definedName name="TAAC033801col_HEALTH_ELECT_BY">Data!$BO$575</definedName>
    <definedName name="TAAC033801col_HEALTH_ELECT_CHG">Data!$CA$575</definedName>
    <definedName name="TAAC033801col_HEALTH_PERM">Data!$BB$575</definedName>
    <definedName name="TAAC033801col_HEALTH_PERM_BY">Data!$BN$575</definedName>
    <definedName name="TAAC033801col_HEALTH_PERM_CHG">Data!$BZ$575</definedName>
    <definedName name="TAAC033801col_INC_FTI">Data!$AS$575</definedName>
    <definedName name="TAAC033801col_LIFE_INS">Data!$BG$575</definedName>
    <definedName name="TAAC033801col_LIFE_INS_BY">Data!$BS$575</definedName>
    <definedName name="TAAC033801col_LIFE_INS_CHG">Data!$CE$575</definedName>
    <definedName name="TAAC033801col_RETIREMENT">Data!$BF$575</definedName>
    <definedName name="TAAC033801col_RETIREMENT_BY">Data!$BR$575</definedName>
    <definedName name="TAAC033801col_RETIREMENT_CHG">Data!$CD$575</definedName>
    <definedName name="TAAC033801col_ROWS_PER_PCN">Data!$AW$575</definedName>
    <definedName name="TAAC033801col_SICK">Data!$BK$575</definedName>
    <definedName name="TAAC033801col_SICK_BY">Data!$BW$575</definedName>
    <definedName name="TAAC033801col_SICK_CHG">Data!$CI$575</definedName>
    <definedName name="TAAC033801col_SSDI">Data!$BD$575</definedName>
    <definedName name="TAAC033801col_SSDI_BY">Data!$BP$575</definedName>
    <definedName name="TAAC033801col_SSDI_CHG">Data!$CB$575</definedName>
    <definedName name="TAAC033801col_SSHI">Data!$BE$575</definedName>
    <definedName name="TAAC033801col_SSHI_BY">Data!$BQ$575</definedName>
    <definedName name="TAAC033801col_SSHI_CHGv">Data!$CC$575</definedName>
    <definedName name="TAAC033801col_TOT_VB_ELECT">Data!$BM$575</definedName>
    <definedName name="TAAC033801col_TOT_VB_ELECT_BY">Data!$BY$575</definedName>
    <definedName name="TAAC033801col_TOT_VB_ELECT_CHG">Data!$CK$575</definedName>
    <definedName name="TAAC033801col_TOT_VB_PERM">Data!$BL$575</definedName>
    <definedName name="TAAC033801col_TOT_VB_PERM_BY">Data!$BX$575</definedName>
    <definedName name="TAAC033801col_TOT_VB_PERM_CHG">Data!$CJ$575</definedName>
    <definedName name="TAAC033801col_TOTAL_ELECT_PCN_FTI">Data!$AT$575</definedName>
    <definedName name="TAAC033801col_TOTAL_ELECT_PCN_FTI_ALT">Data!$AV$575</definedName>
    <definedName name="TAAC033801col_TOTAL_PERM_PCN_FTI">Data!$AU$575</definedName>
    <definedName name="TAAC033801col_UNEMP_INS">Data!$BH$575</definedName>
    <definedName name="TAAC033801col_UNEMP_INS_BY">Data!$BT$575</definedName>
    <definedName name="TAAC033801col_UNEMP_INS_CHG">Data!$CF$575</definedName>
    <definedName name="TAAC033801col_WORKERS_COMP">Data!$BJ$575</definedName>
    <definedName name="TAAC033801col_WORKERS_COMP_BY">Data!$BV$575</definedName>
    <definedName name="TAAC033801col_WORKERS_COMP_CHG">Data!$CH$575</definedName>
    <definedName name="TAAC033802col_1_27TH_PP">Data!$BA$577</definedName>
    <definedName name="TAAC033802col_DHR">Data!$BI$577</definedName>
    <definedName name="TAAC033802col_DHR_BY">Data!$BU$577</definedName>
    <definedName name="TAAC033802col_DHR_CHG">Data!$CG$577</definedName>
    <definedName name="TAAC033802col_FTI_SALARY_ELECT">Data!$AZ$577</definedName>
    <definedName name="TAAC033802col_FTI_SALARY_PERM">Data!$AY$577</definedName>
    <definedName name="TAAC033802col_FTI_SALARY_SSDI">Data!$AX$577</definedName>
    <definedName name="TAAC033802col_Group_Ben">Data!$CM$577</definedName>
    <definedName name="TAAC033802col_Group_Salary">Data!$CL$577</definedName>
    <definedName name="TAAC033802col_HEALTH_ELECT">Data!$BC$577</definedName>
    <definedName name="TAAC033802col_HEALTH_ELECT_BY">Data!$BO$577</definedName>
    <definedName name="TAAC033802col_HEALTH_ELECT_CHG">Data!$CA$577</definedName>
    <definedName name="TAAC033802col_HEALTH_PERM">Data!$BB$577</definedName>
    <definedName name="TAAC033802col_HEALTH_PERM_BY">Data!$BN$577</definedName>
    <definedName name="TAAC033802col_HEALTH_PERM_CHG">Data!$BZ$577</definedName>
    <definedName name="TAAC033802col_INC_FTI">Data!$AS$577</definedName>
    <definedName name="TAAC033802col_LIFE_INS">Data!$BG$577</definedName>
    <definedName name="TAAC033802col_LIFE_INS_BY">Data!$BS$577</definedName>
    <definedName name="TAAC033802col_LIFE_INS_CHG">Data!$CE$577</definedName>
    <definedName name="TAAC033802col_RETIREMENT">Data!$BF$577</definedName>
    <definedName name="TAAC033802col_RETIREMENT_BY">Data!$BR$577</definedName>
    <definedName name="TAAC033802col_RETIREMENT_CHG">Data!$CD$577</definedName>
    <definedName name="TAAC033802col_ROWS_PER_PCN">Data!$AW$577</definedName>
    <definedName name="TAAC033802col_SICK">Data!$BK$577</definedName>
    <definedName name="TAAC033802col_SICK_BY">Data!$BW$577</definedName>
    <definedName name="TAAC033802col_SICK_CHG">Data!$CI$577</definedName>
    <definedName name="TAAC033802col_SSDI">Data!$BD$577</definedName>
    <definedName name="TAAC033802col_SSDI_BY">Data!$BP$577</definedName>
    <definedName name="TAAC033802col_SSDI_CHG">Data!$CB$577</definedName>
    <definedName name="TAAC033802col_SSHI">Data!$BE$577</definedName>
    <definedName name="TAAC033802col_SSHI_BY">Data!$BQ$577</definedName>
    <definedName name="TAAC033802col_SSHI_CHGv">Data!$CC$577</definedName>
    <definedName name="TAAC033802col_TOT_VB_ELECT">Data!$BM$577</definedName>
    <definedName name="TAAC033802col_TOT_VB_ELECT_BY">Data!$BY$577</definedName>
    <definedName name="TAAC033802col_TOT_VB_ELECT_CHG">Data!$CK$577</definedName>
    <definedName name="TAAC033802col_TOT_VB_PERM">Data!$BL$577</definedName>
    <definedName name="TAAC033802col_TOT_VB_PERM_BY">Data!$BX$577</definedName>
    <definedName name="TAAC033802col_TOT_VB_PERM_CHG">Data!$CJ$577</definedName>
    <definedName name="TAAC033802col_TOTAL_ELECT_PCN_FTI">Data!$AT$577</definedName>
    <definedName name="TAAC033802col_TOTAL_ELECT_PCN_FTI_ALT">Data!$AV$577</definedName>
    <definedName name="TAAC033802col_TOTAL_PERM_PCN_FTI">Data!$AU$577</definedName>
    <definedName name="TAAC033802col_UNEMP_INS">Data!$BH$577</definedName>
    <definedName name="TAAC033802col_UNEMP_INS_BY">Data!$BT$577</definedName>
    <definedName name="TAAC033802col_UNEMP_INS_CHG">Data!$CF$577</definedName>
    <definedName name="TAAC033802col_WORKERS_COMP">Data!$BJ$577</definedName>
    <definedName name="TAAC033802col_WORKERS_COMP_BY">Data!$BV$577</definedName>
    <definedName name="TAAC033802col_WORKERS_COMP_CHG">Data!$CH$577</definedName>
    <definedName name="TAAD000100col_1_27TH_PP">Data!$BA$579</definedName>
    <definedName name="TAAD000100col_DHR">Data!$BI$579</definedName>
    <definedName name="TAAD000100col_DHR_BY">Data!$BU$579</definedName>
    <definedName name="TAAD000100col_DHR_CHG">Data!$CG$579</definedName>
    <definedName name="TAAD000100col_FTI_SALARY_ELECT">Data!$AZ$579</definedName>
    <definedName name="TAAD000100col_FTI_SALARY_PERM">Data!$AY$579</definedName>
    <definedName name="TAAD000100col_FTI_SALARY_SSDI">Data!$AX$579</definedName>
    <definedName name="TAAD000100col_Group_Ben">Data!$CM$579</definedName>
    <definedName name="TAAD000100col_Group_Salary">Data!$CL$579</definedName>
    <definedName name="TAAD000100col_HEALTH_ELECT">Data!$BC$579</definedName>
    <definedName name="TAAD000100col_HEALTH_ELECT_BY">Data!$BO$579</definedName>
    <definedName name="TAAD000100col_HEALTH_ELECT_CHG">Data!$CA$579</definedName>
    <definedName name="TAAD000100col_HEALTH_PERM">Data!$BB$579</definedName>
    <definedName name="TAAD000100col_HEALTH_PERM_BY">Data!$BN$579</definedName>
    <definedName name="TAAD000100col_HEALTH_PERM_CHG">Data!$BZ$579</definedName>
    <definedName name="TAAD000100col_INC_FTI">Data!$AS$579</definedName>
    <definedName name="TAAD000100col_LIFE_INS">Data!$BG$579</definedName>
    <definedName name="TAAD000100col_LIFE_INS_BY">Data!$BS$579</definedName>
    <definedName name="TAAD000100col_LIFE_INS_CHG">Data!$CE$579</definedName>
    <definedName name="TAAD000100col_RETIREMENT">Data!$BF$579</definedName>
    <definedName name="TAAD000100col_RETIREMENT_BY">Data!$BR$579</definedName>
    <definedName name="TAAD000100col_RETIREMENT_CHG">Data!$CD$579</definedName>
    <definedName name="TAAD000100col_ROWS_PER_PCN">Data!$AW$579</definedName>
    <definedName name="TAAD000100col_SICK">Data!$BK$579</definedName>
    <definedName name="TAAD000100col_SICK_BY">Data!$BW$579</definedName>
    <definedName name="TAAD000100col_SICK_CHG">Data!$CI$579</definedName>
    <definedName name="TAAD000100col_SSDI">Data!$BD$579</definedName>
    <definedName name="TAAD000100col_SSDI_BY">Data!$BP$579</definedName>
    <definedName name="TAAD000100col_SSDI_CHG">Data!$CB$579</definedName>
    <definedName name="TAAD000100col_SSHI">Data!$BE$579</definedName>
    <definedName name="TAAD000100col_SSHI_BY">Data!$BQ$579</definedName>
    <definedName name="TAAD000100col_SSHI_CHGv">Data!$CC$579</definedName>
    <definedName name="TAAD000100col_TOT_VB_ELECT">Data!$BM$579</definedName>
    <definedName name="TAAD000100col_TOT_VB_ELECT_BY">Data!$BY$579</definedName>
    <definedName name="TAAD000100col_TOT_VB_ELECT_CHG">Data!$CK$579</definedName>
    <definedName name="TAAD000100col_TOT_VB_PERM">Data!$BL$579</definedName>
    <definedName name="TAAD000100col_TOT_VB_PERM_BY">Data!$BX$579</definedName>
    <definedName name="TAAD000100col_TOT_VB_PERM_CHG">Data!$CJ$579</definedName>
    <definedName name="TAAD000100col_TOTAL_ELECT_PCN_FTI">Data!$AT$579</definedName>
    <definedName name="TAAD000100col_TOTAL_ELECT_PCN_FTI_ALT">Data!$AV$579</definedName>
    <definedName name="TAAD000100col_TOTAL_PERM_PCN_FTI">Data!$AU$579</definedName>
    <definedName name="TAAD000100col_UNEMP_INS">Data!$BH$579</definedName>
    <definedName name="TAAD000100col_UNEMP_INS_BY">Data!$BT$579</definedName>
    <definedName name="TAAD000100col_UNEMP_INS_CHG">Data!$CF$579</definedName>
    <definedName name="TAAD000100col_WORKERS_COMP">Data!$BJ$579</definedName>
    <definedName name="TAAD000100col_WORKERS_COMP_BY">Data!$BV$579</definedName>
    <definedName name="TAAD000100col_WORKERS_COMP_CHG">Data!$CH$579</definedName>
    <definedName name="TAAF027600col_1_27TH_PP">Data!$BA$581</definedName>
    <definedName name="TAAF027600col_DHR">Data!$BI$581</definedName>
    <definedName name="TAAF027600col_DHR_BY">Data!$BU$581</definedName>
    <definedName name="TAAF027600col_DHR_CHG">Data!$CG$581</definedName>
    <definedName name="TAAF027600col_FTI_SALARY_ELECT">Data!$AZ$581</definedName>
    <definedName name="TAAF027600col_FTI_SALARY_PERM">Data!$AY$581</definedName>
    <definedName name="TAAF027600col_FTI_SALARY_SSDI">Data!$AX$581</definedName>
    <definedName name="TAAF027600col_Group_Ben">Data!$CM$581</definedName>
    <definedName name="TAAF027600col_Group_Salary">Data!$CL$581</definedName>
    <definedName name="TAAF027600col_HEALTH_ELECT">Data!$BC$581</definedName>
    <definedName name="TAAF027600col_HEALTH_ELECT_BY">Data!$BO$581</definedName>
    <definedName name="TAAF027600col_HEALTH_ELECT_CHG">Data!$CA$581</definedName>
    <definedName name="TAAF027600col_HEALTH_PERM">Data!$BB$581</definedName>
    <definedName name="TAAF027600col_HEALTH_PERM_BY">Data!$BN$581</definedName>
    <definedName name="TAAF027600col_HEALTH_PERM_CHG">Data!$BZ$581</definedName>
    <definedName name="TAAF027600col_INC_FTI">Data!$AS$581</definedName>
    <definedName name="TAAF027600col_LIFE_INS">Data!$BG$581</definedName>
    <definedName name="TAAF027600col_LIFE_INS_BY">Data!$BS$581</definedName>
    <definedName name="TAAF027600col_LIFE_INS_CHG">Data!$CE$581</definedName>
    <definedName name="TAAF027600col_RETIREMENT">Data!$BF$581</definedName>
    <definedName name="TAAF027600col_RETIREMENT_BY">Data!$BR$581</definedName>
    <definedName name="TAAF027600col_RETIREMENT_CHG">Data!$CD$581</definedName>
    <definedName name="TAAF027600col_ROWS_PER_PCN">Data!$AW$581</definedName>
    <definedName name="TAAF027600col_SICK">Data!$BK$581</definedName>
    <definedName name="TAAF027600col_SICK_BY">Data!$BW$581</definedName>
    <definedName name="TAAF027600col_SICK_CHG">Data!$CI$581</definedName>
    <definedName name="TAAF027600col_SSDI">Data!$BD$581</definedName>
    <definedName name="TAAF027600col_SSDI_BY">Data!$BP$581</definedName>
    <definedName name="TAAF027600col_SSDI_CHG">Data!$CB$581</definedName>
    <definedName name="TAAF027600col_SSHI">Data!$BE$581</definedName>
    <definedName name="TAAF027600col_SSHI_BY">Data!$BQ$581</definedName>
    <definedName name="TAAF027600col_SSHI_CHGv">Data!$CC$581</definedName>
    <definedName name="TAAF027600col_TOT_VB_ELECT">Data!$BM$581</definedName>
    <definedName name="TAAF027600col_TOT_VB_ELECT_BY">Data!$BY$581</definedName>
    <definedName name="TAAF027600col_TOT_VB_ELECT_CHG">Data!$CK$581</definedName>
    <definedName name="TAAF027600col_TOT_VB_PERM">Data!$BL$581</definedName>
    <definedName name="TAAF027600col_TOT_VB_PERM_BY">Data!$BX$581</definedName>
    <definedName name="TAAF027600col_TOT_VB_PERM_CHG">Data!$CJ$581</definedName>
    <definedName name="TAAF027600col_TOTAL_ELECT_PCN_FTI">Data!$AT$581</definedName>
    <definedName name="TAAF027600col_TOTAL_ELECT_PCN_FTI_ALT">Data!$AV$581</definedName>
    <definedName name="TAAF027600col_TOTAL_PERM_PCN_FTI">Data!$AU$581</definedName>
    <definedName name="TAAF027600col_UNEMP_INS">Data!$BH$581</definedName>
    <definedName name="TAAF027600col_UNEMP_INS_BY">Data!$BT$581</definedName>
    <definedName name="TAAF027600col_UNEMP_INS_CHG">Data!$CF$581</definedName>
    <definedName name="TAAF027600col_WORKERS_COMP">Data!$BJ$581</definedName>
    <definedName name="TAAF027600col_WORKERS_COMP_BY">Data!$BV$581</definedName>
    <definedName name="TAAF027600col_WORKERS_COMP_CHG">Data!$CH$581</definedName>
    <definedName name="TAAI027600col_1_27TH_PP">Data!$BA$583</definedName>
    <definedName name="TAAI027600col_DHR">Data!$BI$583</definedName>
    <definedName name="TAAI027600col_DHR_BY">Data!$BU$583</definedName>
    <definedName name="TAAI027600col_DHR_CHG">Data!$CG$583</definedName>
    <definedName name="TAAI027600col_FTI_SALARY_ELECT">Data!$AZ$583</definedName>
    <definedName name="TAAI027600col_FTI_SALARY_PERM">Data!$AY$583</definedName>
    <definedName name="TAAI027600col_FTI_SALARY_SSDI">Data!$AX$583</definedName>
    <definedName name="TAAI027600col_Group_Ben">Data!$CM$583</definedName>
    <definedName name="TAAI027600col_Group_Salary">Data!$CL$583</definedName>
    <definedName name="TAAI027600col_HEALTH_ELECT">Data!$BC$583</definedName>
    <definedName name="TAAI027600col_HEALTH_ELECT_BY">Data!$BO$583</definedName>
    <definedName name="TAAI027600col_HEALTH_ELECT_CHG">Data!$CA$583</definedName>
    <definedName name="TAAI027600col_HEALTH_PERM">Data!$BB$583</definedName>
    <definedName name="TAAI027600col_HEALTH_PERM_BY">Data!$BN$583</definedName>
    <definedName name="TAAI027600col_HEALTH_PERM_CHG">Data!$BZ$583</definedName>
    <definedName name="TAAI027600col_INC_FTI">Data!$AS$583</definedName>
    <definedName name="TAAI027600col_LIFE_INS">Data!$BG$583</definedName>
    <definedName name="TAAI027600col_LIFE_INS_BY">Data!$BS$583</definedName>
    <definedName name="TAAI027600col_LIFE_INS_CHG">Data!$CE$583</definedName>
    <definedName name="TAAI027600col_RETIREMENT">Data!$BF$583</definedName>
    <definedName name="TAAI027600col_RETIREMENT_BY">Data!$BR$583</definedName>
    <definedName name="TAAI027600col_RETIREMENT_CHG">Data!$CD$583</definedName>
    <definedName name="TAAI027600col_ROWS_PER_PCN">Data!$AW$583</definedName>
    <definedName name="TAAI027600col_SICK">Data!$BK$583</definedName>
    <definedName name="TAAI027600col_SICK_BY">Data!$BW$583</definedName>
    <definedName name="TAAI027600col_SICK_CHG">Data!$CI$583</definedName>
    <definedName name="TAAI027600col_SSDI">Data!$BD$583</definedName>
    <definedName name="TAAI027600col_SSDI_BY">Data!$BP$583</definedName>
    <definedName name="TAAI027600col_SSDI_CHG">Data!$CB$583</definedName>
    <definedName name="TAAI027600col_SSHI">Data!$BE$583</definedName>
    <definedName name="TAAI027600col_SSHI_BY">Data!$BQ$583</definedName>
    <definedName name="TAAI027600col_SSHI_CHGv">Data!$CC$583</definedName>
    <definedName name="TAAI027600col_TOT_VB_ELECT">Data!$BM$583</definedName>
    <definedName name="TAAI027600col_TOT_VB_ELECT_BY">Data!$BY$583</definedName>
    <definedName name="TAAI027600col_TOT_VB_ELECT_CHG">Data!$CK$583</definedName>
    <definedName name="TAAI027600col_TOT_VB_PERM">Data!$BL$583</definedName>
    <definedName name="TAAI027600col_TOT_VB_PERM_BY">Data!$BX$583</definedName>
    <definedName name="TAAI027600col_TOT_VB_PERM_CHG">Data!$CJ$583</definedName>
    <definedName name="TAAI027600col_TOTAL_ELECT_PCN_FTI">Data!$AT$583</definedName>
    <definedName name="TAAI027600col_TOTAL_ELECT_PCN_FTI_ALT">Data!$AV$583</definedName>
    <definedName name="TAAI027600col_TOTAL_PERM_PCN_FTI">Data!$AU$583</definedName>
    <definedName name="TAAI027600col_UNEMP_INS">Data!$BH$583</definedName>
    <definedName name="TAAI027600col_UNEMP_INS_BY">Data!$BT$583</definedName>
    <definedName name="TAAI027600col_UNEMP_INS_CHG">Data!$CF$583</definedName>
    <definedName name="TAAI027600col_WORKERS_COMP">Data!$BJ$583</definedName>
    <definedName name="TAAI027600col_WORKERS_COMP_BY">Data!$BV$583</definedName>
    <definedName name="TAAI027600col_WORKERS_COMP_CHG">Data!$CH$583</definedName>
    <definedName name="TACA000100col_1_27TH_PP">Data!$BA$585</definedName>
    <definedName name="TACA000100col_DHR">Data!$BI$585</definedName>
    <definedName name="TACA000100col_DHR_BY">Data!$BU$585</definedName>
    <definedName name="TACA000100col_DHR_CHG">Data!$CG$585</definedName>
    <definedName name="TACA000100col_FTI_SALARY_ELECT">Data!$AZ$585</definedName>
    <definedName name="TACA000100col_FTI_SALARY_PERM">Data!$AY$585</definedName>
    <definedName name="TACA000100col_FTI_SALARY_SSDI">Data!$AX$585</definedName>
    <definedName name="TACA000100col_Group_Ben">Data!$CM$585</definedName>
    <definedName name="TACA000100col_Group_Salary">Data!$CL$585</definedName>
    <definedName name="TACA000100col_HEALTH_ELECT">Data!$BC$585</definedName>
    <definedName name="TACA000100col_HEALTH_ELECT_BY">Data!$BO$585</definedName>
    <definedName name="TACA000100col_HEALTH_ELECT_CHG">Data!$CA$585</definedName>
    <definedName name="TACA000100col_HEALTH_PERM">Data!$BB$585</definedName>
    <definedName name="TACA000100col_HEALTH_PERM_BY">Data!$BN$585</definedName>
    <definedName name="TACA000100col_HEALTH_PERM_CHG">Data!$BZ$585</definedName>
    <definedName name="TACA000100col_INC_FTI">Data!$AS$585</definedName>
    <definedName name="TACA000100col_LIFE_INS">Data!$BG$585</definedName>
    <definedName name="TACA000100col_LIFE_INS_BY">Data!$BS$585</definedName>
    <definedName name="TACA000100col_LIFE_INS_CHG">Data!$CE$585</definedName>
    <definedName name="TACA000100col_RETIREMENT">Data!$BF$585</definedName>
    <definedName name="TACA000100col_RETIREMENT_BY">Data!$BR$585</definedName>
    <definedName name="TACA000100col_RETIREMENT_CHG">Data!$CD$585</definedName>
    <definedName name="TACA000100col_ROWS_PER_PCN">Data!$AW$585</definedName>
    <definedName name="TACA000100col_SICK">Data!$BK$585</definedName>
    <definedName name="TACA000100col_SICK_BY">Data!$BW$585</definedName>
    <definedName name="TACA000100col_SICK_CHG">Data!$CI$585</definedName>
    <definedName name="TACA000100col_SSDI">Data!$BD$585</definedName>
    <definedName name="TACA000100col_SSDI_BY">Data!$BP$585</definedName>
    <definedName name="TACA000100col_SSDI_CHG">Data!$CB$585</definedName>
    <definedName name="TACA000100col_SSHI">Data!$BE$585</definedName>
    <definedName name="TACA000100col_SSHI_BY">Data!$BQ$585</definedName>
    <definedName name="TACA000100col_SSHI_CHGv">Data!$CC$585</definedName>
    <definedName name="TACA000100col_TOT_VB_ELECT">Data!$BM$585</definedName>
    <definedName name="TACA000100col_TOT_VB_ELECT_BY">Data!$BY$585</definedName>
    <definedName name="TACA000100col_TOT_VB_ELECT_CHG">Data!$CK$585</definedName>
    <definedName name="TACA000100col_TOT_VB_PERM">Data!$BL$585</definedName>
    <definedName name="TACA000100col_TOT_VB_PERM_BY">Data!$BX$585</definedName>
    <definedName name="TACA000100col_TOT_VB_PERM_CHG">Data!$CJ$585</definedName>
    <definedName name="TACA000100col_TOTAL_ELECT_PCN_FTI">Data!$AT$585</definedName>
    <definedName name="TACA000100col_TOTAL_ELECT_PCN_FTI_ALT">Data!$AV$585</definedName>
    <definedName name="TACA000100col_TOTAL_PERM_PCN_FTI">Data!$AU$585</definedName>
    <definedName name="TACA000100col_UNEMP_INS">Data!$BH$585</definedName>
    <definedName name="TACA000100col_UNEMP_INS_BY">Data!$BT$585</definedName>
    <definedName name="TACA000100col_UNEMP_INS_CHG">Data!$CF$585</definedName>
    <definedName name="TACA000100col_WORKERS_COMP">Data!$BJ$585</definedName>
    <definedName name="TACA000100col_WORKERS_COMP_BY">Data!$BV$585</definedName>
    <definedName name="TACA000100col_WORKERS_COMP_CHG">Data!$CH$585</definedName>
    <definedName name="TACA033802col_1_27TH_PP">Data!$BA$587</definedName>
    <definedName name="TACA033802col_DHR">Data!$BI$587</definedName>
    <definedName name="TACA033802col_DHR_BY">Data!$BU$587</definedName>
    <definedName name="TACA033802col_DHR_CHG">Data!$CG$587</definedName>
    <definedName name="TACA033802col_FTI_SALARY_ELECT">Data!$AZ$587</definedName>
    <definedName name="TACA033802col_FTI_SALARY_PERM">Data!$AY$587</definedName>
    <definedName name="TACA033802col_FTI_SALARY_SSDI">Data!$AX$587</definedName>
    <definedName name="TACA033802col_Group_Ben">Data!$CM$587</definedName>
    <definedName name="TACA033802col_Group_Salary">Data!$CL$587</definedName>
    <definedName name="TACA033802col_HEALTH_ELECT">Data!$BC$587</definedName>
    <definedName name="TACA033802col_HEALTH_ELECT_BY">Data!$BO$587</definedName>
    <definedName name="TACA033802col_HEALTH_ELECT_CHG">Data!$CA$587</definedName>
    <definedName name="TACA033802col_HEALTH_PERM">Data!$BB$587</definedName>
    <definedName name="TACA033802col_HEALTH_PERM_BY">Data!$BN$587</definedName>
    <definedName name="TACA033802col_HEALTH_PERM_CHG">Data!$BZ$587</definedName>
    <definedName name="TACA033802col_INC_FTI">Data!$AS$587</definedName>
    <definedName name="TACA033802col_LIFE_INS">Data!$BG$587</definedName>
    <definedName name="TACA033802col_LIFE_INS_BY">Data!$BS$587</definedName>
    <definedName name="TACA033802col_LIFE_INS_CHG">Data!$CE$587</definedName>
    <definedName name="TACA033802col_RETIREMENT">Data!$BF$587</definedName>
    <definedName name="TACA033802col_RETIREMENT_BY">Data!$BR$587</definedName>
    <definedName name="TACA033802col_RETIREMENT_CHG">Data!$CD$587</definedName>
    <definedName name="TACA033802col_ROWS_PER_PCN">Data!$AW$587</definedName>
    <definedName name="TACA033802col_SICK">Data!$BK$587</definedName>
    <definedName name="TACA033802col_SICK_BY">Data!$BW$587</definedName>
    <definedName name="TACA033802col_SICK_CHG">Data!$CI$587</definedName>
    <definedName name="TACA033802col_SSDI">Data!$BD$587</definedName>
    <definedName name="TACA033802col_SSDI_BY">Data!$BP$587</definedName>
    <definedName name="TACA033802col_SSDI_CHG">Data!$CB$587</definedName>
    <definedName name="TACA033802col_SSHI">Data!$BE$587</definedName>
    <definedName name="TACA033802col_SSHI_BY">Data!$BQ$587</definedName>
    <definedName name="TACA033802col_SSHI_CHGv">Data!$CC$587</definedName>
    <definedName name="TACA033802col_TOT_VB_ELECT">Data!$BM$587</definedName>
    <definedName name="TACA033802col_TOT_VB_ELECT_BY">Data!$BY$587</definedName>
    <definedName name="TACA033802col_TOT_VB_ELECT_CHG">Data!$CK$587</definedName>
    <definedName name="TACA033802col_TOT_VB_PERM">Data!$BL$587</definedName>
    <definedName name="TACA033802col_TOT_VB_PERM_BY">Data!$BX$587</definedName>
    <definedName name="TACA033802col_TOT_VB_PERM_CHG">Data!$CJ$587</definedName>
    <definedName name="TACA033802col_TOTAL_ELECT_PCN_FTI">Data!$AT$587</definedName>
    <definedName name="TACA033802col_TOTAL_ELECT_PCN_FTI_ALT">Data!$AV$587</definedName>
    <definedName name="TACA033802col_TOTAL_PERM_PCN_FTI">Data!$AU$587</definedName>
    <definedName name="TACA033802col_UNEMP_INS">Data!$BH$587</definedName>
    <definedName name="TACA033802col_UNEMP_INS_BY">Data!$BT$587</definedName>
    <definedName name="TACA033802col_UNEMP_INS_CHG">Data!$CF$587</definedName>
    <definedName name="TACA033802col_WORKERS_COMP">Data!$BJ$587</definedName>
    <definedName name="TACA033802col_WORKERS_COMP_BY">Data!$BV$587</definedName>
    <definedName name="TACA033802col_WORKERS_COMP_CHG">Data!$CH$587</definedName>
    <definedName name="UI">Benefits!$C$7</definedName>
    <definedName name="UIBY">Benefits!$D$7</definedName>
    <definedName name="UICHG">Benefits!$E$7</definedName>
    <definedName name="WC">Benefits!$C$8</definedName>
    <definedName name="WCBY">Benefits!$D$8</definedName>
    <definedName name="WCCHG">Benefits!$E$8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E8" i="11" l="1"/>
  <c r="F8" i="11"/>
  <c r="G8" i="11"/>
  <c r="H8" i="11"/>
  <c r="I8" i="11"/>
  <c r="J8" i="11"/>
  <c r="K8" i="11"/>
  <c r="L8" i="11"/>
  <c r="M8" i="11"/>
  <c r="E9" i="11"/>
  <c r="F9" i="11"/>
  <c r="G9" i="11"/>
  <c r="H9" i="11"/>
  <c r="I9" i="11"/>
  <c r="J9" i="11"/>
  <c r="K9" i="11"/>
  <c r="L9" i="11"/>
  <c r="M9" i="11"/>
  <c r="E10" i="11"/>
  <c r="F10" i="11"/>
  <c r="G10" i="11"/>
  <c r="H10" i="11"/>
  <c r="I10" i="11"/>
  <c r="J10" i="11"/>
  <c r="K10" i="11"/>
  <c r="L10" i="11"/>
  <c r="M10" i="11"/>
  <c r="E11" i="11"/>
  <c r="F11" i="11"/>
  <c r="G11" i="11"/>
  <c r="H11" i="11"/>
  <c r="I11" i="11"/>
  <c r="J11" i="11"/>
  <c r="K11" i="11"/>
  <c r="L11" i="11"/>
  <c r="M11" i="11"/>
  <c r="E12" i="11"/>
  <c r="F12" i="11"/>
  <c r="G12" i="11"/>
  <c r="H12" i="11"/>
  <c r="I12" i="11"/>
  <c r="J12" i="11"/>
  <c r="K12" i="11"/>
  <c r="L12" i="11"/>
  <c r="M12" i="11"/>
  <c r="E13" i="11"/>
  <c r="F13" i="11"/>
  <c r="G13" i="11"/>
  <c r="H13" i="11"/>
  <c r="I13" i="11"/>
  <c r="J13" i="11"/>
  <c r="K13" i="11"/>
  <c r="L13" i="11"/>
  <c r="M13" i="11"/>
  <c r="E14" i="11"/>
  <c r="F14" i="11"/>
  <c r="G14" i="11"/>
  <c r="H14" i="11"/>
  <c r="I14" i="11"/>
  <c r="J14" i="11"/>
  <c r="K14" i="11"/>
  <c r="L14" i="11"/>
  <c r="M14" i="11"/>
  <c r="E15" i="11"/>
  <c r="F15" i="11"/>
  <c r="G15" i="11"/>
  <c r="H15" i="11"/>
  <c r="I15" i="11"/>
  <c r="J15" i="11"/>
  <c r="K15" i="11"/>
  <c r="L15" i="11"/>
  <c r="M15" i="11"/>
  <c r="E16" i="11"/>
  <c r="F16" i="11"/>
  <c r="G16" i="11"/>
  <c r="H16" i="11"/>
  <c r="I16" i="11"/>
  <c r="J16" i="11"/>
  <c r="K16" i="11"/>
  <c r="L16" i="11"/>
  <c r="M16" i="11"/>
  <c r="E17" i="11"/>
  <c r="F17" i="11"/>
  <c r="G17" i="11"/>
  <c r="H17" i="11"/>
  <c r="I17" i="11"/>
  <c r="J17" i="11"/>
  <c r="K17" i="11"/>
  <c r="L17" i="11"/>
  <c r="M17" i="11"/>
  <c r="E18" i="11"/>
  <c r="F18" i="11"/>
  <c r="G18" i="11"/>
  <c r="H18" i="11"/>
  <c r="I18" i="11"/>
  <c r="J18" i="11"/>
  <c r="K18" i="11"/>
  <c r="L18" i="11"/>
  <c r="M18" i="11"/>
  <c r="E19" i="11"/>
  <c r="F19" i="11"/>
  <c r="G19" i="11"/>
  <c r="H19" i="11"/>
  <c r="I19" i="11"/>
  <c r="J19" i="11"/>
  <c r="K19" i="11"/>
  <c r="L19" i="11"/>
  <c r="M19" i="11"/>
  <c r="E20" i="11"/>
  <c r="F20" i="11"/>
  <c r="G20" i="11"/>
  <c r="H20" i="11"/>
  <c r="I20" i="11"/>
  <c r="J20" i="11"/>
  <c r="K20" i="11"/>
  <c r="L20" i="11"/>
  <c r="M20" i="11"/>
  <c r="E21" i="11"/>
  <c r="F21" i="11"/>
  <c r="G21" i="11"/>
  <c r="H21" i="11"/>
  <c r="I21" i="11"/>
  <c r="J21" i="11"/>
  <c r="K21" i="11"/>
  <c r="L21" i="11"/>
  <c r="M21" i="11"/>
  <c r="E22" i="11"/>
  <c r="F22" i="11"/>
  <c r="G22" i="11"/>
  <c r="H22" i="11"/>
  <c r="I22" i="11"/>
  <c r="J22" i="11"/>
  <c r="K22" i="11"/>
  <c r="L22" i="11"/>
  <c r="M22" i="11"/>
  <c r="E23" i="11"/>
  <c r="F23" i="11"/>
  <c r="G23" i="11"/>
  <c r="H23" i="11"/>
  <c r="I23" i="11"/>
  <c r="J23" i="11"/>
  <c r="K23" i="11"/>
  <c r="L23" i="11"/>
  <c r="M23" i="11"/>
  <c r="E24" i="11"/>
  <c r="F24" i="11"/>
  <c r="G24" i="11"/>
  <c r="H24" i="11"/>
  <c r="I24" i="11"/>
  <c r="J24" i="11"/>
  <c r="K24" i="11"/>
  <c r="L24" i="11"/>
  <c r="M24" i="11"/>
  <c r="E25" i="11"/>
  <c r="F25" i="11"/>
  <c r="G25" i="11"/>
  <c r="H25" i="11"/>
  <c r="I25" i="11"/>
  <c r="J25" i="11"/>
  <c r="K25" i="11"/>
  <c r="L25" i="11"/>
  <c r="M25" i="11"/>
  <c r="E26" i="11"/>
  <c r="F26" i="11"/>
  <c r="G26" i="11"/>
  <c r="H26" i="11"/>
  <c r="I26" i="11"/>
  <c r="J26" i="11"/>
  <c r="K26" i="11"/>
  <c r="L26" i="11"/>
  <c r="M26" i="11"/>
  <c r="BA613" i="5"/>
  <c r="AZ613" i="5"/>
  <c r="AY613" i="5"/>
  <c r="AX613" i="5"/>
  <c r="AW613" i="5"/>
  <c r="AV613" i="5"/>
  <c r="AU613" i="5"/>
  <c r="AT613" i="5"/>
  <c r="AS613" i="5"/>
  <c r="BA611" i="5"/>
  <c r="AZ611" i="5"/>
  <c r="AY611" i="5"/>
  <c r="AX611" i="5"/>
  <c r="AW611" i="5"/>
  <c r="AV611" i="5"/>
  <c r="AU611" i="5"/>
  <c r="AT611" i="5"/>
  <c r="AS611" i="5"/>
  <c r="BA603" i="5"/>
  <c r="AZ603" i="5"/>
  <c r="AY603" i="5"/>
  <c r="AX603" i="5"/>
  <c r="AW603" i="5"/>
  <c r="AV603" i="5"/>
  <c r="AU603" i="5"/>
  <c r="AT603" i="5"/>
  <c r="AS603" i="5"/>
  <c r="AZ609" i="5"/>
  <c r="AW609" i="5"/>
  <c r="AZ607" i="5"/>
  <c r="AW607" i="5"/>
  <c r="A152" i="10"/>
  <c r="K145" i="10"/>
  <c r="J145" i="10"/>
  <c r="I145" i="10"/>
  <c r="H145" i="10"/>
  <c r="G145" i="10"/>
  <c r="F145" i="10"/>
  <c r="E145" i="10"/>
  <c r="C80" i="25"/>
  <c r="J79" i="25"/>
  <c r="J78" i="25"/>
  <c r="J77" i="25"/>
  <c r="C75" i="25"/>
  <c r="I74" i="25"/>
  <c r="J74" i="25" s="1"/>
  <c r="E73" i="25"/>
  <c r="E72" i="25"/>
  <c r="I71" i="25"/>
  <c r="J71" i="25" s="1"/>
  <c r="J70" i="25"/>
  <c r="C67" i="25"/>
  <c r="J66" i="25"/>
  <c r="I66" i="25"/>
  <c r="H66" i="25"/>
  <c r="G66" i="25"/>
  <c r="N64" i="25"/>
  <c r="J64" i="25"/>
  <c r="N63" i="25"/>
  <c r="H63" i="25"/>
  <c r="G63" i="25" s="1"/>
  <c r="I63" i="25" s="1"/>
  <c r="N62" i="25"/>
  <c r="J62" i="25"/>
  <c r="C60" i="25"/>
  <c r="N59" i="25"/>
  <c r="J59" i="25"/>
  <c r="N58" i="25"/>
  <c r="J58" i="25"/>
  <c r="C56" i="25"/>
  <c r="N55" i="25"/>
  <c r="J55" i="25"/>
  <c r="J54" i="25"/>
  <c r="F51" i="25"/>
  <c r="E51" i="25"/>
  <c r="C51" i="25"/>
  <c r="M50" i="25"/>
  <c r="L50" i="25"/>
  <c r="K50" i="25"/>
  <c r="J50" i="25"/>
  <c r="I50" i="25"/>
  <c r="H50" i="25"/>
  <c r="G50" i="25"/>
  <c r="C40" i="25"/>
  <c r="M39" i="25"/>
  <c r="L39" i="25"/>
  <c r="H39" i="25"/>
  <c r="F39" i="25"/>
  <c r="C39" i="25"/>
  <c r="C38" i="25"/>
  <c r="M35" i="25"/>
  <c r="L35" i="25"/>
  <c r="N35" i="25" s="1"/>
  <c r="J35" i="25"/>
  <c r="I35" i="25"/>
  <c r="H35" i="25"/>
  <c r="M34" i="25"/>
  <c r="L34" i="25"/>
  <c r="N34" i="25" s="1"/>
  <c r="J34" i="25"/>
  <c r="I34" i="25"/>
  <c r="H34" i="25"/>
  <c r="M33" i="25"/>
  <c r="N33" i="25" s="1"/>
  <c r="L33" i="25"/>
  <c r="J33" i="25"/>
  <c r="I33" i="25"/>
  <c r="H33" i="25"/>
  <c r="N32" i="25"/>
  <c r="M32" i="25"/>
  <c r="L32" i="25"/>
  <c r="J32" i="25"/>
  <c r="I32" i="25"/>
  <c r="H32" i="25"/>
  <c r="M30" i="25"/>
  <c r="L30" i="25"/>
  <c r="N30" i="25" s="1"/>
  <c r="J30" i="25"/>
  <c r="I30" i="25"/>
  <c r="H30" i="25"/>
  <c r="M29" i="25"/>
  <c r="L29" i="25"/>
  <c r="N29" i="25" s="1"/>
  <c r="J29" i="25"/>
  <c r="I29" i="25"/>
  <c r="H29" i="25"/>
  <c r="M28" i="25"/>
  <c r="N28" i="25" s="1"/>
  <c r="L28" i="25"/>
  <c r="J28" i="25"/>
  <c r="I28" i="25"/>
  <c r="H28" i="25"/>
  <c r="N27" i="25"/>
  <c r="M27" i="25"/>
  <c r="L27" i="25"/>
  <c r="J27" i="25"/>
  <c r="I27" i="25"/>
  <c r="H27" i="25"/>
  <c r="M26" i="25"/>
  <c r="L26" i="25"/>
  <c r="N26" i="25" s="1"/>
  <c r="J26" i="25"/>
  <c r="I26" i="25"/>
  <c r="H26" i="25"/>
  <c r="M25" i="25"/>
  <c r="L25" i="25"/>
  <c r="N25" i="25" s="1"/>
  <c r="J25" i="25"/>
  <c r="I25" i="25"/>
  <c r="H25" i="25"/>
  <c r="M24" i="25"/>
  <c r="N24" i="25" s="1"/>
  <c r="L24" i="25"/>
  <c r="J24" i="25"/>
  <c r="I24" i="25"/>
  <c r="H24" i="25"/>
  <c r="N23" i="25"/>
  <c r="M23" i="25"/>
  <c r="L23" i="25"/>
  <c r="J23" i="25"/>
  <c r="I23" i="25"/>
  <c r="H23" i="25"/>
  <c r="M22" i="25"/>
  <c r="L22" i="25"/>
  <c r="N22" i="25" s="1"/>
  <c r="J22" i="25"/>
  <c r="I22" i="25"/>
  <c r="H22" i="25"/>
  <c r="M21" i="25"/>
  <c r="L21" i="25"/>
  <c r="N21" i="25" s="1"/>
  <c r="J21" i="25"/>
  <c r="I21" i="25"/>
  <c r="H21" i="25"/>
  <c r="M20" i="25"/>
  <c r="N20" i="25" s="1"/>
  <c r="L20" i="25"/>
  <c r="J20" i="25"/>
  <c r="I20" i="25"/>
  <c r="H20" i="25"/>
  <c r="C15" i="25"/>
  <c r="AC11" i="25"/>
  <c r="M8" i="25"/>
  <c r="L8" i="25"/>
  <c r="K8" i="25"/>
  <c r="J8" i="25"/>
  <c r="I8" i="25"/>
  <c r="H8" i="25"/>
  <c r="G8" i="25"/>
  <c r="A141" i="10"/>
  <c r="K134" i="10"/>
  <c r="J134" i="10"/>
  <c r="I134" i="10"/>
  <c r="H134" i="10"/>
  <c r="G134" i="10"/>
  <c r="F134" i="10"/>
  <c r="E134" i="10"/>
  <c r="C80" i="24"/>
  <c r="J79" i="24"/>
  <c r="J78" i="24"/>
  <c r="J77" i="24"/>
  <c r="C75" i="24"/>
  <c r="I74" i="24"/>
  <c r="J74" i="24" s="1"/>
  <c r="E73" i="24"/>
  <c r="E72" i="24"/>
  <c r="J71" i="24"/>
  <c r="I71" i="24"/>
  <c r="J70" i="24"/>
  <c r="C67" i="24"/>
  <c r="J66" i="24"/>
  <c r="I66" i="24"/>
  <c r="H66" i="24"/>
  <c r="G66" i="24"/>
  <c r="N64" i="24"/>
  <c r="J64" i="24"/>
  <c r="N63" i="24"/>
  <c r="H63" i="24"/>
  <c r="G63" i="24" s="1"/>
  <c r="I63" i="24" s="1"/>
  <c r="N62" i="24"/>
  <c r="J62" i="24"/>
  <c r="C60" i="24"/>
  <c r="N59" i="24"/>
  <c r="J59" i="24"/>
  <c r="N58" i="24"/>
  <c r="J58" i="24"/>
  <c r="C56" i="24"/>
  <c r="N55" i="24"/>
  <c r="J55" i="24"/>
  <c r="J54" i="24"/>
  <c r="F51" i="24"/>
  <c r="F52" i="24" s="1"/>
  <c r="F56" i="24" s="1"/>
  <c r="F60" i="24" s="1"/>
  <c r="E51" i="24"/>
  <c r="C51" i="24"/>
  <c r="M50" i="24"/>
  <c r="L50" i="24"/>
  <c r="K50" i="24"/>
  <c r="J50" i="24"/>
  <c r="I50" i="24"/>
  <c r="H50" i="24"/>
  <c r="G50" i="24"/>
  <c r="C40" i="24"/>
  <c r="M39" i="24"/>
  <c r="L39" i="24"/>
  <c r="H39" i="24"/>
  <c r="F39" i="24"/>
  <c r="C39" i="24"/>
  <c r="C38" i="24"/>
  <c r="M35" i="24"/>
  <c r="L35" i="24"/>
  <c r="N35" i="24" s="1"/>
  <c r="J35" i="24"/>
  <c r="I35" i="24"/>
  <c r="H35" i="24"/>
  <c r="M34" i="24"/>
  <c r="N34" i="24" s="1"/>
  <c r="L34" i="24"/>
  <c r="J34" i="24"/>
  <c r="I34" i="24"/>
  <c r="H34" i="24"/>
  <c r="M33" i="24"/>
  <c r="L33" i="24"/>
  <c r="N33" i="24" s="1"/>
  <c r="J33" i="24"/>
  <c r="I33" i="24"/>
  <c r="H33" i="24"/>
  <c r="N32" i="24"/>
  <c r="M32" i="24"/>
  <c r="L32" i="24"/>
  <c r="J32" i="24"/>
  <c r="I32" i="24"/>
  <c r="H32" i="24"/>
  <c r="M30" i="24"/>
  <c r="L30" i="24"/>
  <c r="J30" i="24"/>
  <c r="I30" i="24"/>
  <c r="H30" i="24"/>
  <c r="M29" i="24"/>
  <c r="L29" i="24"/>
  <c r="N29" i="24" s="1"/>
  <c r="J29" i="24"/>
  <c r="I29" i="24"/>
  <c r="H29" i="24"/>
  <c r="M28" i="24"/>
  <c r="L28" i="24"/>
  <c r="N28" i="24" s="1"/>
  <c r="J28" i="24"/>
  <c r="I28" i="24"/>
  <c r="H28" i="24"/>
  <c r="M27" i="24"/>
  <c r="L27" i="24"/>
  <c r="N27" i="24" s="1"/>
  <c r="J27" i="24"/>
  <c r="I27" i="24"/>
  <c r="H27" i="24"/>
  <c r="M26" i="24"/>
  <c r="L26" i="24"/>
  <c r="N26" i="24" s="1"/>
  <c r="J26" i="24"/>
  <c r="I26" i="24"/>
  <c r="H26" i="24"/>
  <c r="M25" i="24"/>
  <c r="L25" i="24"/>
  <c r="N25" i="24" s="1"/>
  <c r="J25" i="24"/>
  <c r="I25" i="24"/>
  <c r="H25" i="24"/>
  <c r="M24" i="24"/>
  <c r="L24" i="24"/>
  <c r="N24" i="24" s="1"/>
  <c r="J24" i="24"/>
  <c r="I24" i="24"/>
  <c r="H24" i="24"/>
  <c r="M23" i="24"/>
  <c r="N23" i="24" s="1"/>
  <c r="L23" i="24"/>
  <c r="J23" i="24"/>
  <c r="I23" i="24"/>
  <c r="H23" i="24"/>
  <c r="M22" i="24"/>
  <c r="L22" i="24"/>
  <c r="N22" i="24" s="1"/>
  <c r="J22" i="24"/>
  <c r="I22" i="24"/>
  <c r="H22" i="24"/>
  <c r="M21" i="24"/>
  <c r="N21" i="24" s="1"/>
  <c r="L21" i="24"/>
  <c r="J21" i="24"/>
  <c r="I21" i="24"/>
  <c r="H21" i="24"/>
  <c r="M20" i="24"/>
  <c r="L20" i="24"/>
  <c r="J20" i="24"/>
  <c r="I20" i="24"/>
  <c r="H20" i="24"/>
  <c r="C15" i="24"/>
  <c r="AC11" i="24"/>
  <c r="M8" i="24"/>
  <c r="L8" i="24"/>
  <c r="K8" i="24"/>
  <c r="J8" i="24"/>
  <c r="I8" i="24"/>
  <c r="H8" i="24"/>
  <c r="G8" i="24"/>
  <c r="A130" i="10"/>
  <c r="K123" i="10"/>
  <c r="J123" i="10"/>
  <c r="I123" i="10"/>
  <c r="H123" i="10"/>
  <c r="G123" i="10"/>
  <c r="F123" i="10"/>
  <c r="E123" i="10"/>
  <c r="C80" i="23"/>
  <c r="J79" i="23"/>
  <c r="J78" i="23"/>
  <c r="J77" i="23"/>
  <c r="C75" i="23"/>
  <c r="I74" i="23"/>
  <c r="J74" i="23" s="1"/>
  <c r="E73" i="23"/>
  <c r="E72" i="23"/>
  <c r="I71" i="23"/>
  <c r="J71" i="23" s="1"/>
  <c r="J70" i="23"/>
  <c r="C67" i="23"/>
  <c r="J66" i="23"/>
  <c r="I66" i="23"/>
  <c r="H66" i="23"/>
  <c r="G66" i="23"/>
  <c r="N64" i="23"/>
  <c r="J64" i="23"/>
  <c r="N63" i="23"/>
  <c r="H63" i="23"/>
  <c r="G63" i="23" s="1"/>
  <c r="I63" i="23" s="1"/>
  <c r="N62" i="23"/>
  <c r="J62" i="23"/>
  <c r="C60" i="23"/>
  <c r="N59" i="23"/>
  <c r="J59" i="23"/>
  <c r="N58" i="23"/>
  <c r="J58" i="23"/>
  <c r="C56" i="23"/>
  <c r="N55" i="23"/>
  <c r="J55" i="23"/>
  <c r="J54" i="23"/>
  <c r="F51" i="23"/>
  <c r="E51" i="23"/>
  <c r="C51" i="23"/>
  <c r="M50" i="23"/>
  <c r="L50" i="23"/>
  <c r="K50" i="23"/>
  <c r="J50" i="23"/>
  <c r="I50" i="23"/>
  <c r="H50" i="23"/>
  <c r="G50" i="23"/>
  <c r="C40" i="23"/>
  <c r="M39" i="23"/>
  <c r="L39" i="23"/>
  <c r="H39" i="23"/>
  <c r="F39" i="23"/>
  <c r="C39" i="23"/>
  <c r="C38" i="23"/>
  <c r="M35" i="23"/>
  <c r="N35" i="23" s="1"/>
  <c r="L35" i="23"/>
  <c r="J35" i="23"/>
  <c r="I35" i="23"/>
  <c r="H35" i="23"/>
  <c r="M34" i="23"/>
  <c r="L34" i="23"/>
  <c r="J34" i="23"/>
  <c r="I34" i="23"/>
  <c r="H34" i="23"/>
  <c r="M33" i="23"/>
  <c r="L33" i="23"/>
  <c r="J33" i="23"/>
  <c r="I33" i="23"/>
  <c r="H33" i="23"/>
  <c r="M32" i="23"/>
  <c r="L32" i="23"/>
  <c r="N32" i="23" s="1"/>
  <c r="J32" i="23"/>
  <c r="I32" i="23"/>
  <c r="H32" i="23"/>
  <c r="M30" i="23"/>
  <c r="L30" i="23"/>
  <c r="N30" i="23" s="1"/>
  <c r="J30" i="23"/>
  <c r="I30" i="23"/>
  <c r="H30" i="23"/>
  <c r="M29" i="23"/>
  <c r="L29" i="23"/>
  <c r="N29" i="23" s="1"/>
  <c r="J29" i="23"/>
  <c r="I29" i="23"/>
  <c r="H29" i="23"/>
  <c r="M28" i="23"/>
  <c r="L28" i="23"/>
  <c r="J28" i="23"/>
  <c r="I28" i="23"/>
  <c r="H28" i="23"/>
  <c r="M27" i="23"/>
  <c r="L27" i="23"/>
  <c r="J27" i="23"/>
  <c r="I27" i="23"/>
  <c r="H27" i="23"/>
  <c r="M26" i="23"/>
  <c r="L26" i="23"/>
  <c r="J26" i="23"/>
  <c r="I26" i="23"/>
  <c r="H26" i="23"/>
  <c r="M25" i="23"/>
  <c r="L25" i="23"/>
  <c r="J25" i="23"/>
  <c r="I25" i="23"/>
  <c r="H25" i="23"/>
  <c r="M24" i="23"/>
  <c r="L24" i="23"/>
  <c r="J24" i="23"/>
  <c r="I24" i="23"/>
  <c r="H24" i="23"/>
  <c r="M23" i="23"/>
  <c r="L23" i="23"/>
  <c r="N23" i="23" s="1"/>
  <c r="J23" i="23"/>
  <c r="I23" i="23"/>
  <c r="H23" i="23"/>
  <c r="M22" i="23"/>
  <c r="L22" i="23"/>
  <c r="N22" i="23" s="1"/>
  <c r="J22" i="23"/>
  <c r="I22" i="23"/>
  <c r="H22" i="23"/>
  <c r="M21" i="23"/>
  <c r="L21" i="23"/>
  <c r="N21" i="23" s="1"/>
  <c r="J21" i="23"/>
  <c r="I21" i="23"/>
  <c r="H21" i="23"/>
  <c r="M20" i="23"/>
  <c r="L20" i="23"/>
  <c r="J20" i="23"/>
  <c r="I20" i="23"/>
  <c r="H20" i="23"/>
  <c r="C15" i="23"/>
  <c r="AC11" i="23"/>
  <c r="M8" i="23"/>
  <c r="L8" i="23"/>
  <c r="K8" i="23"/>
  <c r="J8" i="23"/>
  <c r="I8" i="23"/>
  <c r="H8" i="23"/>
  <c r="G8" i="23"/>
  <c r="A119" i="10"/>
  <c r="K112" i="10"/>
  <c r="J112" i="10"/>
  <c r="I112" i="10"/>
  <c r="H112" i="10"/>
  <c r="G112" i="10"/>
  <c r="F112" i="10"/>
  <c r="E112" i="10"/>
  <c r="C80" i="22"/>
  <c r="J79" i="22"/>
  <c r="J78" i="22"/>
  <c r="J77" i="22"/>
  <c r="C75" i="22"/>
  <c r="I74" i="22"/>
  <c r="J74" i="22" s="1"/>
  <c r="E73" i="22"/>
  <c r="E72" i="22"/>
  <c r="I71" i="22"/>
  <c r="J71" i="22" s="1"/>
  <c r="J70" i="22"/>
  <c r="C67" i="22"/>
  <c r="J66" i="22"/>
  <c r="I66" i="22"/>
  <c r="H66" i="22"/>
  <c r="G66" i="22"/>
  <c r="N64" i="22"/>
  <c r="J64" i="22"/>
  <c r="N63" i="22"/>
  <c r="H63" i="22"/>
  <c r="G63" i="22"/>
  <c r="I63" i="22" s="1"/>
  <c r="N62" i="22"/>
  <c r="J62" i="22"/>
  <c r="C60" i="22"/>
  <c r="N59" i="22"/>
  <c r="J59" i="22"/>
  <c r="N58" i="22"/>
  <c r="J58" i="22"/>
  <c r="C56" i="22"/>
  <c r="N55" i="22"/>
  <c r="J55" i="22"/>
  <c r="J54" i="22"/>
  <c r="F51" i="22"/>
  <c r="E51" i="22"/>
  <c r="C51" i="22"/>
  <c r="M50" i="22"/>
  <c r="L50" i="22"/>
  <c r="K50" i="22"/>
  <c r="J50" i="22"/>
  <c r="I50" i="22"/>
  <c r="H50" i="22"/>
  <c r="G50" i="22"/>
  <c r="C40" i="22"/>
  <c r="M39" i="22"/>
  <c r="L39" i="22"/>
  <c r="H39" i="22"/>
  <c r="F39" i="22"/>
  <c r="C39" i="22"/>
  <c r="C38" i="22"/>
  <c r="M35" i="22"/>
  <c r="L35" i="22"/>
  <c r="J35" i="22"/>
  <c r="I35" i="22"/>
  <c r="H35" i="22"/>
  <c r="M34" i="22"/>
  <c r="L34" i="22"/>
  <c r="N34" i="22" s="1"/>
  <c r="J34" i="22"/>
  <c r="I34" i="22"/>
  <c r="H34" i="22"/>
  <c r="M33" i="22"/>
  <c r="L33" i="22"/>
  <c r="J33" i="22"/>
  <c r="I33" i="22"/>
  <c r="H33" i="22"/>
  <c r="M32" i="22"/>
  <c r="L32" i="22"/>
  <c r="J32" i="22"/>
  <c r="I32" i="22"/>
  <c r="H32" i="22"/>
  <c r="M30" i="22"/>
  <c r="L30" i="22"/>
  <c r="J30" i="22"/>
  <c r="I30" i="22"/>
  <c r="H30" i="22"/>
  <c r="M29" i="22"/>
  <c r="L29" i="22"/>
  <c r="J29" i="22"/>
  <c r="I29" i="22"/>
  <c r="H29" i="22"/>
  <c r="M28" i="22"/>
  <c r="L28" i="22"/>
  <c r="J28" i="22"/>
  <c r="I28" i="22"/>
  <c r="H28" i="22"/>
  <c r="M27" i="22"/>
  <c r="L27" i="22"/>
  <c r="N27" i="22" s="1"/>
  <c r="J27" i="22"/>
  <c r="I27" i="22"/>
  <c r="H27" i="22"/>
  <c r="M26" i="22"/>
  <c r="L26" i="22"/>
  <c r="N26" i="22" s="1"/>
  <c r="J26" i="22"/>
  <c r="I26" i="22"/>
  <c r="H26" i="22"/>
  <c r="M25" i="22"/>
  <c r="L25" i="22"/>
  <c r="N25" i="22" s="1"/>
  <c r="J25" i="22"/>
  <c r="I25" i="22"/>
  <c r="H25" i="22"/>
  <c r="M24" i="22"/>
  <c r="L24" i="22"/>
  <c r="J24" i="22"/>
  <c r="I24" i="22"/>
  <c r="H24" i="22"/>
  <c r="M23" i="22"/>
  <c r="L23" i="22"/>
  <c r="J23" i="22"/>
  <c r="I23" i="22"/>
  <c r="H23" i="22"/>
  <c r="M22" i="22"/>
  <c r="L22" i="22"/>
  <c r="J22" i="22"/>
  <c r="I22" i="22"/>
  <c r="H22" i="22"/>
  <c r="M21" i="22"/>
  <c r="L21" i="22"/>
  <c r="J21" i="22"/>
  <c r="I21" i="22"/>
  <c r="H21" i="22"/>
  <c r="M20" i="22"/>
  <c r="L20" i="22"/>
  <c r="J20" i="22"/>
  <c r="I20" i="22"/>
  <c r="H20" i="22"/>
  <c r="C15" i="22"/>
  <c r="AC11" i="22"/>
  <c r="M8" i="22"/>
  <c r="L8" i="22"/>
  <c r="K8" i="22"/>
  <c r="J8" i="22"/>
  <c r="I8" i="22"/>
  <c r="H8" i="22"/>
  <c r="G8" i="22"/>
  <c r="A108" i="10"/>
  <c r="K101" i="10"/>
  <c r="J101" i="10"/>
  <c r="I101" i="10"/>
  <c r="H101" i="10"/>
  <c r="G101" i="10"/>
  <c r="F101" i="10"/>
  <c r="E101" i="10"/>
  <c r="C80" i="21"/>
  <c r="J79" i="21"/>
  <c r="J78" i="21"/>
  <c r="J77" i="21"/>
  <c r="C75" i="21"/>
  <c r="J74" i="21"/>
  <c r="I74" i="21"/>
  <c r="E73" i="21"/>
  <c r="E72" i="21"/>
  <c r="I71" i="21"/>
  <c r="J71" i="21" s="1"/>
  <c r="J70" i="21"/>
  <c r="C67" i="21"/>
  <c r="J66" i="21"/>
  <c r="I66" i="21"/>
  <c r="H66" i="21"/>
  <c r="G66" i="21"/>
  <c r="N64" i="21"/>
  <c r="J64" i="21"/>
  <c r="N63" i="21"/>
  <c r="H63" i="21"/>
  <c r="G63" i="21" s="1"/>
  <c r="I63" i="21" s="1"/>
  <c r="N62" i="21"/>
  <c r="J62" i="21"/>
  <c r="C60" i="21"/>
  <c r="N59" i="21"/>
  <c r="J59" i="21"/>
  <c r="N58" i="21"/>
  <c r="J58" i="21"/>
  <c r="C56" i="21"/>
  <c r="N55" i="21"/>
  <c r="J55" i="21"/>
  <c r="J54" i="21"/>
  <c r="F51" i="21"/>
  <c r="E51" i="21"/>
  <c r="C51" i="21"/>
  <c r="M50" i="21"/>
  <c r="L50" i="21"/>
  <c r="K50" i="21"/>
  <c r="J50" i="21"/>
  <c r="I50" i="21"/>
  <c r="H50" i="21"/>
  <c r="G50" i="21"/>
  <c r="C40" i="21"/>
  <c r="M39" i="21"/>
  <c r="L39" i="21"/>
  <c r="H39" i="21"/>
  <c r="F39" i="21"/>
  <c r="C39" i="21"/>
  <c r="C38" i="21"/>
  <c r="M35" i="21"/>
  <c r="L35" i="21"/>
  <c r="J35" i="21"/>
  <c r="I35" i="21"/>
  <c r="H35" i="21"/>
  <c r="M34" i="21"/>
  <c r="L34" i="21"/>
  <c r="J34" i="21"/>
  <c r="I34" i="21"/>
  <c r="H34" i="21"/>
  <c r="M33" i="21"/>
  <c r="L33" i="21"/>
  <c r="J33" i="21"/>
  <c r="I33" i="21"/>
  <c r="H33" i="21"/>
  <c r="M32" i="21"/>
  <c r="L32" i="21"/>
  <c r="J32" i="21"/>
  <c r="I32" i="21"/>
  <c r="H32" i="21"/>
  <c r="M30" i="21"/>
  <c r="L30" i="21"/>
  <c r="J30" i="21"/>
  <c r="I30" i="21"/>
  <c r="H30" i="21"/>
  <c r="M29" i="21"/>
  <c r="L29" i="21"/>
  <c r="J29" i="21"/>
  <c r="I29" i="21"/>
  <c r="H29" i="21"/>
  <c r="M28" i="21"/>
  <c r="L28" i="21"/>
  <c r="J28" i="21"/>
  <c r="I28" i="21"/>
  <c r="H28" i="21"/>
  <c r="M27" i="21"/>
  <c r="L27" i="21"/>
  <c r="J27" i="21"/>
  <c r="I27" i="21"/>
  <c r="H27" i="21"/>
  <c r="M26" i="21"/>
  <c r="L26" i="21"/>
  <c r="J26" i="21"/>
  <c r="I26" i="21"/>
  <c r="H26" i="21"/>
  <c r="M25" i="21"/>
  <c r="L25" i="21"/>
  <c r="J25" i="21"/>
  <c r="I25" i="21"/>
  <c r="H25" i="21"/>
  <c r="M24" i="21"/>
  <c r="L24" i="21"/>
  <c r="J24" i="21"/>
  <c r="I24" i="21"/>
  <c r="H24" i="21"/>
  <c r="M23" i="21"/>
  <c r="L23" i="21"/>
  <c r="J23" i="21"/>
  <c r="I23" i="21"/>
  <c r="H23" i="21"/>
  <c r="M22" i="21"/>
  <c r="L22" i="21"/>
  <c r="J22" i="21"/>
  <c r="I22" i="21"/>
  <c r="H22" i="21"/>
  <c r="M21" i="21"/>
  <c r="L21" i="21"/>
  <c r="J21" i="21"/>
  <c r="I21" i="21"/>
  <c r="H21" i="21"/>
  <c r="M20" i="21"/>
  <c r="L20" i="21"/>
  <c r="J20" i="21"/>
  <c r="I20" i="21"/>
  <c r="H20" i="21"/>
  <c r="C15" i="21"/>
  <c r="AC11" i="21"/>
  <c r="M8" i="21"/>
  <c r="L8" i="21"/>
  <c r="K8" i="21"/>
  <c r="J8" i="21"/>
  <c r="I8" i="21"/>
  <c r="H8" i="21"/>
  <c r="G8" i="21"/>
  <c r="A97" i="10"/>
  <c r="K90" i="10"/>
  <c r="J90" i="10"/>
  <c r="I90" i="10"/>
  <c r="H90" i="10"/>
  <c r="G90" i="10"/>
  <c r="F90" i="10"/>
  <c r="E90" i="10"/>
  <c r="C80" i="20"/>
  <c r="J79" i="20"/>
  <c r="J78" i="20"/>
  <c r="J77" i="20"/>
  <c r="C75" i="20"/>
  <c r="I74" i="20"/>
  <c r="J74" i="20" s="1"/>
  <c r="E73" i="20"/>
  <c r="E72" i="20"/>
  <c r="I71" i="20"/>
  <c r="J71" i="20" s="1"/>
  <c r="J70" i="20"/>
  <c r="C67" i="20"/>
  <c r="J66" i="20"/>
  <c r="I66" i="20"/>
  <c r="H66" i="20"/>
  <c r="G66" i="20"/>
  <c r="N64" i="20"/>
  <c r="J64" i="20"/>
  <c r="N63" i="20"/>
  <c r="H63" i="20"/>
  <c r="G63" i="20" s="1"/>
  <c r="I63" i="20" s="1"/>
  <c r="N62" i="20"/>
  <c r="J62" i="20"/>
  <c r="C60" i="20"/>
  <c r="N59" i="20"/>
  <c r="J59" i="20"/>
  <c r="N58" i="20"/>
  <c r="J58" i="20"/>
  <c r="C56" i="20"/>
  <c r="N55" i="20"/>
  <c r="J55" i="20"/>
  <c r="J54" i="20"/>
  <c r="F51" i="20"/>
  <c r="E51" i="20"/>
  <c r="C51" i="20"/>
  <c r="M50" i="20"/>
  <c r="L50" i="20"/>
  <c r="K50" i="20"/>
  <c r="J50" i="20"/>
  <c r="I50" i="20"/>
  <c r="H50" i="20"/>
  <c r="G50" i="20"/>
  <c r="C40" i="20"/>
  <c r="M39" i="20"/>
  <c r="L39" i="20"/>
  <c r="H39" i="20"/>
  <c r="F39" i="20"/>
  <c r="C39" i="20"/>
  <c r="C38" i="20"/>
  <c r="M35" i="20"/>
  <c r="L35" i="20"/>
  <c r="J35" i="20"/>
  <c r="I35" i="20"/>
  <c r="H35" i="20"/>
  <c r="M34" i="20"/>
  <c r="L34" i="20"/>
  <c r="J34" i="20"/>
  <c r="I34" i="20"/>
  <c r="H34" i="20"/>
  <c r="M33" i="20"/>
  <c r="L33" i="20"/>
  <c r="J33" i="20"/>
  <c r="I33" i="20"/>
  <c r="H33" i="20"/>
  <c r="M32" i="20"/>
  <c r="L32" i="20"/>
  <c r="J32" i="20"/>
  <c r="I32" i="20"/>
  <c r="H32" i="20"/>
  <c r="M30" i="20"/>
  <c r="L30" i="20"/>
  <c r="J30" i="20"/>
  <c r="I30" i="20"/>
  <c r="H30" i="20"/>
  <c r="M29" i="20"/>
  <c r="L29" i="20"/>
  <c r="J29" i="20"/>
  <c r="I29" i="20"/>
  <c r="H29" i="20"/>
  <c r="M28" i="20"/>
  <c r="L28" i="20"/>
  <c r="N28" i="20" s="1"/>
  <c r="J28" i="20"/>
  <c r="I28" i="20"/>
  <c r="H28" i="20"/>
  <c r="M27" i="20"/>
  <c r="L27" i="20"/>
  <c r="J27" i="20"/>
  <c r="I27" i="20"/>
  <c r="H27" i="20"/>
  <c r="M26" i="20"/>
  <c r="L26" i="20"/>
  <c r="J26" i="20"/>
  <c r="I26" i="20"/>
  <c r="H26" i="20"/>
  <c r="M25" i="20"/>
  <c r="L25" i="20"/>
  <c r="J25" i="20"/>
  <c r="I25" i="20"/>
  <c r="H25" i="20"/>
  <c r="M24" i="20"/>
  <c r="L24" i="20"/>
  <c r="J24" i="20"/>
  <c r="I24" i="20"/>
  <c r="H24" i="20"/>
  <c r="M23" i="20"/>
  <c r="L23" i="20"/>
  <c r="J23" i="20"/>
  <c r="I23" i="20"/>
  <c r="H23" i="20"/>
  <c r="M22" i="20"/>
  <c r="L22" i="20"/>
  <c r="J22" i="20"/>
  <c r="I22" i="20"/>
  <c r="H22" i="20"/>
  <c r="M21" i="20"/>
  <c r="L21" i="20"/>
  <c r="J21" i="20"/>
  <c r="I21" i="20"/>
  <c r="H21" i="20"/>
  <c r="M20" i="20"/>
  <c r="L20" i="20"/>
  <c r="N20" i="20" s="1"/>
  <c r="J20" i="20"/>
  <c r="I20" i="20"/>
  <c r="H20" i="20"/>
  <c r="C15" i="20"/>
  <c r="AC11" i="20"/>
  <c r="M8" i="20"/>
  <c r="L8" i="20"/>
  <c r="K8" i="20"/>
  <c r="J8" i="20"/>
  <c r="I8" i="20"/>
  <c r="H8" i="20"/>
  <c r="G8" i="20"/>
  <c r="A86" i="10"/>
  <c r="K79" i="10"/>
  <c r="J79" i="10"/>
  <c r="I79" i="10"/>
  <c r="H79" i="10"/>
  <c r="G79" i="10"/>
  <c r="F79" i="10"/>
  <c r="E79" i="10"/>
  <c r="C80" i="19"/>
  <c r="J79" i="19"/>
  <c r="J78" i="19"/>
  <c r="J77" i="19"/>
  <c r="C75" i="19"/>
  <c r="I74" i="19"/>
  <c r="J74" i="19" s="1"/>
  <c r="E73" i="19"/>
  <c r="E72" i="19"/>
  <c r="I71" i="19"/>
  <c r="J71" i="19" s="1"/>
  <c r="J70" i="19"/>
  <c r="C67" i="19"/>
  <c r="J66" i="19"/>
  <c r="I66" i="19"/>
  <c r="H66" i="19"/>
  <c r="G66" i="19"/>
  <c r="N64" i="19"/>
  <c r="J64" i="19"/>
  <c r="N63" i="19"/>
  <c r="H63" i="19"/>
  <c r="G63" i="19" s="1"/>
  <c r="I63" i="19" s="1"/>
  <c r="N62" i="19"/>
  <c r="J62" i="19"/>
  <c r="C60" i="19"/>
  <c r="N59" i="19"/>
  <c r="J59" i="19"/>
  <c r="N58" i="19"/>
  <c r="J58" i="19"/>
  <c r="C56" i="19"/>
  <c r="N55" i="19"/>
  <c r="J55" i="19"/>
  <c r="J54" i="19"/>
  <c r="F51" i="19"/>
  <c r="E51" i="19"/>
  <c r="C51" i="19"/>
  <c r="M50" i="19"/>
  <c r="L50" i="19"/>
  <c r="K50" i="19"/>
  <c r="J50" i="19"/>
  <c r="I50" i="19"/>
  <c r="H50" i="19"/>
  <c r="G50" i="19"/>
  <c r="C40" i="19"/>
  <c r="M39" i="19"/>
  <c r="L39" i="19"/>
  <c r="H39" i="19"/>
  <c r="F39" i="19"/>
  <c r="C39" i="19"/>
  <c r="C38" i="19"/>
  <c r="M35" i="19"/>
  <c r="L35" i="19"/>
  <c r="J35" i="19"/>
  <c r="I35" i="19"/>
  <c r="H35" i="19"/>
  <c r="M34" i="19"/>
  <c r="L34" i="19"/>
  <c r="J34" i="19"/>
  <c r="I34" i="19"/>
  <c r="H34" i="19"/>
  <c r="M33" i="19"/>
  <c r="L33" i="19"/>
  <c r="J33" i="19"/>
  <c r="I33" i="19"/>
  <c r="H33" i="19"/>
  <c r="M32" i="19"/>
  <c r="L32" i="19"/>
  <c r="J32" i="19"/>
  <c r="I32" i="19"/>
  <c r="H32" i="19"/>
  <c r="M30" i="19"/>
  <c r="L30" i="19"/>
  <c r="J30" i="19"/>
  <c r="I30" i="19"/>
  <c r="H30" i="19"/>
  <c r="M29" i="19"/>
  <c r="L29" i="19"/>
  <c r="J29" i="19"/>
  <c r="I29" i="19"/>
  <c r="H29" i="19"/>
  <c r="M28" i="19"/>
  <c r="L28" i="19"/>
  <c r="N28" i="19" s="1"/>
  <c r="J28" i="19"/>
  <c r="I28" i="19"/>
  <c r="H28" i="19"/>
  <c r="M27" i="19"/>
  <c r="L27" i="19"/>
  <c r="J27" i="19"/>
  <c r="I27" i="19"/>
  <c r="H27" i="19"/>
  <c r="M26" i="19"/>
  <c r="L26" i="19"/>
  <c r="J26" i="19"/>
  <c r="I26" i="19"/>
  <c r="H26" i="19"/>
  <c r="M25" i="19"/>
  <c r="L25" i="19"/>
  <c r="J25" i="19"/>
  <c r="I25" i="19"/>
  <c r="H25" i="19"/>
  <c r="M24" i="19"/>
  <c r="L24" i="19"/>
  <c r="J24" i="19"/>
  <c r="I24" i="19"/>
  <c r="H24" i="19"/>
  <c r="M23" i="19"/>
  <c r="L23" i="19"/>
  <c r="J23" i="19"/>
  <c r="I23" i="19"/>
  <c r="H23" i="19"/>
  <c r="M22" i="19"/>
  <c r="L22" i="19"/>
  <c r="J22" i="19"/>
  <c r="I22" i="19"/>
  <c r="H22" i="19"/>
  <c r="M21" i="19"/>
  <c r="L21" i="19"/>
  <c r="J21" i="19"/>
  <c r="I21" i="19"/>
  <c r="H21" i="19"/>
  <c r="M20" i="19"/>
  <c r="L20" i="19"/>
  <c r="N20" i="19" s="1"/>
  <c r="J20" i="19"/>
  <c r="I20" i="19"/>
  <c r="H20" i="19"/>
  <c r="C15" i="19"/>
  <c r="AC11" i="19"/>
  <c r="M8" i="19"/>
  <c r="L8" i="19"/>
  <c r="K8" i="19"/>
  <c r="J8" i="19"/>
  <c r="I8" i="19"/>
  <c r="H8" i="19"/>
  <c r="G8" i="19"/>
  <c r="A75" i="10"/>
  <c r="K68" i="10"/>
  <c r="J68" i="10"/>
  <c r="I68" i="10"/>
  <c r="H68" i="10"/>
  <c r="G68" i="10"/>
  <c r="F68" i="10"/>
  <c r="E68" i="10"/>
  <c r="C80" i="18"/>
  <c r="J79" i="18"/>
  <c r="J78" i="18"/>
  <c r="J77" i="18"/>
  <c r="C75" i="18"/>
  <c r="I74" i="18"/>
  <c r="J74" i="18" s="1"/>
  <c r="E73" i="18"/>
  <c r="E72" i="18"/>
  <c r="I71" i="18"/>
  <c r="J71" i="18" s="1"/>
  <c r="J70" i="18"/>
  <c r="C67" i="18"/>
  <c r="J66" i="18"/>
  <c r="I66" i="18"/>
  <c r="H66" i="18"/>
  <c r="G66" i="18"/>
  <c r="N64" i="18"/>
  <c r="J64" i="18"/>
  <c r="N63" i="18"/>
  <c r="H63" i="18"/>
  <c r="G63" i="18" s="1"/>
  <c r="I63" i="18" s="1"/>
  <c r="N62" i="18"/>
  <c r="J62" i="18"/>
  <c r="C60" i="18"/>
  <c r="N59" i="18"/>
  <c r="J59" i="18"/>
  <c r="N58" i="18"/>
  <c r="J58" i="18"/>
  <c r="C56" i="18"/>
  <c r="N55" i="18"/>
  <c r="J55" i="18"/>
  <c r="J54" i="18"/>
  <c r="F51" i="18"/>
  <c r="E51" i="18"/>
  <c r="C51" i="18"/>
  <c r="M50" i="18"/>
  <c r="L50" i="18"/>
  <c r="K50" i="18"/>
  <c r="J50" i="18"/>
  <c r="I50" i="18"/>
  <c r="H50" i="18"/>
  <c r="G50" i="18"/>
  <c r="C40" i="18"/>
  <c r="M39" i="18"/>
  <c r="L39" i="18"/>
  <c r="H39" i="18"/>
  <c r="F39" i="18"/>
  <c r="C39" i="18"/>
  <c r="C38" i="18"/>
  <c r="M35" i="18"/>
  <c r="L35" i="18"/>
  <c r="J35" i="18"/>
  <c r="I35" i="18"/>
  <c r="H35" i="18"/>
  <c r="M34" i="18"/>
  <c r="L34" i="18"/>
  <c r="J34" i="18"/>
  <c r="I34" i="18"/>
  <c r="H34" i="18"/>
  <c r="M33" i="18"/>
  <c r="L33" i="18"/>
  <c r="J33" i="18"/>
  <c r="I33" i="18"/>
  <c r="H33" i="18"/>
  <c r="M32" i="18"/>
  <c r="L32" i="18"/>
  <c r="J32" i="18"/>
  <c r="I32" i="18"/>
  <c r="H32" i="18"/>
  <c r="M30" i="18"/>
  <c r="L30" i="18"/>
  <c r="J30" i="18"/>
  <c r="I30" i="18"/>
  <c r="H30" i="18"/>
  <c r="M29" i="18"/>
  <c r="L29" i="18"/>
  <c r="J29" i="18"/>
  <c r="I29" i="18"/>
  <c r="H29" i="18"/>
  <c r="M28" i="18"/>
  <c r="L28" i="18"/>
  <c r="J28" i="18"/>
  <c r="I28" i="18"/>
  <c r="H28" i="18"/>
  <c r="M27" i="18"/>
  <c r="L27" i="18"/>
  <c r="N27" i="18" s="1"/>
  <c r="J27" i="18"/>
  <c r="I27" i="18"/>
  <c r="H27" i="18"/>
  <c r="M26" i="18"/>
  <c r="L26" i="18"/>
  <c r="J26" i="18"/>
  <c r="I26" i="18"/>
  <c r="H26" i="18"/>
  <c r="M25" i="18"/>
  <c r="L25" i="18"/>
  <c r="J25" i="18"/>
  <c r="I25" i="18"/>
  <c r="H25" i="18"/>
  <c r="M24" i="18"/>
  <c r="L24" i="18"/>
  <c r="J24" i="18"/>
  <c r="I24" i="18"/>
  <c r="H24" i="18"/>
  <c r="M23" i="18"/>
  <c r="L23" i="18"/>
  <c r="J23" i="18"/>
  <c r="I23" i="18"/>
  <c r="H23" i="18"/>
  <c r="M22" i="18"/>
  <c r="L22" i="18"/>
  <c r="J22" i="18"/>
  <c r="I22" i="18"/>
  <c r="H22" i="18"/>
  <c r="M21" i="18"/>
  <c r="L21" i="18"/>
  <c r="J21" i="18"/>
  <c r="I21" i="18"/>
  <c r="H21" i="18"/>
  <c r="M20" i="18"/>
  <c r="L20" i="18"/>
  <c r="J20" i="18"/>
  <c r="I20" i="18"/>
  <c r="H20" i="18"/>
  <c r="C15" i="18"/>
  <c r="AC11" i="18"/>
  <c r="M8" i="18"/>
  <c r="L8" i="18"/>
  <c r="K8" i="18"/>
  <c r="J8" i="18"/>
  <c r="I8" i="18"/>
  <c r="H8" i="18"/>
  <c r="G8" i="18"/>
  <c r="A64" i="10"/>
  <c r="K57" i="10"/>
  <c r="J57" i="10"/>
  <c r="I57" i="10"/>
  <c r="H57" i="10"/>
  <c r="G57" i="10"/>
  <c r="F57" i="10"/>
  <c r="E57" i="10"/>
  <c r="C80" i="17"/>
  <c r="J79" i="17"/>
  <c r="J78" i="17"/>
  <c r="J77" i="17"/>
  <c r="C75" i="17"/>
  <c r="I74" i="17"/>
  <c r="J74" i="17" s="1"/>
  <c r="E73" i="17"/>
  <c r="E72" i="17"/>
  <c r="I71" i="17"/>
  <c r="J71" i="17" s="1"/>
  <c r="J70" i="17"/>
  <c r="C67" i="17"/>
  <c r="J66" i="17"/>
  <c r="I66" i="17"/>
  <c r="H66" i="17"/>
  <c r="G66" i="17"/>
  <c r="N64" i="17"/>
  <c r="J64" i="17"/>
  <c r="N63" i="17"/>
  <c r="H63" i="17"/>
  <c r="G63" i="17" s="1"/>
  <c r="I63" i="17" s="1"/>
  <c r="N62" i="17"/>
  <c r="J62" i="17"/>
  <c r="C60" i="17"/>
  <c r="N59" i="17"/>
  <c r="J59" i="17"/>
  <c r="N58" i="17"/>
  <c r="J58" i="17"/>
  <c r="C56" i="17"/>
  <c r="N55" i="17"/>
  <c r="J55" i="17"/>
  <c r="J54" i="17"/>
  <c r="F51" i="17"/>
  <c r="E51" i="17"/>
  <c r="C51" i="17"/>
  <c r="M50" i="17"/>
  <c r="L50" i="17"/>
  <c r="K50" i="17"/>
  <c r="J50" i="17"/>
  <c r="I50" i="17"/>
  <c r="H50" i="17"/>
  <c r="G50" i="17"/>
  <c r="C40" i="17"/>
  <c r="M39" i="17"/>
  <c r="L39" i="17"/>
  <c r="H39" i="17"/>
  <c r="F39" i="17"/>
  <c r="C39" i="17"/>
  <c r="C38" i="17"/>
  <c r="M35" i="17"/>
  <c r="L35" i="17"/>
  <c r="J35" i="17"/>
  <c r="I35" i="17"/>
  <c r="H35" i="17"/>
  <c r="M34" i="17"/>
  <c r="L34" i="17"/>
  <c r="J34" i="17"/>
  <c r="I34" i="17"/>
  <c r="H34" i="17"/>
  <c r="M33" i="17"/>
  <c r="L33" i="17"/>
  <c r="J33" i="17"/>
  <c r="I33" i="17"/>
  <c r="H33" i="17"/>
  <c r="M32" i="17"/>
  <c r="L32" i="17"/>
  <c r="J32" i="17"/>
  <c r="I32" i="17"/>
  <c r="H32" i="17"/>
  <c r="M30" i="17"/>
  <c r="L30" i="17"/>
  <c r="J30" i="17"/>
  <c r="I30" i="17"/>
  <c r="H30" i="17"/>
  <c r="M29" i="17"/>
  <c r="L29" i="17"/>
  <c r="J29" i="17"/>
  <c r="I29" i="17"/>
  <c r="H29" i="17"/>
  <c r="M28" i="17"/>
  <c r="L28" i="17"/>
  <c r="J28" i="17"/>
  <c r="I28" i="17"/>
  <c r="H28" i="17"/>
  <c r="M27" i="17"/>
  <c r="L27" i="17"/>
  <c r="J27" i="17"/>
  <c r="I27" i="17"/>
  <c r="H27" i="17"/>
  <c r="M26" i="17"/>
  <c r="L26" i="17"/>
  <c r="J26" i="17"/>
  <c r="I26" i="17"/>
  <c r="H26" i="17"/>
  <c r="M25" i="17"/>
  <c r="L25" i="17"/>
  <c r="J25" i="17"/>
  <c r="I25" i="17"/>
  <c r="H25" i="17"/>
  <c r="M24" i="17"/>
  <c r="L24" i="17"/>
  <c r="J24" i="17"/>
  <c r="I24" i="17"/>
  <c r="H24" i="17"/>
  <c r="M23" i="17"/>
  <c r="L23" i="17"/>
  <c r="J23" i="17"/>
  <c r="I23" i="17"/>
  <c r="H23" i="17"/>
  <c r="M22" i="17"/>
  <c r="L22" i="17"/>
  <c r="J22" i="17"/>
  <c r="I22" i="17"/>
  <c r="H22" i="17"/>
  <c r="M21" i="17"/>
  <c r="L21" i="17"/>
  <c r="J21" i="17"/>
  <c r="I21" i="17"/>
  <c r="H21" i="17"/>
  <c r="M20" i="17"/>
  <c r="L20" i="17"/>
  <c r="J20" i="17"/>
  <c r="I20" i="17"/>
  <c r="H20" i="17"/>
  <c r="C15" i="17"/>
  <c r="AC11" i="17"/>
  <c r="M8" i="17"/>
  <c r="L8" i="17"/>
  <c r="K8" i="17"/>
  <c r="J8" i="17"/>
  <c r="I8" i="17"/>
  <c r="H8" i="17"/>
  <c r="G8" i="17"/>
  <c r="A53" i="10"/>
  <c r="K46" i="10"/>
  <c r="J46" i="10"/>
  <c r="I46" i="10"/>
  <c r="H46" i="10"/>
  <c r="G46" i="10"/>
  <c r="F46" i="10"/>
  <c r="E46" i="10"/>
  <c r="C80" i="16"/>
  <c r="J79" i="16"/>
  <c r="J78" i="16"/>
  <c r="J77" i="16"/>
  <c r="C75" i="16"/>
  <c r="I74" i="16"/>
  <c r="J74" i="16" s="1"/>
  <c r="E73" i="16"/>
  <c r="E72" i="16"/>
  <c r="I71" i="16"/>
  <c r="J71" i="16" s="1"/>
  <c r="J70" i="16"/>
  <c r="C67" i="16"/>
  <c r="J66" i="16"/>
  <c r="I66" i="16"/>
  <c r="H66" i="16"/>
  <c r="G66" i="16"/>
  <c r="N64" i="16"/>
  <c r="J64" i="16"/>
  <c r="N63" i="16"/>
  <c r="H63" i="16"/>
  <c r="G63" i="16" s="1"/>
  <c r="I63" i="16" s="1"/>
  <c r="N62" i="16"/>
  <c r="J62" i="16"/>
  <c r="C60" i="16"/>
  <c r="N59" i="16"/>
  <c r="J59" i="16"/>
  <c r="N58" i="16"/>
  <c r="J58" i="16"/>
  <c r="C56" i="16"/>
  <c r="N55" i="16"/>
  <c r="J55" i="16"/>
  <c r="J54" i="16"/>
  <c r="F51" i="16"/>
  <c r="F52" i="16" s="1"/>
  <c r="F56" i="16" s="1"/>
  <c r="F60" i="16" s="1"/>
  <c r="E51" i="16"/>
  <c r="C51" i="16"/>
  <c r="M50" i="16"/>
  <c r="L50" i="16"/>
  <c r="K50" i="16"/>
  <c r="J50" i="16"/>
  <c r="I50" i="16"/>
  <c r="H50" i="16"/>
  <c r="G50" i="16"/>
  <c r="C40" i="16"/>
  <c r="M39" i="16"/>
  <c r="L39" i="16"/>
  <c r="H39" i="16"/>
  <c r="F39" i="16"/>
  <c r="C39" i="16"/>
  <c r="C38" i="16"/>
  <c r="M35" i="16"/>
  <c r="L35" i="16"/>
  <c r="J35" i="16"/>
  <c r="I35" i="16"/>
  <c r="H35" i="16"/>
  <c r="M34" i="16"/>
  <c r="L34" i="16"/>
  <c r="J34" i="16"/>
  <c r="I34" i="16"/>
  <c r="H34" i="16"/>
  <c r="M33" i="16"/>
  <c r="L33" i="16"/>
  <c r="J33" i="16"/>
  <c r="I33" i="16"/>
  <c r="H33" i="16"/>
  <c r="M32" i="16"/>
  <c r="L32" i="16"/>
  <c r="J32" i="16"/>
  <c r="I32" i="16"/>
  <c r="H32" i="16"/>
  <c r="M30" i="16"/>
  <c r="L30" i="16"/>
  <c r="J30" i="16"/>
  <c r="I30" i="16"/>
  <c r="H30" i="16"/>
  <c r="M29" i="16"/>
  <c r="L29" i="16"/>
  <c r="J29" i="16"/>
  <c r="I29" i="16"/>
  <c r="H29" i="16"/>
  <c r="M28" i="16"/>
  <c r="L28" i="16"/>
  <c r="J28" i="16"/>
  <c r="I28" i="16"/>
  <c r="H28" i="16"/>
  <c r="M27" i="16"/>
  <c r="L27" i="16"/>
  <c r="J27" i="16"/>
  <c r="I27" i="16"/>
  <c r="H27" i="16"/>
  <c r="M26" i="16"/>
  <c r="L26" i="16"/>
  <c r="J26" i="16"/>
  <c r="I26" i="16"/>
  <c r="H26" i="16"/>
  <c r="M25" i="16"/>
  <c r="L25" i="16"/>
  <c r="J25" i="16"/>
  <c r="I25" i="16"/>
  <c r="H25" i="16"/>
  <c r="M24" i="16"/>
  <c r="L24" i="16"/>
  <c r="J24" i="16"/>
  <c r="I24" i="16"/>
  <c r="H24" i="16"/>
  <c r="M23" i="16"/>
  <c r="L23" i="16"/>
  <c r="J23" i="16"/>
  <c r="I23" i="16"/>
  <c r="H23" i="16"/>
  <c r="M22" i="16"/>
  <c r="L22" i="16"/>
  <c r="J22" i="16"/>
  <c r="I22" i="16"/>
  <c r="H22" i="16"/>
  <c r="M21" i="16"/>
  <c r="L21" i="16"/>
  <c r="J21" i="16"/>
  <c r="I21" i="16"/>
  <c r="H21" i="16"/>
  <c r="M20" i="16"/>
  <c r="L20" i="16"/>
  <c r="J20" i="16"/>
  <c r="I20" i="16"/>
  <c r="H20" i="16"/>
  <c r="C15" i="16"/>
  <c r="AC11" i="16"/>
  <c r="M8" i="16"/>
  <c r="L8" i="16"/>
  <c r="K8" i="16"/>
  <c r="J8" i="16"/>
  <c r="I8" i="16"/>
  <c r="H8" i="16"/>
  <c r="G8" i="16"/>
  <c r="A42" i="10"/>
  <c r="K35" i="10"/>
  <c r="J35" i="10"/>
  <c r="I35" i="10"/>
  <c r="H35" i="10"/>
  <c r="G35" i="10"/>
  <c r="F35" i="10"/>
  <c r="E35" i="10"/>
  <c r="C80" i="15"/>
  <c r="J79" i="15"/>
  <c r="J78" i="15"/>
  <c r="J77" i="15"/>
  <c r="C75" i="15"/>
  <c r="I74" i="15"/>
  <c r="J74" i="15" s="1"/>
  <c r="E73" i="15"/>
  <c r="E72" i="15"/>
  <c r="I71" i="15"/>
  <c r="J71" i="15" s="1"/>
  <c r="J70" i="15"/>
  <c r="C67" i="15"/>
  <c r="J66" i="15"/>
  <c r="I66" i="15"/>
  <c r="H66" i="15"/>
  <c r="G66" i="15"/>
  <c r="N64" i="15"/>
  <c r="J64" i="15"/>
  <c r="N63" i="15"/>
  <c r="H63" i="15"/>
  <c r="G63" i="15" s="1"/>
  <c r="I63" i="15" s="1"/>
  <c r="N62" i="15"/>
  <c r="J62" i="15"/>
  <c r="C60" i="15"/>
  <c r="N59" i="15"/>
  <c r="J59" i="15"/>
  <c r="N58" i="15"/>
  <c r="J58" i="15"/>
  <c r="C56" i="15"/>
  <c r="N55" i="15"/>
  <c r="J55" i="15"/>
  <c r="J54" i="15"/>
  <c r="F51" i="15"/>
  <c r="E51" i="15"/>
  <c r="C51" i="15"/>
  <c r="M50" i="15"/>
  <c r="L50" i="15"/>
  <c r="K50" i="15"/>
  <c r="J50" i="15"/>
  <c r="I50" i="15"/>
  <c r="H50" i="15"/>
  <c r="G50" i="15"/>
  <c r="C40" i="15"/>
  <c r="M39" i="15"/>
  <c r="L39" i="15"/>
  <c r="H39" i="15"/>
  <c r="F39" i="15"/>
  <c r="C39" i="15"/>
  <c r="C38" i="15"/>
  <c r="M35" i="15"/>
  <c r="L35" i="15"/>
  <c r="J35" i="15"/>
  <c r="I35" i="15"/>
  <c r="H35" i="15"/>
  <c r="M34" i="15"/>
  <c r="L34" i="15"/>
  <c r="J34" i="15"/>
  <c r="I34" i="15"/>
  <c r="H34" i="15"/>
  <c r="M33" i="15"/>
  <c r="L33" i="15"/>
  <c r="J33" i="15"/>
  <c r="I33" i="15"/>
  <c r="H33" i="15"/>
  <c r="M32" i="15"/>
  <c r="L32" i="15"/>
  <c r="J32" i="15"/>
  <c r="I32" i="15"/>
  <c r="H32" i="15"/>
  <c r="M30" i="15"/>
  <c r="L30" i="15"/>
  <c r="J30" i="15"/>
  <c r="I30" i="15"/>
  <c r="H30" i="15"/>
  <c r="M29" i="15"/>
  <c r="L29" i="15"/>
  <c r="J29" i="15"/>
  <c r="I29" i="15"/>
  <c r="H29" i="15"/>
  <c r="M28" i="15"/>
  <c r="L28" i="15"/>
  <c r="J28" i="15"/>
  <c r="I28" i="15"/>
  <c r="H28" i="15"/>
  <c r="M27" i="15"/>
  <c r="L27" i="15"/>
  <c r="J27" i="15"/>
  <c r="I27" i="15"/>
  <c r="H27" i="15"/>
  <c r="M26" i="15"/>
  <c r="L26" i="15"/>
  <c r="J26" i="15"/>
  <c r="I26" i="15"/>
  <c r="H26" i="15"/>
  <c r="M25" i="15"/>
  <c r="L25" i="15"/>
  <c r="J25" i="15"/>
  <c r="I25" i="15"/>
  <c r="H25" i="15"/>
  <c r="M24" i="15"/>
  <c r="L24" i="15"/>
  <c r="J24" i="15"/>
  <c r="I24" i="15"/>
  <c r="H24" i="15"/>
  <c r="M23" i="15"/>
  <c r="L23" i="15"/>
  <c r="J23" i="15"/>
  <c r="I23" i="15"/>
  <c r="H23" i="15"/>
  <c r="M22" i="15"/>
  <c r="L22" i="15"/>
  <c r="J22" i="15"/>
  <c r="I22" i="15"/>
  <c r="H22" i="15"/>
  <c r="M21" i="15"/>
  <c r="L21" i="15"/>
  <c r="J21" i="15"/>
  <c r="I21" i="15"/>
  <c r="H21" i="15"/>
  <c r="M20" i="15"/>
  <c r="L20" i="15"/>
  <c r="J20" i="15"/>
  <c r="I20" i="15"/>
  <c r="H20" i="15"/>
  <c r="C15" i="15"/>
  <c r="AC11" i="15"/>
  <c r="M8" i="15"/>
  <c r="L8" i="15"/>
  <c r="K8" i="15"/>
  <c r="J8" i="15"/>
  <c r="I8" i="15"/>
  <c r="H8" i="15"/>
  <c r="G8" i="15"/>
  <c r="A31" i="10"/>
  <c r="K24" i="10"/>
  <c r="J24" i="10"/>
  <c r="I24" i="10"/>
  <c r="H24" i="10"/>
  <c r="G24" i="10"/>
  <c r="F24" i="10"/>
  <c r="E24" i="10"/>
  <c r="C80" i="14"/>
  <c r="J79" i="14"/>
  <c r="J78" i="14"/>
  <c r="J77" i="14"/>
  <c r="C75" i="14"/>
  <c r="I74" i="14"/>
  <c r="J74" i="14" s="1"/>
  <c r="E73" i="14"/>
  <c r="E72" i="14"/>
  <c r="I71" i="14"/>
  <c r="J71" i="14" s="1"/>
  <c r="J70" i="14"/>
  <c r="C67" i="14"/>
  <c r="J66" i="14"/>
  <c r="I66" i="14"/>
  <c r="H66" i="14"/>
  <c r="G66" i="14"/>
  <c r="N64" i="14"/>
  <c r="J64" i="14"/>
  <c r="N63" i="14"/>
  <c r="H63" i="14"/>
  <c r="G63" i="14" s="1"/>
  <c r="I63" i="14" s="1"/>
  <c r="N62" i="14"/>
  <c r="J62" i="14"/>
  <c r="C60" i="14"/>
  <c r="N59" i="14"/>
  <c r="J59" i="14"/>
  <c r="N58" i="14"/>
  <c r="J58" i="14"/>
  <c r="C56" i="14"/>
  <c r="N55" i="14"/>
  <c r="J55" i="14"/>
  <c r="J54" i="14"/>
  <c r="F51" i="14"/>
  <c r="E51" i="14"/>
  <c r="C51" i="14"/>
  <c r="M50" i="14"/>
  <c r="L50" i="14"/>
  <c r="K50" i="14"/>
  <c r="J50" i="14"/>
  <c r="I50" i="14"/>
  <c r="H50" i="14"/>
  <c r="G50" i="14"/>
  <c r="C40" i="14"/>
  <c r="M39" i="14"/>
  <c r="L39" i="14"/>
  <c r="H39" i="14"/>
  <c r="F39" i="14"/>
  <c r="C39" i="14"/>
  <c r="C38" i="14"/>
  <c r="M35" i="14"/>
  <c r="L35" i="14"/>
  <c r="J35" i="14"/>
  <c r="I35" i="14"/>
  <c r="H35" i="14"/>
  <c r="M34" i="14"/>
  <c r="L34" i="14"/>
  <c r="J34" i="14"/>
  <c r="I34" i="14"/>
  <c r="H34" i="14"/>
  <c r="M33" i="14"/>
  <c r="L33" i="14"/>
  <c r="J33" i="14"/>
  <c r="I33" i="14"/>
  <c r="H33" i="14"/>
  <c r="M32" i="14"/>
  <c r="L32" i="14"/>
  <c r="J32" i="14"/>
  <c r="I32" i="14"/>
  <c r="H32" i="14"/>
  <c r="M30" i="14"/>
  <c r="L30" i="14"/>
  <c r="J30" i="14"/>
  <c r="I30" i="14"/>
  <c r="H30" i="14"/>
  <c r="M29" i="14"/>
  <c r="L29" i="14"/>
  <c r="J29" i="14"/>
  <c r="I29" i="14"/>
  <c r="H29" i="14"/>
  <c r="M28" i="14"/>
  <c r="L28" i="14"/>
  <c r="J28" i="14"/>
  <c r="I28" i="14"/>
  <c r="H28" i="14"/>
  <c r="M27" i="14"/>
  <c r="L27" i="14"/>
  <c r="J27" i="14"/>
  <c r="I27" i="14"/>
  <c r="H27" i="14"/>
  <c r="M26" i="14"/>
  <c r="L26" i="14"/>
  <c r="J26" i="14"/>
  <c r="I26" i="14"/>
  <c r="H26" i="14"/>
  <c r="M25" i="14"/>
  <c r="L25" i="14"/>
  <c r="J25" i="14"/>
  <c r="I25" i="14"/>
  <c r="H25" i="14"/>
  <c r="M24" i="14"/>
  <c r="L24" i="14"/>
  <c r="J24" i="14"/>
  <c r="I24" i="14"/>
  <c r="H24" i="14"/>
  <c r="M23" i="14"/>
  <c r="L23" i="14"/>
  <c r="J23" i="14"/>
  <c r="I23" i="14"/>
  <c r="H23" i="14"/>
  <c r="M22" i="14"/>
  <c r="L22" i="14"/>
  <c r="J22" i="14"/>
  <c r="I22" i="14"/>
  <c r="H22" i="14"/>
  <c r="M21" i="14"/>
  <c r="L21" i="14"/>
  <c r="J21" i="14"/>
  <c r="I21" i="14"/>
  <c r="H21" i="14"/>
  <c r="M20" i="14"/>
  <c r="L20" i="14"/>
  <c r="J20" i="14"/>
  <c r="I20" i="14"/>
  <c r="H20" i="14"/>
  <c r="C15" i="14"/>
  <c r="AC11" i="14"/>
  <c r="M8" i="14"/>
  <c r="L8" i="14"/>
  <c r="K8" i="14"/>
  <c r="J8" i="14"/>
  <c r="I8" i="14"/>
  <c r="H8" i="14"/>
  <c r="G8" i="14"/>
  <c r="A20" i="10"/>
  <c r="K13" i="10"/>
  <c r="J13" i="10"/>
  <c r="I13" i="10"/>
  <c r="H13" i="10"/>
  <c r="G13" i="10"/>
  <c r="F13" i="10"/>
  <c r="E13" i="10"/>
  <c r="C80" i="13"/>
  <c r="J79" i="13"/>
  <c r="J78" i="13"/>
  <c r="J77" i="13"/>
  <c r="C75" i="13"/>
  <c r="I74" i="13"/>
  <c r="J74" i="13" s="1"/>
  <c r="E73" i="13"/>
  <c r="E72" i="13"/>
  <c r="I71" i="13"/>
  <c r="J71" i="13" s="1"/>
  <c r="J70" i="13"/>
  <c r="C67" i="13"/>
  <c r="J66" i="13"/>
  <c r="I66" i="13"/>
  <c r="H66" i="13"/>
  <c r="G66" i="13"/>
  <c r="N64" i="13"/>
  <c r="J64" i="13"/>
  <c r="N63" i="13"/>
  <c r="H63" i="13"/>
  <c r="G63" i="13" s="1"/>
  <c r="I63" i="13" s="1"/>
  <c r="N62" i="13"/>
  <c r="J62" i="13"/>
  <c r="C60" i="13"/>
  <c r="N59" i="13"/>
  <c r="J59" i="13"/>
  <c r="N58" i="13"/>
  <c r="J58" i="13"/>
  <c r="C56" i="13"/>
  <c r="N55" i="13"/>
  <c r="J55" i="13"/>
  <c r="J54" i="13"/>
  <c r="F51" i="13"/>
  <c r="F52" i="13" s="1"/>
  <c r="F56" i="13" s="1"/>
  <c r="F60" i="13" s="1"/>
  <c r="E51" i="13"/>
  <c r="C51" i="13"/>
  <c r="M50" i="13"/>
  <c r="L50" i="13"/>
  <c r="K50" i="13"/>
  <c r="J50" i="13"/>
  <c r="I50" i="13"/>
  <c r="H50" i="13"/>
  <c r="G50" i="13"/>
  <c r="C40" i="13"/>
  <c r="M39" i="13"/>
  <c r="L39" i="13"/>
  <c r="H39" i="13"/>
  <c r="F39" i="13"/>
  <c r="C39" i="13"/>
  <c r="C38" i="13"/>
  <c r="M35" i="13"/>
  <c r="L35" i="13"/>
  <c r="J35" i="13"/>
  <c r="I35" i="13"/>
  <c r="H35" i="13"/>
  <c r="M34" i="13"/>
  <c r="L34" i="13"/>
  <c r="J34" i="13"/>
  <c r="I34" i="13"/>
  <c r="H34" i="13"/>
  <c r="M33" i="13"/>
  <c r="L33" i="13"/>
  <c r="J33" i="13"/>
  <c r="I33" i="13"/>
  <c r="H33" i="13"/>
  <c r="M32" i="13"/>
  <c r="L32" i="13"/>
  <c r="J32" i="13"/>
  <c r="I32" i="13"/>
  <c r="H32" i="13"/>
  <c r="M30" i="13"/>
  <c r="L30" i="13"/>
  <c r="J30" i="13"/>
  <c r="I30" i="13"/>
  <c r="H30" i="13"/>
  <c r="M29" i="13"/>
  <c r="L29" i="13"/>
  <c r="J29" i="13"/>
  <c r="I29" i="13"/>
  <c r="H29" i="13"/>
  <c r="M28" i="13"/>
  <c r="L28" i="13"/>
  <c r="J28" i="13"/>
  <c r="I28" i="13"/>
  <c r="H28" i="13"/>
  <c r="M27" i="13"/>
  <c r="L27" i="13"/>
  <c r="J27" i="13"/>
  <c r="I27" i="13"/>
  <c r="H27" i="13"/>
  <c r="M26" i="13"/>
  <c r="L26" i="13"/>
  <c r="J26" i="13"/>
  <c r="I26" i="13"/>
  <c r="H26" i="13"/>
  <c r="M25" i="13"/>
  <c r="L25" i="13"/>
  <c r="J25" i="13"/>
  <c r="I25" i="13"/>
  <c r="H25" i="13"/>
  <c r="M24" i="13"/>
  <c r="L24" i="13"/>
  <c r="J24" i="13"/>
  <c r="I24" i="13"/>
  <c r="H24" i="13"/>
  <c r="M23" i="13"/>
  <c r="L23" i="13"/>
  <c r="J23" i="13"/>
  <c r="I23" i="13"/>
  <c r="H23" i="13"/>
  <c r="M22" i="13"/>
  <c r="L22" i="13"/>
  <c r="J22" i="13"/>
  <c r="I22" i="13"/>
  <c r="H22" i="13"/>
  <c r="M21" i="13"/>
  <c r="L21" i="13"/>
  <c r="J21" i="13"/>
  <c r="I21" i="13"/>
  <c r="H21" i="13"/>
  <c r="M20" i="13"/>
  <c r="L20" i="13"/>
  <c r="J20" i="13"/>
  <c r="I20" i="13"/>
  <c r="H20" i="13"/>
  <c r="C15" i="13"/>
  <c r="AC11" i="13"/>
  <c r="M8" i="13"/>
  <c r="L8" i="13"/>
  <c r="K8" i="13"/>
  <c r="J8" i="13"/>
  <c r="I8" i="13"/>
  <c r="H8" i="13"/>
  <c r="G8" i="13"/>
  <c r="A9" i="10"/>
  <c r="K2" i="10"/>
  <c r="J2" i="10"/>
  <c r="I2" i="10"/>
  <c r="H2" i="10"/>
  <c r="G2" i="10"/>
  <c r="F2" i="10"/>
  <c r="E2" i="10"/>
  <c r="C80" i="12"/>
  <c r="J79" i="12"/>
  <c r="J78" i="12"/>
  <c r="J77" i="12"/>
  <c r="C75" i="12"/>
  <c r="I74" i="12"/>
  <c r="J74" i="12" s="1"/>
  <c r="E73" i="12"/>
  <c r="E72" i="12"/>
  <c r="I71" i="12"/>
  <c r="J71" i="12" s="1"/>
  <c r="J70" i="12"/>
  <c r="C67" i="12"/>
  <c r="J66" i="12"/>
  <c r="I66" i="12"/>
  <c r="H66" i="12"/>
  <c r="G66" i="12"/>
  <c r="N64" i="12"/>
  <c r="J64" i="12"/>
  <c r="N63" i="12"/>
  <c r="H63" i="12"/>
  <c r="G63" i="12" s="1"/>
  <c r="I63" i="12" s="1"/>
  <c r="N62" i="12"/>
  <c r="J62" i="12"/>
  <c r="C60" i="12"/>
  <c r="N59" i="12"/>
  <c r="J59" i="12"/>
  <c r="N58" i="12"/>
  <c r="J58" i="12"/>
  <c r="C56" i="12"/>
  <c r="N55" i="12"/>
  <c r="J55" i="12"/>
  <c r="J54" i="12"/>
  <c r="F51" i="12"/>
  <c r="E51" i="12"/>
  <c r="C51" i="12"/>
  <c r="M50" i="12"/>
  <c r="L50" i="12"/>
  <c r="K50" i="12"/>
  <c r="J50" i="12"/>
  <c r="I50" i="12"/>
  <c r="H50" i="12"/>
  <c r="G50" i="12"/>
  <c r="C40" i="12"/>
  <c r="M39" i="12"/>
  <c r="L39" i="12"/>
  <c r="H39" i="12"/>
  <c r="F39" i="12"/>
  <c r="C39" i="12"/>
  <c r="C38" i="12"/>
  <c r="M35" i="12"/>
  <c r="L35" i="12"/>
  <c r="J35" i="12"/>
  <c r="I35" i="12"/>
  <c r="H35" i="12"/>
  <c r="M34" i="12"/>
  <c r="L34" i="12"/>
  <c r="J34" i="12"/>
  <c r="I34" i="12"/>
  <c r="H34" i="12"/>
  <c r="M33" i="12"/>
  <c r="L33" i="12"/>
  <c r="J33" i="12"/>
  <c r="I33" i="12"/>
  <c r="H33" i="12"/>
  <c r="M32" i="12"/>
  <c r="L32" i="12"/>
  <c r="J32" i="12"/>
  <c r="I32" i="12"/>
  <c r="H32" i="12"/>
  <c r="M30" i="12"/>
  <c r="L30" i="12"/>
  <c r="J30" i="12"/>
  <c r="I30" i="12"/>
  <c r="H30" i="12"/>
  <c r="M29" i="12"/>
  <c r="L29" i="12"/>
  <c r="J29" i="12"/>
  <c r="I29" i="12"/>
  <c r="H29" i="12"/>
  <c r="M28" i="12"/>
  <c r="L28" i="12"/>
  <c r="J28" i="12"/>
  <c r="I28" i="12"/>
  <c r="H28" i="12"/>
  <c r="M27" i="12"/>
  <c r="L27" i="12"/>
  <c r="J27" i="12"/>
  <c r="I27" i="12"/>
  <c r="H27" i="12"/>
  <c r="M26" i="12"/>
  <c r="L26" i="12"/>
  <c r="J26" i="12"/>
  <c r="I26" i="12"/>
  <c r="H26" i="12"/>
  <c r="M25" i="12"/>
  <c r="L25" i="12"/>
  <c r="J25" i="12"/>
  <c r="I25" i="12"/>
  <c r="H25" i="12"/>
  <c r="M24" i="12"/>
  <c r="L24" i="12"/>
  <c r="J24" i="12"/>
  <c r="I24" i="12"/>
  <c r="H24" i="12"/>
  <c r="M23" i="12"/>
  <c r="L23" i="12"/>
  <c r="J23" i="12"/>
  <c r="I23" i="12"/>
  <c r="H23" i="12"/>
  <c r="M22" i="12"/>
  <c r="L22" i="12"/>
  <c r="J22" i="12"/>
  <c r="I22" i="12"/>
  <c r="H22" i="12"/>
  <c r="M21" i="12"/>
  <c r="L21" i="12"/>
  <c r="J21" i="12"/>
  <c r="I21" i="12"/>
  <c r="H21" i="12"/>
  <c r="M20" i="12"/>
  <c r="L20" i="12"/>
  <c r="J20" i="12"/>
  <c r="I20" i="12"/>
  <c r="H20" i="12"/>
  <c r="C15" i="12"/>
  <c r="AC11" i="12"/>
  <c r="M8" i="12"/>
  <c r="L8" i="12"/>
  <c r="K8" i="12"/>
  <c r="J8" i="12"/>
  <c r="I8" i="12"/>
  <c r="H8" i="12"/>
  <c r="G8" i="12"/>
  <c r="CN3" i="5"/>
  <c r="CN4" i="5"/>
  <c r="CN5" i="5"/>
  <c r="CN6" i="5"/>
  <c r="CN7" i="5"/>
  <c r="CN8" i="5"/>
  <c r="CN9" i="5"/>
  <c r="CN10" i="5"/>
  <c r="CN11" i="5"/>
  <c r="CN12" i="5"/>
  <c r="CN13" i="5"/>
  <c r="CN14" i="5"/>
  <c r="CN15" i="5"/>
  <c r="CN16" i="5"/>
  <c r="CN17" i="5"/>
  <c r="CN18" i="5"/>
  <c r="CN19" i="5"/>
  <c r="CN20" i="5"/>
  <c r="CN21" i="5"/>
  <c r="CN22" i="5"/>
  <c r="CN23" i="5"/>
  <c r="CN24" i="5"/>
  <c r="CN25" i="5"/>
  <c r="CN26" i="5"/>
  <c r="CN27" i="5"/>
  <c r="CN28" i="5"/>
  <c r="CN29" i="5"/>
  <c r="CN30" i="5"/>
  <c r="CN31" i="5"/>
  <c r="CN32" i="5"/>
  <c r="CN33" i="5"/>
  <c r="CN34" i="5"/>
  <c r="CN35" i="5"/>
  <c r="CN36" i="5"/>
  <c r="CN37" i="5"/>
  <c r="CN38" i="5"/>
  <c r="CN39" i="5"/>
  <c r="CN40" i="5"/>
  <c r="CN41" i="5"/>
  <c r="CN42" i="5"/>
  <c r="CN43" i="5"/>
  <c r="CN44" i="5"/>
  <c r="CN45" i="5"/>
  <c r="CN46" i="5"/>
  <c r="CN47" i="5"/>
  <c r="CN48" i="5"/>
  <c r="CN49" i="5"/>
  <c r="CN50" i="5"/>
  <c r="CN51" i="5"/>
  <c r="CN52" i="5"/>
  <c r="CN53" i="5"/>
  <c r="CN54" i="5"/>
  <c r="CN55" i="5"/>
  <c r="CN56" i="5"/>
  <c r="CN57" i="5"/>
  <c r="CN58" i="5"/>
  <c r="CN59" i="5"/>
  <c r="CN60" i="5"/>
  <c r="CN61" i="5"/>
  <c r="CN62" i="5"/>
  <c r="CN63" i="5"/>
  <c r="CN64" i="5"/>
  <c r="CN65" i="5"/>
  <c r="CN66" i="5"/>
  <c r="CN67" i="5"/>
  <c r="CN68" i="5"/>
  <c r="CN69" i="5"/>
  <c r="CN70" i="5"/>
  <c r="CN71" i="5"/>
  <c r="CN72" i="5"/>
  <c r="CN73" i="5"/>
  <c r="CN74" i="5"/>
  <c r="CN75" i="5"/>
  <c r="CN76" i="5"/>
  <c r="CN77" i="5"/>
  <c r="CN78" i="5"/>
  <c r="CN79" i="5"/>
  <c r="CN80" i="5"/>
  <c r="CN81" i="5"/>
  <c r="CN82" i="5"/>
  <c r="CN83" i="5"/>
  <c r="CN84" i="5"/>
  <c r="CN85" i="5"/>
  <c r="CN86" i="5"/>
  <c r="CN87" i="5"/>
  <c r="CN88" i="5"/>
  <c r="CN89" i="5"/>
  <c r="CN90" i="5"/>
  <c r="CN91" i="5"/>
  <c r="CN92" i="5"/>
  <c r="CN93" i="5"/>
  <c r="CN94" i="5"/>
  <c r="CN95" i="5"/>
  <c r="CN96" i="5"/>
  <c r="CN97" i="5"/>
  <c r="CN98" i="5"/>
  <c r="CN99" i="5"/>
  <c r="CN100" i="5"/>
  <c r="CN101" i="5"/>
  <c r="CN102" i="5"/>
  <c r="CN103" i="5"/>
  <c r="CN104" i="5"/>
  <c r="CN105" i="5"/>
  <c r="CN106" i="5"/>
  <c r="CN107" i="5"/>
  <c r="CN108" i="5"/>
  <c r="CN109" i="5"/>
  <c r="CN110" i="5"/>
  <c r="CN111" i="5"/>
  <c r="CN112" i="5"/>
  <c r="CN113" i="5"/>
  <c r="CN114" i="5"/>
  <c r="CN115" i="5"/>
  <c r="CN116" i="5"/>
  <c r="CN117" i="5"/>
  <c r="CN118" i="5"/>
  <c r="CN119" i="5"/>
  <c r="CN120" i="5"/>
  <c r="CN121" i="5"/>
  <c r="CN122" i="5"/>
  <c r="CN123" i="5"/>
  <c r="CN124" i="5"/>
  <c r="CN125" i="5"/>
  <c r="CN126" i="5"/>
  <c r="CN127" i="5"/>
  <c r="CN128" i="5"/>
  <c r="CN129" i="5"/>
  <c r="CN130" i="5"/>
  <c r="CN131" i="5"/>
  <c r="CN132" i="5"/>
  <c r="CN133" i="5"/>
  <c r="CN134" i="5"/>
  <c r="CN135" i="5"/>
  <c r="CN136" i="5"/>
  <c r="CN137" i="5"/>
  <c r="CN138" i="5"/>
  <c r="CN139" i="5"/>
  <c r="CN140" i="5"/>
  <c r="CN141" i="5"/>
  <c r="CN142" i="5"/>
  <c r="CN143" i="5"/>
  <c r="CN144" i="5"/>
  <c r="CN145" i="5"/>
  <c r="CN146" i="5"/>
  <c r="CN147" i="5"/>
  <c r="CN148" i="5"/>
  <c r="CN149" i="5"/>
  <c r="CN150" i="5"/>
  <c r="CN151" i="5"/>
  <c r="CN152" i="5"/>
  <c r="CN153" i="5"/>
  <c r="CN154" i="5"/>
  <c r="CN155" i="5"/>
  <c r="CN156" i="5"/>
  <c r="CN157" i="5"/>
  <c r="CN158" i="5"/>
  <c r="CN159" i="5"/>
  <c r="CN160" i="5"/>
  <c r="CN161" i="5"/>
  <c r="CN162" i="5"/>
  <c r="CN163" i="5"/>
  <c r="CN164" i="5"/>
  <c r="CN165" i="5"/>
  <c r="CN166" i="5"/>
  <c r="CN167" i="5"/>
  <c r="CN168" i="5"/>
  <c r="CN169" i="5"/>
  <c r="CN170" i="5"/>
  <c r="CN171" i="5"/>
  <c r="CN172" i="5"/>
  <c r="CN173" i="5"/>
  <c r="CN174" i="5"/>
  <c r="CN175" i="5"/>
  <c r="CN176" i="5"/>
  <c r="CN177" i="5"/>
  <c r="CN178" i="5"/>
  <c r="CN179" i="5"/>
  <c r="CN180" i="5"/>
  <c r="CN181" i="5"/>
  <c r="CN182" i="5"/>
  <c r="CN183" i="5"/>
  <c r="CN184" i="5"/>
  <c r="CN185" i="5"/>
  <c r="CN186" i="5"/>
  <c r="CN187" i="5"/>
  <c r="CN188" i="5"/>
  <c r="CN189" i="5"/>
  <c r="CN190" i="5"/>
  <c r="CN191" i="5"/>
  <c r="CN192" i="5"/>
  <c r="CN193" i="5"/>
  <c r="CN194" i="5"/>
  <c r="CN195" i="5"/>
  <c r="CN196" i="5"/>
  <c r="CN197" i="5"/>
  <c r="CN198" i="5"/>
  <c r="CN199" i="5"/>
  <c r="CN200" i="5"/>
  <c r="CN201" i="5"/>
  <c r="CN202" i="5"/>
  <c r="CN203" i="5"/>
  <c r="CN204" i="5"/>
  <c r="CN205" i="5"/>
  <c r="CN206" i="5"/>
  <c r="CN207" i="5"/>
  <c r="CN208" i="5"/>
  <c r="CN209" i="5"/>
  <c r="CN210" i="5"/>
  <c r="CN211" i="5"/>
  <c r="CN212" i="5"/>
  <c r="CN213" i="5"/>
  <c r="CN214" i="5"/>
  <c r="CN215" i="5"/>
  <c r="CN216" i="5"/>
  <c r="CN217" i="5"/>
  <c r="CN218" i="5"/>
  <c r="CN219" i="5"/>
  <c r="CN220" i="5"/>
  <c r="CN221" i="5"/>
  <c r="CN222" i="5"/>
  <c r="CN223" i="5"/>
  <c r="CN224" i="5"/>
  <c r="CN225" i="5"/>
  <c r="CN226" i="5"/>
  <c r="CN227" i="5"/>
  <c r="CN228" i="5"/>
  <c r="CN229" i="5"/>
  <c r="CN230" i="5"/>
  <c r="CN231" i="5"/>
  <c r="CN232" i="5"/>
  <c r="CN233" i="5"/>
  <c r="CN234" i="5"/>
  <c r="CN235" i="5"/>
  <c r="CN236" i="5"/>
  <c r="CN237" i="5"/>
  <c r="CN238" i="5"/>
  <c r="CN239" i="5"/>
  <c r="CN240" i="5"/>
  <c r="CN241" i="5"/>
  <c r="CN242" i="5"/>
  <c r="CN243" i="5"/>
  <c r="CN244" i="5"/>
  <c r="CN245" i="5"/>
  <c r="CN246" i="5"/>
  <c r="CN247" i="5"/>
  <c r="CN248" i="5"/>
  <c r="CN249" i="5"/>
  <c r="CN250" i="5"/>
  <c r="CN251" i="5"/>
  <c r="CN252" i="5"/>
  <c r="CN253" i="5"/>
  <c r="CN254" i="5"/>
  <c r="CN255" i="5"/>
  <c r="CN256" i="5"/>
  <c r="CN257" i="5"/>
  <c r="CN258" i="5"/>
  <c r="CN259" i="5"/>
  <c r="CN260" i="5"/>
  <c r="CN261" i="5"/>
  <c r="CN262" i="5"/>
  <c r="CN263" i="5"/>
  <c r="CN264" i="5"/>
  <c r="CN265" i="5"/>
  <c r="CN266" i="5"/>
  <c r="CN267" i="5"/>
  <c r="CN268" i="5"/>
  <c r="CN269" i="5"/>
  <c r="CN270" i="5"/>
  <c r="CN271" i="5"/>
  <c r="CN272" i="5"/>
  <c r="CN273" i="5"/>
  <c r="CN274" i="5"/>
  <c r="CN275" i="5"/>
  <c r="CN276" i="5"/>
  <c r="CN277" i="5"/>
  <c r="CN278" i="5"/>
  <c r="CN279" i="5"/>
  <c r="CN280" i="5"/>
  <c r="CN281" i="5"/>
  <c r="CN282" i="5"/>
  <c r="CN283" i="5"/>
  <c r="CN284" i="5"/>
  <c r="CN285" i="5"/>
  <c r="CN286" i="5"/>
  <c r="CN287" i="5"/>
  <c r="CN288" i="5"/>
  <c r="CN289" i="5"/>
  <c r="CN290" i="5"/>
  <c r="CN291" i="5"/>
  <c r="CN292" i="5"/>
  <c r="CN293" i="5"/>
  <c r="CN294" i="5"/>
  <c r="CN295" i="5"/>
  <c r="CN296" i="5"/>
  <c r="CN297" i="5"/>
  <c r="CN298" i="5"/>
  <c r="CN299" i="5"/>
  <c r="CN300" i="5"/>
  <c r="CN301" i="5"/>
  <c r="CN302" i="5"/>
  <c r="CN303" i="5"/>
  <c r="CN304" i="5"/>
  <c r="CN305" i="5"/>
  <c r="CN306" i="5"/>
  <c r="CN307" i="5"/>
  <c r="CN308" i="5"/>
  <c r="CN309" i="5"/>
  <c r="CN310" i="5"/>
  <c r="CN311" i="5"/>
  <c r="CN312" i="5"/>
  <c r="CN313" i="5"/>
  <c r="CN314" i="5"/>
  <c r="CN315" i="5"/>
  <c r="CN316" i="5"/>
  <c r="CN317" i="5"/>
  <c r="CN318" i="5"/>
  <c r="CN319" i="5"/>
  <c r="CN320" i="5"/>
  <c r="CN321" i="5"/>
  <c r="CN322" i="5"/>
  <c r="CN323" i="5"/>
  <c r="CN324" i="5"/>
  <c r="CN325" i="5"/>
  <c r="CN326" i="5"/>
  <c r="CN327" i="5"/>
  <c r="CN328" i="5"/>
  <c r="CN329" i="5"/>
  <c r="CN330" i="5"/>
  <c r="CN331" i="5"/>
  <c r="CN332" i="5"/>
  <c r="CN333" i="5"/>
  <c r="CN334" i="5"/>
  <c r="CN335" i="5"/>
  <c r="CN336" i="5"/>
  <c r="CN337" i="5"/>
  <c r="CN338" i="5"/>
  <c r="CN339" i="5"/>
  <c r="CN340" i="5"/>
  <c r="CN341" i="5"/>
  <c r="CN342" i="5"/>
  <c r="CN343" i="5"/>
  <c r="CN344" i="5"/>
  <c r="CN345" i="5"/>
  <c r="CN346" i="5"/>
  <c r="CN347" i="5"/>
  <c r="CN348" i="5"/>
  <c r="CN349" i="5"/>
  <c r="CN350" i="5"/>
  <c r="CN351" i="5"/>
  <c r="CN352" i="5"/>
  <c r="CN353" i="5"/>
  <c r="CN354" i="5"/>
  <c r="CN355" i="5"/>
  <c r="CN356" i="5"/>
  <c r="CN357" i="5"/>
  <c r="CN358" i="5"/>
  <c r="CN359" i="5"/>
  <c r="CN360" i="5"/>
  <c r="CN361" i="5"/>
  <c r="CN362" i="5"/>
  <c r="CN363" i="5"/>
  <c r="CN364" i="5"/>
  <c r="CN365" i="5"/>
  <c r="CN366" i="5"/>
  <c r="CN367" i="5"/>
  <c r="CN368" i="5"/>
  <c r="CN369" i="5"/>
  <c r="CN370" i="5"/>
  <c r="CN371" i="5"/>
  <c r="CN372" i="5"/>
  <c r="CN373" i="5"/>
  <c r="CN374" i="5"/>
  <c r="CN375" i="5"/>
  <c r="CN376" i="5"/>
  <c r="CN377" i="5"/>
  <c r="CN378" i="5"/>
  <c r="CN379" i="5"/>
  <c r="CN380" i="5"/>
  <c r="CN381" i="5"/>
  <c r="CN382" i="5"/>
  <c r="CN383" i="5"/>
  <c r="CN384" i="5"/>
  <c r="CN385" i="5"/>
  <c r="CN386" i="5"/>
  <c r="CN387" i="5"/>
  <c r="CN388" i="5"/>
  <c r="CN389" i="5"/>
  <c r="CN390" i="5"/>
  <c r="CN391" i="5"/>
  <c r="CN392" i="5"/>
  <c r="CN393" i="5"/>
  <c r="CN394" i="5"/>
  <c r="CN395" i="5"/>
  <c r="CN396" i="5"/>
  <c r="CN397" i="5"/>
  <c r="CN398" i="5"/>
  <c r="CN399" i="5"/>
  <c r="CN400" i="5"/>
  <c r="CN401" i="5"/>
  <c r="CN402" i="5"/>
  <c r="CN403" i="5"/>
  <c r="CN404" i="5"/>
  <c r="CN405" i="5"/>
  <c r="CN406" i="5"/>
  <c r="CN407" i="5"/>
  <c r="CN408" i="5"/>
  <c r="CN409" i="5"/>
  <c r="CN410" i="5"/>
  <c r="CN411" i="5"/>
  <c r="CN412" i="5"/>
  <c r="CN413" i="5"/>
  <c r="CN414" i="5"/>
  <c r="CN415" i="5"/>
  <c r="CN416" i="5"/>
  <c r="CN417" i="5"/>
  <c r="CN418" i="5"/>
  <c r="CN419" i="5"/>
  <c r="CN420" i="5"/>
  <c r="CN421" i="5"/>
  <c r="CN422" i="5"/>
  <c r="CN423" i="5"/>
  <c r="CN424" i="5"/>
  <c r="CN425" i="5"/>
  <c r="CN426" i="5"/>
  <c r="CN427" i="5"/>
  <c r="CN428" i="5"/>
  <c r="CN429" i="5"/>
  <c r="CN430" i="5"/>
  <c r="CN431" i="5"/>
  <c r="CN432" i="5"/>
  <c r="CN433" i="5"/>
  <c r="CN434" i="5"/>
  <c r="CN435" i="5"/>
  <c r="CN436" i="5"/>
  <c r="CN437" i="5"/>
  <c r="CN438" i="5"/>
  <c r="CN439" i="5"/>
  <c r="CN440" i="5"/>
  <c r="CN441" i="5"/>
  <c r="CN442" i="5"/>
  <c r="CN443" i="5"/>
  <c r="CN444" i="5"/>
  <c r="CN445" i="5"/>
  <c r="CN446" i="5"/>
  <c r="CN447" i="5"/>
  <c r="CN448" i="5"/>
  <c r="CN449" i="5"/>
  <c r="CN450" i="5"/>
  <c r="CN451" i="5"/>
  <c r="CN452" i="5"/>
  <c r="CN453" i="5"/>
  <c r="CN454" i="5"/>
  <c r="CN455" i="5"/>
  <c r="CN456" i="5"/>
  <c r="CN457" i="5"/>
  <c r="CN458" i="5"/>
  <c r="CN459" i="5"/>
  <c r="CN460" i="5"/>
  <c r="CN461" i="5"/>
  <c r="CN462" i="5"/>
  <c r="CN463" i="5"/>
  <c r="CN464" i="5"/>
  <c r="CN465" i="5"/>
  <c r="CN466" i="5"/>
  <c r="CN467" i="5"/>
  <c r="CN468" i="5"/>
  <c r="CN469" i="5"/>
  <c r="CN470" i="5"/>
  <c r="CN471" i="5"/>
  <c r="CN472" i="5"/>
  <c r="CN473" i="5"/>
  <c r="CN474" i="5"/>
  <c r="CN475" i="5"/>
  <c r="CN476" i="5"/>
  <c r="CN477" i="5"/>
  <c r="CN478" i="5"/>
  <c r="CN479" i="5"/>
  <c r="CN480" i="5"/>
  <c r="CN481" i="5"/>
  <c r="CN482" i="5"/>
  <c r="CN483" i="5"/>
  <c r="CN484" i="5"/>
  <c r="CN485" i="5"/>
  <c r="CN486" i="5"/>
  <c r="CN487" i="5"/>
  <c r="CN488" i="5"/>
  <c r="CN489" i="5"/>
  <c r="CN490" i="5"/>
  <c r="CN491" i="5"/>
  <c r="CN492" i="5"/>
  <c r="CN493" i="5"/>
  <c r="CN494" i="5"/>
  <c r="CN495" i="5"/>
  <c r="CN496" i="5"/>
  <c r="CN497" i="5"/>
  <c r="CN498" i="5"/>
  <c r="CN499" i="5"/>
  <c r="CN500" i="5"/>
  <c r="CN501" i="5"/>
  <c r="CN502" i="5"/>
  <c r="CN503" i="5"/>
  <c r="CN504" i="5"/>
  <c r="CN505" i="5"/>
  <c r="CN506" i="5"/>
  <c r="CN507" i="5"/>
  <c r="CN508" i="5"/>
  <c r="CN509" i="5"/>
  <c r="CN510" i="5"/>
  <c r="CN511" i="5"/>
  <c r="CN512" i="5"/>
  <c r="CN513" i="5"/>
  <c r="CN514" i="5"/>
  <c r="CN515" i="5"/>
  <c r="CN516" i="5"/>
  <c r="CN517" i="5"/>
  <c r="CN518" i="5"/>
  <c r="CN519" i="5"/>
  <c r="CN520" i="5"/>
  <c r="CN521" i="5"/>
  <c r="CN522" i="5"/>
  <c r="CN523" i="5"/>
  <c r="CN524" i="5"/>
  <c r="CN525" i="5"/>
  <c r="CN526" i="5"/>
  <c r="CN527" i="5"/>
  <c r="CN528" i="5"/>
  <c r="CN529" i="5"/>
  <c r="CN530" i="5"/>
  <c r="CN531" i="5"/>
  <c r="CN532" i="5"/>
  <c r="CN533" i="5"/>
  <c r="CN534" i="5"/>
  <c r="CN535" i="5"/>
  <c r="CN536" i="5"/>
  <c r="CN537" i="5"/>
  <c r="CN538" i="5"/>
  <c r="CN539" i="5"/>
  <c r="CN540" i="5"/>
  <c r="CN541" i="5"/>
  <c r="CN542" i="5"/>
  <c r="CN543" i="5"/>
  <c r="CN544" i="5"/>
  <c r="CN545" i="5"/>
  <c r="CN546" i="5"/>
  <c r="CN547" i="5"/>
  <c r="CN548" i="5"/>
  <c r="CN549" i="5"/>
  <c r="CN550" i="5"/>
  <c r="CN551" i="5"/>
  <c r="CN552" i="5"/>
  <c r="CN553" i="5"/>
  <c r="CN554" i="5"/>
  <c r="CN555" i="5"/>
  <c r="CN556" i="5"/>
  <c r="CN557" i="5"/>
  <c r="CN2" i="5"/>
  <c r="CM3" i="5"/>
  <c r="CM4" i="5"/>
  <c r="CM5" i="5"/>
  <c r="CM6" i="5"/>
  <c r="CM7" i="5"/>
  <c r="CM8" i="5"/>
  <c r="CM9" i="5"/>
  <c r="CM10" i="5"/>
  <c r="CM11" i="5"/>
  <c r="CM12" i="5"/>
  <c r="CM13" i="5"/>
  <c r="CM14" i="5"/>
  <c r="CM15" i="5"/>
  <c r="CM16" i="5"/>
  <c r="CM17" i="5"/>
  <c r="CM18" i="5"/>
  <c r="CM19" i="5"/>
  <c r="CM20" i="5"/>
  <c r="CM21" i="5"/>
  <c r="CM22" i="5"/>
  <c r="CM23" i="5"/>
  <c r="CM24" i="5"/>
  <c r="CM25" i="5"/>
  <c r="CM26" i="5"/>
  <c r="CM27" i="5"/>
  <c r="CM28" i="5"/>
  <c r="CM29" i="5"/>
  <c r="CM30" i="5"/>
  <c r="CM31" i="5"/>
  <c r="CM32" i="5"/>
  <c r="CM33" i="5"/>
  <c r="CM34" i="5"/>
  <c r="CM35" i="5"/>
  <c r="CM36" i="5"/>
  <c r="CM37" i="5"/>
  <c r="CM38" i="5"/>
  <c r="CM39" i="5"/>
  <c r="CM40" i="5"/>
  <c r="CM41" i="5"/>
  <c r="CM42" i="5"/>
  <c r="CM43" i="5"/>
  <c r="CM44" i="5"/>
  <c r="CM45" i="5"/>
  <c r="CM46" i="5"/>
  <c r="CM47" i="5"/>
  <c r="CM48" i="5"/>
  <c r="CM49" i="5"/>
  <c r="CM50" i="5"/>
  <c r="CM51" i="5"/>
  <c r="CM52" i="5"/>
  <c r="CM53" i="5"/>
  <c r="CM54" i="5"/>
  <c r="CM55" i="5"/>
  <c r="CM56" i="5"/>
  <c r="CM57" i="5"/>
  <c r="CM58" i="5"/>
  <c r="CM59" i="5"/>
  <c r="CM60" i="5"/>
  <c r="CM61" i="5"/>
  <c r="CM62" i="5"/>
  <c r="CM63" i="5"/>
  <c r="CM64" i="5"/>
  <c r="CM65" i="5"/>
  <c r="CM66" i="5"/>
  <c r="CM67" i="5"/>
  <c r="CM68" i="5"/>
  <c r="CM69" i="5"/>
  <c r="CM70" i="5"/>
  <c r="CM71" i="5"/>
  <c r="CM72" i="5"/>
  <c r="CM73" i="5"/>
  <c r="CM74" i="5"/>
  <c r="CM75" i="5"/>
  <c r="CM76" i="5"/>
  <c r="CM77" i="5"/>
  <c r="CM78" i="5"/>
  <c r="CM79" i="5"/>
  <c r="CM80" i="5"/>
  <c r="CM81" i="5"/>
  <c r="CM82" i="5"/>
  <c r="CM83" i="5"/>
  <c r="CM84" i="5"/>
  <c r="CM85" i="5"/>
  <c r="CM86" i="5"/>
  <c r="CM87" i="5"/>
  <c r="CM88" i="5"/>
  <c r="CM89" i="5"/>
  <c r="CM90" i="5"/>
  <c r="CM91" i="5"/>
  <c r="CM92" i="5"/>
  <c r="CM93" i="5"/>
  <c r="CM94" i="5"/>
  <c r="CM95" i="5"/>
  <c r="CM96" i="5"/>
  <c r="CM97" i="5"/>
  <c r="CM98" i="5"/>
  <c r="CM99" i="5"/>
  <c r="CM100" i="5"/>
  <c r="CM101" i="5"/>
  <c r="CM102" i="5"/>
  <c r="CM103" i="5"/>
  <c r="CM104" i="5"/>
  <c r="CM105" i="5"/>
  <c r="CM106" i="5"/>
  <c r="CM107" i="5"/>
  <c r="CM108" i="5"/>
  <c r="CM109" i="5"/>
  <c r="CM110" i="5"/>
  <c r="CM111" i="5"/>
  <c r="CM112" i="5"/>
  <c r="CM113" i="5"/>
  <c r="CM114" i="5"/>
  <c r="CM115" i="5"/>
  <c r="CM116" i="5"/>
  <c r="CM117" i="5"/>
  <c r="CM118" i="5"/>
  <c r="CM119" i="5"/>
  <c r="CM120" i="5"/>
  <c r="CM121" i="5"/>
  <c r="CM122" i="5"/>
  <c r="CM123" i="5"/>
  <c r="CM124" i="5"/>
  <c r="CM125" i="5"/>
  <c r="CM126" i="5"/>
  <c r="CM127" i="5"/>
  <c r="CM128" i="5"/>
  <c r="CM129" i="5"/>
  <c r="CM130" i="5"/>
  <c r="CM131" i="5"/>
  <c r="CM132" i="5"/>
  <c r="CM133" i="5"/>
  <c r="CM134" i="5"/>
  <c r="CM135" i="5"/>
  <c r="CM136" i="5"/>
  <c r="CM137" i="5"/>
  <c r="CM138" i="5"/>
  <c r="CM139" i="5"/>
  <c r="CM140" i="5"/>
  <c r="CM141" i="5"/>
  <c r="CM142" i="5"/>
  <c r="CM143" i="5"/>
  <c r="CM144" i="5"/>
  <c r="CM145" i="5"/>
  <c r="CM146" i="5"/>
  <c r="CM147" i="5"/>
  <c r="CM148" i="5"/>
  <c r="CM149" i="5"/>
  <c r="CM150" i="5"/>
  <c r="CM151" i="5"/>
  <c r="CM152" i="5"/>
  <c r="CM153" i="5"/>
  <c r="CM154" i="5"/>
  <c r="CM155" i="5"/>
  <c r="CM156" i="5"/>
  <c r="CM157" i="5"/>
  <c r="CM158" i="5"/>
  <c r="CM159" i="5"/>
  <c r="CM160" i="5"/>
  <c r="CM161" i="5"/>
  <c r="CM162" i="5"/>
  <c r="CM163" i="5"/>
  <c r="CM164" i="5"/>
  <c r="CM165" i="5"/>
  <c r="CM166" i="5"/>
  <c r="CM167" i="5"/>
  <c r="CM168" i="5"/>
  <c r="CM169" i="5"/>
  <c r="CM170" i="5"/>
  <c r="CM171" i="5"/>
  <c r="CM172" i="5"/>
  <c r="CM173" i="5"/>
  <c r="CM174" i="5"/>
  <c r="CM175" i="5"/>
  <c r="CM176" i="5"/>
  <c r="CM177" i="5"/>
  <c r="CM178" i="5"/>
  <c r="CM179" i="5"/>
  <c r="CM180" i="5"/>
  <c r="CM181" i="5"/>
  <c r="CM182" i="5"/>
  <c r="CM183" i="5"/>
  <c r="CM184" i="5"/>
  <c r="CM185" i="5"/>
  <c r="CM186" i="5"/>
  <c r="CM187" i="5"/>
  <c r="CM188" i="5"/>
  <c r="CM189" i="5"/>
  <c r="CM190" i="5"/>
  <c r="CM191" i="5"/>
  <c r="CM192" i="5"/>
  <c r="CM193" i="5"/>
  <c r="CM194" i="5"/>
  <c r="CM195" i="5"/>
  <c r="CM196" i="5"/>
  <c r="CM197" i="5"/>
  <c r="CM198" i="5"/>
  <c r="CM199" i="5"/>
  <c r="CM200" i="5"/>
  <c r="CM201" i="5"/>
  <c r="CM202" i="5"/>
  <c r="CM203" i="5"/>
  <c r="CM204" i="5"/>
  <c r="CM205" i="5"/>
  <c r="CM206" i="5"/>
  <c r="CM207" i="5"/>
  <c r="CM208" i="5"/>
  <c r="CM209" i="5"/>
  <c r="CM210" i="5"/>
  <c r="CM211" i="5"/>
  <c r="CM212" i="5"/>
  <c r="CM213" i="5"/>
  <c r="CM214" i="5"/>
  <c r="CM215" i="5"/>
  <c r="CM216" i="5"/>
  <c r="CM217" i="5"/>
  <c r="CM218" i="5"/>
  <c r="CM219" i="5"/>
  <c r="CM220" i="5"/>
  <c r="CM221" i="5"/>
  <c r="CM222" i="5"/>
  <c r="CM223" i="5"/>
  <c r="CM224" i="5"/>
  <c r="CM225" i="5"/>
  <c r="CM226" i="5"/>
  <c r="CM227" i="5"/>
  <c r="CM228" i="5"/>
  <c r="CM229" i="5"/>
  <c r="CM230" i="5"/>
  <c r="CM231" i="5"/>
  <c r="CM232" i="5"/>
  <c r="CM233" i="5"/>
  <c r="CM234" i="5"/>
  <c r="CM235" i="5"/>
  <c r="CM236" i="5"/>
  <c r="CM237" i="5"/>
  <c r="CM238" i="5"/>
  <c r="CM239" i="5"/>
  <c r="CM240" i="5"/>
  <c r="CM241" i="5"/>
  <c r="CM242" i="5"/>
  <c r="CM243" i="5"/>
  <c r="CM244" i="5"/>
  <c r="CM245" i="5"/>
  <c r="CM246" i="5"/>
  <c r="CM247" i="5"/>
  <c r="CM248" i="5"/>
  <c r="CM249" i="5"/>
  <c r="CM250" i="5"/>
  <c r="CM251" i="5"/>
  <c r="CM252" i="5"/>
  <c r="CM253" i="5"/>
  <c r="CM254" i="5"/>
  <c r="CM255" i="5"/>
  <c r="CM256" i="5"/>
  <c r="CM257" i="5"/>
  <c r="CM258" i="5"/>
  <c r="CM259" i="5"/>
  <c r="CM260" i="5"/>
  <c r="CM261" i="5"/>
  <c r="CM262" i="5"/>
  <c r="CM263" i="5"/>
  <c r="CM264" i="5"/>
  <c r="CM265" i="5"/>
  <c r="CM266" i="5"/>
  <c r="CM267" i="5"/>
  <c r="CM268" i="5"/>
  <c r="CM269" i="5"/>
  <c r="CM270" i="5"/>
  <c r="CM271" i="5"/>
  <c r="CM272" i="5"/>
  <c r="CM273" i="5"/>
  <c r="CM274" i="5"/>
  <c r="CM275" i="5"/>
  <c r="CM276" i="5"/>
  <c r="CM277" i="5"/>
  <c r="CM278" i="5"/>
  <c r="CM279" i="5"/>
  <c r="CM280" i="5"/>
  <c r="CM281" i="5"/>
  <c r="CM282" i="5"/>
  <c r="CM283" i="5"/>
  <c r="CM284" i="5"/>
  <c r="CM285" i="5"/>
  <c r="CM286" i="5"/>
  <c r="CM287" i="5"/>
  <c r="CM288" i="5"/>
  <c r="CM289" i="5"/>
  <c r="CM290" i="5"/>
  <c r="CM291" i="5"/>
  <c r="CM292" i="5"/>
  <c r="CM293" i="5"/>
  <c r="CM294" i="5"/>
  <c r="CM295" i="5"/>
  <c r="CM296" i="5"/>
  <c r="CM297" i="5"/>
  <c r="CM298" i="5"/>
  <c r="CM299" i="5"/>
  <c r="CM300" i="5"/>
  <c r="CM301" i="5"/>
  <c r="CM302" i="5"/>
  <c r="CM303" i="5"/>
  <c r="CM304" i="5"/>
  <c r="CM305" i="5"/>
  <c r="CM306" i="5"/>
  <c r="CM307" i="5"/>
  <c r="CM308" i="5"/>
  <c r="CM309" i="5"/>
  <c r="CM310" i="5"/>
  <c r="CM311" i="5"/>
  <c r="CM312" i="5"/>
  <c r="CM313" i="5"/>
  <c r="CM314" i="5"/>
  <c r="CM315" i="5"/>
  <c r="CM316" i="5"/>
  <c r="CM317" i="5"/>
  <c r="CM318" i="5"/>
  <c r="CM319" i="5"/>
  <c r="CM320" i="5"/>
  <c r="CM321" i="5"/>
  <c r="CM322" i="5"/>
  <c r="CM323" i="5"/>
  <c r="CM324" i="5"/>
  <c r="CM325" i="5"/>
  <c r="CM326" i="5"/>
  <c r="CM327" i="5"/>
  <c r="CM328" i="5"/>
  <c r="CM329" i="5"/>
  <c r="CM330" i="5"/>
  <c r="CM331" i="5"/>
  <c r="CM332" i="5"/>
  <c r="CM333" i="5"/>
  <c r="CM334" i="5"/>
  <c r="CM335" i="5"/>
  <c r="CM336" i="5"/>
  <c r="CM337" i="5"/>
  <c r="CM338" i="5"/>
  <c r="CM339" i="5"/>
  <c r="CM340" i="5"/>
  <c r="CM341" i="5"/>
  <c r="CM342" i="5"/>
  <c r="CM343" i="5"/>
  <c r="CM344" i="5"/>
  <c r="CM345" i="5"/>
  <c r="CM346" i="5"/>
  <c r="CM347" i="5"/>
  <c r="CM348" i="5"/>
  <c r="CM349" i="5"/>
  <c r="CM350" i="5"/>
  <c r="CM351" i="5"/>
  <c r="CM352" i="5"/>
  <c r="CM353" i="5"/>
  <c r="CM354" i="5"/>
  <c r="CM355" i="5"/>
  <c r="CM356" i="5"/>
  <c r="CM357" i="5"/>
  <c r="CM358" i="5"/>
  <c r="CM359" i="5"/>
  <c r="CM360" i="5"/>
  <c r="CM361" i="5"/>
  <c r="CM362" i="5"/>
  <c r="CM363" i="5"/>
  <c r="CM364" i="5"/>
  <c r="CM365" i="5"/>
  <c r="CM366" i="5"/>
  <c r="CM367" i="5"/>
  <c r="CM368" i="5"/>
  <c r="CM369" i="5"/>
  <c r="CM370" i="5"/>
  <c r="CM371" i="5"/>
  <c r="CM372" i="5"/>
  <c r="CM373" i="5"/>
  <c r="CM374" i="5"/>
  <c r="CM375" i="5"/>
  <c r="CM376" i="5"/>
  <c r="CM377" i="5"/>
  <c r="CM378" i="5"/>
  <c r="CM379" i="5"/>
  <c r="CM380" i="5"/>
  <c r="CM381" i="5"/>
  <c r="CM382" i="5"/>
  <c r="CM383" i="5"/>
  <c r="CM384" i="5"/>
  <c r="CM385" i="5"/>
  <c r="CM386" i="5"/>
  <c r="CM387" i="5"/>
  <c r="CM388" i="5"/>
  <c r="CM389" i="5"/>
  <c r="CM390" i="5"/>
  <c r="CM391" i="5"/>
  <c r="CM392" i="5"/>
  <c r="CM393" i="5"/>
  <c r="CM394" i="5"/>
  <c r="CM395" i="5"/>
  <c r="CM396" i="5"/>
  <c r="CM397" i="5"/>
  <c r="CM398" i="5"/>
  <c r="CM399" i="5"/>
  <c r="CM400" i="5"/>
  <c r="CM401" i="5"/>
  <c r="CM402" i="5"/>
  <c r="CM403" i="5"/>
  <c r="CM404" i="5"/>
  <c r="CM405" i="5"/>
  <c r="CM406" i="5"/>
  <c r="CM407" i="5"/>
  <c r="CM408" i="5"/>
  <c r="CM409" i="5"/>
  <c r="CM410" i="5"/>
  <c r="CM411" i="5"/>
  <c r="CM412" i="5"/>
  <c r="CM413" i="5"/>
  <c r="CM414" i="5"/>
  <c r="CM415" i="5"/>
  <c r="CM416" i="5"/>
  <c r="CM417" i="5"/>
  <c r="CM418" i="5"/>
  <c r="CM419" i="5"/>
  <c r="CM420" i="5"/>
  <c r="CM421" i="5"/>
  <c r="CM422" i="5"/>
  <c r="CM423" i="5"/>
  <c r="CM424" i="5"/>
  <c r="CM425" i="5"/>
  <c r="CM426" i="5"/>
  <c r="CM427" i="5"/>
  <c r="CM428" i="5"/>
  <c r="CM429" i="5"/>
  <c r="CM430" i="5"/>
  <c r="CM431" i="5"/>
  <c r="CM432" i="5"/>
  <c r="CM433" i="5"/>
  <c r="CM434" i="5"/>
  <c r="CM435" i="5"/>
  <c r="CM436" i="5"/>
  <c r="CM437" i="5"/>
  <c r="CM438" i="5"/>
  <c r="CM439" i="5"/>
  <c r="CM440" i="5"/>
  <c r="CM441" i="5"/>
  <c r="CM442" i="5"/>
  <c r="CM443" i="5"/>
  <c r="CM444" i="5"/>
  <c r="CM445" i="5"/>
  <c r="CM446" i="5"/>
  <c r="CM447" i="5"/>
  <c r="CM448" i="5"/>
  <c r="CM449" i="5"/>
  <c r="CM450" i="5"/>
  <c r="CM451" i="5"/>
  <c r="CM452" i="5"/>
  <c r="CM453" i="5"/>
  <c r="CM454" i="5"/>
  <c r="CM455" i="5"/>
  <c r="CM456" i="5"/>
  <c r="CM457" i="5"/>
  <c r="CM458" i="5"/>
  <c r="CM459" i="5"/>
  <c r="CM460" i="5"/>
  <c r="CM461" i="5"/>
  <c r="CM462" i="5"/>
  <c r="CM463" i="5"/>
  <c r="CM464" i="5"/>
  <c r="CM465" i="5"/>
  <c r="CM466" i="5"/>
  <c r="CM467" i="5"/>
  <c r="CM468" i="5"/>
  <c r="CM469" i="5"/>
  <c r="CM470" i="5"/>
  <c r="CM471" i="5"/>
  <c r="CM472" i="5"/>
  <c r="CM473" i="5"/>
  <c r="CM474" i="5"/>
  <c r="CM475" i="5"/>
  <c r="CM476" i="5"/>
  <c r="CM477" i="5"/>
  <c r="CM478" i="5"/>
  <c r="CM479" i="5"/>
  <c r="CM480" i="5"/>
  <c r="CM481" i="5"/>
  <c r="CM482" i="5"/>
  <c r="CM483" i="5"/>
  <c r="CM484" i="5"/>
  <c r="CM485" i="5"/>
  <c r="CM486" i="5"/>
  <c r="CM487" i="5"/>
  <c r="CM488" i="5"/>
  <c r="CM489" i="5"/>
  <c r="CM490" i="5"/>
  <c r="CM491" i="5"/>
  <c r="CM492" i="5"/>
  <c r="CM493" i="5"/>
  <c r="CM494" i="5"/>
  <c r="CM495" i="5"/>
  <c r="CM496" i="5"/>
  <c r="CM497" i="5"/>
  <c r="CM498" i="5"/>
  <c r="CM499" i="5"/>
  <c r="CM500" i="5"/>
  <c r="CM501" i="5"/>
  <c r="CM502" i="5"/>
  <c r="CM503" i="5"/>
  <c r="CM504" i="5"/>
  <c r="CM505" i="5"/>
  <c r="CM506" i="5"/>
  <c r="CM507" i="5"/>
  <c r="CM508" i="5"/>
  <c r="CM509" i="5"/>
  <c r="CM510" i="5"/>
  <c r="CM511" i="5"/>
  <c r="CM512" i="5"/>
  <c r="CM513" i="5"/>
  <c r="CM514" i="5"/>
  <c r="CM515" i="5"/>
  <c r="CM516" i="5"/>
  <c r="CM517" i="5"/>
  <c r="CM518" i="5"/>
  <c r="CM519" i="5"/>
  <c r="CM520" i="5"/>
  <c r="CM521" i="5"/>
  <c r="CM522" i="5"/>
  <c r="CM523" i="5"/>
  <c r="CM524" i="5"/>
  <c r="CM525" i="5"/>
  <c r="CM526" i="5"/>
  <c r="CM527" i="5"/>
  <c r="CM528" i="5"/>
  <c r="CM529" i="5"/>
  <c r="CM530" i="5"/>
  <c r="CM531" i="5"/>
  <c r="CM532" i="5"/>
  <c r="CM533" i="5"/>
  <c r="CM534" i="5"/>
  <c r="CM535" i="5"/>
  <c r="CM536" i="5"/>
  <c r="CM537" i="5"/>
  <c r="CM538" i="5"/>
  <c r="CM539" i="5"/>
  <c r="CM540" i="5"/>
  <c r="CM541" i="5"/>
  <c r="CM542" i="5"/>
  <c r="CM543" i="5"/>
  <c r="CM544" i="5"/>
  <c r="CM545" i="5"/>
  <c r="CM546" i="5"/>
  <c r="CM547" i="5"/>
  <c r="CM548" i="5"/>
  <c r="CM549" i="5"/>
  <c r="CM550" i="5"/>
  <c r="CM551" i="5"/>
  <c r="CM552" i="5"/>
  <c r="CM553" i="5"/>
  <c r="CM554" i="5"/>
  <c r="CM555" i="5"/>
  <c r="CM556" i="5"/>
  <c r="CM557" i="5"/>
  <c r="CM2" i="5"/>
  <c r="CL3" i="5"/>
  <c r="CL4" i="5"/>
  <c r="CL5" i="5"/>
  <c r="CL6" i="5"/>
  <c r="CL7" i="5"/>
  <c r="CL8" i="5"/>
  <c r="CL9" i="5"/>
  <c r="CL10" i="5"/>
  <c r="CL11" i="5"/>
  <c r="CL12" i="5"/>
  <c r="CL13" i="5"/>
  <c r="CL14" i="5"/>
  <c r="CL15" i="5"/>
  <c r="CL16" i="5"/>
  <c r="CL17" i="5"/>
  <c r="CL18" i="5"/>
  <c r="CL19" i="5"/>
  <c r="CL20" i="5"/>
  <c r="CL21" i="5"/>
  <c r="CL22" i="5"/>
  <c r="CL23" i="5"/>
  <c r="CL24" i="5"/>
  <c r="CL25" i="5"/>
  <c r="CL26" i="5"/>
  <c r="CL27" i="5"/>
  <c r="CL28" i="5"/>
  <c r="CL29" i="5"/>
  <c r="CL30" i="5"/>
  <c r="CL31" i="5"/>
  <c r="CL32" i="5"/>
  <c r="CL33" i="5"/>
  <c r="CL34" i="5"/>
  <c r="CL35" i="5"/>
  <c r="CL36" i="5"/>
  <c r="CL37" i="5"/>
  <c r="CL38" i="5"/>
  <c r="CL39" i="5"/>
  <c r="CL40" i="5"/>
  <c r="CL41" i="5"/>
  <c r="CL42" i="5"/>
  <c r="CL43" i="5"/>
  <c r="CL44" i="5"/>
  <c r="CL45" i="5"/>
  <c r="CL46" i="5"/>
  <c r="CL47" i="5"/>
  <c r="CL48" i="5"/>
  <c r="CL49" i="5"/>
  <c r="CL50" i="5"/>
  <c r="CL51" i="5"/>
  <c r="CL52" i="5"/>
  <c r="CL53" i="5"/>
  <c r="CL54" i="5"/>
  <c r="CL55" i="5"/>
  <c r="CL56" i="5"/>
  <c r="CL57" i="5"/>
  <c r="CL58" i="5"/>
  <c r="CL59" i="5"/>
  <c r="CL60" i="5"/>
  <c r="CL61" i="5"/>
  <c r="CL62" i="5"/>
  <c r="CL63" i="5"/>
  <c r="CL64" i="5"/>
  <c r="CL65" i="5"/>
  <c r="CL66" i="5"/>
  <c r="CL67" i="5"/>
  <c r="CL68" i="5"/>
  <c r="CL69" i="5"/>
  <c r="CL70" i="5"/>
  <c r="CL71" i="5"/>
  <c r="CL72" i="5"/>
  <c r="CL73" i="5"/>
  <c r="CL74" i="5"/>
  <c r="CL75" i="5"/>
  <c r="CL76" i="5"/>
  <c r="CL77" i="5"/>
  <c r="CL78" i="5"/>
  <c r="CL79" i="5"/>
  <c r="CL80" i="5"/>
  <c r="CL81" i="5"/>
  <c r="CL82" i="5"/>
  <c r="CL83" i="5"/>
  <c r="CL84" i="5"/>
  <c r="CL85" i="5"/>
  <c r="CL86" i="5"/>
  <c r="CL87" i="5"/>
  <c r="CL88" i="5"/>
  <c r="CL89" i="5"/>
  <c r="CL90" i="5"/>
  <c r="CL91" i="5"/>
  <c r="CL92" i="5"/>
  <c r="CL93" i="5"/>
  <c r="CL94" i="5"/>
  <c r="CL95" i="5"/>
  <c r="CL96" i="5"/>
  <c r="CL97" i="5"/>
  <c r="CL98" i="5"/>
  <c r="CL99" i="5"/>
  <c r="CL100" i="5"/>
  <c r="CL101" i="5"/>
  <c r="CL102" i="5"/>
  <c r="CL103" i="5"/>
  <c r="CL104" i="5"/>
  <c r="CL105" i="5"/>
  <c r="CL106" i="5"/>
  <c r="CL107" i="5"/>
  <c r="CL108" i="5"/>
  <c r="CL109" i="5"/>
  <c r="CL110" i="5"/>
  <c r="CL111" i="5"/>
  <c r="CL112" i="5"/>
  <c r="CL113" i="5"/>
  <c r="CL114" i="5"/>
  <c r="CL115" i="5"/>
  <c r="CL116" i="5"/>
  <c r="CL117" i="5"/>
  <c r="CL118" i="5"/>
  <c r="CL119" i="5"/>
  <c r="CL120" i="5"/>
  <c r="CL121" i="5"/>
  <c r="CL122" i="5"/>
  <c r="CL123" i="5"/>
  <c r="CL124" i="5"/>
  <c r="CL125" i="5"/>
  <c r="CL126" i="5"/>
  <c r="CL127" i="5"/>
  <c r="CL128" i="5"/>
  <c r="CL129" i="5"/>
  <c r="CL130" i="5"/>
  <c r="CL131" i="5"/>
  <c r="CL132" i="5"/>
  <c r="CL133" i="5"/>
  <c r="CL134" i="5"/>
  <c r="CL135" i="5"/>
  <c r="CL136" i="5"/>
  <c r="CL137" i="5"/>
  <c r="CL138" i="5"/>
  <c r="CL139" i="5"/>
  <c r="CL140" i="5"/>
  <c r="CL141" i="5"/>
  <c r="CL142" i="5"/>
  <c r="CL143" i="5"/>
  <c r="CL144" i="5"/>
  <c r="CL145" i="5"/>
  <c r="CL146" i="5"/>
  <c r="CL147" i="5"/>
  <c r="CL148" i="5"/>
  <c r="CL149" i="5"/>
  <c r="CL150" i="5"/>
  <c r="CL151" i="5"/>
  <c r="CL152" i="5"/>
  <c r="CL153" i="5"/>
  <c r="CL154" i="5"/>
  <c r="CL155" i="5"/>
  <c r="CL156" i="5"/>
  <c r="CL157" i="5"/>
  <c r="CL158" i="5"/>
  <c r="CL159" i="5"/>
  <c r="CL160" i="5"/>
  <c r="CL161" i="5"/>
  <c r="CL162" i="5"/>
  <c r="CL163" i="5"/>
  <c r="CL164" i="5"/>
  <c r="CL165" i="5"/>
  <c r="CL166" i="5"/>
  <c r="CL167" i="5"/>
  <c r="CL168" i="5"/>
  <c r="CL169" i="5"/>
  <c r="CL170" i="5"/>
  <c r="CL171" i="5"/>
  <c r="CL172" i="5"/>
  <c r="CL173" i="5"/>
  <c r="CL174" i="5"/>
  <c r="CL175" i="5"/>
  <c r="CL176" i="5"/>
  <c r="CL177" i="5"/>
  <c r="CL178" i="5"/>
  <c r="CL179" i="5"/>
  <c r="CL180" i="5"/>
  <c r="CL181" i="5"/>
  <c r="CL182" i="5"/>
  <c r="CL183" i="5"/>
  <c r="CL184" i="5"/>
  <c r="CL185" i="5"/>
  <c r="CL186" i="5"/>
  <c r="CL187" i="5"/>
  <c r="CL188" i="5"/>
  <c r="CL189" i="5"/>
  <c r="CL190" i="5"/>
  <c r="CL191" i="5"/>
  <c r="CL192" i="5"/>
  <c r="CL193" i="5"/>
  <c r="CL194" i="5"/>
  <c r="CL195" i="5"/>
  <c r="CL196" i="5"/>
  <c r="CL197" i="5"/>
  <c r="CL198" i="5"/>
  <c r="CL199" i="5"/>
  <c r="CL200" i="5"/>
  <c r="CL201" i="5"/>
  <c r="CL202" i="5"/>
  <c r="CL203" i="5"/>
  <c r="CL204" i="5"/>
  <c r="CL205" i="5"/>
  <c r="CL206" i="5"/>
  <c r="CL207" i="5"/>
  <c r="CL208" i="5"/>
  <c r="CL209" i="5"/>
  <c r="CL210" i="5"/>
  <c r="CL211" i="5"/>
  <c r="CL212" i="5"/>
  <c r="CL213" i="5"/>
  <c r="CL214" i="5"/>
  <c r="CL215" i="5"/>
  <c r="CL216" i="5"/>
  <c r="CL217" i="5"/>
  <c r="CL218" i="5"/>
  <c r="CL219" i="5"/>
  <c r="CL220" i="5"/>
  <c r="CL221" i="5"/>
  <c r="CL222" i="5"/>
  <c r="CL223" i="5"/>
  <c r="CL224" i="5"/>
  <c r="CL225" i="5"/>
  <c r="CL226" i="5"/>
  <c r="CL227" i="5"/>
  <c r="CL228" i="5"/>
  <c r="CL229" i="5"/>
  <c r="CL230" i="5"/>
  <c r="CL231" i="5"/>
  <c r="CL232" i="5"/>
  <c r="CL233" i="5"/>
  <c r="CL234" i="5"/>
  <c r="CL235" i="5"/>
  <c r="CL236" i="5"/>
  <c r="CL237" i="5"/>
  <c r="CL238" i="5"/>
  <c r="CL239" i="5"/>
  <c r="CL240" i="5"/>
  <c r="CL241" i="5"/>
  <c r="CL242" i="5"/>
  <c r="CL243" i="5"/>
  <c r="CL244" i="5"/>
  <c r="CL245" i="5"/>
  <c r="CL246" i="5"/>
  <c r="CL247" i="5"/>
  <c r="CL248" i="5"/>
  <c r="CL249" i="5"/>
  <c r="CL250" i="5"/>
  <c r="CL251" i="5"/>
  <c r="CL252" i="5"/>
  <c r="CL253" i="5"/>
  <c r="CL254" i="5"/>
  <c r="CL255" i="5"/>
  <c r="CL256" i="5"/>
  <c r="CL257" i="5"/>
  <c r="CL258" i="5"/>
  <c r="CL259" i="5"/>
  <c r="CL260" i="5"/>
  <c r="CL261" i="5"/>
  <c r="CL262" i="5"/>
  <c r="CL263" i="5"/>
  <c r="CL264" i="5"/>
  <c r="CL265" i="5"/>
  <c r="CL266" i="5"/>
  <c r="CL267" i="5"/>
  <c r="CL268" i="5"/>
  <c r="CL269" i="5"/>
  <c r="CL270" i="5"/>
  <c r="CL271" i="5"/>
  <c r="CL272" i="5"/>
  <c r="CL273" i="5"/>
  <c r="CL274" i="5"/>
  <c r="CL275" i="5"/>
  <c r="CL276" i="5"/>
  <c r="CL277" i="5"/>
  <c r="CL278" i="5"/>
  <c r="CL279" i="5"/>
  <c r="CL280" i="5"/>
  <c r="CL281" i="5"/>
  <c r="CL282" i="5"/>
  <c r="CL283" i="5"/>
  <c r="CL284" i="5"/>
  <c r="CL285" i="5"/>
  <c r="CL286" i="5"/>
  <c r="CL287" i="5"/>
  <c r="CL288" i="5"/>
  <c r="CL289" i="5"/>
  <c r="CL290" i="5"/>
  <c r="CL291" i="5"/>
  <c r="CL292" i="5"/>
  <c r="CL293" i="5"/>
  <c r="CL294" i="5"/>
  <c r="CL295" i="5"/>
  <c r="CL296" i="5"/>
  <c r="CL297" i="5"/>
  <c r="CL298" i="5"/>
  <c r="CL299" i="5"/>
  <c r="CL300" i="5"/>
  <c r="CL301" i="5"/>
  <c r="CL302" i="5"/>
  <c r="CL303" i="5"/>
  <c r="CL304" i="5"/>
  <c r="CL305" i="5"/>
  <c r="CL306" i="5"/>
  <c r="CL307" i="5"/>
  <c r="CL308" i="5"/>
  <c r="CL309" i="5"/>
  <c r="CL310" i="5"/>
  <c r="CL311" i="5"/>
  <c r="CL312" i="5"/>
  <c r="CL313" i="5"/>
  <c r="CL314" i="5"/>
  <c r="CL315" i="5"/>
  <c r="CL316" i="5"/>
  <c r="CL317" i="5"/>
  <c r="CL318" i="5"/>
  <c r="CL319" i="5"/>
  <c r="CL320" i="5"/>
  <c r="CL321" i="5"/>
  <c r="CL322" i="5"/>
  <c r="CL323" i="5"/>
  <c r="CL324" i="5"/>
  <c r="CL325" i="5"/>
  <c r="CL326" i="5"/>
  <c r="CL327" i="5"/>
  <c r="CL328" i="5"/>
  <c r="CL329" i="5"/>
  <c r="CL330" i="5"/>
  <c r="CL331" i="5"/>
  <c r="CL332" i="5"/>
  <c r="CL333" i="5"/>
  <c r="CL334" i="5"/>
  <c r="CL335" i="5"/>
  <c r="CL336" i="5"/>
  <c r="CL337" i="5"/>
  <c r="CL338" i="5"/>
  <c r="CL339" i="5"/>
  <c r="CL340" i="5"/>
  <c r="CL341" i="5"/>
  <c r="CL342" i="5"/>
  <c r="CL343" i="5"/>
  <c r="CL344" i="5"/>
  <c r="CL345" i="5"/>
  <c r="CL346" i="5"/>
  <c r="CL347" i="5"/>
  <c r="CL348" i="5"/>
  <c r="CL349" i="5"/>
  <c r="CL350" i="5"/>
  <c r="CL351" i="5"/>
  <c r="CL352" i="5"/>
  <c r="CL353" i="5"/>
  <c r="CL354" i="5"/>
  <c r="CL355" i="5"/>
  <c r="CL356" i="5"/>
  <c r="CL357" i="5"/>
  <c r="CL358" i="5"/>
  <c r="CL359" i="5"/>
  <c r="CL360" i="5"/>
  <c r="CL361" i="5"/>
  <c r="CL362" i="5"/>
  <c r="CL363" i="5"/>
  <c r="CL364" i="5"/>
  <c r="CL365" i="5"/>
  <c r="CL366" i="5"/>
  <c r="CL367" i="5"/>
  <c r="CL368" i="5"/>
  <c r="CL369" i="5"/>
  <c r="CL370" i="5"/>
  <c r="CL371" i="5"/>
  <c r="CL372" i="5"/>
  <c r="CL373" i="5"/>
  <c r="CL374" i="5"/>
  <c r="CL375" i="5"/>
  <c r="CL376" i="5"/>
  <c r="CL377" i="5"/>
  <c r="CL378" i="5"/>
  <c r="CL379" i="5"/>
  <c r="CL380" i="5"/>
  <c r="CL381" i="5"/>
  <c r="CL382" i="5"/>
  <c r="CL383" i="5"/>
  <c r="CL384" i="5"/>
  <c r="CL385" i="5"/>
  <c r="CL386" i="5"/>
  <c r="CL387" i="5"/>
  <c r="CL388" i="5"/>
  <c r="CL389" i="5"/>
  <c r="CL390" i="5"/>
  <c r="CL391" i="5"/>
  <c r="CL392" i="5"/>
  <c r="CL393" i="5"/>
  <c r="CL394" i="5"/>
  <c r="CL395" i="5"/>
  <c r="CL396" i="5"/>
  <c r="CL397" i="5"/>
  <c r="CL398" i="5"/>
  <c r="CL399" i="5"/>
  <c r="CL400" i="5"/>
  <c r="CL401" i="5"/>
  <c r="CL402" i="5"/>
  <c r="CL403" i="5"/>
  <c r="CL404" i="5"/>
  <c r="CL405" i="5"/>
  <c r="CL406" i="5"/>
  <c r="CL407" i="5"/>
  <c r="CL408" i="5"/>
  <c r="CL409" i="5"/>
  <c r="CL410" i="5"/>
  <c r="CL411" i="5"/>
  <c r="CL412" i="5"/>
  <c r="CL413" i="5"/>
  <c r="CL414" i="5"/>
  <c r="CL415" i="5"/>
  <c r="CL416" i="5"/>
  <c r="CL417" i="5"/>
  <c r="CL418" i="5"/>
  <c r="CL419" i="5"/>
  <c r="CL420" i="5"/>
  <c r="CL421" i="5"/>
  <c r="CL422" i="5"/>
  <c r="CL423" i="5"/>
  <c r="CL424" i="5"/>
  <c r="CL425" i="5"/>
  <c r="CL426" i="5"/>
  <c r="CL427" i="5"/>
  <c r="CL428" i="5"/>
  <c r="CL429" i="5"/>
  <c r="CL430" i="5"/>
  <c r="CL431" i="5"/>
  <c r="CL432" i="5"/>
  <c r="CL433" i="5"/>
  <c r="CL434" i="5"/>
  <c r="CL435" i="5"/>
  <c r="CL436" i="5"/>
  <c r="CL437" i="5"/>
  <c r="CL438" i="5"/>
  <c r="CL439" i="5"/>
  <c r="CL440" i="5"/>
  <c r="CL441" i="5"/>
  <c r="CL442" i="5"/>
  <c r="CL443" i="5"/>
  <c r="CL444" i="5"/>
  <c r="CL445" i="5"/>
  <c r="CL446" i="5"/>
  <c r="CL447" i="5"/>
  <c r="CL448" i="5"/>
  <c r="CL449" i="5"/>
  <c r="CL450" i="5"/>
  <c r="CL451" i="5"/>
  <c r="CL452" i="5"/>
  <c r="CL453" i="5"/>
  <c r="CL454" i="5"/>
  <c r="CL455" i="5"/>
  <c r="CL456" i="5"/>
  <c r="CL457" i="5"/>
  <c r="CL458" i="5"/>
  <c r="CL459" i="5"/>
  <c r="CL460" i="5"/>
  <c r="CL461" i="5"/>
  <c r="CL462" i="5"/>
  <c r="CL463" i="5"/>
  <c r="CL464" i="5"/>
  <c r="CL465" i="5"/>
  <c r="CL466" i="5"/>
  <c r="CL467" i="5"/>
  <c r="CL468" i="5"/>
  <c r="CL469" i="5"/>
  <c r="CL470" i="5"/>
  <c r="CL471" i="5"/>
  <c r="CL472" i="5"/>
  <c r="CL473" i="5"/>
  <c r="CL474" i="5"/>
  <c r="CL475" i="5"/>
  <c r="CL476" i="5"/>
  <c r="CL477" i="5"/>
  <c r="CL478" i="5"/>
  <c r="CL479" i="5"/>
  <c r="CL480" i="5"/>
  <c r="CL481" i="5"/>
  <c r="CL482" i="5"/>
  <c r="CL483" i="5"/>
  <c r="CL484" i="5"/>
  <c r="CL485" i="5"/>
  <c r="CL486" i="5"/>
  <c r="CL487" i="5"/>
  <c r="CL488" i="5"/>
  <c r="CL489" i="5"/>
  <c r="CL490" i="5"/>
  <c r="CL491" i="5"/>
  <c r="CL492" i="5"/>
  <c r="CL493" i="5"/>
  <c r="CL494" i="5"/>
  <c r="CL495" i="5"/>
  <c r="CL496" i="5"/>
  <c r="CL497" i="5"/>
  <c r="CL498" i="5"/>
  <c r="CL499" i="5"/>
  <c r="CL500" i="5"/>
  <c r="CL501" i="5"/>
  <c r="CL502" i="5"/>
  <c r="CL503" i="5"/>
  <c r="CL504" i="5"/>
  <c r="CL505" i="5"/>
  <c r="CL506" i="5"/>
  <c r="CL507" i="5"/>
  <c r="CL508" i="5"/>
  <c r="CL509" i="5"/>
  <c r="CL510" i="5"/>
  <c r="CL511" i="5"/>
  <c r="CL512" i="5"/>
  <c r="CL513" i="5"/>
  <c r="CL514" i="5"/>
  <c r="CL515" i="5"/>
  <c r="CL516" i="5"/>
  <c r="CL517" i="5"/>
  <c r="CL518" i="5"/>
  <c r="CL519" i="5"/>
  <c r="CL520" i="5"/>
  <c r="CL521" i="5"/>
  <c r="CL522" i="5"/>
  <c r="CL523" i="5"/>
  <c r="CL524" i="5"/>
  <c r="CL525" i="5"/>
  <c r="CL526" i="5"/>
  <c r="CL527" i="5"/>
  <c r="CL528" i="5"/>
  <c r="CL529" i="5"/>
  <c r="CL530" i="5"/>
  <c r="CL531" i="5"/>
  <c r="CL532" i="5"/>
  <c r="CL533" i="5"/>
  <c r="CL534" i="5"/>
  <c r="CL535" i="5"/>
  <c r="CL536" i="5"/>
  <c r="CL537" i="5"/>
  <c r="CL538" i="5"/>
  <c r="CL539" i="5"/>
  <c r="CL540" i="5"/>
  <c r="CL541" i="5"/>
  <c r="CL542" i="5"/>
  <c r="CL543" i="5"/>
  <c r="CL544" i="5"/>
  <c r="CL545" i="5"/>
  <c r="CL546" i="5"/>
  <c r="CL547" i="5"/>
  <c r="CL548" i="5"/>
  <c r="CL549" i="5"/>
  <c r="CL550" i="5"/>
  <c r="CL551" i="5"/>
  <c r="CL552" i="5"/>
  <c r="CL553" i="5"/>
  <c r="CL554" i="5"/>
  <c r="CL555" i="5"/>
  <c r="CL556" i="5"/>
  <c r="CL557" i="5"/>
  <c r="CL2" i="5"/>
  <c r="AW557" i="5"/>
  <c r="AW556" i="5"/>
  <c r="AW555" i="5"/>
  <c r="AW554" i="5"/>
  <c r="AW553" i="5"/>
  <c r="AW552" i="5"/>
  <c r="AW551" i="5"/>
  <c r="AW550" i="5"/>
  <c r="AW549" i="5"/>
  <c r="AW548" i="5"/>
  <c r="AW547" i="5"/>
  <c r="AW546" i="5"/>
  <c r="AW545" i="5"/>
  <c r="AW544" i="5"/>
  <c r="AW543" i="5"/>
  <c r="AW542" i="5"/>
  <c r="AW541" i="5"/>
  <c r="AW540" i="5"/>
  <c r="AW539" i="5"/>
  <c r="AW538" i="5"/>
  <c r="AW537" i="5"/>
  <c r="AW536" i="5"/>
  <c r="AW535" i="5"/>
  <c r="AW534" i="5"/>
  <c r="AW533" i="5"/>
  <c r="AW532" i="5"/>
  <c r="AW531" i="5"/>
  <c r="AW530" i="5"/>
  <c r="AW529" i="5"/>
  <c r="AW528" i="5"/>
  <c r="AW527" i="5"/>
  <c r="AW526" i="5"/>
  <c r="AW525" i="5"/>
  <c r="AW524" i="5"/>
  <c r="AW523" i="5"/>
  <c r="AW522" i="5"/>
  <c r="AW521" i="5"/>
  <c r="AW520" i="5"/>
  <c r="AW519" i="5"/>
  <c r="AW518" i="5"/>
  <c r="AW517" i="5"/>
  <c r="AW516" i="5"/>
  <c r="AW515" i="5"/>
  <c r="AW514" i="5"/>
  <c r="AW513" i="5"/>
  <c r="AW512" i="5"/>
  <c r="AW511" i="5"/>
  <c r="AW510" i="5"/>
  <c r="AW509" i="5"/>
  <c r="AW508" i="5"/>
  <c r="AW507" i="5"/>
  <c r="AW506" i="5"/>
  <c r="AW505" i="5"/>
  <c r="AW504" i="5"/>
  <c r="AW503" i="5"/>
  <c r="AW502" i="5"/>
  <c r="AW501" i="5"/>
  <c r="AW500" i="5"/>
  <c r="AW499" i="5"/>
  <c r="AW498" i="5"/>
  <c r="AW497" i="5"/>
  <c r="AW496" i="5"/>
  <c r="AW495" i="5"/>
  <c r="AW494" i="5"/>
  <c r="AW493" i="5"/>
  <c r="AW492" i="5"/>
  <c r="AW491" i="5"/>
  <c r="AW490" i="5"/>
  <c r="AW489" i="5"/>
  <c r="AW488" i="5"/>
  <c r="AW487" i="5"/>
  <c r="AW486" i="5"/>
  <c r="AW485" i="5"/>
  <c r="AW484" i="5"/>
  <c r="AW483" i="5"/>
  <c r="AW482" i="5"/>
  <c r="AW481" i="5"/>
  <c r="AW480" i="5"/>
  <c r="AW479" i="5"/>
  <c r="AW478" i="5"/>
  <c r="AW477" i="5"/>
  <c r="AW476" i="5"/>
  <c r="AW475" i="5"/>
  <c r="AW474" i="5"/>
  <c r="AW473" i="5"/>
  <c r="AW472" i="5"/>
  <c r="AW471" i="5"/>
  <c r="AW470" i="5"/>
  <c r="AW469" i="5"/>
  <c r="AW468" i="5"/>
  <c r="AW467" i="5"/>
  <c r="AW466" i="5"/>
  <c r="AW465" i="5"/>
  <c r="AW464" i="5"/>
  <c r="AW463" i="5"/>
  <c r="AW462" i="5"/>
  <c r="AW461" i="5"/>
  <c r="AW460" i="5"/>
  <c r="AW459" i="5"/>
  <c r="AW458" i="5"/>
  <c r="AW457" i="5"/>
  <c r="AW456" i="5"/>
  <c r="AW455" i="5"/>
  <c r="AW454" i="5"/>
  <c r="AW453" i="5"/>
  <c r="AW452" i="5"/>
  <c r="AW451" i="5"/>
  <c r="AW450" i="5"/>
  <c r="AW449" i="5"/>
  <c r="AW448" i="5"/>
  <c r="AW447" i="5"/>
  <c r="AW446" i="5"/>
  <c r="AW445" i="5"/>
  <c r="AW444" i="5"/>
  <c r="AW443" i="5"/>
  <c r="AW442" i="5"/>
  <c r="AW441" i="5"/>
  <c r="AW440" i="5"/>
  <c r="AW439" i="5"/>
  <c r="AW438" i="5"/>
  <c r="AW437" i="5"/>
  <c r="AW436" i="5"/>
  <c r="AW435" i="5"/>
  <c r="AW434" i="5"/>
  <c r="AW433" i="5"/>
  <c r="AW432" i="5"/>
  <c r="AW431" i="5"/>
  <c r="AW430" i="5"/>
  <c r="AW429" i="5"/>
  <c r="AW428" i="5"/>
  <c r="AW427" i="5"/>
  <c r="AW426" i="5"/>
  <c r="AW425" i="5"/>
  <c r="AW424" i="5"/>
  <c r="AW423" i="5"/>
  <c r="AW422" i="5"/>
  <c r="AW421" i="5"/>
  <c r="AW420" i="5"/>
  <c r="AW419" i="5"/>
  <c r="AW418" i="5"/>
  <c r="AW417" i="5"/>
  <c r="AW416" i="5"/>
  <c r="AW415" i="5"/>
  <c r="AW414" i="5"/>
  <c r="AW413" i="5"/>
  <c r="AW412" i="5"/>
  <c r="AW411" i="5"/>
  <c r="AW410" i="5"/>
  <c r="AW409" i="5"/>
  <c r="AW408" i="5"/>
  <c r="AW407" i="5"/>
  <c r="AW406" i="5"/>
  <c r="AW405" i="5"/>
  <c r="AW404" i="5"/>
  <c r="AW403" i="5"/>
  <c r="AW402" i="5"/>
  <c r="AW401" i="5"/>
  <c r="AW400" i="5"/>
  <c r="AW399" i="5"/>
  <c r="AW398" i="5"/>
  <c r="AW397" i="5"/>
  <c r="AW396" i="5"/>
  <c r="AW395" i="5"/>
  <c r="AW394" i="5"/>
  <c r="AW393" i="5"/>
  <c r="AW392" i="5"/>
  <c r="AW391" i="5"/>
  <c r="AW390" i="5"/>
  <c r="AW389" i="5"/>
  <c r="AW388" i="5"/>
  <c r="AW387" i="5"/>
  <c r="AW386" i="5"/>
  <c r="AW385" i="5"/>
  <c r="AW384" i="5"/>
  <c r="AW383" i="5"/>
  <c r="AW382" i="5"/>
  <c r="AW381" i="5"/>
  <c r="AW380" i="5"/>
  <c r="AW379" i="5"/>
  <c r="AW378" i="5"/>
  <c r="AW377" i="5"/>
  <c r="AW376" i="5"/>
  <c r="AW375" i="5"/>
  <c r="AW374" i="5"/>
  <c r="AW373" i="5"/>
  <c r="AW372" i="5"/>
  <c r="AW371" i="5"/>
  <c r="AW370" i="5"/>
  <c r="AW369" i="5"/>
  <c r="AW368" i="5"/>
  <c r="AW367" i="5"/>
  <c r="AW366" i="5"/>
  <c r="AW365" i="5"/>
  <c r="AW364" i="5"/>
  <c r="AW363" i="5"/>
  <c r="AW362" i="5"/>
  <c r="AW361" i="5"/>
  <c r="AW360" i="5"/>
  <c r="AW359" i="5"/>
  <c r="AW358" i="5"/>
  <c r="AW357" i="5"/>
  <c r="AW356" i="5"/>
  <c r="AW355" i="5"/>
  <c r="AW354" i="5"/>
  <c r="AW353" i="5"/>
  <c r="AW352" i="5"/>
  <c r="AW351" i="5"/>
  <c r="AW350" i="5"/>
  <c r="AW349" i="5"/>
  <c r="AW348" i="5"/>
  <c r="AW347" i="5"/>
  <c r="AW346" i="5"/>
  <c r="AW345" i="5"/>
  <c r="AW344" i="5"/>
  <c r="AW343" i="5"/>
  <c r="AW342" i="5"/>
  <c r="AW341" i="5"/>
  <c r="AW340" i="5"/>
  <c r="AW339" i="5"/>
  <c r="AW338" i="5"/>
  <c r="AW337" i="5"/>
  <c r="AW336" i="5"/>
  <c r="AW335" i="5"/>
  <c r="AW334" i="5"/>
  <c r="AW333" i="5"/>
  <c r="AW332" i="5"/>
  <c r="AW331" i="5"/>
  <c r="AW330" i="5"/>
  <c r="AW329" i="5"/>
  <c r="AW328" i="5"/>
  <c r="AW327" i="5"/>
  <c r="AW326" i="5"/>
  <c r="AW325" i="5"/>
  <c r="AW324" i="5"/>
  <c r="AW323" i="5"/>
  <c r="AW322" i="5"/>
  <c r="AW321" i="5"/>
  <c r="AW320" i="5"/>
  <c r="AW319" i="5"/>
  <c r="AW318" i="5"/>
  <c r="AW317" i="5"/>
  <c r="AW316" i="5"/>
  <c r="AW315" i="5"/>
  <c r="AW314" i="5"/>
  <c r="AW313" i="5"/>
  <c r="AW312" i="5"/>
  <c r="AW311" i="5"/>
  <c r="AW310" i="5"/>
  <c r="AW309" i="5"/>
  <c r="AW308" i="5"/>
  <c r="AW307" i="5"/>
  <c r="AW306" i="5"/>
  <c r="AW305" i="5"/>
  <c r="AW304" i="5"/>
  <c r="AW303" i="5"/>
  <c r="AW302" i="5"/>
  <c r="AW301" i="5"/>
  <c r="AW300" i="5"/>
  <c r="AW299" i="5"/>
  <c r="AW298" i="5"/>
  <c r="AW297" i="5"/>
  <c r="AW296" i="5"/>
  <c r="AW295" i="5"/>
  <c r="AW294" i="5"/>
  <c r="AW293" i="5"/>
  <c r="AW292" i="5"/>
  <c r="AW291" i="5"/>
  <c r="AW290" i="5"/>
  <c r="AW289" i="5"/>
  <c r="AW288" i="5"/>
  <c r="AW287" i="5"/>
  <c r="AW286" i="5"/>
  <c r="AW285" i="5"/>
  <c r="AW284" i="5"/>
  <c r="AW283" i="5"/>
  <c r="AW282" i="5"/>
  <c r="AW281" i="5"/>
  <c r="AW280" i="5"/>
  <c r="AW279" i="5"/>
  <c r="AW278" i="5"/>
  <c r="AW277" i="5"/>
  <c r="AW276" i="5"/>
  <c r="AW275" i="5"/>
  <c r="AW274" i="5"/>
  <c r="AW273" i="5"/>
  <c r="AW272" i="5"/>
  <c r="AW271" i="5"/>
  <c r="AW270" i="5"/>
  <c r="AW269" i="5"/>
  <c r="AW268" i="5"/>
  <c r="AW267" i="5"/>
  <c r="AW266" i="5"/>
  <c r="AW265" i="5"/>
  <c r="AW264" i="5"/>
  <c r="AW263" i="5"/>
  <c r="AW262" i="5"/>
  <c r="AW261" i="5"/>
  <c r="AW260" i="5"/>
  <c r="AW259" i="5"/>
  <c r="AW258" i="5"/>
  <c r="AW257" i="5"/>
  <c r="AW256" i="5"/>
  <c r="AW255" i="5"/>
  <c r="AW254" i="5"/>
  <c r="AW253" i="5"/>
  <c r="AW252" i="5"/>
  <c r="AW251" i="5"/>
  <c r="AW250" i="5"/>
  <c r="AW249" i="5"/>
  <c r="AW248" i="5"/>
  <c r="AW247" i="5"/>
  <c r="AW246" i="5"/>
  <c r="AW245" i="5"/>
  <c r="AW244" i="5"/>
  <c r="AW243" i="5"/>
  <c r="AW242" i="5"/>
  <c r="AW241" i="5"/>
  <c r="AW240" i="5"/>
  <c r="AW239" i="5"/>
  <c r="AW238" i="5"/>
  <c r="AW237" i="5"/>
  <c r="AW236" i="5"/>
  <c r="AW235" i="5"/>
  <c r="AW234" i="5"/>
  <c r="AW233" i="5"/>
  <c r="AW232" i="5"/>
  <c r="AW231" i="5"/>
  <c r="AW230" i="5"/>
  <c r="AW229" i="5"/>
  <c r="AW228" i="5"/>
  <c r="AW227" i="5"/>
  <c r="AW226" i="5"/>
  <c r="AW225" i="5"/>
  <c r="AW224" i="5"/>
  <c r="AW223" i="5"/>
  <c r="AW222" i="5"/>
  <c r="AW221" i="5"/>
  <c r="AW220" i="5"/>
  <c r="AW219" i="5"/>
  <c r="AW218" i="5"/>
  <c r="AW217" i="5"/>
  <c r="AW216" i="5"/>
  <c r="AW215" i="5"/>
  <c r="AW214" i="5"/>
  <c r="AW213" i="5"/>
  <c r="AW212" i="5"/>
  <c r="AW211" i="5"/>
  <c r="AW210" i="5"/>
  <c r="AW209" i="5"/>
  <c r="AW208" i="5"/>
  <c r="AW207" i="5"/>
  <c r="AW206" i="5"/>
  <c r="AW205" i="5"/>
  <c r="AW204" i="5"/>
  <c r="AW203" i="5"/>
  <c r="AW202" i="5"/>
  <c r="AW201" i="5"/>
  <c r="AW200" i="5"/>
  <c r="AW199" i="5"/>
  <c r="AW198" i="5"/>
  <c r="AW197" i="5"/>
  <c r="AW196" i="5"/>
  <c r="AW195" i="5"/>
  <c r="AW194" i="5"/>
  <c r="AW193" i="5"/>
  <c r="AW192" i="5"/>
  <c r="AW191" i="5"/>
  <c r="AW190" i="5"/>
  <c r="AW189" i="5"/>
  <c r="AW188" i="5"/>
  <c r="AW187" i="5"/>
  <c r="AW186" i="5"/>
  <c r="AW185" i="5"/>
  <c r="AW184" i="5"/>
  <c r="AW183" i="5"/>
  <c r="AW182" i="5"/>
  <c r="AW181" i="5"/>
  <c r="AW180" i="5"/>
  <c r="AW179" i="5"/>
  <c r="AW178" i="5"/>
  <c r="AW177" i="5"/>
  <c r="AW176" i="5"/>
  <c r="AW175" i="5"/>
  <c r="AW174" i="5"/>
  <c r="AW173" i="5"/>
  <c r="AW172" i="5"/>
  <c r="AW171" i="5"/>
  <c r="AW170" i="5"/>
  <c r="AW169" i="5"/>
  <c r="AW168" i="5"/>
  <c r="AW167" i="5"/>
  <c r="AW166" i="5"/>
  <c r="AW165" i="5"/>
  <c r="AW164" i="5"/>
  <c r="AW163" i="5"/>
  <c r="AW162" i="5"/>
  <c r="AW161" i="5"/>
  <c r="AW160" i="5"/>
  <c r="AW159" i="5"/>
  <c r="AW158" i="5"/>
  <c r="AW157" i="5"/>
  <c r="AW156" i="5"/>
  <c r="AW155" i="5"/>
  <c r="AW154" i="5"/>
  <c r="AW153" i="5"/>
  <c r="AW152" i="5"/>
  <c r="AW151" i="5"/>
  <c r="AW150" i="5"/>
  <c r="AW149" i="5"/>
  <c r="AW148" i="5"/>
  <c r="AW147" i="5"/>
  <c r="AW146" i="5"/>
  <c r="AW145" i="5"/>
  <c r="AW144" i="5"/>
  <c r="AW143" i="5"/>
  <c r="AW142" i="5"/>
  <c r="AW141" i="5"/>
  <c r="AW140" i="5"/>
  <c r="AW139" i="5"/>
  <c r="AW138" i="5"/>
  <c r="AW137" i="5"/>
  <c r="AW136" i="5"/>
  <c r="AW135" i="5"/>
  <c r="AW134" i="5"/>
  <c r="AW133" i="5"/>
  <c r="AW132" i="5"/>
  <c r="AW131" i="5"/>
  <c r="AW130" i="5"/>
  <c r="AW129" i="5"/>
  <c r="AW128" i="5"/>
  <c r="AW127" i="5"/>
  <c r="AW126" i="5"/>
  <c r="AW125" i="5"/>
  <c r="AW124" i="5"/>
  <c r="AW123" i="5"/>
  <c r="AW122" i="5"/>
  <c r="AW121" i="5"/>
  <c r="AW120" i="5"/>
  <c r="AW119" i="5"/>
  <c r="AW118" i="5"/>
  <c r="AW117" i="5"/>
  <c r="AW116" i="5"/>
  <c r="AW115" i="5"/>
  <c r="AW114" i="5"/>
  <c r="AW113" i="5"/>
  <c r="AW112" i="5"/>
  <c r="AW111" i="5"/>
  <c r="AW110" i="5"/>
  <c r="AW109" i="5"/>
  <c r="AW108" i="5"/>
  <c r="AW107" i="5"/>
  <c r="AW106" i="5"/>
  <c r="AW105" i="5"/>
  <c r="AW104" i="5"/>
  <c r="AW103" i="5"/>
  <c r="AW102" i="5"/>
  <c r="AW101" i="5"/>
  <c r="AW100" i="5"/>
  <c r="AW99" i="5"/>
  <c r="AW98" i="5"/>
  <c r="AW97" i="5"/>
  <c r="AW96" i="5"/>
  <c r="AW95" i="5"/>
  <c r="AW94" i="5"/>
  <c r="AW93" i="5"/>
  <c r="AW92" i="5"/>
  <c r="AW91" i="5"/>
  <c r="AW90" i="5"/>
  <c r="AW89" i="5"/>
  <c r="AW88" i="5"/>
  <c r="AW87" i="5"/>
  <c r="AW86" i="5"/>
  <c r="AW85" i="5"/>
  <c r="AW84" i="5"/>
  <c r="AW83" i="5"/>
  <c r="AW82" i="5"/>
  <c r="AW81" i="5"/>
  <c r="AW80" i="5"/>
  <c r="AW79" i="5"/>
  <c r="AW78" i="5"/>
  <c r="AW77" i="5"/>
  <c r="AW76" i="5"/>
  <c r="AW75" i="5"/>
  <c r="AW74" i="5"/>
  <c r="AW73" i="5"/>
  <c r="AW72" i="5"/>
  <c r="AW71" i="5"/>
  <c r="AW70" i="5"/>
  <c r="AW69" i="5"/>
  <c r="AW68" i="5"/>
  <c r="AW67" i="5"/>
  <c r="AW66" i="5"/>
  <c r="AW65" i="5"/>
  <c r="AW64" i="5"/>
  <c r="AW63" i="5"/>
  <c r="AW62" i="5"/>
  <c r="AW61" i="5"/>
  <c r="AW60" i="5"/>
  <c r="AW59" i="5"/>
  <c r="AW58" i="5"/>
  <c r="AW57" i="5"/>
  <c r="AW56" i="5"/>
  <c r="AW55" i="5"/>
  <c r="AW54" i="5"/>
  <c r="AW53" i="5"/>
  <c r="AW52" i="5"/>
  <c r="AW51" i="5"/>
  <c r="AW50" i="5"/>
  <c r="AW49" i="5"/>
  <c r="AW48" i="5"/>
  <c r="AW47" i="5"/>
  <c r="AW46" i="5"/>
  <c r="AW45" i="5"/>
  <c r="AW44" i="5"/>
  <c r="AW43" i="5"/>
  <c r="AW42" i="5"/>
  <c r="AW41" i="5"/>
  <c r="AW40" i="5"/>
  <c r="AW39" i="5"/>
  <c r="AW38" i="5"/>
  <c r="AW37" i="5"/>
  <c r="AW36" i="5"/>
  <c r="AW35" i="5"/>
  <c r="AW34" i="5"/>
  <c r="AW33" i="5"/>
  <c r="AW32" i="5"/>
  <c r="AW31" i="5"/>
  <c r="AW30" i="5"/>
  <c r="AW29" i="5"/>
  <c r="AW28" i="5"/>
  <c r="AW27" i="5"/>
  <c r="AW26" i="5"/>
  <c r="AW25" i="5"/>
  <c r="AW24" i="5"/>
  <c r="AW23" i="5"/>
  <c r="AW22" i="5"/>
  <c r="AW21" i="5"/>
  <c r="AW20" i="5"/>
  <c r="AW19" i="5"/>
  <c r="AW18" i="5"/>
  <c r="AW17" i="5"/>
  <c r="AW16" i="5"/>
  <c r="AW15" i="5"/>
  <c r="AW14" i="5"/>
  <c r="AW13" i="5"/>
  <c r="AW12" i="5"/>
  <c r="AW11" i="5"/>
  <c r="AW10" i="5"/>
  <c r="AW9" i="5"/>
  <c r="AW8" i="5"/>
  <c r="AW7" i="5"/>
  <c r="AW6" i="5"/>
  <c r="AW5" i="5"/>
  <c r="AW4" i="5"/>
  <c r="AW3" i="5"/>
  <c r="AW2" i="5"/>
  <c r="AS3" i="5"/>
  <c r="AX3" i="5" s="1"/>
  <c r="AS4" i="5"/>
  <c r="AX4" i="5" s="1"/>
  <c r="AS5" i="5"/>
  <c r="AX5" i="5" s="1"/>
  <c r="AS6" i="5"/>
  <c r="AX6" i="5" s="1"/>
  <c r="AS7" i="5"/>
  <c r="AX7" i="5" s="1"/>
  <c r="AS8" i="5"/>
  <c r="AX8" i="5" s="1"/>
  <c r="AS9" i="5"/>
  <c r="AX9" i="5" s="1"/>
  <c r="AS10" i="5"/>
  <c r="AX10" i="5" s="1"/>
  <c r="AS11" i="5"/>
  <c r="AX11" i="5" s="1"/>
  <c r="AS12" i="5"/>
  <c r="AX12" i="5" s="1"/>
  <c r="AS13" i="5"/>
  <c r="AT13" i="5" s="1"/>
  <c r="AS14" i="5"/>
  <c r="AX14" i="5" s="1"/>
  <c r="AS15" i="5"/>
  <c r="AX15" i="5" s="1"/>
  <c r="AS16" i="5"/>
  <c r="AX16" i="5" s="1"/>
  <c r="AS17" i="5"/>
  <c r="AT17" i="5" s="1"/>
  <c r="AV17" i="5" s="1"/>
  <c r="AS18" i="5"/>
  <c r="AX18" i="5" s="1"/>
  <c r="AS19" i="5"/>
  <c r="AX19" i="5" s="1"/>
  <c r="AS20" i="5"/>
  <c r="AX20" i="5" s="1"/>
  <c r="AS21" i="5"/>
  <c r="AT21" i="5" s="1"/>
  <c r="AV21" i="5" s="1"/>
  <c r="AS22" i="5"/>
  <c r="AT22" i="5" s="1"/>
  <c r="AS23" i="5"/>
  <c r="AX23" i="5" s="1"/>
  <c r="AS24" i="5"/>
  <c r="AX24" i="5" s="1"/>
  <c r="AS25" i="5"/>
  <c r="AT25" i="5" s="1"/>
  <c r="AU25" i="5" s="1"/>
  <c r="AS26" i="5"/>
  <c r="AX26" i="5" s="1"/>
  <c r="AS27" i="5"/>
  <c r="AX27" i="5" s="1"/>
  <c r="AS28" i="5"/>
  <c r="AX28" i="5" s="1"/>
  <c r="AS29" i="5"/>
  <c r="AX29" i="5" s="1"/>
  <c r="AS30" i="5"/>
  <c r="AX30" i="5" s="1"/>
  <c r="AS31" i="5"/>
  <c r="AX31" i="5" s="1"/>
  <c r="AS32" i="5"/>
  <c r="AX32" i="5" s="1"/>
  <c r="AS33" i="5"/>
  <c r="AT33" i="5" s="1"/>
  <c r="AS34" i="5"/>
  <c r="AX34" i="5" s="1"/>
  <c r="AS35" i="5"/>
  <c r="AX35" i="5" s="1"/>
  <c r="AS36" i="5"/>
  <c r="AX36" i="5" s="1"/>
  <c r="AS37" i="5"/>
  <c r="AX37" i="5" s="1"/>
  <c r="AS38" i="5"/>
  <c r="AX38" i="5" s="1"/>
  <c r="AS39" i="5"/>
  <c r="AX39" i="5" s="1"/>
  <c r="AS40" i="5"/>
  <c r="AX40" i="5" s="1"/>
  <c r="AS41" i="5"/>
  <c r="AX41" i="5" s="1"/>
  <c r="AS42" i="5"/>
  <c r="AX42" i="5" s="1"/>
  <c r="AS43" i="5"/>
  <c r="AX43" i="5" s="1"/>
  <c r="AS44" i="5"/>
  <c r="AX44" i="5" s="1"/>
  <c r="AS45" i="5"/>
  <c r="AT45" i="5" s="1"/>
  <c r="AS46" i="5"/>
  <c r="AX46" i="5" s="1"/>
  <c r="AS47" i="5"/>
  <c r="AX47" i="5" s="1"/>
  <c r="AS48" i="5"/>
  <c r="AX48" i="5" s="1"/>
  <c r="AS49" i="5"/>
  <c r="AT49" i="5" s="1"/>
  <c r="AS50" i="5"/>
  <c r="AX50" i="5" s="1"/>
  <c r="AS51" i="5"/>
  <c r="AX51" i="5" s="1"/>
  <c r="AS52" i="5"/>
  <c r="AX52" i="5" s="1"/>
  <c r="AS53" i="5"/>
  <c r="AT53" i="5" s="1"/>
  <c r="AV53" i="5" s="1"/>
  <c r="AS54" i="5"/>
  <c r="AT54" i="5" s="1"/>
  <c r="AS55" i="5"/>
  <c r="AX55" i="5" s="1"/>
  <c r="AS56" i="5"/>
  <c r="AX56" i="5" s="1"/>
  <c r="AS57" i="5"/>
  <c r="AT57" i="5" s="1"/>
  <c r="AS58" i="5"/>
  <c r="AX58" i="5" s="1"/>
  <c r="AS59" i="5"/>
  <c r="AX59" i="5" s="1"/>
  <c r="AS60" i="5"/>
  <c r="AX60" i="5" s="1"/>
  <c r="AS61" i="5"/>
  <c r="AX61" i="5" s="1"/>
  <c r="AS62" i="5"/>
  <c r="AX62" i="5" s="1"/>
  <c r="AS63" i="5"/>
  <c r="AX63" i="5" s="1"/>
  <c r="AS64" i="5"/>
  <c r="AX64" i="5" s="1"/>
  <c r="AS65" i="5"/>
  <c r="AT65" i="5" s="1"/>
  <c r="AU65" i="5" s="1"/>
  <c r="AS66" i="5"/>
  <c r="AX66" i="5" s="1"/>
  <c r="AS67" i="5"/>
  <c r="AX67" i="5" s="1"/>
  <c r="AS68" i="5"/>
  <c r="AX68" i="5" s="1"/>
  <c r="AS69" i="5"/>
  <c r="AX69" i="5" s="1"/>
  <c r="AS70" i="5"/>
  <c r="AX70" i="5" s="1"/>
  <c r="AS71" i="5"/>
  <c r="AX71" i="5" s="1"/>
  <c r="AS72" i="5"/>
  <c r="AX72" i="5" s="1"/>
  <c r="AS73" i="5"/>
  <c r="AX73" i="5" s="1"/>
  <c r="AS74" i="5"/>
  <c r="AX74" i="5" s="1"/>
  <c r="AS75" i="5"/>
  <c r="AX75" i="5" s="1"/>
  <c r="AS76" i="5"/>
  <c r="AX76" i="5" s="1"/>
  <c r="AS77" i="5"/>
  <c r="AT77" i="5" s="1"/>
  <c r="AS78" i="5"/>
  <c r="AX78" i="5" s="1"/>
  <c r="AS79" i="5"/>
  <c r="AX79" i="5" s="1"/>
  <c r="AS80" i="5"/>
  <c r="AX80" i="5" s="1"/>
  <c r="AS81" i="5"/>
  <c r="AT81" i="5" s="1"/>
  <c r="AS82" i="5"/>
  <c r="AX82" i="5" s="1"/>
  <c r="AS83" i="5"/>
  <c r="AX83" i="5" s="1"/>
  <c r="AS84" i="5"/>
  <c r="AX84" i="5" s="1"/>
  <c r="AS85" i="5"/>
  <c r="AT85" i="5" s="1"/>
  <c r="AU85" i="5" s="1"/>
  <c r="AS86" i="5"/>
  <c r="AT86" i="5" s="1"/>
  <c r="AS87" i="5"/>
  <c r="AX87" i="5" s="1"/>
  <c r="AS88" i="5"/>
  <c r="AX88" i="5" s="1"/>
  <c r="AS89" i="5"/>
  <c r="AT89" i="5" s="1"/>
  <c r="AS90" i="5"/>
  <c r="AX90" i="5" s="1"/>
  <c r="AS91" i="5"/>
  <c r="AX91" i="5" s="1"/>
  <c r="AS92" i="5"/>
  <c r="AX92" i="5" s="1"/>
  <c r="AS93" i="5"/>
  <c r="AX93" i="5" s="1"/>
  <c r="AS94" i="5"/>
  <c r="AX94" i="5" s="1"/>
  <c r="AS95" i="5"/>
  <c r="AX95" i="5" s="1"/>
  <c r="AS96" i="5"/>
  <c r="AX96" i="5" s="1"/>
  <c r="AS97" i="5"/>
  <c r="AT97" i="5" s="1"/>
  <c r="AS98" i="5"/>
  <c r="AX98" i="5" s="1"/>
  <c r="AS99" i="5"/>
  <c r="AX99" i="5" s="1"/>
  <c r="AS100" i="5"/>
  <c r="AX100" i="5" s="1"/>
  <c r="AS101" i="5"/>
  <c r="AX101" i="5" s="1"/>
  <c r="AS102" i="5"/>
  <c r="AX102" i="5" s="1"/>
  <c r="AS103" i="5"/>
  <c r="AX103" i="5" s="1"/>
  <c r="AS104" i="5"/>
  <c r="AX104" i="5" s="1"/>
  <c r="AS105" i="5"/>
  <c r="AX105" i="5" s="1"/>
  <c r="AS106" i="5"/>
  <c r="AX106" i="5" s="1"/>
  <c r="AS107" i="5"/>
  <c r="AX107" i="5" s="1"/>
  <c r="AS108" i="5"/>
  <c r="AX108" i="5" s="1"/>
  <c r="AS109" i="5"/>
  <c r="AT109" i="5" s="1"/>
  <c r="AS110" i="5"/>
  <c r="AX110" i="5" s="1"/>
  <c r="AS111" i="5"/>
  <c r="AX111" i="5" s="1"/>
  <c r="AS112" i="5"/>
  <c r="AX112" i="5" s="1"/>
  <c r="AS113" i="5"/>
  <c r="AT113" i="5" s="1"/>
  <c r="AU113" i="5" s="1"/>
  <c r="AS114" i="5"/>
  <c r="AX114" i="5" s="1"/>
  <c r="AS115" i="5"/>
  <c r="AX115" i="5" s="1"/>
  <c r="AS116" i="5"/>
  <c r="AX116" i="5" s="1"/>
  <c r="AS117" i="5"/>
  <c r="AT117" i="5" s="1"/>
  <c r="AU117" i="5" s="1"/>
  <c r="AS118" i="5"/>
  <c r="AT118" i="5" s="1"/>
  <c r="AS119" i="5"/>
  <c r="AX119" i="5" s="1"/>
  <c r="AS120" i="5"/>
  <c r="AX120" i="5" s="1"/>
  <c r="AS121" i="5"/>
  <c r="AT121" i="5" s="1"/>
  <c r="AV121" i="5" s="1"/>
  <c r="AS122" i="5"/>
  <c r="AX122" i="5" s="1"/>
  <c r="AS123" i="5"/>
  <c r="AX123" i="5" s="1"/>
  <c r="AS124" i="5"/>
  <c r="AX124" i="5" s="1"/>
  <c r="AS125" i="5"/>
  <c r="AX125" i="5" s="1"/>
  <c r="AS126" i="5"/>
  <c r="AX126" i="5" s="1"/>
  <c r="AS127" i="5"/>
  <c r="AX127" i="5" s="1"/>
  <c r="AS128" i="5"/>
  <c r="AX128" i="5" s="1"/>
  <c r="AS129" i="5"/>
  <c r="AT129" i="5" s="1"/>
  <c r="AS130" i="5"/>
  <c r="AX130" i="5" s="1"/>
  <c r="AS131" i="5"/>
  <c r="AX131" i="5" s="1"/>
  <c r="AS132" i="5"/>
  <c r="AX132" i="5" s="1"/>
  <c r="AS133" i="5"/>
  <c r="AX133" i="5" s="1"/>
  <c r="AS134" i="5"/>
  <c r="AX134" i="5" s="1"/>
  <c r="AS135" i="5"/>
  <c r="AX135" i="5" s="1"/>
  <c r="AS136" i="5"/>
  <c r="AX136" i="5" s="1"/>
  <c r="AS137" i="5"/>
  <c r="AX137" i="5" s="1"/>
  <c r="AS138" i="5"/>
  <c r="AX138" i="5" s="1"/>
  <c r="AS139" i="5"/>
  <c r="AX139" i="5" s="1"/>
  <c r="AS140" i="5"/>
  <c r="AX140" i="5" s="1"/>
  <c r="AS141" i="5"/>
  <c r="AT141" i="5" s="1"/>
  <c r="AS142" i="5"/>
  <c r="AX142" i="5" s="1"/>
  <c r="AS143" i="5"/>
  <c r="AX143" i="5" s="1"/>
  <c r="AS144" i="5"/>
  <c r="AX144" i="5" s="1"/>
  <c r="AS145" i="5"/>
  <c r="AT145" i="5" s="1"/>
  <c r="AU145" i="5" s="1"/>
  <c r="AS146" i="5"/>
  <c r="AX146" i="5" s="1"/>
  <c r="AS147" i="5"/>
  <c r="AX147" i="5" s="1"/>
  <c r="AS148" i="5"/>
  <c r="AX148" i="5" s="1"/>
  <c r="AS149" i="5"/>
  <c r="AT149" i="5" s="1"/>
  <c r="AU149" i="5" s="1"/>
  <c r="AS150" i="5"/>
  <c r="AT150" i="5" s="1"/>
  <c r="AS151" i="5"/>
  <c r="AX151" i="5" s="1"/>
  <c r="AS152" i="5"/>
  <c r="AX152" i="5" s="1"/>
  <c r="AS153" i="5"/>
  <c r="AT153" i="5" s="1"/>
  <c r="AV153" i="5" s="1"/>
  <c r="AS154" i="5"/>
  <c r="AX154" i="5" s="1"/>
  <c r="AS155" i="5"/>
  <c r="AX155" i="5" s="1"/>
  <c r="AS156" i="5"/>
  <c r="AX156" i="5" s="1"/>
  <c r="AS157" i="5"/>
  <c r="AX157" i="5" s="1"/>
  <c r="AS158" i="5"/>
  <c r="AX158" i="5" s="1"/>
  <c r="AS159" i="5"/>
  <c r="AX159" i="5" s="1"/>
  <c r="AS160" i="5"/>
  <c r="AX160" i="5" s="1"/>
  <c r="AS161" i="5"/>
  <c r="AT161" i="5" s="1"/>
  <c r="AU161" i="5" s="1"/>
  <c r="AS162" i="5"/>
  <c r="AX162" i="5" s="1"/>
  <c r="AS163" i="5"/>
  <c r="AX163" i="5" s="1"/>
  <c r="AS164" i="5"/>
  <c r="AX164" i="5" s="1"/>
  <c r="AS165" i="5"/>
  <c r="AX165" i="5" s="1"/>
  <c r="AS166" i="5"/>
  <c r="AX166" i="5" s="1"/>
  <c r="AS167" i="5"/>
  <c r="AX167" i="5" s="1"/>
  <c r="AS168" i="5"/>
  <c r="AX168" i="5" s="1"/>
  <c r="AS169" i="5"/>
  <c r="AX169" i="5" s="1"/>
  <c r="AS170" i="5"/>
  <c r="AX170" i="5" s="1"/>
  <c r="AS171" i="5"/>
  <c r="AX171" i="5" s="1"/>
  <c r="AS172" i="5"/>
  <c r="AX172" i="5" s="1"/>
  <c r="AS173" i="5"/>
  <c r="AT173" i="5" s="1"/>
  <c r="AS174" i="5"/>
  <c r="AX174" i="5" s="1"/>
  <c r="AS175" i="5"/>
  <c r="AX175" i="5" s="1"/>
  <c r="AS176" i="5"/>
  <c r="AX176" i="5" s="1"/>
  <c r="AS177" i="5"/>
  <c r="AT177" i="5" s="1"/>
  <c r="AU177" i="5" s="1"/>
  <c r="AS178" i="5"/>
  <c r="AX178" i="5" s="1"/>
  <c r="AS179" i="5"/>
  <c r="AX179" i="5" s="1"/>
  <c r="AS180" i="5"/>
  <c r="AX180" i="5" s="1"/>
  <c r="AS181" i="5"/>
  <c r="AT181" i="5" s="1"/>
  <c r="AU181" i="5" s="1"/>
  <c r="AS182" i="5"/>
  <c r="AT182" i="5" s="1"/>
  <c r="AS183" i="5"/>
  <c r="AX183" i="5" s="1"/>
  <c r="AS184" i="5"/>
  <c r="AX184" i="5" s="1"/>
  <c r="AS185" i="5"/>
  <c r="AT185" i="5" s="1"/>
  <c r="AS186" i="5"/>
  <c r="AX186" i="5" s="1"/>
  <c r="AS187" i="5"/>
  <c r="AX187" i="5" s="1"/>
  <c r="AS188" i="5"/>
  <c r="AX188" i="5" s="1"/>
  <c r="AS189" i="5"/>
  <c r="AX189" i="5" s="1"/>
  <c r="AS190" i="5"/>
  <c r="AX190" i="5" s="1"/>
  <c r="AS191" i="5"/>
  <c r="AX191" i="5" s="1"/>
  <c r="AS192" i="5"/>
  <c r="AX192" i="5" s="1"/>
  <c r="AS193" i="5"/>
  <c r="AT193" i="5" s="1"/>
  <c r="AS194" i="5"/>
  <c r="AX194" i="5" s="1"/>
  <c r="AS195" i="5"/>
  <c r="AX195" i="5" s="1"/>
  <c r="AS196" i="5"/>
  <c r="AX196" i="5" s="1"/>
  <c r="AS197" i="5"/>
  <c r="AX197" i="5" s="1"/>
  <c r="AS198" i="5"/>
  <c r="AX198" i="5" s="1"/>
  <c r="AS199" i="5"/>
  <c r="AX199" i="5" s="1"/>
  <c r="AS200" i="5"/>
  <c r="AX200" i="5" s="1"/>
  <c r="AS201" i="5"/>
  <c r="AX201" i="5" s="1"/>
  <c r="AS202" i="5"/>
  <c r="AX202" i="5" s="1"/>
  <c r="AS203" i="5"/>
  <c r="AX203" i="5" s="1"/>
  <c r="AS204" i="5"/>
  <c r="AX204" i="5" s="1"/>
  <c r="AS205" i="5"/>
  <c r="AT205" i="5" s="1"/>
  <c r="AS206" i="5"/>
  <c r="AX206" i="5" s="1"/>
  <c r="AS207" i="5"/>
  <c r="AX207" i="5" s="1"/>
  <c r="AS208" i="5"/>
  <c r="AX208" i="5" s="1"/>
  <c r="AS209" i="5"/>
  <c r="AT209" i="5" s="1"/>
  <c r="AU209" i="5" s="1"/>
  <c r="AS210" i="5"/>
  <c r="AX210" i="5" s="1"/>
  <c r="AS211" i="5"/>
  <c r="AX211" i="5" s="1"/>
  <c r="AS212" i="5"/>
  <c r="AX212" i="5" s="1"/>
  <c r="AS213" i="5"/>
  <c r="AT213" i="5" s="1"/>
  <c r="AU213" i="5" s="1"/>
  <c r="AS214" i="5"/>
  <c r="AT214" i="5" s="1"/>
  <c r="AS215" i="5"/>
  <c r="AX215" i="5" s="1"/>
  <c r="AS216" i="5"/>
  <c r="AX216" i="5" s="1"/>
  <c r="AS217" i="5"/>
  <c r="AT217" i="5" s="1"/>
  <c r="AS218" i="5"/>
  <c r="AX218" i="5" s="1"/>
  <c r="AS219" i="5"/>
  <c r="AX219" i="5" s="1"/>
  <c r="AS220" i="5"/>
  <c r="AX220" i="5" s="1"/>
  <c r="AS221" i="5"/>
  <c r="AX221" i="5" s="1"/>
  <c r="AS222" i="5"/>
  <c r="AX222" i="5" s="1"/>
  <c r="AS223" i="5"/>
  <c r="AX223" i="5" s="1"/>
  <c r="AS224" i="5"/>
  <c r="AX224" i="5" s="1"/>
  <c r="AS225" i="5"/>
  <c r="AT225" i="5" s="1"/>
  <c r="AU225" i="5" s="1"/>
  <c r="AS226" i="5"/>
  <c r="AX226" i="5" s="1"/>
  <c r="AS227" i="5"/>
  <c r="AX227" i="5" s="1"/>
  <c r="AS228" i="5"/>
  <c r="AX228" i="5" s="1"/>
  <c r="AS229" i="5"/>
  <c r="AX229" i="5" s="1"/>
  <c r="AS230" i="5"/>
  <c r="AX230" i="5" s="1"/>
  <c r="AS231" i="5"/>
  <c r="AX231" i="5" s="1"/>
  <c r="AS232" i="5"/>
  <c r="AX232" i="5" s="1"/>
  <c r="AS233" i="5"/>
  <c r="AX233" i="5" s="1"/>
  <c r="AS234" i="5"/>
  <c r="AX234" i="5" s="1"/>
  <c r="AS235" i="5"/>
  <c r="AX235" i="5" s="1"/>
  <c r="AS236" i="5"/>
  <c r="AX236" i="5" s="1"/>
  <c r="AS237" i="5"/>
  <c r="AT237" i="5" s="1"/>
  <c r="AS238" i="5"/>
  <c r="AX238" i="5" s="1"/>
  <c r="AS239" i="5"/>
  <c r="AX239" i="5" s="1"/>
  <c r="AS240" i="5"/>
  <c r="AX240" i="5" s="1"/>
  <c r="AS241" i="5"/>
  <c r="AT241" i="5" s="1"/>
  <c r="AV241" i="5" s="1"/>
  <c r="AS242" i="5"/>
  <c r="AX242" i="5" s="1"/>
  <c r="AS243" i="5"/>
  <c r="AX243" i="5" s="1"/>
  <c r="AS244" i="5"/>
  <c r="AX244" i="5" s="1"/>
  <c r="AS245" i="5"/>
  <c r="AT245" i="5" s="1"/>
  <c r="AU245" i="5" s="1"/>
  <c r="AS246" i="5"/>
  <c r="AT246" i="5" s="1"/>
  <c r="AS247" i="5"/>
  <c r="AX247" i="5" s="1"/>
  <c r="AS248" i="5"/>
  <c r="AX248" i="5" s="1"/>
  <c r="AS249" i="5"/>
  <c r="AT249" i="5" s="1"/>
  <c r="AU249" i="5" s="1"/>
  <c r="AS250" i="5"/>
  <c r="AX250" i="5" s="1"/>
  <c r="AS251" i="5"/>
  <c r="AX251" i="5" s="1"/>
  <c r="AS252" i="5"/>
  <c r="AX252" i="5" s="1"/>
  <c r="AS253" i="5"/>
  <c r="AX253" i="5" s="1"/>
  <c r="AS254" i="5"/>
  <c r="AX254" i="5" s="1"/>
  <c r="AS255" i="5"/>
  <c r="AX255" i="5" s="1"/>
  <c r="AS256" i="5"/>
  <c r="AX256" i="5" s="1"/>
  <c r="AS257" i="5"/>
  <c r="AT257" i="5" s="1"/>
  <c r="AV257" i="5" s="1"/>
  <c r="AS258" i="5"/>
  <c r="AX258" i="5" s="1"/>
  <c r="AS259" i="5"/>
  <c r="AX259" i="5" s="1"/>
  <c r="AS260" i="5"/>
  <c r="AX260" i="5" s="1"/>
  <c r="AS261" i="5"/>
  <c r="AX261" i="5" s="1"/>
  <c r="AS262" i="5"/>
  <c r="AX262" i="5" s="1"/>
  <c r="AS263" i="5"/>
  <c r="AX263" i="5" s="1"/>
  <c r="AS264" i="5"/>
  <c r="AX264" i="5" s="1"/>
  <c r="AS265" i="5"/>
  <c r="AX265" i="5" s="1"/>
  <c r="AS266" i="5"/>
  <c r="AX266" i="5" s="1"/>
  <c r="AS267" i="5"/>
  <c r="AX267" i="5" s="1"/>
  <c r="AS268" i="5"/>
  <c r="AX268" i="5" s="1"/>
  <c r="AS269" i="5"/>
  <c r="AT269" i="5" s="1"/>
  <c r="AS270" i="5"/>
  <c r="AX270" i="5" s="1"/>
  <c r="AS271" i="5"/>
  <c r="AX271" i="5" s="1"/>
  <c r="AS272" i="5"/>
  <c r="AX272" i="5" s="1"/>
  <c r="AS273" i="5"/>
  <c r="AT273" i="5" s="1"/>
  <c r="AS274" i="5"/>
  <c r="AX274" i="5" s="1"/>
  <c r="AS275" i="5"/>
  <c r="AX275" i="5" s="1"/>
  <c r="AS276" i="5"/>
  <c r="AX276" i="5" s="1"/>
  <c r="AS277" i="5"/>
  <c r="AT277" i="5" s="1"/>
  <c r="AU277" i="5" s="1"/>
  <c r="AS278" i="5"/>
  <c r="AT278" i="5" s="1"/>
  <c r="AS279" i="5"/>
  <c r="AX279" i="5" s="1"/>
  <c r="AS280" i="5"/>
  <c r="AX280" i="5" s="1"/>
  <c r="AS281" i="5"/>
  <c r="AT281" i="5" s="1"/>
  <c r="AS282" i="5"/>
  <c r="AX282" i="5" s="1"/>
  <c r="AS283" i="5"/>
  <c r="AX283" i="5" s="1"/>
  <c r="AS284" i="5"/>
  <c r="AX284" i="5" s="1"/>
  <c r="AS285" i="5"/>
  <c r="AX285" i="5" s="1"/>
  <c r="AS286" i="5"/>
  <c r="AX286" i="5" s="1"/>
  <c r="AS287" i="5"/>
  <c r="AX287" i="5" s="1"/>
  <c r="AS288" i="5"/>
  <c r="AX288" i="5" s="1"/>
  <c r="AS289" i="5"/>
  <c r="AT289" i="5" s="1"/>
  <c r="AU289" i="5" s="1"/>
  <c r="AS290" i="5"/>
  <c r="AX290" i="5" s="1"/>
  <c r="AS291" i="5"/>
  <c r="AX291" i="5" s="1"/>
  <c r="AS292" i="5"/>
  <c r="AX292" i="5" s="1"/>
  <c r="AS293" i="5"/>
  <c r="AX293" i="5" s="1"/>
  <c r="AS294" i="5"/>
  <c r="AX294" i="5" s="1"/>
  <c r="AS295" i="5"/>
  <c r="AX295" i="5" s="1"/>
  <c r="AS296" i="5"/>
  <c r="AX296" i="5" s="1"/>
  <c r="AS297" i="5"/>
  <c r="AX297" i="5" s="1"/>
  <c r="AS298" i="5"/>
  <c r="AX298" i="5" s="1"/>
  <c r="AS299" i="5"/>
  <c r="AX299" i="5" s="1"/>
  <c r="AS300" i="5"/>
  <c r="AX300" i="5" s="1"/>
  <c r="AS301" i="5"/>
  <c r="AX301" i="5" s="1"/>
  <c r="AS302" i="5"/>
  <c r="AX302" i="5" s="1"/>
  <c r="AS303" i="5"/>
  <c r="AX303" i="5" s="1"/>
  <c r="AS304" i="5"/>
  <c r="AX304" i="5" s="1"/>
  <c r="AS305" i="5"/>
  <c r="AX305" i="5" s="1"/>
  <c r="AS306" i="5"/>
  <c r="AX306" i="5" s="1"/>
  <c r="AS307" i="5"/>
  <c r="AX307" i="5" s="1"/>
  <c r="AS308" i="5"/>
  <c r="AX308" i="5" s="1"/>
  <c r="AS309" i="5"/>
  <c r="AX309" i="5" s="1"/>
  <c r="AS310" i="5"/>
  <c r="AX310" i="5" s="1"/>
  <c r="AS311" i="5"/>
  <c r="AX311" i="5" s="1"/>
  <c r="AS312" i="5"/>
  <c r="AX312" i="5" s="1"/>
  <c r="AS313" i="5"/>
  <c r="AX313" i="5" s="1"/>
  <c r="AS314" i="5"/>
  <c r="AX314" i="5" s="1"/>
  <c r="AS315" i="5"/>
  <c r="AX315" i="5" s="1"/>
  <c r="AS316" i="5"/>
  <c r="AX316" i="5" s="1"/>
  <c r="AS317" i="5"/>
  <c r="AX317" i="5" s="1"/>
  <c r="AS318" i="5"/>
  <c r="AX318" i="5" s="1"/>
  <c r="AS319" i="5"/>
  <c r="AX319" i="5" s="1"/>
  <c r="AS320" i="5"/>
  <c r="AX320" i="5" s="1"/>
  <c r="AS321" i="5"/>
  <c r="AX321" i="5" s="1"/>
  <c r="AS322" i="5"/>
  <c r="AX322" i="5" s="1"/>
  <c r="AS323" i="5"/>
  <c r="AX323" i="5" s="1"/>
  <c r="AS324" i="5"/>
  <c r="AX324" i="5" s="1"/>
  <c r="AS325" i="5"/>
  <c r="AX325" i="5" s="1"/>
  <c r="AS326" i="5"/>
  <c r="AX326" i="5" s="1"/>
  <c r="AS327" i="5"/>
  <c r="AX327" i="5" s="1"/>
  <c r="AS328" i="5"/>
  <c r="AX328" i="5" s="1"/>
  <c r="AS329" i="5"/>
  <c r="AX329" i="5" s="1"/>
  <c r="AS330" i="5"/>
  <c r="AX330" i="5" s="1"/>
  <c r="AS331" i="5"/>
  <c r="AX331" i="5" s="1"/>
  <c r="AS332" i="5"/>
  <c r="AX332" i="5" s="1"/>
  <c r="AS333" i="5"/>
  <c r="AX333" i="5" s="1"/>
  <c r="AS334" i="5"/>
  <c r="AX334" i="5" s="1"/>
  <c r="AS335" i="5"/>
  <c r="AX335" i="5" s="1"/>
  <c r="AS336" i="5"/>
  <c r="AX336" i="5" s="1"/>
  <c r="AS337" i="5"/>
  <c r="AX337" i="5" s="1"/>
  <c r="AS338" i="5"/>
  <c r="AX338" i="5" s="1"/>
  <c r="AS339" i="5"/>
  <c r="AX339" i="5" s="1"/>
  <c r="AS340" i="5"/>
  <c r="AX340" i="5" s="1"/>
  <c r="AS341" i="5"/>
  <c r="AX341" i="5" s="1"/>
  <c r="AS342" i="5"/>
  <c r="AX342" i="5" s="1"/>
  <c r="AS343" i="5"/>
  <c r="AX343" i="5" s="1"/>
  <c r="AS344" i="5"/>
  <c r="AX344" i="5" s="1"/>
  <c r="AS345" i="5"/>
  <c r="AX345" i="5" s="1"/>
  <c r="AS346" i="5"/>
  <c r="AX346" i="5" s="1"/>
  <c r="AS347" i="5"/>
  <c r="AX347" i="5" s="1"/>
  <c r="AS348" i="5"/>
  <c r="AX348" i="5" s="1"/>
  <c r="AS349" i="5"/>
  <c r="AS350" i="5"/>
  <c r="AX350" i="5" s="1"/>
  <c r="AS351" i="5"/>
  <c r="AX351" i="5" s="1"/>
  <c r="AS352" i="5"/>
  <c r="AX352" i="5" s="1"/>
  <c r="AS353" i="5"/>
  <c r="AS354" i="5"/>
  <c r="AX354" i="5" s="1"/>
  <c r="AS355" i="5"/>
  <c r="AX355" i="5" s="1"/>
  <c r="AS356" i="5"/>
  <c r="AX356" i="5" s="1"/>
  <c r="AS357" i="5"/>
  <c r="AS358" i="5"/>
  <c r="AX358" i="5" s="1"/>
  <c r="AS359" i="5"/>
  <c r="AX359" i="5" s="1"/>
  <c r="AS360" i="5"/>
  <c r="AX360" i="5" s="1"/>
  <c r="AS361" i="5"/>
  <c r="AS362" i="5"/>
  <c r="AX362" i="5" s="1"/>
  <c r="AS363" i="5"/>
  <c r="AX363" i="5" s="1"/>
  <c r="AS364" i="5"/>
  <c r="AX364" i="5" s="1"/>
  <c r="AS365" i="5"/>
  <c r="AS366" i="5"/>
  <c r="AX366" i="5" s="1"/>
  <c r="AS367" i="5"/>
  <c r="AX367" i="5" s="1"/>
  <c r="AS368" i="5"/>
  <c r="AX368" i="5" s="1"/>
  <c r="AS369" i="5"/>
  <c r="AS370" i="5"/>
  <c r="AX370" i="5" s="1"/>
  <c r="AS371" i="5"/>
  <c r="AX371" i="5" s="1"/>
  <c r="AS372" i="5"/>
  <c r="AX372" i="5" s="1"/>
  <c r="AS373" i="5"/>
  <c r="AS374" i="5"/>
  <c r="AX374" i="5" s="1"/>
  <c r="AS375" i="5"/>
  <c r="AX375" i="5" s="1"/>
  <c r="AS376" i="5"/>
  <c r="AX376" i="5" s="1"/>
  <c r="AS377" i="5"/>
  <c r="AS378" i="5"/>
  <c r="AX378" i="5" s="1"/>
  <c r="AS379" i="5"/>
  <c r="AX379" i="5" s="1"/>
  <c r="AS380" i="5"/>
  <c r="AX380" i="5" s="1"/>
  <c r="AS381" i="5"/>
  <c r="AS382" i="5"/>
  <c r="AX382" i="5" s="1"/>
  <c r="AS383" i="5"/>
  <c r="AX383" i="5" s="1"/>
  <c r="AS384" i="5"/>
  <c r="AX384" i="5" s="1"/>
  <c r="AS385" i="5"/>
  <c r="AS386" i="5"/>
  <c r="AX386" i="5" s="1"/>
  <c r="AS387" i="5"/>
  <c r="AX387" i="5" s="1"/>
  <c r="AS388" i="5"/>
  <c r="AX388" i="5" s="1"/>
  <c r="AS389" i="5"/>
  <c r="AS390" i="5"/>
  <c r="AX390" i="5" s="1"/>
  <c r="AS391" i="5"/>
  <c r="AX391" i="5" s="1"/>
  <c r="AS392" i="5"/>
  <c r="AX392" i="5" s="1"/>
  <c r="AS393" i="5"/>
  <c r="AS394" i="5"/>
  <c r="AX394" i="5" s="1"/>
  <c r="AS395" i="5"/>
  <c r="AX395" i="5" s="1"/>
  <c r="AS396" i="5"/>
  <c r="AX396" i="5" s="1"/>
  <c r="AS397" i="5"/>
  <c r="AS398" i="5"/>
  <c r="AT398" i="5" s="1"/>
  <c r="AS399" i="5"/>
  <c r="AX399" i="5" s="1"/>
  <c r="AS400" i="5"/>
  <c r="AX400" i="5" s="1"/>
  <c r="AS401" i="5"/>
  <c r="AS402" i="5"/>
  <c r="AX402" i="5" s="1"/>
  <c r="AS403" i="5"/>
  <c r="AX403" i="5" s="1"/>
  <c r="AS404" i="5"/>
  <c r="AX404" i="5" s="1"/>
  <c r="AS405" i="5"/>
  <c r="AS406" i="5"/>
  <c r="AX406" i="5" s="1"/>
  <c r="AS407" i="5"/>
  <c r="AX407" i="5" s="1"/>
  <c r="AS408" i="5"/>
  <c r="AX408" i="5" s="1"/>
  <c r="AS409" i="5"/>
  <c r="AS410" i="5"/>
  <c r="AX410" i="5" s="1"/>
  <c r="AS411" i="5"/>
  <c r="AX411" i="5" s="1"/>
  <c r="AS412" i="5"/>
  <c r="AX412" i="5" s="1"/>
  <c r="AS413" i="5"/>
  <c r="AS414" i="5"/>
  <c r="AT414" i="5" s="1"/>
  <c r="AS415" i="5"/>
  <c r="AX415" i="5" s="1"/>
  <c r="AS416" i="5"/>
  <c r="AX416" i="5" s="1"/>
  <c r="AS417" i="5"/>
  <c r="AS418" i="5"/>
  <c r="AX418" i="5" s="1"/>
  <c r="AS419" i="5"/>
  <c r="AX419" i="5" s="1"/>
  <c r="AS420" i="5"/>
  <c r="AX420" i="5" s="1"/>
  <c r="AS421" i="5"/>
  <c r="AS422" i="5"/>
  <c r="AX422" i="5" s="1"/>
  <c r="AS423" i="5"/>
  <c r="AX423" i="5" s="1"/>
  <c r="AS424" i="5"/>
  <c r="AX424" i="5" s="1"/>
  <c r="AS425" i="5"/>
  <c r="AS426" i="5"/>
  <c r="AX426" i="5" s="1"/>
  <c r="AS427" i="5"/>
  <c r="AX427" i="5" s="1"/>
  <c r="AS428" i="5"/>
  <c r="AX428" i="5" s="1"/>
  <c r="AS429" i="5"/>
  <c r="AS430" i="5"/>
  <c r="AX430" i="5" s="1"/>
  <c r="AS431" i="5"/>
  <c r="AX431" i="5" s="1"/>
  <c r="AS432" i="5"/>
  <c r="AX432" i="5" s="1"/>
  <c r="AS433" i="5"/>
  <c r="AS434" i="5"/>
  <c r="AX434" i="5" s="1"/>
  <c r="AS435" i="5"/>
  <c r="AX435" i="5" s="1"/>
  <c r="AS436" i="5"/>
  <c r="AX436" i="5" s="1"/>
  <c r="AS437" i="5"/>
  <c r="AS438" i="5"/>
  <c r="AS439" i="5"/>
  <c r="AX439" i="5" s="1"/>
  <c r="AS440" i="5"/>
  <c r="AX440" i="5" s="1"/>
  <c r="AS441" i="5"/>
  <c r="AS442" i="5"/>
  <c r="AX442" i="5" s="1"/>
  <c r="AS443" i="5"/>
  <c r="AX443" i="5" s="1"/>
  <c r="AS444" i="5"/>
  <c r="AX444" i="5" s="1"/>
  <c r="AS445" i="5"/>
  <c r="AS446" i="5"/>
  <c r="AS447" i="5"/>
  <c r="AX447" i="5" s="1"/>
  <c r="AS448" i="5"/>
  <c r="AX448" i="5" s="1"/>
  <c r="AS449" i="5"/>
  <c r="AS450" i="5"/>
  <c r="AX450" i="5" s="1"/>
  <c r="AS451" i="5"/>
  <c r="AX451" i="5" s="1"/>
  <c r="AS452" i="5"/>
  <c r="AX452" i="5" s="1"/>
  <c r="AS453" i="5"/>
  <c r="AS454" i="5"/>
  <c r="AS455" i="5"/>
  <c r="AX455" i="5" s="1"/>
  <c r="AS456" i="5"/>
  <c r="AX456" i="5" s="1"/>
  <c r="AS457" i="5"/>
  <c r="AS458" i="5"/>
  <c r="AX458" i="5" s="1"/>
  <c r="AS459" i="5"/>
  <c r="AX459" i="5" s="1"/>
  <c r="AS460" i="5"/>
  <c r="AX460" i="5" s="1"/>
  <c r="AS461" i="5"/>
  <c r="AS462" i="5"/>
  <c r="AS463" i="5"/>
  <c r="AX463" i="5" s="1"/>
  <c r="AS464" i="5"/>
  <c r="AX464" i="5" s="1"/>
  <c r="AS465" i="5"/>
  <c r="AS466" i="5"/>
  <c r="AX466" i="5" s="1"/>
  <c r="AS467" i="5"/>
  <c r="AX467" i="5" s="1"/>
  <c r="AS468" i="5"/>
  <c r="AX468" i="5" s="1"/>
  <c r="AS469" i="5"/>
  <c r="AS470" i="5"/>
  <c r="AS471" i="5"/>
  <c r="AX471" i="5" s="1"/>
  <c r="AS472" i="5"/>
  <c r="AX472" i="5" s="1"/>
  <c r="AS473" i="5"/>
  <c r="AS474" i="5"/>
  <c r="AX474" i="5" s="1"/>
  <c r="AS475" i="5"/>
  <c r="AX475" i="5" s="1"/>
  <c r="AS476" i="5"/>
  <c r="AX476" i="5" s="1"/>
  <c r="AS477" i="5"/>
  <c r="AS478" i="5"/>
  <c r="AS479" i="5"/>
  <c r="AX479" i="5" s="1"/>
  <c r="AS480" i="5"/>
  <c r="AX480" i="5" s="1"/>
  <c r="AS481" i="5"/>
  <c r="AS482" i="5"/>
  <c r="AX482" i="5" s="1"/>
  <c r="AS483" i="5"/>
  <c r="AX483" i="5" s="1"/>
  <c r="AS484" i="5"/>
  <c r="AX484" i="5" s="1"/>
  <c r="AS485" i="5"/>
  <c r="AS486" i="5"/>
  <c r="AS487" i="5"/>
  <c r="AX487" i="5" s="1"/>
  <c r="AS488" i="5"/>
  <c r="AX488" i="5" s="1"/>
  <c r="AS489" i="5"/>
  <c r="AS490" i="5"/>
  <c r="AX490" i="5" s="1"/>
  <c r="AS491" i="5"/>
  <c r="AX491" i="5" s="1"/>
  <c r="AS492" i="5"/>
  <c r="AX492" i="5" s="1"/>
  <c r="AS493" i="5"/>
  <c r="AS494" i="5"/>
  <c r="AS495" i="5"/>
  <c r="AX495" i="5" s="1"/>
  <c r="AS496" i="5"/>
  <c r="AX496" i="5" s="1"/>
  <c r="AS497" i="5"/>
  <c r="AS498" i="5"/>
  <c r="AX498" i="5" s="1"/>
  <c r="AS499" i="5"/>
  <c r="AX499" i="5" s="1"/>
  <c r="AS500" i="5"/>
  <c r="AX500" i="5" s="1"/>
  <c r="AS501" i="5"/>
  <c r="AS502" i="5"/>
  <c r="AS503" i="5"/>
  <c r="AX503" i="5" s="1"/>
  <c r="AS504" i="5"/>
  <c r="AX504" i="5" s="1"/>
  <c r="AS505" i="5"/>
  <c r="AS506" i="5"/>
  <c r="AX506" i="5" s="1"/>
  <c r="AS507" i="5"/>
  <c r="AX507" i="5" s="1"/>
  <c r="AS508" i="5"/>
  <c r="AX508" i="5" s="1"/>
  <c r="AS509" i="5"/>
  <c r="AS510" i="5"/>
  <c r="AS511" i="5"/>
  <c r="AX511" i="5" s="1"/>
  <c r="AS512" i="5"/>
  <c r="AX512" i="5" s="1"/>
  <c r="AS513" i="5"/>
  <c r="AS514" i="5"/>
  <c r="AX514" i="5" s="1"/>
  <c r="AS515" i="5"/>
  <c r="AX515" i="5" s="1"/>
  <c r="AS516" i="5"/>
  <c r="AX516" i="5" s="1"/>
  <c r="AS517" i="5"/>
  <c r="AS518" i="5"/>
  <c r="AS519" i="5"/>
  <c r="AX519" i="5" s="1"/>
  <c r="AS520" i="5"/>
  <c r="AX520" i="5" s="1"/>
  <c r="AS521" i="5"/>
  <c r="AS522" i="5"/>
  <c r="AX522" i="5" s="1"/>
  <c r="AS523" i="5"/>
  <c r="AX523" i="5" s="1"/>
  <c r="AS524" i="5"/>
  <c r="AX524" i="5" s="1"/>
  <c r="AS525" i="5"/>
  <c r="AS526" i="5"/>
  <c r="AS527" i="5"/>
  <c r="AX527" i="5" s="1"/>
  <c r="AS528" i="5"/>
  <c r="AX528" i="5" s="1"/>
  <c r="AS529" i="5"/>
  <c r="AS530" i="5"/>
  <c r="AX530" i="5" s="1"/>
  <c r="AS531" i="5"/>
  <c r="AX531" i="5" s="1"/>
  <c r="AS532" i="5"/>
  <c r="AX532" i="5" s="1"/>
  <c r="AS533" i="5"/>
  <c r="AS534" i="5"/>
  <c r="AS535" i="5"/>
  <c r="AX535" i="5" s="1"/>
  <c r="AS536" i="5"/>
  <c r="AX536" i="5" s="1"/>
  <c r="AS537" i="5"/>
  <c r="AS538" i="5"/>
  <c r="AX538" i="5" s="1"/>
  <c r="AS539" i="5"/>
  <c r="AX539" i="5" s="1"/>
  <c r="AS540" i="5"/>
  <c r="AX540" i="5" s="1"/>
  <c r="AS541" i="5"/>
  <c r="AS542" i="5"/>
  <c r="AS543" i="5"/>
  <c r="AX543" i="5" s="1"/>
  <c r="AS544" i="5"/>
  <c r="AX544" i="5" s="1"/>
  <c r="AS545" i="5"/>
  <c r="AS546" i="5"/>
  <c r="AX546" i="5" s="1"/>
  <c r="AS547" i="5"/>
  <c r="AX547" i="5" s="1"/>
  <c r="AS548" i="5"/>
  <c r="AX548" i="5" s="1"/>
  <c r="AS549" i="5"/>
  <c r="AS550" i="5"/>
  <c r="AS551" i="5"/>
  <c r="AX551" i="5" s="1"/>
  <c r="AS552" i="5"/>
  <c r="AX552" i="5" s="1"/>
  <c r="AS553" i="5"/>
  <c r="AS554" i="5"/>
  <c r="AX554" i="5" s="1"/>
  <c r="AS555" i="5"/>
  <c r="AX555" i="5" s="1"/>
  <c r="AS556" i="5"/>
  <c r="AX556" i="5" s="1"/>
  <c r="AS557" i="5"/>
  <c r="AS2" i="5"/>
  <c r="CM586" i="5" l="1"/>
  <c r="CM587" i="5" s="1"/>
  <c r="G148" i="10" s="1"/>
  <c r="AW586" i="5"/>
  <c r="AW587" i="5" s="1"/>
  <c r="CL586" i="5"/>
  <c r="CL587" i="5" s="1"/>
  <c r="G11" i="25" s="1"/>
  <c r="AU597" i="5"/>
  <c r="AU598" i="5" s="1"/>
  <c r="AV608" i="5"/>
  <c r="AV609" i="5" s="1"/>
  <c r="AT599" i="5"/>
  <c r="AX608" i="5"/>
  <c r="AX609" i="5" s="1"/>
  <c r="AU599" i="5"/>
  <c r="AT600" i="5"/>
  <c r="AT606" i="5"/>
  <c r="AY608" i="5"/>
  <c r="AY609" i="5" s="1"/>
  <c r="AW584" i="5"/>
  <c r="AW585" i="5" s="1"/>
  <c r="CM584" i="5"/>
  <c r="CM585" i="5" s="1"/>
  <c r="AU600" i="5"/>
  <c r="AU606" i="5"/>
  <c r="AU607" i="5" s="1"/>
  <c r="BA608" i="5"/>
  <c r="BA609" i="5" s="1"/>
  <c r="AV606" i="5"/>
  <c r="AV607" i="5" s="1"/>
  <c r="AT595" i="5"/>
  <c r="AT596" i="5" s="1"/>
  <c r="AX606" i="5"/>
  <c r="AX607" i="5" s="1"/>
  <c r="AU595" i="5"/>
  <c r="AU596" i="5" s="1"/>
  <c r="AY606" i="5"/>
  <c r="AY607" i="5" s="1"/>
  <c r="AT608" i="5"/>
  <c r="AT609" i="5" s="1"/>
  <c r="CL584" i="5"/>
  <c r="CL585" i="5" s="1"/>
  <c r="AT597" i="5"/>
  <c r="AT598" i="5" s="1"/>
  <c r="BA606" i="5"/>
  <c r="BA607" i="5" s="1"/>
  <c r="AU608" i="5"/>
  <c r="AU609" i="5" s="1"/>
  <c r="AT607" i="5"/>
  <c r="N39" i="25"/>
  <c r="N24" i="21"/>
  <c r="N20" i="24"/>
  <c r="N33" i="19"/>
  <c r="N26" i="23"/>
  <c r="F52" i="25"/>
  <c r="F56" i="25" s="1"/>
  <c r="F60" i="25" s="1"/>
  <c r="N20" i="21"/>
  <c r="N25" i="21"/>
  <c r="N25" i="23"/>
  <c r="N30" i="21"/>
  <c r="N23" i="22"/>
  <c r="N32" i="22"/>
  <c r="N27" i="23"/>
  <c r="N30" i="24"/>
  <c r="N39" i="24"/>
  <c r="F67" i="24"/>
  <c r="N35" i="19"/>
  <c r="N35" i="21"/>
  <c r="N22" i="22"/>
  <c r="N30" i="22"/>
  <c r="N24" i="23"/>
  <c r="N33" i="23"/>
  <c r="N24" i="22"/>
  <c r="N29" i="22"/>
  <c r="N20" i="23"/>
  <c r="N28" i="23"/>
  <c r="N29" i="21"/>
  <c r="N33" i="21"/>
  <c r="N34" i="23"/>
  <c r="CM582" i="5"/>
  <c r="CM583" i="5" s="1"/>
  <c r="G126" i="10" s="1"/>
  <c r="AW582" i="5"/>
  <c r="AW583" i="5" s="1"/>
  <c r="CL582" i="5"/>
  <c r="CL583" i="5" s="1"/>
  <c r="E126" i="10" s="1"/>
  <c r="N39" i="23"/>
  <c r="N22" i="21"/>
  <c r="N21" i="22"/>
  <c r="N23" i="20"/>
  <c r="N32" i="20"/>
  <c r="N33" i="22"/>
  <c r="F52" i="23"/>
  <c r="F56" i="23" s="1"/>
  <c r="F60" i="23" s="1"/>
  <c r="N20" i="18"/>
  <c r="N26" i="21"/>
  <c r="N20" i="22"/>
  <c r="N35" i="22"/>
  <c r="N30" i="18"/>
  <c r="N23" i="19"/>
  <c r="N32" i="19"/>
  <c r="N24" i="20"/>
  <c r="N28" i="21"/>
  <c r="N32" i="21"/>
  <c r="N28" i="22"/>
  <c r="CM562" i="5"/>
  <c r="CM563" i="5" s="1"/>
  <c r="I11" i="13" s="1"/>
  <c r="I39" i="13" s="1"/>
  <c r="AB39" i="13" s="1"/>
  <c r="N39" i="21"/>
  <c r="CL580" i="5"/>
  <c r="CL581" i="5" s="1"/>
  <c r="G11" i="22" s="1"/>
  <c r="AA11" i="22" s="1"/>
  <c r="AW580" i="5"/>
  <c r="AW581" i="5" s="1"/>
  <c r="CM580" i="5"/>
  <c r="CM581" i="5" s="1"/>
  <c r="I11" i="22" s="1"/>
  <c r="I39" i="22" s="1"/>
  <c r="AB39" i="22" s="1"/>
  <c r="N39" i="22"/>
  <c r="N23" i="18"/>
  <c r="N29" i="20"/>
  <c r="N23" i="21"/>
  <c r="N34" i="18"/>
  <c r="N26" i="19"/>
  <c r="F52" i="22"/>
  <c r="F56" i="22" s="1"/>
  <c r="F60" i="22" s="1"/>
  <c r="N27" i="20"/>
  <c r="N30" i="20"/>
  <c r="N34" i="20"/>
  <c r="N21" i="21"/>
  <c r="N33" i="18"/>
  <c r="N27" i="21"/>
  <c r="N27" i="19"/>
  <c r="N34" i="21"/>
  <c r="CM578" i="5"/>
  <c r="CM579" i="5" s="1"/>
  <c r="CL574" i="5"/>
  <c r="CL575" i="5" s="1"/>
  <c r="G11" i="19" s="1"/>
  <c r="G39" i="19" s="1"/>
  <c r="AA39" i="19" s="1"/>
  <c r="AW578" i="5"/>
  <c r="AW579" i="5" s="1"/>
  <c r="CL578" i="5"/>
  <c r="CL579" i="5" s="1"/>
  <c r="N32" i="18"/>
  <c r="N24" i="19"/>
  <c r="N21" i="17"/>
  <c r="N26" i="20"/>
  <c r="N22" i="20"/>
  <c r="N33" i="20"/>
  <c r="F52" i="21"/>
  <c r="F56" i="21" s="1"/>
  <c r="F60" i="21" s="1"/>
  <c r="N25" i="20"/>
  <c r="N35" i="20"/>
  <c r="N24" i="16"/>
  <c r="N33" i="16"/>
  <c r="N24" i="18"/>
  <c r="N30" i="19"/>
  <c r="N21" i="20"/>
  <c r="AW574" i="5"/>
  <c r="AW575" i="5" s="1"/>
  <c r="CM576" i="5"/>
  <c r="CM577" i="5" s="1"/>
  <c r="I11" i="20" s="1"/>
  <c r="I39" i="20" s="1"/>
  <c r="AB39" i="20" s="1"/>
  <c r="AW572" i="5"/>
  <c r="AW573" i="5" s="1"/>
  <c r="AU21" i="5"/>
  <c r="BN21" i="5" s="1"/>
  <c r="AW576" i="5"/>
  <c r="AW577" i="5" s="1"/>
  <c r="CM574" i="5"/>
  <c r="CM575" i="5" s="1"/>
  <c r="G82" i="10" s="1"/>
  <c r="CL576" i="5"/>
  <c r="CL577" i="5" s="1"/>
  <c r="G11" i="20" s="1"/>
  <c r="AX574" i="5"/>
  <c r="AX575" i="5" s="1"/>
  <c r="CL568" i="5"/>
  <c r="CL569" i="5" s="1"/>
  <c r="E49" i="10" s="1"/>
  <c r="CL572" i="5"/>
  <c r="CL573" i="5" s="1"/>
  <c r="CM570" i="5"/>
  <c r="CM571" i="5" s="1"/>
  <c r="I11" i="17" s="1"/>
  <c r="AW568" i="5"/>
  <c r="AW569" i="5" s="1"/>
  <c r="CL562" i="5"/>
  <c r="CL563" i="5" s="1"/>
  <c r="G11" i="13" s="1"/>
  <c r="AB11" i="13" s="1"/>
  <c r="CM572" i="5"/>
  <c r="CM573" i="5" s="1"/>
  <c r="CM568" i="5"/>
  <c r="CM569" i="5" s="1"/>
  <c r="I11" i="16" s="1"/>
  <c r="I39" i="16" s="1"/>
  <c r="AB39" i="16" s="1"/>
  <c r="AW570" i="5"/>
  <c r="AW571" i="5" s="1"/>
  <c r="CL570" i="5"/>
  <c r="CL571" i="5" s="1"/>
  <c r="G11" i="17" s="1"/>
  <c r="N39" i="20"/>
  <c r="N25" i="19"/>
  <c r="N28" i="18"/>
  <c r="N21" i="19"/>
  <c r="N20" i="17"/>
  <c r="N34" i="19"/>
  <c r="F52" i="20"/>
  <c r="F56" i="20" s="1"/>
  <c r="F60" i="20" s="1"/>
  <c r="N29" i="19"/>
  <c r="N26" i="16"/>
  <c r="N22" i="19"/>
  <c r="N39" i="19"/>
  <c r="N26" i="18"/>
  <c r="N29" i="18"/>
  <c r="N22" i="17"/>
  <c r="N22" i="18"/>
  <c r="N35" i="18"/>
  <c r="N28" i="16"/>
  <c r="N24" i="17"/>
  <c r="N25" i="18"/>
  <c r="F52" i="19"/>
  <c r="F56" i="19" s="1"/>
  <c r="F60" i="19" s="1"/>
  <c r="N30" i="13"/>
  <c r="N32" i="14"/>
  <c r="N24" i="15"/>
  <c r="N33" i="15"/>
  <c r="N21" i="18"/>
  <c r="N23" i="12"/>
  <c r="N32" i="12"/>
  <c r="N24" i="13"/>
  <c r="N33" i="13"/>
  <c r="N25" i="14"/>
  <c r="N34" i="14"/>
  <c r="N23" i="17"/>
  <c r="N39" i="18"/>
  <c r="N23" i="16"/>
  <c r="N32" i="16"/>
  <c r="N25" i="17"/>
  <c r="N28" i="17"/>
  <c r="N34" i="17"/>
  <c r="N25" i="16"/>
  <c r="N27" i="17"/>
  <c r="N30" i="17"/>
  <c r="N21" i="15"/>
  <c r="N29" i="15"/>
  <c r="N22" i="16"/>
  <c r="N29" i="17"/>
  <c r="N33" i="17"/>
  <c r="F52" i="18"/>
  <c r="F56" i="18" s="1"/>
  <c r="F60" i="18" s="1"/>
  <c r="N26" i="15"/>
  <c r="N35" i="15"/>
  <c r="N27" i="16"/>
  <c r="N21" i="16"/>
  <c r="N29" i="16"/>
  <c r="N26" i="17"/>
  <c r="N32" i="17"/>
  <c r="N35" i="17"/>
  <c r="AT116" i="5"/>
  <c r="AV116" i="5" s="1"/>
  <c r="AT68" i="5"/>
  <c r="AU68" i="5" s="1"/>
  <c r="BB68" i="5" s="1"/>
  <c r="AT12" i="5"/>
  <c r="CC12" i="5" s="1"/>
  <c r="CM566" i="5"/>
  <c r="CM567" i="5" s="1"/>
  <c r="AT4" i="5"/>
  <c r="AU4" i="5" s="1"/>
  <c r="AW566" i="5"/>
  <c r="AW567" i="5" s="1"/>
  <c r="CL566" i="5"/>
  <c r="CL567" i="5" s="1"/>
  <c r="N39" i="17"/>
  <c r="N30" i="16"/>
  <c r="N34" i="16"/>
  <c r="N39" i="16"/>
  <c r="N26" i="14"/>
  <c r="N20" i="16"/>
  <c r="F52" i="17"/>
  <c r="F56" i="17" s="1"/>
  <c r="F60" i="17" s="1"/>
  <c r="N39" i="15"/>
  <c r="N35" i="16"/>
  <c r="F67" i="16"/>
  <c r="N25" i="12"/>
  <c r="N26" i="13"/>
  <c r="N35" i="13"/>
  <c r="N27" i="14"/>
  <c r="N23" i="15"/>
  <c r="N32" i="15"/>
  <c r="N23" i="13"/>
  <c r="N28" i="13"/>
  <c r="N21" i="14"/>
  <c r="N29" i="14"/>
  <c r="N20" i="15"/>
  <c r="N25" i="15"/>
  <c r="N28" i="15"/>
  <c r="N34" i="15"/>
  <c r="N21" i="12"/>
  <c r="N23" i="14"/>
  <c r="N22" i="15"/>
  <c r="N27" i="15"/>
  <c r="N30" i="15"/>
  <c r="N20" i="14"/>
  <c r="N28" i="14"/>
  <c r="N22" i="14"/>
  <c r="N30" i="14"/>
  <c r="N27" i="12"/>
  <c r="N25" i="13"/>
  <c r="N24" i="14"/>
  <c r="N22" i="13"/>
  <c r="N33" i="14"/>
  <c r="F52" i="15"/>
  <c r="F56" i="15" s="1"/>
  <c r="F60" i="15" s="1"/>
  <c r="N21" i="13"/>
  <c r="N29" i="13"/>
  <c r="N35" i="14"/>
  <c r="AT306" i="5"/>
  <c r="AV306" i="5" s="1"/>
  <c r="AT74" i="5"/>
  <c r="AZ74" i="5" s="1"/>
  <c r="AT274" i="5"/>
  <c r="AY274" i="5" s="1"/>
  <c r="AW564" i="5"/>
  <c r="AW565" i="5" s="1"/>
  <c r="AT202" i="5"/>
  <c r="AZ202" i="5" s="1"/>
  <c r="AT58" i="5"/>
  <c r="AY58" i="5" s="1"/>
  <c r="AU53" i="5"/>
  <c r="AT170" i="5"/>
  <c r="AY170" i="5" s="1"/>
  <c r="AT56" i="5"/>
  <c r="AU56" i="5" s="1"/>
  <c r="BB56" i="5" s="1"/>
  <c r="CM564" i="5"/>
  <c r="CM565" i="5" s="1"/>
  <c r="I11" i="14" s="1"/>
  <c r="I39" i="14" s="1"/>
  <c r="AB39" i="14" s="1"/>
  <c r="AT132" i="5"/>
  <c r="AU132" i="5" s="1"/>
  <c r="AT50" i="5"/>
  <c r="AV50" i="5" s="1"/>
  <c r="AU273" i="5"/>
  <c r="AT474" i="5"/>
  <c r="AZ474" i="5" s="1"/>
  <c r="AT106" i="5"/>
  <c r="AV106" i="5" s="1"/>
  <c r="AT18" i="5"/>
  <c r="AY18" i="5" s="1"/>
  <c r="AT514" i="5"/>
  <c r="AY514" i="5" s="1"/>
  <c r="AT34" i="5"/>
  <c r="AV34" i="5" s="1"/>
  <c r="BO34" i="5" s="1"/>
  <c r="AT386" i="5"/>
  <c r="AY386" i="5" s="1"/>
  <c r="AT104" i="5"/>
  <c r="CI104" i="5" s="1"/>
  <c r="AW562" i="5"/>
  <c r="AW563" i="5" s="1"/>
  <c r="CL564" i="5"/>
  <c r="CL565" i="5" s="1"/>
  <c r="E27" i="10" s="1"/>
  <c r="G11" i="14"/>
  <c r="AT427" i="5"/>
  <c r="BW427" i="5" s="1"/>
  <c r="AT347" i="5"/>
  <c r="CA347" i="5" s="1"/>
  <c r="AT235" i="5"/>
  <c r="BU235" i="5" s="1"/>
  <c r="AT546" i="5"/>
  <c r="AV546" i="5" s="1"/>
  <c r="AT498" i="5"/>
  <c r="AY498" i="5" s="1"/>
  <c r="AT452" i="5"/>
  <c r="AU452" i="5" s="1"/>
  <c r="AT415" i="5"/>
  <c r="AT370" i="5"/>
  <c r="AY370" i="5" s="1"/>
  <c r="AT330" i="5"/>
  <c r="AZ330" i="5" s="1"/>
  <c r="AT296" i="5"/>
  <c r="CK296" i="5" s="1"/>
  <c r="AT258" i="5"/>
  <c r="AY258" i="5" s="1"/>
  <c r="AT226" i="5"/>
  <c r="AY226" i="5" s="1"/>
  <c r="AT186" i="5"/>
  <c r="AY186" i="5" s="1"/>
  <c r="AT159" i="5"/>
  <c r="AT120" i="5"/>
  <c r="AU120" i="5" s="1"/>
  <c r="BB120" i="5" s="1"/>
  <c r="AT95" i="5"/>
  <c r="CK95" i="5" s="1"/>
  <c r="AT64" i="5"/>
  <c r="AU64" i="5" s="1"/>
  <c r="AT40" i="5"/>
  <c r="CF40" i="5" s="1"/>
  <c r="AT538" i="5"/>
  <c r="AY538" i="5" s="1"/>
  <c r="AT491" i="5"/>
  <c r="CF491" i="5" s="1"/>
  <c r="AT450" i="5"/>
  <c r="AV450" i="5" s="1"/>
  <c r="AT410" i="5"/>
  <c r="AY410" i="5" s="1"/>
  <c r="AT363" i="5"/>
  <c r="CI363" i="5" s="1"/>
  <c r="AT324" i="5"/>
  <c r="AU324" i="5" s="1"/>
  <c r="AT290" i="5"/>
  <c r="CK290" i="5" s="1"/>
  <c r="AT250" i="5"/>
  <c r="AZ250" i="5" s="1"/>
  <c r="AT223" i="5"/>
  <c r="CI223" i="5" s="1"/>
  <c r="AT184" i="5"/>
  <c r="AU184" i="5" s="1"/>
  <c r="BB184" i="5" s="1"/>
  <c r="AT155" i="5"/>
  <c r="CF155" i="5" s="1"/>
  <c r="AT91" i="5"/>
  <c r="AT530" i="5"/>
  <c r="AY530" i="5" s="1"/>
  <c r="AT490" i="5"/>
  <c r="AV490" i="5" s="1"/>
  <c r="AT442" i="5"/>
  <c r="AZ442" i="5" s="1"/>
  <c r="AT402" i="5"/>
  <c r="AY402" i="5" s="1"/>
  <c r="AT362" i="5"/>
  <c r="AV362" i="5" s="1"/>
  <c r="AT322" i="5"/>
  <c r="AV322" i="5" s="1"/>
  <c r="AT287" i="5"/>
  <c r="CF287" i="5" s="1"/>
  <c r="AT248" i="5"/>
  <c r="AT219" i="5"/>
  <c r="BU219" i="5" s="1"/>
  <c r="AT180" i="5"/>
  <c r="AV180" i="5" s="1"/>
  <c r="AT154" i="5"/>
  <c r="AY154" i="5" s="1"/>
  <c r="AT115" i="5"/>
  <c r="CG115" i="5" s="1"/>
  <c r="AT90" i="5"/>
  <c r="AV90" i="5" s="1"/>
  <c r="AT31" i="5"/>
  <c r="BV31" i="5" s="1"/>
  <c r="AT522" i="5"/>
  <c r="BA522" i="5" s="1"/>
  <c r="AT482" i="5"/>
  <c r="AY482" i="5" s="1"/>
  <c r="AT440" i="5"/>
  <c r="AU440" i="5" s="1"/>
  <c r="AT394" i="5"/>
  <c r="BA394" i="5" s="1"/>
  <c r="AT354" i="5"/>
  <c r="AY354" i="5" s="1"/>
  <c r="AT314" i="5"/>
  <c r="AZ314" i="5" s="1"/>
  <c r="AT283" i="5"/>
  <c r="CG283" i="5" s="1"/>
  <c r="AT244" i="5"/>
  <c r="AV244" i="5" s="1"/>
  <c r="AT218" i="5"/>
  <c r="AT178" i="5"/>
  <c r="AV178" i="5" s="1"/>
  <c r="AT146" i="5"/>
  <c r="AY146" i="5" s="1"/>
  <c r="AT114" i="5"/>
  <c r="AY114" i="5" s="1"/>
  <c r="AT82" i="5"/>
  <c r="AV82" i="5" s="1"/>
  <c r="AT52" i="5"/>
  <c r="AV52" i="5" s="1"/>
  <c r="AT27" i="5"/>
  <c r="CF27" i="5" s="1"/>
  <c r="AT516" i="5"/>
  <c r="AU516" i="5" s="1"/>
  <c r="AT479" i="5"/>
  <c r="BW479" i="5" s="1"/>
  <c r="AT434" i="5"/>
  <c r="AT388" i="5"/>
  <c r="AU388" i="5" s="1"/>
  <c r="AT351" i="5"/>
  <c r="BV351" i="5" s="1"/>
  <c r="AT312" i="5"/>
  <c r="AU312" i="5" s="1"/>
  <c r="AT282" i="5"/>
  <c r="AY282" i="5" s="1"/>
  <c r="AT242" i="5"/>
  <c r="AY242" i="5" s="1"/>
  <c r="AT210" i="5"/>
  <c r="AV210" i="5" s="1"/>
  <c r="AT171" i="5"/>
  <c r="AT138" i="5"/>
  <c r="AZ138" i="5" s="1"/>
  <c r="AT107" i="5"/>
  <c r="BW107" i="5" s="1"/>
  <c r="AT76" i="5"/>
  <c r="CE76" i="5" s="1"/>
  <c r="AT51" i="5"/>
  <c r="CD51" i="5" s="1"/>
  <c r="AT26" i="5"/>
  <c r="AY26" i="5" s="1"/>
  <c r="AT555" i="5"/>
  <c r="CF555" i="5" s="1"/>
  <c r="AT506" i="5"/>
  <c r="BA506" i="5" s="1"/>
  <c r="AT466" i="5"/>
  <c r="AV466" i="5" s="1"/>
  <c r="AT426" i="5"/>
  <c r="AZ426" i="5" s="1"/>
  <c r="AT378" i="5"/>
  <c r="AV378" i="5" s="1"/>
  <c r="AT346" i="5"/>
  <c r="AZ346" i="5" s="1"/>
  <c r="AT299" i="5"/>
  <c r="CG299" i="5" s="1"/>
  <c r="AT266" i="5"/>
  <c r="AZ266" i="5" s="1"/>
  <c r="AT234" i="5"/>
  <c r="AV234" i="5" s="1"/>
  <c r="AT196" i="5"/>
  <c r="AU196" i="5" s="1"/>
  <c r="BN196" i="5" s="1"/>
  <c r="AT168" i="5"/>
  <c r="BV168" i="5" s="1"/>
  <c r="AT130" i="5"/>
  <c r="AY130" i="5" s="1"/>
  <c r="AT43" i="5"/>
  <c r="CI43" i="5" s="1"/>
  <c r="AV217" i="5"/>
  <c r="BO217" i="5" s="1"/>
  <c r="AU193" i="5"/>
  <c r="BB193" i="5" s="1"/>
  <c r="AU129" i="5"/>
  <c r="BB129" i="5" s="1"/>
  <c r="AU49" i="5"/>
  <c r="BB49" i="5" s="1"/>
  <c r="AV33" i="5"/>
  <c r="BC33" i="5" s="1"/>
  <c r="AT554" i="5"/>
  <c r="AZ554" i="5" s="1"/>
  <c r="AT504" i="5"/>
  <c r="AU504" i="5" s="1"/>
  <c r="AT458" i="5"/>
  <c r="BA458" i="5" s="1"/>
  <c r="AT418" i="5"/>
  <c r="AV418" i="5" s="1"/>
  <c r="BO418" i="5" s="1"/>
  <c r="AT376" i="5"/>
  <c r="AU376" i="5" s="1"/>
  <c r="BN376" i="5" s="1"/>
  <c r="AT338" i="5"/>
  <c r="AV338" i="5" s="1"/>
  <c r="AT298" i="5"/>
  <c r="AZ298" i="5" s="1"/>
  <c r="AT260" i="5"/>
  <c r="AU260" i="5" s="1"/>
  <c r="BB260" i="5" s="1"/>
  <c r="AT232" i="5"/>
  <c r="CJ232" i="5" s="1"/>
  <c r="AT194" i="5"/>
  <c r="AV194" i="5" s="1"/>
  <c r="AT162" i="5"/>
  <c r="AV162" i="5" s="1"/>
  <c r="AT122" i="5"/>
  <c r="AZ122" i="5" s="1"/>
  <c r="AT98" i="5"/>
  <c r="AY98" i="5" s="1"/>
  <c r="AT66" i="5"/>
  <c r="AV66" i="5" s="1"/>
  <c r="AT42" i="5"/>
  <c r="AY42" i="5" s="1"/>
  <c r="AT10" i="5"/>
  <c r="AZ10" i="5" s="1"/>
  <c r="N39" i="14"/>
  <c r="N34" i="13"/>
  <c r="N27" i="13"/>
  <c r="N20" i="13"/>
  <c r="F52" i="14"/>
  <c r="F56" i="14" s="1"/>
  <c r="F60" i="14" s="1"/>
  <c r="N32" i="13"/>
  <c r="N39" i="13"/>
  <c r="F67" i="13"/>
  <c r="N20" i="12"/>
  <c r="N26" i="12"/>
  <c r="N29" i="12"/>
  <c r="N33" i="12"/>
  <c r="N22" i="12"/>
  <c r="N35" i="12"/>
  <c r="N28" i="12"/>
  <c r="N24" i="12"/>
  <c r="N30" i="12"/>
  <c r="N34" i="12"/>
  <c r="N39" i="12"/>
  <c r="F52" i="12"/>
  <c r="F56" i="12" s="1"/>
  <c r="F60" i="12" s="1"/>
  <c r="AX553" i="5"/>
  <c r="AT553" i="5"/>
  <c r="AX545" i="5"/>
  <c r="AT545" i="5"/>
  <c r="AX537" i="5"/>
  <c r="AT537" i="5"/>
  <c r="AX529" i="5"/>
  <c r="AT529" i="5"/>
  <c r="AX521" i="5"/>
  <c r="AT521" i="5"/>
  <c r="AX513" i="5"/>
  <c r="AT513" i="5"/>
  <c r="AX505" i="5"/>
  <c r="AT505" i="5"/>
  <c r="AX497" i="5"/>
  <c r="AT497" i="5"/>
  <c r="AX489" i="5"/>
  <c r="AT489" i="5"/>
  <c r="AX481" i="5"/>
  <c r="AT481" i="5"/>
  <c r="AX473" i="5"/>
  <c r="AT473" i="5"/>
  <c r="AX465" i="5"/>
  <c r="AT465" i="5"/>
  <c r="AX457" i="5"/>
  <c r="AT457" i="5"/>
  <c r="AX449" i="5"/>
  <c r="AT449" i="5"/>
  <c r="AX441" i="5"/>
  <c r="AT441" i="5"/>
  <c r="AX433" i="5"/>
  <c r="AX582" i="5" s="1"/>
  <c r="AX583" i="5" s="1"/>
  <c r="AT433" i="5"/>
  <c r="AX425" i="5"/>
  <c r="AT425" i="5"/>
  <c r="AX417" i="5"/>
  <c r="AT417" i="5"/>
  <c r="AX409" i="5"/>
  <c r="AT409" i="5"/>
  <c r="AX401" i="5"/>
  <c r="AT401" i="5"/>
  <c r="AX393" i="5"/>
  <c r="AT393" i="5"/>
  <c r="AX385" i="5"/>
  <c r="AT385" i="5"/>
  <c r="AX377" i="5"/>
  <c r="AT377" i="5"/>
  <c r="AX369" i="5"/>
  <c r="AT369" i="5"/>
  <c r="AX361" i="5"/>
  <c r="AT361" i="5"/>
  <c r="AX353" i="5"/>
  <c r="AT353" i="5"/>
  <c r="CI97" i="5"/>
  <c r="CK97" i="5"/>
  <c r="CF97" i="5"/>
  <c r="CE97" i="5"/>
  <c r="CD97" i="5"/>
  <c r="BY97" i="5"/>
  <c r="CC97" i="5"/>
  <c r="CA97" i="5"/>
  <c r="BT97" i="5"/>
  <c r="BU97" i="5"/>
  <c r="BW97" i="5"/>
  <c r="BV97" i="5"/>
  <c r="BS97" i="5"/>
  <c r="BM97" i="5"/>
  <c r="BR97" i="5"/>
  <c r="BK97" i="5"/>
  <c r="BQ97" i="5"/>
  <c r="BJ97" i="5"/>
  <c r="BI97" i="5"/>
  <c r="BG97" i="5"/>
  <c r="BH97" i="5"/>
  <c r="BF97" i="5"/>
  <c r="BE97" i="5"/>
  <c r="BA97" i="5"/>
  <c r="AZ97" i="5"/>
  <c r="AY97" i="5"/>
  <c r="CI89" i="5"/>
  <c r="CF89" i="5"/>
  <c r="CK89" i="5"/>
  <c r="CE89" i="5"/>
  <c r="CD89" i="5"/>
  <c r="CC89" i="5"/>
  <c r="BY89" i="5"/>
  <c r="BT89" i="5"/>
  <c r="BW89" i="5"/>
  <c r="CA89" i="5"/>
  <c r="BV89" i="5"/>
  <c r="BM89" i="5"/>
  <c r="BS89" i="5"/>
  <c r="BU89" i="5"/>
  <c r="BQ89" i="5"/>
  <c r="BR89" i="5"/>
  <c r="BK89" i="5"/>
  <c r="BI89" i="5"/>
  <c r="BJ89" i="5"/>
  <c r="BH89" i="5"/>
  <c r="BG89" i="5"/>
  <c r="BF89" i="5"/>
  <c r="BE89" i="5"/>
  <c r="BA89" i="5"/>
  <c r="AZ89" i="5"/>
  <c r="AY89" i="5"/>
  <c r="CK81" i="5"/>
  <c r="CI81" i="5"/>
  <c r="CJ81" i="5"/>
  <c r="CF81" i="5"/>
  <c r="CE81" i="5"/>
  <c r="CD81" i="5"/>
  <c r="CH81" i="5"/>
  <c r="CG81" i="5"/>
  <c r="BZ81" i="5"/>
  <c r="CC81" i="5"/>
  <c r="BU81" i="5"/>
  <c r="BT81" i="5"/>
  <c r="BY81" i="5"/>
  <c r="BX81" i="5"/>
  <c r="CA81" i="5"/>
  <c r="BV81" i="5"/>
  <c r="BW81" i="5"/>
  <c r="BR81" i="5"/>
  <c r="BS81" i="5"/>
  <c r="BM81" i="5"/>
  <c r="BQ81" i="5"/>
  <c r="BK81" i="5"/>
  <c r="BI81" i="5"/>
  <c r="BL81" i="5"/>
  <c r="BJ81" i="5"/>
  <c r="BG81" i="5"/>
  <c r="BF81" i="5"/>
  <c r="BE81" i="5"/>
  <c r="BH81" i="5"/>
  <c r="BA81" i="5"/>
  <c r="AZ81" i="5"/>
  <c r="AY81" i="5"/>
  <c r="AT540" i="5"/>
  <c r="AT528" i="5"/>
  <c r="AT515" i="5"/>
  <c r="AT503" i="5"/>
  <c r="AT476" i="5"/>
  <c r="AT464" i="5"/>
  <c r="AT451" i="5"/>
  <c r="AT439" i="5"/>
  <c r="AT412" i="5"/>
  <c r="AT400" i="5"/>
  <c r="AT387" i="5"/>
  <c r="AT375" i="5"/>
  <c r="AT348" i="5"/>
  <c r="AT336" i="5"/>
  <c r="AT323" i="5"/>
  <c r="AT311" i="5"/>
  <c r="AT284" i="5"/>
  <c r="AT272" i="5"/>
  <c r="AT259" i="5"/>
  <c r="AT247" i="5"/>
  <c r="AT220" i="5"/>
  <c r="AT208" i="5"/>
  <c r="AT195" i="5"/>
  <c r="AT183" i="5"/>
  <c r="AT156" i="5"/>
  <c r="AT144" i="5"/>
  <c r="AT131" i="5"/>
  <c r="AT119" i="5"/>
  <c r="AT92" i="5"/>
  <c r="AT80" i="5"/>
  <c r="AT67" i="5"/>
  <c r="AT55" i="5"/>
  <c r="AT28" i="5"/>
  <c r="AT16" i="5"/>
  <c r="AT3" i="5"/>
  <c r="AU17" i="5"/>
  <c r="BB17" i="5" s="1"/>
  <c r="AU33" i="5"/>
  <c r="BB33" i="5" s="1"/>
  <c r="AU81" i="5"/>
  <c r="BB81" i="5" s="1"/>
  <c r="AU97" i="5"/>
  <c r="AU241" i="5"/>
  <c r="BB241" i="5" s="1"/>
  <c r="AU257" i="5"/>
  <c r="BN257" i="5" s="1"/>
  <c r="AV85" i="5"/>
  <c r="BO85" i="5" s="1"/>
  <c r="AV117" i="5"/>
  <c r="BO117" i="5" s="1"/>
  <c r="AV149" i="5"/>
  <c r="BO149" i="5" s="1"/>
  <c r="AV181" i="5"/>
  <c r="BC181" i="5" s="1"/>
  <c r="AV213" i="5"/>
  <c r="AV245" i="5"/>
  <c r="BO245" i="5" s="1"/>
  <c r="AV277" i="5"/>
  <c r="BO277" i="5" s="1"/>
  <c r="CK289" i="5"/>
  <c r="CF289" i="5"/>
  <c r="CI289" i="5"/>
  <c r="CE289" i="5"/>
  <c r="CD289" i="5"/>
  <c r="BY289" i="5"/>
  <c r="CC289" i="5"/>
  <c r="BU289" i="5"/>
  <c r="CA289" i="5"/>
  <c r="BV289" i="5"/>
  <c r="BW289" i="5"/>
  <c r="BT289" i="5"/>
  <c r="BS289" i="5"/>
  <c r="BM289" i="5"/>
  <c r="BR289" i="5"/>
  <c r="BQ289" i="5"/>
  <c r="BK289" i="5"/>
  <c r="BN289" i="5"/>
  <c r="BI289" i="5"/>
  <c r="BG289" i="5"/>
  <c r="BJ289" i="5"/>
  <c r="BH289" i="5"/>
  <c r="BF289" i="5"/>
  <c r="BB289" i="5"/>
  <c r="BE289" i="5"/>
  <c r="BA289" i="5"/>
  <c r="AY289" i="5"/>
  <c r="AZ289" i="5"/>
  <c r="CK281" i="5"/>
  <c r="CF281" i="5"/>
  <c r="CI281" i="5"/>
  <c r="CE281" i="5"/>
  <c r="CD281" i="5"/>
  <c r="CC281" i="5"/>
  <c r="BY281" i="5"/>
  <c r="BW281" i="5"/>
  <c r="CA281" i="5"/>
  <c r="BV281" i="5"/>
  <c r="BU281" i="5"/>
  <c r="BM281" i="5"/>
  <c r="BT281" i="5"/>
  <c r="BS281" i="5"/>
  <c r="BQ281" i="5"/>
  <c r="BR281" i="5"/>
  <c r="BJ281" i="5"/>
  <c r="BI281" i="5"/>
  <c r="BK281" i="5"/>
  <c r="BG281" i="5"/>
  <c r="BF281" i="5"/>
  <c r="BE281" i="5"/>
  <c r="BH281" i="5"/>
  <c r="BA281" i="5"/>
  <c r="AZ281" i="5"/>
  <c r="AY281" i="5"/>
  <c r="CK273" i="5"/>
  <c r="CF273" i="5"/>
  <c r="CI273" i="5"/>
  <c r="CD273" i="5"/>
  <c r="BY273" i="5"/>
  <c r="CC273" i="5"/>
  <c r="BU273" i="5"/>
  <c r="CE273" i="5"/>
  <c r="CA273" i="5"/>
  <c r="BV273" i="5"/>
  <c r="BW273" i="5"/>
  <c r="BR273" i="5"/>
  <c r="BM273" i="5"/>
  <c r="BT273" i="5"/>
  <c r="BS273" i="5"/>
  <c r="BQ273" i="5"/>
  <c r="BN273" i="5"/>
  <c r="BK273" i="5"/>
  <c r="BJ273" i="5"/>
  <c r="BI273" i="5"/>
  <c r="BG273" i="5"/>
  <c r="BH273" i="5"/>
  <c r="BB273" i="5"/>
  <c r="BF273" i="5"/>
  <c r="BE273" i="5"/>
  <c r="BA273" i="5"/>
  <c r="AZ273" i="5"/>
  <c r="AY273" i="5"/>
  <c r="CI65" i="5"/>
  <c r="CK65" i="5"/>
  <c r="CF65" i="5"/>
  <c r="CE65" i="5"/>
  <c r="CD65" i="5"/>
  <c r="CC65" i="5"/>
  <c r="CA65" i="5"/>
  <c r="BT65" i="5"/>
  <c r="BU65" i="5"/>
  <c r="BY65" i="5"/>
  <c r="BW65" i="5"/>
  <c r="BV65" i="5"/>
  <c r="BM65" i="5"/>
  <c r="BS65" i="5"/>
  <c r="BR65" i="5"/>
  <c r="BK65" i="5"/>
  <c r="BQ65" i="5"/>
  <c r="BN65" i="5"/>
  <c r="BI65" i="5"/>
  <c r="BG65" i="5"/>
  <c r="BJ65" i="5"/>
  <c r="BE65" i="5"/>
  <c r="BH65" i="5"/>
  <c r="BF65" i="5"/>
  <c r="BB65" i="5"/>
  <c r="AZ65" i="5"/>
  <c r="AY65" i="5"/>
  <c r="BA65" i="5"/>
  <c r="CI57" i="5"/>
  <c r="CK57" i="5"/>
  <c r="CF57" i="5"/>
  <c r="CE57" i="5"/>
  <c r="CD57" i="5"/>
  <c r="CC57" i="5"/>
  <c r="BT57" i="5"/>
  <c r="BY57" i="5"/>
  <c r="BW57" i="5"/>
  <c r="CA57" i="5"/>
  <c r="BV57" i="5"/>
  <c r="BM57" i="5"/>
  <c r="BU57" i="5"/>
  <c r="BS57" i="5"/>
  <c r="BQ57" i="5"/>
  <c r="BR57" i="5"/>
  <c r="BK57" i="5"/>
  <c r="BJ57" i="5"/>
  <c r="BI57" i="5"/>
  <c r="BH57" i="5"/>
  <c r="BG57" i="5"/>
  <c r="BF57" i="5"/>
  <c r="BE57" i="5"/>
  <c r="BA57" i="5"/>
  <c r="AY57" i="5"/>
  <c r="AZ57" i="5"/>
  <c r="CI49" i="5"/>
  <c r="CK49" i="5"/>
  <c r="CF49" i="5"/>
  <c r="CE49" i="5"/>
  <c r="CD49" i="5"/>
  <c r="CC49" i="5"/>
  <c r="BU49" i="5"/>
  <c r="CA49" i="5"/>
  <c r="BY49" i="5"/>
  <c r="BV49" i="5"/>
  <c r="BW49" i="5"/>
  <c r="BM49" i="5"/>
  <c r="BT49" i="5"/>
  <c r="BR49" i="5"/>
  <c r="BS49" i="5"/>
  <c r="BQ49" i="5"/>
  <c r="BK49" i="5"/>
  <c r="BJ49" i="5"/>
  <c r="BI49" i="5"/>
  <c r="BG49" i="5"/>
  <c r="BE49" i="5"/>
  <c r="BH49" i="5"/>
  <c r="BF49" i="5"/>
  <c r="BA49" i="5"/>
  <c r="AZ49" i="5"/>
  <c r="AY49" i="5"/>
  <c r="AT436" i="5"/>
  <c r="AT424" i="5"/>
  <c r="AT411" i="5"/>
  <c r="AT399" i="5"/>
  <c r="AT372" i="5"/>
  <c r="AT360" i="5"/>
  <c r="BV347" i="5"/>
  <c r="AT335" i="5"/>
  <c r="AT308" i="5"/>
  <c r="AY296" i="5"/>
  <c r="CA283" i="5"/>
  <c r="AT271" i="5"/>
  <c r="CI232" i="5"/>
  <c r="BX232" i="5"/>
  <c r="BS232" i="5"/>
  <c r="AT207" i="5"/>
  <c r="CE168" i="5"/>
  <c r="BQ168" i="5"/>
  <c r="CI155" i="5"/>
  <c r="CD155" i="5"/>
  <c r="BT155" i="5"/>
  <c r="BY155" i="5"/>
  <c r="BK155" i="5"/>
  <c r="BI155" i="5"/>
  <c r="AY155" i="5"/>
  <c r="BD155" i="5"/>
  <c r="AT143" i="5"/>
  <c r="BS104" i="5"/>
  <c r="CK91" i="5"/>
  <c r="CI91" i="5"/>
  <c r="CD91" i="5"/>
  <c r="CF91" i="5"/>
  <c r="CE91" i="5"/>
  <c r="BW91" i="5"/>
  <c r="BU91" i="5"/>
  <c r="CA91" i="5"/>
  <c r="CC91" i="5"/>
  <c r="BT91" i="5"/>
  <c r="BY91" i="5"/>
  <c r="BV91" i="5"/>
  <c r="BR91" i="5"/>
  <c r="BS91" i="5"/>
  <c r="BQ91" i="5"/>
  <c r="BM91" i="5"/>
  <c r="BJ91" i="5"/>
  <c r="BK91" i="5"/>
  <c r="BI91" i="5"/>
  <c r="BG91" i="5"/>
  <c r="BA91" i="5"/>
  <c r="BP91" i="5" s="1"/>
  <c r="AZ91" i="5"/>
  <c r="BH91" i="5"/>
  <c r="BF91" i="5"/>
  <c r="BE91" i="5"/>
  <c r="AY91" i="5"/>
  <c r="BD91" i="5"/>
  <c r="AU91" i="5"/>
  <c r="BN91" i="5" s="1"/>
  <c r="AV91" i="5"/>
  <c r="BC91" i="5" s="1"/>
  <c r="AT79" i="5"/>
  <c r="BA40" i="5"/>
  <c r="BP40" i="5" s="1"/>
  <c r="AT15" i="5"/>
  <c r="AV120" i="5"/>
  <c r="BO120" i="5" s="1"/>
  <c r="AV248" i="5"/>
  <c r="BC248" i="5" s="1"/>
  <c r="AV504" i="5"/>
  <c r="BO504" i="5" s="1"/>
  <c r="CI193" i="5"/>
  <c r="CF193" i="5"/>
  <c r="CK193" i="5"/>
  <c r="CE193" i="5"/>
  <c r="CD193" i="5"/>
  <c r="BY193" i="5"/>
  <c r="CC193" i="5"/>
  <c r="CA193" i="5"/>
  <c r="BT193" i="5"/>
  <c r="BU193" i="5"/>
  <c r="BW193" i="5"/>
  <c r="BV193" i="5"/>
  <c r="BS193" i="5"/>
  <c r="BM193" i="5"/>
  <c r="BR193" i="5"/>
  <c r="BK193" i="5"/>
  <c r="BQ193" i="5"/>
  <c r="BI193" i="5"/>
  <c r="BG193" i="5"/>
  <c r="BJ193" i="5"/>
  <c r="BH193" i="5"/>
  <c r="BF193" i="5"/>
  <c r="AZ193" i="5"/>
  <c r="AY193" i="5"/>
  <c r="BE193" i="5"/>
  <c r="BA193" i="5"/>
  <c r="CI185" i="5"/>
  <c r="CK185" i="5"/>
  <c r="CF185" i="5"/>
  <c r="CE185" i="5"/>
  <c r="CC185" i="5"/>
  <c r="BY185" i="5"/>
  <c r="CD185" i="5"/>
  <c r="BT185" i="5"/>
  <c r="BW185" i="5"/>
  <c r="CA185" i="5"/>
  <c r="BV185" i="5"/>
  <c r="BM185" i="5"/>
  <c r="BS185" i="5"/>
  <c r="BU185" i="5"/>
  <c r="BQ185" i="5"/>
  <c r="BR185" i="5"/>
  <c r="BK185" i="5"/>
  <c r="BJ185" i="5"/>
  <c r="BI185" i="5"/>
  <c r="BH185" i="5"/>
  <c r="BG185" i="5"/>
  <c r="BF185" i="5"/>
  <c r="BE185" i="5"/>
  <c r="BA185" i="5"/>
  <c r="AY185" i="5"/>
  <c r="AZ185" i="5"/>
  <c r="CI177" i="5"/>
  <c r="CF177" i="5"/>
  <c r="CE177" i="5"/>
  <c r="CD177" i="5"/>
  <c r="CK177" i="5"/>
  <c r="BY177" i="5"/>
  <c r="CC177" i="5"/>
  <c r="BU177" i="5"/>
  <c r="BT177" i="5"/>
  <c r="CA177" i="5"/>
  <c r="BV177" i="5"/>
  <c r="BW177" i="5"/>
  <c r="BR177" i="5"/>
  <c r="BM177" i="5"/>
  <c r="BS177" i="5"/>
  <c r="BQ177" i="5"/>
  <c r="BN177" i="5"/>
  <c r="BK177" i="5"/>
  <c r="BJ177" i="5"/>
  <c r="BI177" i="5"/>
  <c r="BG177" i="5"/>
  <c r="BB177" i="5"/>
  <c r="BH177" i="5"/>
  <c r="BF177" i="5"/>
  <c r="BA177" i="5"/>
  <c r="AZ177" i="5"/>
  <c r="BE177" i="5"/>
  <c r="AY177" i="5"/>
  <c r="CJ145" i="5"/>
  <c r="CI145" i="5"/>
  <c r="CF145" i="5"/>
  <c r="CK145" i="5"/>
  <c r="CE145" i="5"/>
  <c r="CH145" i="5"/>
  <c r="CD145" i="5"/>
  <c r="CG145" i="5"/>
  <c r="BZ145" i="5"/>
  <c r="BY145" i="5"/>
  <c r="BX145" i="5"/>
  <c r="CC145" i="5"/>
  <c r="BU145" i="5"/>
  <c r="BT145" i="5"/>
  <c r="CA145" i="5"/>
  <c r="BW145" i="5"/>
  <c r="BV145" i="5"/>
  <c r="BR145" i="5"/>
  <c r="BM145" i="5"/>
  <c r="BS145" i="5"/>
  <c r="BQ145" i="5"/>
  <c r="BN145" i="5"/>
  <c r="BK145" i="5"/>
  <c r="BJ145" i="5"/>
  <c r="BL145" i="5"/>
  <c r="BI145" i="5"/>
  <c r="BG145" i="5"/>
  <c r="BH145" i="5"/>
  <c r="BB145" i="5"/>
  <c r="BF145" i="5"/>
  <c r="BE145" i="5"/>
  <c r="BA145" i="5"/>
  <c r="AZ145" i="5"/>
  <c r="AY145" i="5"/>
  <c r="AT552" i="5"/>
  <c r="AT539" i="5"/>
  <c r="AT527" i="5"/>
  <c r="AT500" i="5"/>
  <c r="AT488" i="5"/>
  <c r="AT475" i="5"/>
  <c r="AT463" i="5"/>
  <c r="AX2" i="5"/>
  <c r="AT2" i="5"/>
  <c r="AX550" i="5"/>
  <c r="AT550" i="5"/>
  <c r="AT542" i="5"/>
  <c r="AX542" i="5"/>
  <c r="AX534" i="5"/>
  <c r="AT534" i="5"/>
  <c r="AT526" i="5"/>
  <c r="AX526" i="5"/>
  <c r="AX518" i="5"/>
  <c r="AT518" i="5"/>
  <c r="AX510" i="5"/>
  <c r="AT510" i="5"/>
  <c r="AX502" i="5"/>
  <c r="AT502" i="5"/>
  <c r="AX494" i="5"/>
  <c r="AT494" i="5"/>
  <c r="AX486" i="5"/>
  <c r="AT486" i="5"/>
  <c r="AX478" i="5"/>
  <c r="AT478" i="5"/>
  <c r="AX470" i="5"/>
  <c r="AT470" i="5"/>
  <c r="AX462" i="5"/>
  <c r="AT462" i="5"/>
  <c r="AX454" i="5"/>
  <c r="AT454" i="5"/>
  <c r="AX446" i="5"/>
  <c r="AT446" i="5"/>
  <c r="AX438" i="5"/>
  <c r="AT438" i="5"/>
  <c r="CF246" i="5"/>
  <c r="CK246" i="5"/>
  <c r="CE246" i="5"/>
  <c r="CI246" i="5"/>
  <c r="CD246" i="5"/>
  <c r="BY246" i="5"/>
  <c r="BW246" i="5"/>
  <c r="BU246" i="5"/>
  <c r="CA246" i="5"/>
  <c r="CC246" i="5"/>
  <c r="BV246" i="5"/>
  <c r="BT246" i="5"/>
  <c r="BS246" i="5"/>
  <c r="BJ246" i="5"/>
  <c r="BR246" i="5"/>
  <c r="BK246" i="5"/>
  <c r="BQ246" i="5"/>
  <c r="BM246" i="5"/>
  <c r="BI246" i="5"/>
  <c r="BG246" i="5"/>
  <c r="BE246" i="5"/>
  <c r="BA246" i="5"/>
  <c r="BH246" i="5"/>
  <c r="BF246" i="5"/>
  <c r="AZ246" i="5"/>
  <c r="AY246" i="5"/>
  <c r="AV246" i="5"/>
  <c r="BC246" i="5" s="1"/>
  <c r="AU246" i="5"/>
  <c r="BB246" i="5" s="1"/>
  <c r="CK150" i="5"/>
  <c r="CF150" i="5"/>
  <c r="CI150" i="5"/>
  <c r="CE150" i="5"/>
  <c r="CD150" i="5"/>
  <c r="BY150" i="5"/>
  <c r="BW150" i="5"/>
  <c r="BU150" i="5"/>
  <c r="CA150" i="5"/>
  <c r="CC150" i="5"/>
  <c r="BV150" i="5"/>
  <c r="BT150" i="5"/>
  <c r="BS150" i="5"/>
  <c r="BJ150" i="5"/>
  <c r="BR150" i="5"/>
  <c r="BK150" i="5"/>
  <c r="BM150" i="5"/>
  <c r="BQ150" i="5"/>
  <c r="BI150" i="5"/>
  <c r="BG150" i="5"/>
  <c r="BE150" i="5"/>
  <c r="BA150" i="5"/>
  <c r="BH150" i="5"/>
  <c r="BF150" i="5"/>
  <c r="AZ150" i="5"/>
  <c r="AY150" i="5"/>
  <c r="AV150" i="5"/>
  <c r="BC150" i="5" s="1"/>
  <c r="AU150" i="5"/>
  <c r="BN150" i="5" s="1"/>
  <c r="CJ22" i="5"/>
  <c r="CK22" i="5"/>
  <c r="CH22" i="5"/>
  <c r="CF22" i="5"/>
  <c r="CG22" i="5"/>
  <c r="CE22" i="5"/>
  <c r="CI22" i="5"/>
  <c r="CD22" i="5"/>
  <c r="BZ22" i="5"/>
  <c r="BY22" i="5"/>
  <c r="BW22" i="5"/>
  <c r="BU22" i="5"/>
  <c r="CA22" i="5"/>
  <c r="CC22" i="5"/>
  <c r="BX22" i="5"/>
  <c r="BV22" i="5"/>
  <c r="BS22" i="5"/>
  <c r="BJ22" i="5"/>
  <c r="BR22" i="5"/>
  <c r="BT22" i="5"/>
  <c r="BK22" i="5"/>
  <c r="BI22" i="5"/>
  <c r="BL22" i="5"/>
  <c r="BQ22" i="5"/>
  <c r="BM22" i="5"/>
  <c r="BG22" i="5"/>
  <c r="BE22" i="5"/>
  <c r="BA22" i="5"/>
  <c r="BH22" i="5"/>
  <c r="BF22" i="5"/>
  <c r="AZ22" i="5"/>
  <c r="AY22" i="5"/>
  <c r="AV22" i="5"/>
  <c r="BC22" i="5" s="1"/>
  <c r="AU22" i="5"/>
  <c r="BN22" i="5" s="1"/>
  <c r="AT551" i="5"/>
  <c r="AT524" i="5"/>
  <c r="AT512" i="5"/>
  <c r="AT499" i="5"/>
  <c r="AT487" i="5"/>
  <c r="AT460" i="5"/>
  <c r="AT448" i="5"/>
  <c r="AT435" i="5"/>
  <c r="AT423" i="5"/>
  <c r="AT396" i="5"/>
  <c r="AT384" i="5"/>
  <c r="AT371" i="5"/>
  <c r="AT359" i="5"/>
  <c r="AT332" i="5"/>
  <c r="AT320" i="5"/>
  <c r="AT307" i="5"/>
  <c r="AT295" i="5"/>
  <c r="AT268" i="5"/>
  <c r="AT256" i="5"/>
  <c r="AT243" i="5"/>
  <c r="AT231" i="5"/>
  <c r="AT204" i="5"/>
  <c r="AT192" i="5"/>
  <c r="AT179" i="5"/>
  <c r="AT167" i="5"/>
  <c r="AT140" i="5"/>
  <c r="AT128" i="5"/>
  <c r="AT103" i="5"/>
  <c r="AT39" i="5"/>
  <c r="AV25" i="5"/>
  <c r="BO25" i="5" s="1"/>
  <c r="AV57" i="5"/>
  <c r="BC57" i="5" s="1"/>
  <c r="AV89" i="5"/>
  <c r="BC89" i="5" s="1"/>
  <c r="AV185" i="5"/>
  <c r="BO185" i="5" s="1"/>
  <c r="AV249" i="5"/>
  <c r="BC249" i="5" s="1"/>
  <c r="AV281" i="5"/>
  <c r="BC281" i="5" s="1"/>
  <c r="CI225" i="5"/>
  <c r="CK225" i="5"/>
  <c r="CF225" i="5"/>
  <c r="CE225" i="5"/>
  <c r="CD225" i="5"/>
  <c r="BY225" i="5"/>
  <c r="CC225" i="5"/>
  <c r="BT225" i="5"/>
  <c r="BU225" i="5"/>
  <c r="CA225" i="5"/>
  <c r="BW225" i="5"/>
  <c r="BV225" i="5"/>
  <c r="BS225" i="5"/>
  <c r="BM225" i="5"/>
  <c r="BR225" i="5"/>
  <c r="BN225" i="5"/>
  <c r="BK225" i="5"/>
  <c r="BQ225" i="5"/>
  <c r="BJ225" i="5"/>
  <c r="BI225" i="5"/>
  <c r="BG225" i="5"/>
  <c r="BH225" i="5"/>
  <c r="BF225" i="5"/>
  <c r="BB225" i="5"/>
  <c r="BE225" i="5"/>
  <c r="BA225" i="5"/>
  <c r="AZ225" i="5"/>
  <c r="AY225" i="5"/>
  <c r="CI217" i="5"/>
  <c r="CK217" i="5"/>
  <c r="CF217" i="5"/>
  <c r="CE217" i="5"/>
  <c r="CD217" i="5"/>
  <c r="CC217" i="5"/>
  <c r="BY217" i="5"/>
  <c r="BT217" i="5"/>
  <c r="BW217" i="5"/>
  <c r="CA217" i="5"/>
  <c r="BV217" i="5"/>
  <c r="BM217" i="5"/>
  <c r="BU217" i="5"/>
  <c r="BS217" i="5"/>
  <c r="BQ217" i="5"/>
  <c r="BR217" i="5"/>
  <c r="BK217" i="5"/>
  <c r="BI217" i="5"/>
  <c r="BJ217" i="5"/>
  <c r="BH217" i="5"/>
  <c r="BG217" i="5"/>
  <c r="BF217" i="5"/>
  <c r="BE217" i="5"/>
  <c r="BA217" i="5"/>
  <c r="AZ217" i="5"/>
  <c r="AY217" i="5"/>
  <c r="CI209" i="5"/>
  <c r="CK209" i="5"/>
  <c r="CF209" i="5"/>
  <c r="CE209" i="5"/>
  <c r="CD209" i="5"/>
  <c r="BY209" i="5"/>
  <c r="CC209" i="5"/>
  <c r="BU209" i="5"/>
  <c r="BT209" i="5"/>
  <c r="CA209" i="5"/>
  <c r="BW209" i="5"/>
  <c r="BV209" i="5"/>
  <c r="BR209" i="5"/>
  <c r="BM209" i="5"/>
  <c r="BS209" i="5"/>
  <c r="BN209" i="5"/>
  <c r="BQ209" i="5"/>
  <c r="BK209" i="5"/>
  <c r="BI209" i="5"/>
  <c r="BJ209" i="5"/>
  <c r="BG209" i="5"/>
  <c r="BF209" i="5"/>
  <c r="BB209" i="5"/>
  <c r="BH209" i="5"/>
  <c r="BA209" i="5"/>
  <c r="BE209" i="5"/>
  <c r="AZ209" i="5"/>
  <c r="AY209" i="5"/>
  <c r="CF414" i="5"/>
  <c r="CI414" i="5"/>
  <c r="CK414" i="5"/>
  <c r="CE414" i="5"/>
  <c r="BY414" i="5"/>
  <c r="BW414" i="5"/>
  <c r="BU414" i="5"/>
  <c r="CD414" i="5"/>
  <c r="CC414" i="5"/>
  <c r="CA414" i="5"/>
  <c r="BT414" i="5"/>
  <c r="BS414" i="5"/>
  <c r="BQ414" i="5"/>
  <c r="BJ414" i="5"/>
  <c r="BV414" i="5"/>
  <c r="BK414" i="5"/>
  <c r="BR414" i="5"/>
  <c r="BM414" i="5"/>
  <c r="BI414" i="5"/>
  <c r="BE414" i="5"/>
  <c r="BH414" i="5"/>
  <c r="BG414" i="5"/>
  <c r="BF414" i="5"/>
  <c r="BA414" i="5"/>
  <c r="AV414" i="5"/>
  <c r="BO414" i="5" s="1"/>
  <c r="AZ414" i="5"/>
  <c r="AY414" i="5"/>
  <c r="AU414" i="5"/>
  <c r="BN414" i="5" s="1"/>
  <c r="CF398" i="5"/>
  <c r="CK398" i="5"/>
  <c r="CI398" i="5"/>
  <c r="BY398" i="5"/>
  <c r="CE398" i="5"/>
  <c r="CC398" i="5"/>
  <c r="BW398" i="5"/>
  <c r="BU398" i="5"/>
  <c r="CD398" i="5"/>
  <c r="CA398" i="5"/>
  <c r="BV398" i="5"/>
  <c r="BJ398" i="5"/>
  <c r="BT398" i="5"/>
  <c r="BS398" i="5"/>
  <c r="BQ398" i="5"/>
  <c r="BK398" i="5"/>
  <c r="BR398" i="5"/>
  <c r="BI398" i="5"/>
  <c r="BM398" i="5"/>
  <c r="BE398" i="5"/>
  <c r="BH398" i="5"/>
  <c r="BG398" i="5"/>
  <c r="BF398" i="5"/>
  <c r="BA398" i="5"/>
  <c r="AV398" i="5"/>
  <c r="BC398" i="5" s="1"/>
  <c r="AZ398" i="5"/>
  <c r="AY398" i="5"/>
  <c r="AU398" i="5"/>
  <c r="BB398" i="5" s="1"/>
  <c r="CK278" i="5"/>
  <c r="CF278" i="5"/>
  <c r="CI278" i="5"/>
  <c r="CE278" i="5"/>
  <c r="CD278" i="5"/>
  <c r="BY278" i="5"/>
  <c r="BW278" i="5"/>
  <c r="BU278" i="5"/>
  <c r="CA278" i="5"/>
  <c r="CC278" i="5"/>
  <c r="BV278" i="5"/>
  <c r="BT278" i="5"/>
  <c r="BS278" i="5"/>
  <c r="BJ278" i="5"/>
  <c r="BR278" i="5"/>
  <c r="BK278" i="5"/>
  <c r="BM278" i="5"/>
  <c r="BQ278" i="5"/>
  <c r="BI278" i="5"/>
  <c r="BG278" i="5"/>
  <c r="BE278" i="5"/>
  <c r="BH278" i="5"/>
  <c r="BF278" i="5"/>
  <c r="BA278" i="5"/>
  <c r="AZ278" i="5"/>
  <c r="AY278" i="5"/>
  <c r="AV278" i="5"/>
  <c r="BO278" i="5" s="1"/>
  <c r="AU278" i="5"/>
  <c r="BB278" i="5" s="1"/>
  <c r="CK214" i="5"/>
  <c r="CF214" i="5"/>
  <c r="CE214" i="5"/>
  <c r="CI214" i="5"/>
  <c r="BY214" i="5"/>
  <c r="BW214" i="5"/>
  <c r="BU214" i="5"/>
  <c r="CC214" i="5"/>
  <c r="CA214" i="5"/>
  <c r="CD214" i="5"/>
  <c r="BV214" i="5"/>
  <c r="BT214" i="5"/>
  <c r="BS214" i="5"/>
  <c r="BJ214" i="5"/>
  <c r="BR214" i="5"/>
  <c r="BK214" i="5"/>
  <c r="BQ214" i="5"/>
  <c r="BM214" i="5"/>
  <c r="BI214" i="5"/>
  <c r="BG214" i="5"/>
  <c r="BE214" i="5"/>
  <c r="BA214" i="5"/>
  <c r="BH214" i="5"/>
  <c r="BF214" i="5"/>
  <c r="AZ214" i="5"/>
  <c r="AY214" i="5"/>
  <c r="AV214" i="5"/>
  <c r="BC214" i="5" s="1"/>
  <c r="AU214" i="5"/>
  <c r="BN214" i="5" s="1"/>
  <c r="CK182" i="5"/>
  <c r="CI182" i="5"/>
  <c r="CF182" i="5"/>
  <c r="CE182" i="5"/>
  <c r="BY182" i="5"/>
  <c r="CD182" i="5"/>
  <c r="BW182" i="5"/>
  <c r="BU182" i="5"/>
  <c r="CA182" i="5"/>
  <c r="CC182" i="5"/>
  <c r="BV182" i="5"/>
  <c r="BT182" i="5"/>
  <c r="BS182" i="5"/>
  <c r="BJ182" i="5"/>
  <c r="BR182" i="5"/>
  <c r="BK182" i="5"/>
  <c r="BM182" i="5"/>
  <c r="BQ182" i="5"/>
  <c r="BI182" i="5"/>
  <c r="BG182" i="5"/>
  <c r="BE182" i="5"/>
  <c r="BA182" i="5"/>
  <c r="BH182" i="5"/>
  <c r="BF182" i="5"/>
  <c r="AZ182" i="5"/>
  <c r="AY182" i="5"/>
  <c r="AV182" i="5"/>
  <c r="BO182" i="5" s="1"/>
  <c r="AU182" i="5"/>
  <c r="BN182" i="5" s="1"/>
  <c r="CK118" i="5"/>
  <c r="CF118" i="5"/>
  <c r="CI118" i="5"/>
  <c r="CE118" i="5"/>
  <c r="CD118" i="5"/>
  <c r="BY118" i="5"/>
  <c r="BW118" i="5"/>
  <c r="BU118" i="5"/>
  <c r="CA118" i="5"/>
  <c r="CC118" i="5"/>
  <c r="BV118" i="5"/>
  <c r="BT118" i="5"/>
  <c r="BS118" i="5"/>
  <c r="BJ118" i="5"/>
  <c r="BR118" i="5"/>
  <c r="BK118" i="5"/>
  <c r="BQ118" i="5"/>
  <c r="BM118" i="5"/>
  <c r="BI118" i="5"/>
  <c r="BG118" i="5"/>
  <c r="BE118" i="5"/>
  <c r="BA118" i="5"/>
  <c r="BH118" i="5"/>
  <c r="BF118" i="5"/>
  <c r="AZ118" i="5"/>
  <c r="AY118" i="5"/>
  <c r="AV118" i="5"/>
  <c r="BC118" i="5" s="1"/>
  <c r="AU118" i="5"/>
  <c r="BN118" i="5" s="1"/>
  <c r="CK86" i="5"/>
  <c r="CF86" i="5"/>
  <c r="CE86" i="5"/>
  <c r="CI86" i="5"/>
  <c r="BY86" i="5"/>
  <c r="BW86" i="5"/>
  <c r="BU86" i="5"/>
  <c r="CC86" i="5"/>
  <c r="CA86" i="5"/>
  <c r="CD86" i="5"/>
  <c r="BV86" i="5"/>
  <c r="BT86" i="5"/>
  <c r="BS86" i="5"/>
  <c r="BJ86" i="5"/>
  <c r="BR86" i="5"/>
  <c r="BK86" i="5"/>
  <c r="BQ86" i="5"/>
  <c r="BM86" i="5"/>
  <c r="BI86" i="5"/>
  <c r="BG86" i="5"/>
  <c r="BE86" i="5"/>
  <c r="BA86" i="5"/>
  <c r="BH86" i="5"/>
  <c r="BF86" i="5"/>
  <c r="AZ86" i="5"/>
  <c r="AY86" i="5"/>
  <c r="AV86" i="5"/>
  <c r="BC86" i="5" s="1"/>
  <c r="AU86" i="5"/>
  <c r="BN86" i="5" s="1"/>
  <c r="CI54" i="5"/>
  <c r="CF54" i="5"/>
  <c r="CE54" i="5"/>
  <c r="CK54" i="5"/>
  <c r="CD54" i="5"/>
  <c r="BY54" i="5"/>
  <c r="BW54" i="5"/>
  <c r="BU54" i="5"/>
  <c r="CA54" i="5"/>
  <c r="CC54" i="5"/>
  <c r="BV54" i="5"/>
  <c r="BT54" i="5"/>
  <c r="BS54" i="5"/>
  <c r="BJ54" i="5"/>
  <c r="BR54" i="5"/>
  <c r="BK54" i="5"/>
  <c r="BQ54" i="5"/>
  <c r="BM54" i="5"/>
  <c r="BI54" i="5"/>
  <c r="BG54" i="5"/>
  <c r="BE54" i="5"/>
  <c r="BA54" i="5"/>
  <c r="BH54" i="5"/>
  <c r="BF54" i="5"/>
  <c r="AZ54" i="5"/>
  <c r="AY54" i="5"/>
  <c r="AV54" i="5"/>
  <c r="BC54" i="5" s="1"/>
  <c r="AU54" i="5"/>
  <c r="BB54" i="5" s="1"/>
  <c r="AX557" i="5"/>
  <c r="AT557" i="5"/>
  <c r="AX549" i="5"/>
  <c r="AT549" i="5"/>
  <c r="AX541" i="5"/>
  <c r="AT541" i="5"/>
  <c r="AX533" i="5"/>
  <c r="AT533" i="5"/>
  <c r="AX525" i="5"/>
  <c r="AT525" i="5"/>
  <c r="AX517" i="5"/>
  <c r="AT517" i="5"/>
  <c r="AX509" i="5"/>
  <c r="AT509" i="5"/>
  <c r="AX501" i="5"/>
  <c r="AT501" i="5"/>
  <c r="AX493" i="5"/>
  <c r="AT493" i="5"/>
  <c r="AX485" i="5"/>
  <c r="AT485" i="5"/>
  <c r="AX477" i="5"/>
  <c r="AT477" i="5"/>
  <c r="AX469" i="5"/>
  <c r="AT469" i="5"/>
  <c r="AX461" i="5"/>
  <c r="AT461" i="5"/>
  <c r="AX453" i="5"/>
  <c r="AT453" i="5"/>
  <c r="AX445" i="5"/>
  <c r="AT445" i="5"/>
  <c r="AX437" i="5"/>
  <c r="AT437" i="5"/>
  <c r="AX429" i="5"/>
  <c r="AT429" i="5"/>
  <c r="AX421" i="5"/>
  <c r="AT421" i="5"/>
  <c r="AX413" i="5"/>
  <c r="AT413" i="5"/>
  <c r="AX405" i="5"/>
  <c r="AT405" i="5"/>
  <c r="AX397" i="5"/>
  <c r="AT397" i="5"/>
  <c r="AX389" i="5"/>
  <c r="AT389" i="5"/>
  <c r="AX381" i="5"/>
  <c r="AT381" i="5"/>
  <c r="AX373" i="5"/>
  <c r="AT373" i="5"/>
  <c r="AX365" i="5"/>
  <c r="AT365" i="5"/>
  <c r="AX357" i="5"/>
  <c r="AT357" i="5"/>
  <c r="AX349" i="5"/>
  <c r="AT349" i="5"/>
  <c r="CJ277" i="5"/>
  <c r="CI277" i="5"/>
  <c r="CK277" i="5"/>
  <c r="CH277" i="5"/>
  <c r="CG277" i="5"/>
  <c r="CF277" i="5"/>
  <c r="CD277" i="5"/>
  <c r="CE277" i="5"/>
  <c r="CC277" i="5"/>
  <c r="BX277" i="5"/>
  <c r="CA277" i="5"/>
  <c r="BZ277" i="5"/>
  <c r="BV277" i="5"/>
  <c r="BY277" i="5"/>
  <c r="BW277" i="5"/>
  <c r="BT277" i="5"/>
  <c r="BS277" i="5"/>
  <c r="BR277" i="5"/>
  <c r="BU277" i="5"/>
  <c r="BN277" i="5"/>
  <c r="BM277" i="5"/>
  <c r="BJ277" i="5"/>
  <c r="BQ277" i="5"/>
  <c r="BI277" i="5"/>
  <c r="BF277" i="5"/>
  <c r="BK277" i="5"/>
  <c r="BL277" i="5"/>
  <c r="BE277" i="5"/>
  <c r="BH277" i="5"/>
  <c r="BG277" i="5"/>
  <c r="BA277" i="5"/>
  <c r="BB277" i="5"/>
  <c r="AZ277" i="5"/>
  <c r="AY277" i="5"/>
  <c r="CK269" i="5"/>
  <c r="CI269" i="5"/>
  <c r="CF269" i="5"/>
  <c r="CE269" i="5"/>
  <c r="CD269" i="5"/>
  <c r="CA269" i="5"/>
  <c r="CC269" i="5"/>
  <c r="BV269" i="5"/>
  <c r="BT269" i="5"/>
  <c r="BY269" i="5"/>
  <c r="BW269" i="5"/>
  <c r="BU269" i="5"/>
  <c r="BS269" i="5"/>
  <c r="BM269" i="5"/>
  <c r="BQ269" i="5"/>
  <c r="BR269" i="5"/>
  <c r="BK269" i="5"/>
  <c r="BJ269" i="5"/>
  <c r="BI269" i="5"/>
  <c r="BH269" i="5"/>
  <c r="BG269" i="5"/>
  <c r="BF269" i="5"/>
  <c r="BE269" i="5"/>
  <c r="BA269" i="5"/>
  <c r="AZ269" i="5"/>
  <c r="AY269" i="5"/>
  <c r="CJ245" i="5"/>
  <c r="CK245" i="5"/>
  <c r="CI245" i="5"/>
  <c r="CF245" i="5"/>
  <c r="CG245" i="5"/>
  <c r="CD245" i="5"/>
  <c r="CE245" i="5"/>
  <c r="CC245" i="5"/>
  <c r="CA245" i="5"/>
  <c r="CH245" i="5"/>
  <c r="BZ245" i="5"/>
  <c r="BX245" i="5"/>
  <c r="BT245" i="5"/>
  <c r="BY245" i="5"/>
  <c r="BW245" i="5"/>
  <c r="BV245" i="5"/>
  <c r="BU245" i="5"/>
  <c r="BS245" i="5"/>
  <c r="BR245" i="5"/>
  <c r="BN245" i="5"/>
  <c r="BM245" i="5"/>
  <c r="BQ245" i="5"/>
  <c r="BJ245" i="5"/>
  <c r="BL245" i="5"/>
  <c r="BI245" i="5"/>
  <c r="BK245" i="5"/>
  <c r="BF245" i="5"/>
  <c r="BH245" i="5"/>
  <c r="BE245" i="5"/>
  <c r="BG245" i="5"/>
  <c r="BA245" i="5"/>
  <c r="BB245" i="5"/>
  <c r="AZ245" i="5"/>
  <c r="AY245" i="5"/>
  <c r="CI237" i="5"/>
  <c r="CK237" i="5"/>
  <c r="CE237" i="5"/>
  <c r="CF237" i="5"/>
  <c r="CA237" i="5"/>
  <c r="CD237" i="5"/>
  <c r="BV237" i="5"/>
  <c r="BT237" i="5"/>
  <c r="BY237" i="5"/>
  <c r="CC237" i="5"/>
  <c r="BW237" i="5"/>
  <c r="BS237" i="5"/>
  <c r="BU237" i="5"/>
  <c r="BM237" i="5"/>
  <c r="BR237" i="5"/>
  <c r="BQ237" i="5"/>
  <c r="BI237" i="5"/>
  <c r="BH237" i="5"/>
  <c r="BK237" i="5"/>
  <c r="BJ237" i="5"/>
  <c r="BF237" i="5"/>
  <c r="BG237" i="5"/>
  <c r="BA237" i="5"/>
  <c r="AZ237" i="5"/>
  <c r="BE237" i="5"/>
  <c r="AY237" i="5"/>
  <c r="CI213" i="5"/>
  <c r="CK213" i="5"/>
  <c r="CF213" i="5"/>
  <c r="CD213" i="5"/>
  <c r="CC213" i="5"/>
  <c r="CE213" i="5"/>
  <c r="CA213" i="5"/>
  <c r="BT213" i="5"/>
  <c r="BV213" i="5"/>
  <c r="BW213" i="5"/>
  <c r="BY213" i="5"/>
  <c r="BS213" i="5"/>
  <c r="BU213" i="5"/>
  <c r="BR213" i="5"/>
  <c r="BN213" i="5"/>
  <c r="BM213" i="5"/>
  <c r="BQ213" i="5"/>
  <c r="BO213" i="5"/>
  <c r="BJ213" i="5"/>
  <c r="BI213" i="5"/>
  <c r="BK213" i="5"/>
  <c r="BF213" i="5"/>
  <c r="BH213" i="5"/>
  <c r="BG213" i="5"/>
  <c r="BE213" i="5"/>
  <c r="BA213" i="5"/>
  <c r="BC213" i="5"/>
  <c r="BB213" i="5"/>
  <c r="AY213" i="5"/>
  <c r="AZ213" i="5"/>
  <c r="CI205" i="5"/>
  <c r="CK205" i="5"/>
  <c r="CE205" i="5"/>
  <c r="CF205" i="5"/>
  <c r="CA205" i="5"/>
  <c r="CD205" i="5"/>
  <c r="CC205" i="5"/>
  <c r="BV205" i="5"/>
  <c r="BT205" i="5"/>
  <c r="BW205" i="5"/>
  <c r="BY205" i="5"/>
  <c r="BU205" i="5"/>
  <c r="BS205" i="5"/>
  <c r="BM205" i="5"/>
  <c r="BR205" i="5"/>
  <c r="BQ205" i="5"/>
  <c r="BI205" i="5"/>
  <c r="BH205" i="5"/>
  <c r="BK205" i="5"/>
  <c r="BJ205" i="5"/>
  <c r="BG205" i="5"/>
  <c r="BF205" i="5"/>
  <c r="BE205" i="5"/>
  <c r="AZ205" i="5"/>
  <c r="BA205" i="5"/>
  <c r="AY205" i="5"/>
  <c r="CI181" i="5"/>
  <c r="CK181" i="5"/>
  <c r="CD181" i="5"/>
  <c r="CF181" i="5"/>
  <c r="CC181" i="5"/>
  <c r="CA181" i="5"/>
  <c r="CE181" i="5"/>
  <c r="BT181" i="5"/>
  <c r="BY181" i="5"/>
  <c r="BV181" i="5"/>
  <c r="BW181" i="5"/>
  <c r="BS181" i="5"/>
  <c r="BR181" i="5"/>
  <c r="BU181" i="5"/>
  <c r="BN181" i="5"/>
  <c r="BM181" i="5"/>
  <c r="BJ181" i="5"/>
  <c r="BQ181" i="5"/>
  <c r="BI181" i="5"/>
  <c r="BF181" i="5"/>
  <c r="BK181" i="5"/>
  <c r="BG181" i="5"/>
  <c r="BE181" i="5"/>
  <c r="BH181" i="5"/>
  <c r="BA181" i="5"/>
  <c r="BB181" i="5"/>
  <c r="AY181" i="5"/>
  <c r="AZ181" i="5"/>
  <c r="CI173" i="5"/>
  <c r="CK173" i="5"/>
  <c r="CF173" i="5"/>
  <c r="CE173" i="5"/>
  <c r="CA173" i="5"/>
  <c r="CD173" i="5"/>
  <c r="CC173" i="5"/>
  <c r="BV173" i="5"/>
  <c r="BT173" i="5"/>
  <c r="BY173" i="5"/>
  <c r="BW173" i="5"/>
  <c r="BU173" i="5"/>
  <c r="BS173" i="5"/>
  <c r="BM173" i="5"/>
  <c r="BQ173" i="5"/>
  <c r="BR173" i="5"/>
  <c r="BK173" i="5"/>
  <c r="BI173" i="5"/>
  <c r="BJ173" i="5"/>
  <c r="BH173" i="5"/>
  <c r="BG173" i="5"/>
  <c r="BF173" i="5"/>
  <c r="AZ173" i="5"/>
  <c r="BA173" i="5"/>
  <c r="BE173" i="5"/>
  <c r="AY173" i="5"/>
  <c r="CI149" i="5"/>
  <c r="CK149" i="5"/>
  <c r="CE149" i="5"/>
  <c r="CD149" i="5"/>
  <c r="CC149" i="5"/>
  <c r="CF149" i="5"/>
  <c r="CA149" i="5"/>
  <c r="BT149" i="5"/>
  <c r="BV149" i="5"/>
  <c r="BW149" i="5"/>
  <c r="BY149" i="5"/>
  <c r="BU149" i="5"/>
  <c r="BS149" i="5"/>
  <c r="BR149" i="5"/>
  <c r="BN149" i="5"/>
  <c r="BM149" i="5"/>
  <c r="BJ149" i="5"/>
  <c r="BQ149" i="5"/>
  <c r="BI149" i="5"/>
  <c r="BF149" i="5"/>
  <c r="BK149" i="5"/>
  <c r="BE149" i="5"/>
  <c r="BH149" i="5"/>
  <c r="BG149" i="5"/>
  <c r="BA149" i="5"/>
  <c r="BB149" i="5"/>
  <c r="AZ149" i="5"/>
  <c r="AY149" i="5"/>
  <c r="CI141" i="5"/>
  <c r="CK141" i="5"/>
  <c r="CE141" i="5"/>
  <c r="CF141" i="5"/>
  <c r="CD141" i="5"/>
  <c r="CA141" i="5"/>
  <c r="CC141" i="5"/>
  <c r="BV141" i="5"/>
  <c r="BT141" i="5"/>
  <c r="BY141" i="5"/>
  <c r="BW141" i="5"/>
  <c r="BU141" i="5"/>
  <c r="BS141" i="5"/>
  <c r="BM141" i="5"/>
  <c r="BQ141" i="5"/>
  <c r="BR141" i="5"/>
  <c r="BK141" i="5"/>
  <c r="BJ141" i="5"/>
  <c r="BI141" i="5"/>
  <c r="BH141" i="5"/>
  <c r="BG141" i="5"/>
  <c r="BF141" i="5"/>
  <c r="BE141" i="5"/>
  <c r="BA141" i="5"/>
  <c r="AZ141" i="5"/>
  <c r="AY141" i="5"/>
  <c r="CI117" i="5"/>
  <c r="CF117" i="5"/>
  <c r="CK117" i="5"/>
  <c r="CD117" i="5"/>
  <c r="CC117" i="5"/>
  <c r="CE117" i="5"/>
  <c r="CA117" i="5"/>
  <c r="BT117" i="5"/>
  <c r="BY117" i="5"/>
  <c r="BW117" i="5"/>
  <c r="BV117" i="5"/>
  <c r="BS117" i="5"/>
  <c r="BU117" i="5"/>
  <c r="BR117" i="5"/>
  <c r="BN117" i="5"/>
  <c r="BM117" i="5"/>
  <c r="BQ117" i="5"/>
  <c r="BJ117" i="5"/>
  <c r="BI117" i="5"/>
  <c r="BK117" i="5"/>
  <c r="BF117" i="5"/>
  <c r="BH117" i="5"/>
  <c r="BE117" i="5"/>
  <c r="BG117" i="5"/>
  <c r="BA117" i="5"/>
  <c r="BB117" i="5"/>
  <c r="AZ117" i="5"/>
  <c r="AY117" i="5"/>
  <c r="CI109" i="5"/>
  <c r="CK109" i="5"/>
  <c r="CE109" i="5"/>
  <c r="CF109" i="5"/>
  <c r="CD109" i="5"/>
  <c r="CA109" i="5"/>
  <c r="CC109" i="5"/>
  <c r="BV109" i="5"/>
  <c r="BT109" i="5"/>
  <c r="BY109" i="5"/>
  <c r="BW109" i="5"/>
  <c r="BS109" i="5"/>
  <c r="BU109" i="5"/>
  <c r="BM109" i="5"/>
  <c r="BR109" i="5"/>
  <c r="BQ109" i="5"/>
  <c r="BI109" i="5"/>
  <c r="BH109" i="5"/>
  <c r="BK109" i="5"/>
  <c r="BJ109" i="5"/>
  <c r="BF109" i="5"/>
  <c r="BG109" i="5"/>
  <c r="BA109" i="5"/>
  <c r="AZ109" i="5"/>
  <c r="BE109" i="5"/>
  <c r="AY109" i="5"/>
  <c r="CJ85" i="5"/>
  <c r="CI85" i="5"/>
  <c r="CK85" i="5"/>
  <c r="CE85" i="5"/>
  <c r="CD85" i="5"/>
  <c r="CC85" i="5"/>
  <c r="CF85" i="5"/>
  <c r="CH85" i="5"/>
  <c r="CA85" i="5"/>
  <c r="CG85" i="5"/>
  <c r="BT85" i="5"/>
  <c r="BZ85" i="5"/>
  <c r="BV85" i="5"/>
  <c r="BY85" i="5"/>
  <c r="BX85" i="5"/>
  <c r="BW85" i="5"/>
  <c r="BS85" i="5"/>
  <c r="BR85" i="5"/>
  <c r="BU85" i="5"/>
  <c r="BN85" i="5"/>
  <c r="BM85" i="5"/>
  <c r="BQ85" i="5"/>
  <c r="BJ85" i="5"/>
  <c r="BI85" i="5"/>
  <c r="BK85" i="5"/>
  <c r="BF85" i="5"/>
  <c r="BL85" i="5"/>
  <c r="BH85" i="5"/>
  <c r="BG85" i="5"/>
  <c r="BE85" i="5"/>
  <c r="BA85" i="5"/>
  <c r="BB85" i="5"/>
  <c r="AY85" i="5"/>
  <c r="AZ85" i="5"/>
  <c r="CK77" i="5"/>
  <c r="CI77" i="5"/>
  <c r="CE77" i="5"/>
  <c r="CF77" i="5"/>
  <c r="BY77" i="5"/>
  <c r="CA77" i="5"/>
  <c r="CD77" i="5"/>
  <c r="CC77" i="5"/>
  <c r="BV77" i="5"/>
  <c r="BT77" i="5"/>
  <c r="BU77" i="5"/>
  <c r="BW77" i="5"/>
  <c r="BS77" i="5"/>
  <c r="BR77" i="5"/>
  <c r="BQ77" i="5"/>
  <c r="BI77" i="5"/>
  <c r="BH77" i="5"/>
  <c r="BK77" i="5"/>
  <c r="BJ77" i="5"/>
  <c r="BM77" i="5"/>
  <c r="BG77" i="5"/>
  <c r="BE77" i="5"/>
  <c r="BF77" i="5"/>
  <c r="AZ77" i="5"/>
  <c r="BA77" i="5"/>
  <c r="AY77" i="5"/>
  <c r="CK53" i="5"/>
  <c r="CI53" i="5"/>
  <c r="CF53" i="5"/>
  <c r="CD53" i="5"/>
  <c r="CC53" i="5"/>
  <c r="CE53" i="5"/>
  <c r="CA53" i="5"/>
  <c r="BT53" i="5"/>
  <c r="BW53" i="5"/>
  <c r="BM53" i="5"/>
  <c r="BV53" i="5"/>
  <c r="BY53" i="5"/>
  <c r="BU53" i="5"/>
  <c r="BS53" i="5"/>
  <c r="BR53" i="5"/>
  <c r="BN53" i="5"/>
  <c r="BO53" i="5"/>
  <c r="BJ53" i="5"/>
  <c r="BQ53" i="5"/>
  <c r="BI53" i="5"/>
  <c r="BF53" i="5"/>
  <c r="BK53" i="5"/>
  <c r="BG53" i="5"/>
  <c r="BE53" i="5"/>
  <c r="BH53" i="5"/>
  <c r="BA53" i="5"/>
  <c r="BB53" i="5"/>
  <c r="BC53" i="5"/>
  <c r="AY53" i="5"/>
  <c r="AZ53" i="5"/>
  <c r="CK45" i="5"/>
  <c r="CI45" i="5"/>
  <c r="CF45" i="5"/>
  <c r="CE45" i="5"/>
  <c r="CA45" i="5"/>
  <c r="CC45" i="5"/>
  <c r="CD45" i="5"/>
  <c r="BV45" i="5"/>
  <c r="BY45" i="5"/>
  <c r="BM45" i="5"/>
  <c r="BW45" i="5"/>
  <c r="BU45" i="5"/>
  <c r="BS45" i="5"/>
  <c r="BT45" i="5"/>
  <c r="BQ45" i="5"/>
  <c r="BR45" i="5"/>
  <c r="BK45" i="5"/>
  <c r="BJ45" i="5"/>
  <c r="BH45" i="5"/>
  <c r="BI45" i="5"/>
  <c r="BG45" i="5"/>
  <c r="BF45" i="5"/>
  <c r="BE45" i="5"/>
  <c r="AZ45" i="5"/>
  <c r="BA45" i="5"/>
  <c r="AY45" i="5"/>
  <c r="CK21" i="5"/>
  <c r="CI21" i="5"/>
  <c r="CF21" i="5"/>
  <c r="CE21" i="5"/>
  <c r="CD21" i="5"/>
  <c r="CC21" i="5"/>
  <c r="CA21" i="5"/>
  <c r="BT21" i="5"/>
  <c r="BY21" i="5"/>
  <c r="BV21" i="5"/>
  <c r="BM21" i="5"/>
  <c r="BW21" i="5"/>
  <c r="BU21" i="5"/>
  <c r="BS21" i="5"/>
  <c r="BR21" i="5"/>
  <c r="BJ21" i="5"/>
  <c r="BQ21" i="5"/>
  <c r="BO21" i="5"/>
  <c r="BF21" i="5"/>
  <c r="BK21" i="5"/>
  <c r="BI21" i="5"/>
  <c r="BE21" i="5"/>
  <c r="BH21" i="5"/>
  <c r="BG21" i="5"/>
  <c r="BA21" i="5"/>
  <c r="BC21" i="5"/>
  <c r="AZ21" i="5"/>
  <c r="AY21" i="5"/>
  <c r="CK13" i="5"/>
  <c r="CI13" i="5"/>
  <c r="CE13" i="5"/>
  <c r="CF13" i="5"/>
  <c r="CD13" i="5"/>
  <c r="CA13" i="5"/>
  <c r="CC13" i="5"/>
  <c r="BV13" i="5"/>
  <c r="BY13" i="5"/>
  <c r="BW13" i="5"/>
  <c r="BM13" i="5"/>
  <c r="BU13" i="5"/>
  <c r="BT13" i="5"/>
  <c r="BS13" i="5"/>
  <c r="BQ13" i="5"/>
  <c r="BR13" i="5"/>
  <c r="BK13" i="5"/>
  <c r="BJ13" i="5"/>
  <c r="BI13" i="5"/>
  <c r="BH13" i="5"/>
  <c r="BG13" i="5"/>
  <c r="BF13" i="5"/>
  <c r="BE13" i="5"/>
  <c r="BA13" i="5"/>
  <c r="AZ13" i="5"/>
  <c r="AY13" i="5"/>
  <c r="AT548" i="5"/>
  <c r="AT536" i="5"/>
  <c r="AT523" i="5"/>
  <c r="AT511" i="5"/>
  <c r="AT484" i="5"/>
  <c r="AT472" i="5"/>
  <c r="AT459" i="5"/>
  <c r="AT447" i="5"/>
  <c r="AV434" i="5"/>
  <c r="BC434" i="5" s="1"/>
  <c r="AT420" i="5"/>
  <c r="AT408" i="5"/>
  <c r="AT395" i="5"/>
  <c r="AT383" i="5"/>
  <c r="AT356" i="5"/>
  <c r="AT344" i="5"/>
  <c r="AT331" i="5"/>
  <c r="AT319" i="5"/>
  <c r="AT292" i="5"/>
  <c r="AT280" i="5"/>
  <c r="AT267" i="5"/>
  <c r="AT255" i="5"/>
  <c r="AT228" i="5"/>
  <c r="AT216" i="5"/>
  <c r="AT203" i="5"/>
  <c r="AT191" i="5"/>
  <c r="AT164" i="5"/>
  <c r="AT152" i="5"/>
  <c r="AT139" i="5"/>
  <c r="AT127" i="5"/>
  <c r="AT100" i="5"/>
  <c r="AT88" i="5"/>
  <c r="AT75" i="5"/>
  <c r="AT63" i="5"/>
  <c r="AT36" i="5"/>
  <c r="AT24" i="5"/>
  <c r="AT11" i="5"/>
  <c r="AU168" i="5"/>
  <c r="BN168" i="5" s="1"/>
  <c r="AU232" i="5"/>
  <c r="BN232" i="5" s="1"/>
  <c r="CI161" i="5"/>
  <c r="CJ161" i="5"/>
  <c r="CH161" i="5"/>
  <c r="CF161" i="5"/>
  <c r="CE161" i="5"/>
  <c r="CG161" i="5"/>
  <c r="CK161" i="5"/>
  <c r="CD161" i="5"/>
  <c r="BZ161" i="5"/>
  <c r="BY161" i="5"/>
  <c r="BT161" i="5"/>
  <c r="BU161" i="5"/>
  <c r="CC161" i="5"/>
  <c r="CA161" i="5"/>
  <c r="BV161" i="5"/>
  <c r="BX161" i="5"/>
  <c r="BW161" i="5"/>
  <c r="BS161" i="5"/>
  <c r="BM161" i="5"/>
  <c r="BL161" i="5"/>
  <c r="BR161" i="5"/>
  <c r="BQ161" i="5"/>
  <c r="BK161" i="5"/>
  <c r="BN161" i="5"/>
  <c r="BI161" i="5"/>
  <c r="BG161" i="5"/>
  <c r="BJ161" i="5"/>
  <c r="BH161" i="5"/>
  <c r="BF161" i="5"/>
  <c r="BB161" i="5"/>
  <c r="BE161" i="5"/>
  <c r="AZ161" i="5"/>
  <c r="AY161" i="5"/>
  <c r="BA161" i="5"/>
  <c r="CI153" i="5"/>
  <c r="CK153" i="5"/>
  <c r="CF153" i="5"/>
  <c r="CE153" i="5"/>
  <c r="CD153" i="5"/>
  <c r="CC153" i="5"/>
  <c r="BY153" i="5"/>
  <c r="CA153" i="5"/>
  <c r="BT153" i="5"/>
  <c r="BW153" i="5"/>
  <c r="BV153" i="5"/>
  <c r="BU153" i="5"/>
  <c r="BM153" i="5"/>
  <c r="BS153" i="5"/>
  <c r="BQ153" i="5"/>
  <c r="BO153" i="5"/>
  <c r="BR153" i="5"/>
  <c r="BJ153" i="5"/>
  <c r="BI153" i="5"/>
  <c r="BK153" i="5"/>
  <c r="BG153" i="5"/>
  <c r="BF153" i="5"/>
  <c r="BE153" i="5"/>
  <c r="BH153" i="5"/>
  <c r="BA153" i="5"/>
  <c r="BC153" i="5"/>
  <c r="AZ153" i="5"/>
  <c r="AY153" i="5"/>
  <c r="CI129" i="5"/>
  <c r="CK129" i="5"/>
  <c r="CF129" i="5"/>
  <c r="CE129" i="5"/>
  <c r="BY129" i="5"/>
  <c r="CC129" i="5"/>
  <c r="CD129" i="5"/>
  <c r="BT129" i="5"/>
  <c r="BU129" i="5"/>
  <c r="CA129" i="5"/>
  <c r="BW129" i="5"/>
  <c r="BV129" i="5"/>
  <c r="BS129" i="5"/>
  <c r="BM129" i="5"/>
  <c r="BR129" i="5"/>
  <c r="BQ129" i="5"/>
  <c r="BK129" i="5"/>
  <c r="BI129" i="5"/>
  <c r="BJ129" i="5"/>
  <c r="BG129" i="5"/>
  <c r="BH129" i="5"/>
  <c r="BF129" i="5"/>
  <c r="AZ129" i="5"/>
  <c r="BA129" i="5"/>
  <c r="AY129" i="5"/>
  <c r="BE129" i="5"/>
  <c r="CI121" i="5"/>
  <c r="CK121" i="5"/>
  <c r="CF121" i="5"/>
  <c r="CE121" i="5"/>
  <c r="CD121" i="5"/>
  <c r="CC121" i="5"/>
  <c r="BY121" i="5"/>
  <c r="CA121" i="5"/>
  <c r="BT121" i="5"/>
  <c r="BW121" i="5"/>
  <c r="BV121" i="5"/>
  <c r="BM121" i="5"/>
  <c r="BU121" i="5"/>
  <c r="BS121" i="5"/>
  <c r="BQ121" i="5"/>
  <c r="BR121" i="5"/>
  <c r="BO121" i="5"/>
  <c r="BI121" i="5"/>
  <c r="BK121" i="5"/>
  <c r="BJ121" i="5"/>
  <c r="BH121" i="5"/>
  <c r="BG121" i="5"/>
  <c r="BE121" i="5"/>
  <c r="BF121" i="5"/>
  <c r="BC121" i="5"/>
  <c r="BA121" i="5"/>
  <c r="AZ121" i="5"/>
  <c r="AY121" i="5"/>
  <c r="CI113" i="5"/>
  <c r="CF113" i="5"/>
  <c r="CK113" i="5"/>
  <c r="CE113" i="5"/>
  <c r="CD113" i="5"/>
  <c r="BY113" i="5"/>
  <c r="CC113" i="5"/>
  <c r="CA113" i="5"/>
  <c r="BU113" i="5"/>
  <c r="BT113" i="5"/>
  <c r="BV113" i="5"/>
  <c r="BW113" i="5"/>
  <c r="BR113" i="5"/>
  <c r="BM113" i="5"/>
  <c r="BS113" i="5"/>
  <c r="BQ113" i="5"/>
  <c r="BN113" i="5"/>
  <c r="BK113" i="5"/>
  <c r="BJ113" i="5"/>
  <c r="BI113" i="5"/>
  <c r="BG113" i="5"/>
  <c r="BH113" i="5"/>
  <c r="BF113" i="5"/>
  <c r="BB113" i="5"/>
  <c r="BA113" i="5"/>
  <c r="AZ113" i="5"/>
  <c r="BE113" i="5"/>
  <c r="AY113" i="5"/>
  <c r="AT547" i="5"/>
  <c r="AT535" i="5"/>
  <c r="AT508" i="5"/>
  <c r="AT496" i="5"/>
  <c r="AT483" i="5"/>
  <c r="AT471" i="5"/>
  <c r="AT444" i="5"/>
  <c r="AT432" i="5"/>
  <c r="AT419" i="5"/>
  <c r="AT407" i="5"/>
  <c r="AT380" i="5"/>
  <c r="AT368" i="5"/>
  <c r="AT355" i="5"/>
  <c r="AT343" i="5"/>
  <c r="AT316" i="5"/>
  <c r="AT304" i="5"/>
  <c r="AT291" i="5"/>
  <c r="AT279" i="5"/>
  <c r="AT252" i="5"/>
  <c r="AT240" i="5"/>
  <c r="AT227" i="5"/>
  <c r="AT215" i="5"/>
  <c r="AT188" i="5"/>
  <c r="AT176" i="5"/>
  <c r="AT163" i="5"/>
  <c r="AT151" i="5"/>
  <c r="AT124" i="5"/>
  <c r="AT112" i="5"/>
  <c r="AT99" i="5"/>
  <c r="AT87" i="5"/>
  <c r="AT60" i="5"/>
  <c r="AT48" i="5"/>
  <c r="AT35" i="5"/>
  <c r="AT23" i="5"/>
  <c r="AU57" i="5"/>
  <c r="BN57" i="5" s="1"/>
  <c r="AU89" i="5"/>
  <c r="BB89" i="5" s="1"/>
  <c r="AU121" i="5"/>
  <c r="BB121" i="5" s="1"/>
  <c r="AU153" i="5"/>
  <c r="BB153" i="5" s="1"/>
  <c r="AU185" i="5"/>
  <c r="BB185" i="5" s="1"/>
  <c r="AU217" i="5"/>
  <c r="BB217" i="5" s="1"/>
  <c r="AU281" i="5"/>
  <c r="BB281" i="5" s="1"/>
  <c r="AV13" i="5"/>
  <c r="BO13" i="5" s="1"/>
  <c r="AV45" i="5"/>
  <c r="BO45" i="5" s="1"/>
  <c r="AV77" i="5"/>
  <c r="AV109" i="5"/>
  <c r="BC109" i="5" s="1"/>
  <c r="AV141" i="5"/>
  <c r="BO141" i="5" s="1"/>
  <c r="AV173" i="5"/>
  <c r="BO173" i="5" s="1"/>
  <c r="AV205" i="5"/>
  <c r="BO205" i="5" s="1"/>
  <c r="AV237" i="5"/>
  <c r="BC237" i="5" s="1"/>
  <c r="AV269" i="5"/>
  <c r="BO269" i="5" s="1"/>
  <c r="AT532" i="5"/>
  <c r="AT520" i="5"/>
  <c r="AT507" i="5"/>
  <c r="AT495" i="5"/>
  <c r="AT468" i="5"/>
  <c r="AT456" i="5"/>
  <c r="AT443" i="5"/>
  <c r="AT431" i="5"/>
  <c r="AT404" i="5"/>
  <c r="AT392" i="5"/>
  <c r="AT379" i="5"/>
  <c r="AT367" i="5"/>
  <c r="AT340" i="5"/>
  <c r="AT328" i="5"/>
  <c r="AT315" i="5"/>
  <c r="AT303" i="5"/>
  <c r="AT276" i="5"/>
  <c r="AT264" i="5"/>
  <c r="AT251" i="5"/>
  <c r="AT239" i="5"/>
  <c r="AT212" i="5"/>
  <c r="AT200" i="5"/>
  <c r="AT187" i="5"/>
  <c r="AT175" i="5"/>
  <c r="AT148" i="5"/>
  <c r="AT136" i="5"/>
  <c r="AT123" i="5"/>
  <c r="AT111" i="5"/>
  <c r="AT84" i="5"/>
  <c r="AT72" i="5"/>
  <c r="AT59" i="5"/>
  <c r="AT47" i="5"/>
  <c r="AT20" i="5"/>
  <c r="AT8" i="5"/>
  <c r="AT556" i="5"/>
  <c r="AT544" i="5"/>
  <c r="AT531" i="5"/>
  <c r="AT519" i="5"/>
  <c r="AT492" i="5"/>
  <c r="AT480" i="5"/>
  <c r="AT467" i="5"/>
  <c r="AT455" i="5"/>
  <c r="AT428" i="5"/>
  <c r="AT416" i="5"/>
  <c r="AT403" i="5"/>
  <c r="AT391" i="5"/>
  <c r="AT364" i="5"/>
  <c r="AT352" i="5"/>
  <c r="AT339" i="5"/>
  <c r="AT327" i="5"/>
  <c r="AT300" i="5"/>
  <c r="AT288" i="5"/>
  <c r="AT275" i="5"/>
  <c r="AT263" i="5"/>
  <c r="AT236" i="5"/>
  <c r="AT224" i="5"/>
  <c r="AT211" i="5"/>
  <c r="AT199" i="5"/>
  <c r="AT172" i="5"/>
  <c r="AT160" i="5"/>
  <c r="AT147" i="5"/>
  <c r="AT135" i="5"/>
  <c r="AT108" i="5"/>
  <c r="AT96" i="5"/>
  <c r="AT83" i="5"/>
  <c r="AT71" i="5"/>
  <c r="AT44" i="5"/>
  <c r="AT32" i="5"/>
  <c r="AT19" i="5"/>
  <c r="AT7" i="5"/>
  <c r="AU13" i="5"/>
  <c r="BB13" i="5" s="1"/>
  <c r="AU45" i="5"/>
  <c r="BN45" i="5" s="1"/>
  <c r="AU77" i="5"/>
  <c r="AU109" i="5"/>
  <c r="BN109" i="5" s="1"/>
  <c r="AU141" i="5"/>
  <c r="BN141" i="5" s="1"/>
  <c r="AU173" i="5"/>
  <c r="BB173" i="5" s="1"/>
  <c r="AU205" i="5"/>
  <c r="BB205" i="5" s="1"/>
  <c r="AU237" i="5"/>
  <c r="BN237" i="5" s="1"/>
  <c r="AU269" i="5"/>
  <c r="BN269" i="5" s="1"/>
  <c r="AV49" i="5"/>
  <c r="BO49" i="5" s="1"/>
  <c r="AV65" i="5"/>
  <c r="BC65" i="5" s="1"/>
  <c r="AV81" i="5"/>
  <c r="BO81" i="5" s="1"/>
  <c r="AV97" i="5"/>
  <c r="AV113" i="5"/>
  <c r="BC113" i="5" s="1"/>
  <c r="AV129" i="5"/>
  <c r="BC129" i="5" s="1"/>
  <c r="AV145" i="5"/>
  <c r="BO145" i="5" s="1"/>
  <c r="AV161" i="5"/>
  <c r="BC161" i="5" s="1"/>
  <c r="AV177" i="5"/>
  <c r="BC177" i="5" s="1"/>
  <c r="AV193" i="5"/>
  <c r="BC193" i="5" s="1"/>
  <c r="AV209" i="5"/>
  <c r="BO209" i="5" s="1"/>
  <c r="AV225" i="5"/>
  <c r="BO225" i="5" s="1"/>
  <c r="AV273" i="5"/>
  <c r="BO273" i="5" s="1"/>
  <c r="AV289" i="5"/>
  <c r="BC289" i="5" s="1"/>
  <c r="CK257" i="5"/>
  <c r="CI257" i="5"/>
  <c r="CF257" i="5"/>
  <c r="CE257" i="5"/>
  <c r="CJ257" i="5"/>
  <c r="CG257" i="5"/>
  <c r="CH257" i="5"/>
  <c r="BZ257" i="5"/>
  <c r="BY257" i="5"/>
  <c r="CC257" i="5"/>
  <c r="CD257" i="5"/>
  <c r="BT257" i="5"/>
  <c r="BU257" i="5"/>
  <c r="CA257" i="5"/>
  <c r="BW257" i="5"/>
  <c r="BX257" i="5"/>
  <c r="BV257" i="5"/>
  <c r="BS257" i="5"/>
  <c r="BM257" i="5"/>
  <c r="BR257" i="5"/>
  <c r="BO257" i="5"/>
  <c r="BQ257" i="5"/>
  <c r="BK257" i="5"/>
  <c r="BI257" i="5"/>
  <c r="BJ257" i="5"/>
  <c r="BG257" i="5"/>
  <c r="BL257" i="5"/>
  <c r="BH257" i="5"/>
  <c r="BF257" i="5"/>
  <c r="BC257" i="5"/>
  <c r="AZ257" i="5"/>
  <c r="BA257" i="5"/>
  <c r="AY257" i="5"/>
  <c r="BE257" i="5"/>
  <c r="CI249" i="5"/>
  <c r="CK249" i="5"/>
  <c r="CF249" i="5"/>
  <c r="CE249" i="5"/>
  <c r="CD249" i="5"/>
  <c r="CC249" i="5"/>
  <c r="BY249" i="5"/>
  <c r="CA249" i="5"/>
  <c r="BT249" i="5"/>
  <c r="BW249" i="5"/>
  <c r="BV249" i="5"/>
  <c r="BU249" i="5"/>
  <c r="BM249" i="5"/>
  <c r="BS249" i="5"/>
  <c r="BQ249" i="5"/>
  <c r="BR249" i="5"/>
  <c r="BN249" i="5"/>
  <c r="BI249" i="5"/>
  <c r="BK249" i="5"/>
  <c r="BJ249" i="5"/>
  <c r="BH249" i="5"/>
  <c r="BG249" i="5"/>
  <c r="BE249" i="5"/>
  <c r="BF249" i="5"/>
  <c r="BB249" i="5"/>
  <c r="BA249" i="5"/>
  <c r="AZ249" i="5"/>
  <c r="AY249" i="5"/>
  <c r="CI241" i="5"/>
  <c r="CK241" i="5"/>
  <c r="CF241" i="5"/>
  <c r="CE241" i="5"/>
  <c r="CD241" i="5"/>
  <c r="BY241" i="5"/>
  <c r="CC241" i="5"/>
  <c r="CA241" i="5"/>
  <c r="BU241" i="5"/>
  <c r="BT241" i="5"/>
  <c r="BV241" i="5"/>
  <c r="BW241" i="5"/>
  <c r="BR241" i="5"/>
  <c r="BO241" i="5"/>
  <c r="BM241" i="5"/>
  <c r="BS241" i="5"/>
  <c r="BQ241" i="5"/>
  <c r="BK241" i="5"/>
  <c r="BJ241" i="5"/>
  <c r="BI241" i="5"/>
  <c r="BG241" i="5"/>
  <c r="BH241" i="5"/>
  <c r="BF241" i="5"/>
  <c r="BC241" i="5"/>
  <c r="BA241" i="5"/>
  <c r="AZ241" i="5"/>
  <c r="BE241" i="5"/>
  <c r="AY241" i="5"/>
  <c r="CI33" i="5"/>
  <c r="CF33" i="5"/>
  <c r="CE33" i="5"/>
  <c r="CK33" i="5"/>
  <c r="CD33" i="5"/>
  <c r="CC33" i="5"/>
  <c r="BU33" i="5"/>
  <c r="CA33" i="5"/>
  <c r="BY33" i="5"/>
  <c r="BW33" i="5"/>
  <c r="BT33" i="5"/>
  <c r="BV33" i="5"/>
  <c r="BM33" i="5"/>
  <c r="BS33" i="5"/>
  <c r="BR33" i="5"/>
  <c r="BQ33" i="5"/>
  <c r="BK33" i="5"/>
  <c r="BG33" i="5"/>
  <c r="BJ33" i="5"/>
  <c r="BI33" i="5"/>
  <c r="BH33" i="5"/>
  <c r="BE33" i="5"/>
  <c r="BF33" i="5"/>
  <c r="AZ33" i="5"/>
  <c r="AY33" i="5"/>
  <c r="BA33" i="5"/>
  <c r="CI25" i="5"/>
  <c r="CG25" i="5"/>
  <c r="CF25" i="5"/>
  <c r="CJ25" i="5"/>
  <c r="CK25" i="5"/>
  <c r="CE25" i="5"/>
  <c r="CH25" i="5"/>
  <c r="CD25" i="5"/>
  <c r="CC25" i="5"/>
  <c r="BZ25" i="5"/>
  <c r="BX25" i="5"/>
  <c r="BY25" i="5"/>
  <c r="BW25" i="5"/>
  <c r="CA25" i="5"/>
  <c r="BV25" i="5"/>
  <c r="BT25" i="5"/>
  <c r="BM25" i="5"/>
  <c r="BU25" i="5"/>
  <c r="BS25" i="5"/>
  <c r="BQ25" i="5"/>
  <c r="BN25" i="5"/>
  <c r="BR25" i="5"/>
  <c r="BI25" i="5"/>
  <c r="BJ25" i="5"/>
  <c r="BL25" i="5"/>
  <c r="BK25" i="5"/>
  <c r="BG25" i="5"/>
  <c r="BF25" i="5"/>
  <c r="BE25" i="5"/>
  <c r="BH25" i="5"/>
  <c r="BB25" i="5"/>
  <c r="BA25" i="5"/>
  <c r="AZ25" i="5"/>
  <c r="AY25" i="5"/>
  <c r="CK17" i="5"/>
  <c r="CI17" i="5"/>
  <c r="CF17" i="5"/>
  <c r="CE17" i="5"/>
  <c r="CD17" i="5"/>
  <c r="CC17" i="5"/>
  <c r="CA17" i="5"/>
  <c r="BU17" i="5"/>
  <c r="BY17" i="5"/>
  <c r="BW17" i="5"/>
  <c r="BV17" i="5"/>
  <c r="BM17" i="5"/>
  <c r="BR17" i="5"/>
  <c r="BT17" i="5"/>
  <c r="BO17" i="5"/>
  <c r="BS17" i="5"/>
  <c r="BQ17" i="5"/>
  <c r="BK17" i="5"/>
  <c r="BJ17" i="5"/>
  <c r="BI17" i="5"/>
  <c r="BG17" i="5"/>
  <c r="BE17" i="5"/>
  <c r="BH17" i="5"/>
  <c r="BF17" i="5"/>
  <c r="BC17" i="5"/>
  <c r="BA17" i="5"/>
  <c r="AZ17" i="5"/>
  <c r="AY17" i="5"/>
  <c r="CE555" i="5"/>
  <c r="CI555" i="5"/>
  <c r="AT543" i="5"/>
  <c r="CF516" i="5"/>
  <c r="CE516" i="5"/>
  <c r="BQ516" i="5"/>
  <c r="BH516" i="5"/>
  <c r="BB516" i="5"/>
  <c r="CJ504" i="5"/>
  <c r="CI504" i="5"/>
  <c r="CK504" i="5"/>
  <c r="CG504" i="5"/>
  <c r="CD504" i="5"/>
  <c r="CH504" i="5"/>
  <c r="CF504" i="5"/>
  <c r="CE504" i="5"/>
  <c r="CC504" i="5"/>
  <c r="CA504" i="5"/>
  <c r="BV504" i="5"/>
  <c r="BZ504" i="5"/>
  <c r="BX504" i="5"/>
  <c r="BW504" i="5"/>
  <c r="BU504" i="5"/>
  <c r="BT504" i="5"/>
  <c r="BR504" i="5"/>
  <c r="BN504" i="5"/>
  <c r="BY504" i="5"/>
  <c r="BS504" i="5"/>
  <c r="BQ504" i="5"/>
  <c r="BH504" i="5"/>
  <c r="BI504" i="5"/>
  <c r="BG504" i="5"/>
  <c r="BL504" i="5"/>
  <c r="BM504" i="5"/>
  <c r="BK504" i="5"/>
  <c r="BJ504" i="5"/>
  <c r="BF504" i="5"/>
  <c r="BA504" i="5"/>
  <c r="BP504" i="5" s="1"/>
  <c r="BE504" i="5"/>
  <c r="AZ504" i="5"/>
  <c r="BD504" i="5"/>
  <c r="BB504" i="5"/>
  <c r="AY504" i="5"/>
  <c r="CD491" i="5"/>
  <c r="CI491" i="5"/>
  <c r="BY491" i="5"/>
  <c r="BV491" i="5"/>
  <c r="BG491" i="5"/>
  <c r="BK491" i="5"/>
  <c r="AY491" i="5"/>
  <c r="BD491" i="5"/>
  <c r="CK479" i="5"/>
  <c r="CI479" i="5"/>
  <c r="CE479" i="5"/>
  <c r="CC479" i="5"/>
  <c r="CF479" i="5"/>
  <c r="CD479" i="5"/>
  <c r="BV479" i="5"/>
  <c r="CA479" i="5"/>
  <c r="BY479" i="5"/>
  <c r="BT479" i="5"/>
  <c r="BS479" i="5"/>
  <c r="BU479" i="5"/>
  <c r="BR479" i="5"/>
  <c r="BQ479" i="5"/>
  <c r="BK479" i="5"/>
  <c r="BJ479" i="5"/>
  <c r="BG479" i="5"/>
  <c r="BF479" i="5"/>
  <c r="BD479" i="5"/>
  <c r="BA479" i="5"/>
  <c r="BP479" i="5" s="1"/>
  <c r="AY479" i="5"/>
  <c r="BH479" i="5"/>
  <c r="AZ479" i="5"/>
  <c r="BE479" i="5"/>
  <c r="AV479" i="5"/>
  <c r="BC479" i="5" s="1"/>
  <c r="AU479" i="5"/>
  <c r="BN479" i="5" s="1"/>
  <c r="CK452" i="5"/>
  <c r="CF452" i="5"/>
  <c r="CI452" i="5"/>
  <c r="CG452" i="5"/>
  <c r="CE452" i="5"/>
  <c r="CC452" i="5"/>
  <c r="CD452" i="5"/>
  <c r="BW452" i="5"/>
  <c r="CA452" i="5"/>
  <c r="BY452" i="5"/>
  <c r="BS452" i="5"/>
  <c r="BQ452" i="5"/>
  <c r="BT452" i="5"/>
  <c r="BR452" i="5"/>
  <c r="BN452" i="5"/>
  <c r="BU452" i="5"/>
  <c r="BV452" i="5"/>
  <c r="BI452" i="5"/>
  <c r="BG452" i="5"/>
  <c r="BH452" i="5"/>
  <c r="BF452" i="5"/>
  <c r="BJ452" i="5"/>
  <c r="BM452" i="5"/>
  <c r="BK452" i="5"/>
  <c r="BE452" i="5"/>
  <c r="BD452" i="5"/>
  <c r="BB452" i="5"/>
  <c r="BA452" i="5"/>
  <c r="BP452" i="5" s="1"/>
  <c r="AZ452" i="5"/>
  <c r="AY452" i="5"/>
  <c r="CI440" i="5"/>
  <c r="BT440" i="5"/>
  <c r="BN440" i="5"/>
  <c r="BB440" i="5"/>
  <c r="CE427" i="5"/>
  <c r="BQ427" i="5"/>
  <c r="BG427" i="5"/>
  <c r="CK415" i="5"/>
  <c r="CJ415" i="5"/>
  <c r="CI415" i="5"/>
  <c r="CE415" i="5"/>
  <c r="CC415" i="5"/>
  <c r="CG415" i="5"/>
  <c r="CD415" i="5"/>
  <c r="CF415" i="5"/>
  <c r="BV415" i="5"/>
  <c r="CH415" i="5"/>
  <c r="BX415" i="5"/>
  <c r="BZ415" i="5"/>
  <c r="BW415" i="5"/>
  <c r="CA415" i="5"/>
  <c r="BY415" i="5"/>
  <c r="BU415" i="5"/>
  <c r="BT415" i="5"/>
  <c r="BS415" i="5"/>
  <c r="BR415" i="5"/>
  <c r="BQ415" i="5"/>
  <c r="BL415" i="5"/>
  <c r="BI415" i="5"/>
  <c r="BM415" i="5"/>
  <c r="BK415" i="5"/>
  <c r="BJ415" i="5"/>
  <c r="BF415" i="5"/>
  <c r="BE415" i="5"/>
  <c r="BH415" i="5"/>
  <c r="BD415" i="5"/>
  <c r="BA415" i="5"/>
  <c r="BP415" i="5" s="1"/>
  <c r="AY415" i="5"/>
  <c r="BG415" i="5"/>
  <c r="AZ415" i="5"/>
  <c r="AV415" i="5"/>
  <c r="BC415" i="5" s="1"/>
  <c r="AU415" i="5"/>
  <c r="BN415" i="5" s="1"/>
  <c r="CC388" i="5"/>
  <c r="CD388" i="5"/>
  <c r="BN388" i="5"/>
  <c r="BJ388" i="5"/>
  <c r="AZ388" i="5"/>
  <c r="CE363" i="5"/>
  <c r="BU363" i="5"/>
  <c r="BG363" i="5"/>
  <c r="BD363" i="5"/>
  <c r="AU363" i="5"/>
  <c r="BN363" i="5" s="1"/>
  <c r="CA299" i="5"/>
  <c r="CK287" i="5"/>
  <c r="CI287" i="5"/>
  <c r="CE287" i="5"/>
  <c r="CC287" i="5"/>
  <c r="CD287" i="5"/>
  <c r="BV287" i="5"/>
  <c r="CA287" i="5"/>
  <c r="BW287" i="5"/>
  <c r="BY287" i="5"/>
  <c r="BT287" i="5"/>
  <c r="BU287" i="5"/>
  <c r="BR287" i="5"/>
  <c r="BQ287" i="5"/>
  <c r="BI287" i="5"/>
  <c r="BM287" i="5"/>
  <c r="BK287" i="5"/>
  <c r="BJ287" i="5"/>
  <c r="BF287" i="5"/>
  <c r="BH287" i="5"/>
  <c r="BD287" i="5"/>
  <c r="BA287" i="5"/>
  <c r="BP287" i="5" s="1"/>
  <c r="AY287" i="5"/>
  <c r="BG287" i="5"/>
  <c r="AZ287" i="5"/>
  <c r="AU287" i="5"/>
  <c r="BN287" i="5" s="1"/>
  <c r="CK248" i="5"/>
  <c r="CJ248" i="5"/>
  <c r="CH248" i="5"/>
  <c r="CG248" i="5"/>
  <c r="CI248" i="5"/>
  <c r="CE248" i="5"/>
  <c r="CD248" i="5"/>
  <c r="CF248" i="5"/>
  <c r="CC248" i="5"/>
  <c r="CA248" i="5"/>
  <c r="BZ248" i="5"/>
  <c r="BV248" i="5"/>
  <c r="BU248" i="5"/>
  <c r="BR248" i="5"/>
  <c r="BW248" i="5"/>
  <c r="BY248" i="5"/>
  <c r="BX248" i="5"/>
  <c r="BS248" i="5"/>
  <c r="BQ248" i="5"/>
  <c r="BT248" i="5"/>
  <c r="BH248" i="5"/>
  <c r="BF248" i="5"/>
  <c r="BI248" i="5"/>
  <c r="BG248" i="5"/>
  <c r="BM248" i="5"/>
  <c r="BL248" i="5"/>
  <c r="BK248" i="5"/>
  <c r="BJ248" i="5"/>
  <c r="BE248" i="5"/>
  <c r="AZ248" i="5"/>
  <c r="BD248" i="5"/>
  <c r="BA248" i="5"/>
  <c r="AY248" i="5"/>
  <c r="CK235" i="5"/>
  <c r="CI235" i="5"/>
  <c r="CF235" i="5"/>
  <c r="BW235" i="5"/>
  <c r="CA235" i="5"/>
  <c r="BV235" i="5"/>
  <c r="BY235" i="5"/>
  <c r="BR235" i="5"/>
  <c r="BJ235" i="5"/>
  <c r="BQ235" i="5"/>
  <c r="BG235" i="5"/>
  <c r="BK235" i="5"/>
  <c r="BF235" i="5"/>
  <c r="BA235" i="5"/>
  <c r="BP235" i="5" s="1"/>
  <c r="AY235" i="5"/>
  <c r="AU235" i="5"/>
  <c r="BN235" i="5" s="1"/>
  <c r="AV235" i="5"/>
  <c r="BO235" i="5" s="1"/>
  <c r="CC223" i="5"/>
  <c r="CD223" i="5"/>
  <c r="CE223" i="5"/>
  <c r="BW223" i="5"/>
  <c r="BY223" i="5"/>
  <c r="BR223" i="5"/>
  <c r="BU223" i="5"/>
  <c r="BQ223" i="5"/>
  <c r="BF223" i="5"/>
  <c r="BK223" i="5"/>
  <c r="BE223" i="5"/>
  <c r="BD223" i="5"/>
  <c r="AY223" i="5"/>
  <c r="BA223" i="5"/>
  <c r="BP223" i="5" s="1"/>
  <c r="AV223" i="5"/>
  <c r="BO223" i="5" s="1"/>
  <c r="BW196" i="5"/>
  <c r="BU196" i="5"/>
  <c r="BI196" i="5"/>
  <c r="BE196" i="5"/>
  <c r="CE184" i="5"/>
  <c r="CD184" i="5"/>
  <c r="CI184" i="5"/>
  <c r="BR184" i="5"/>
  <c r="BN184" i="5"/>
  <c r="BY184" i="5"/>
  <c r="BH184" i="5"/>
  <c r="BF184" i="5"/>
  <c r="BI184" i="5"/>
  <c r="BE184" i="5"/>
  <c r="BA184" i="5"/>
  <c r="BP184" i="5" s="1"/>
  <c r="CK171" i="5"/>
  <c r="CD171" i="5"/>
  <c r="CE171" i="5"/>
  <c r="CF171" i="5"/>
  <c r="BW171" i="5"/>
  <c r="BU171" i="5"/>
  <c r="CI171" i="5"/>
  <c r="CC171" i="5"/>
  <c r="CA171" i="5"/>
  <c r="BV171" i="5"/>
  <c r="BY171" i="5"/>
  <c r="BT171" i="5"/>
  <c r="BS171" i="5"/>
  <c r="BR171" i="5"/>
  <c r="BQ171" i="5"/>
  <c r="BM171" i="5"/>
  <c r="BJ171" i="5"/>
  <c r="BK171" i="5"/>
  <c r="BI171" i="5"/>
  <c r="BG171" i="5"/>
  <c r="BH171" i="5"/>
  <c r="BF171" i="5"/>
  <c r="BE171" i="5"/>
  <c r="AZ171" i="5"/>
  <c r="BA171" i="5"/>
  <c r="BP171" i="5" s="1"/>
  <c r="AY171" i="5"/>
  <c r="BD171" i="5"/>
  <c r="AU171" i="5"/>
  <c r="BB171" i="5" s="1"/>
  <c r="AV171" i="5"/>
  <c r="BC171" i="5" s="1"/>
  <c r="CK159" i="5"/>
  <c r="CC159" i="5"/>
  <c r="CF159" i="5"/>
  <c r="CD159" i="5"/>
  <c r="CE159" i="5"/>
  <c r="CI159" i="5"/>
  <c r="BV159" i="5"/>
  <c r="BW159" i="5"/>
  <c r="CA159" i="5"/>
  <c r="BY159" i="5"/>
  <c r="BS159" i="5"/>
  <c r="BR159" i="5"/>
  <c r="BU159" i="5"/>
  <c r="BT159" i="5"/>
  <c r="BQ159" i="5"/>
  <c r="BI159" i="5"/>
  <c r="BM159" i="5"/>
  <c r="BK159" i="5"/>
  <c r="BJ159" i="5"/>
  <c r="BF159" i="5"/>
  <c r="BE159" i="5"/>
  <c r="BH159" i="5"/>
  <c r="BD159" i="5"/>
  <c r="AY159" i="5"/>
  <c r="BG159" i="5"/>
  <c r="AZ159" i="5"/>
  <c r="BA159" i="5"/>
  <c r="BP159" i="5" s="1"/>
  <c r="AV159" i="5"/>
  <c r="BO159" i="5" s="1"/>
  <c r="AU159" i="5"/>
  <c r="BN159" i="5" s="1"/>
  <c r="CI132" i="5"/>
  <c r="CC132" i="5"/>
  <c r="CK132" i="5"/>
  <c r="BW132" i="5"/>
  <c r="CA132" i="5"/>
  <c r="BY132" i="5"/>
  <c r="BQ132" i="5"/>
  <c r="BV132" i="5"/>
  <c r="BU132" i="5"/>
  <c r="BT132" i="5"/>
  <c r="BI132" i="5"/>
  <c r="BH132" i="5"/>
  <c r="BF132" i="5"/>
  <c r="BJ132" i="5"/>
  <c r="BE132" i="5"/>
  <c r="BD132" i="5"/>
  <c r="BA132" i="5"/>
  <c r="BP132" i="5" s="1"/>
  <c r="AZ132" i="5"/>
  <c r="CK120" i="5"/>
  <c r="CI120" i="5"/>
  <c r="CE120" i="5"/>
  <c r="CD120" i="5"/>
  <c r="CF120" i="5"/>
  <c r="CC120" i="5"/>
  <c r="BV120" i="5"/>
  <c r="CA120" i="5"/>
  <c r="BY120" i="5"/>
  <c r="BU120" i="5"/>
  <c r="BR120" i="5"/>
  <c r="BW120" i="5"/>
  <c r="BS120" i="5"/>
  <c r="BQ120" i="5"/>
  <c r="BT120" i="5"/>
  <c r="BH120" i="5"/>
  <c r="BF120" i="5"/>
  <c r="BI120" i="5"/>
  <c r="BG120" i="5"/>
  <c r="BM120" i="5"/>
  <c r="BK120" i="5"/>
  <c r="BJ120" i="5"/>
  <c r="BE120" i="5"/>
  <c r="AZ120" i="5"/>
  <c r="BD120" i="5"/>
  <c r="BA120" i="5"/>
  <c r="BP120" i="5" s="1"/>
  <c r="AY120" i="5"/>
  <c r="CI107" i="5"/>
  <c r="CD107" i="5"/>
  <c r="CC107" i="5"/>
  <c r="BV107" i="5"/>
  <c r="BI107" i="5"/>
  <c r="BG107" i="5"/>
  <c r="BA107" i="5"/>
  <c r="BP107" i="5" s="1"/>
  <c r="AY107" i="5"/>
  <c r="CI68" i="5"/>
  <c r="CC68" i="5"/>
  <c r="CE68" i="5"/>
  <c r="CA68" i="5"/>
  <c r="BY68" i="5"/>
  <c r="BV68" i="5"/>
  <c r="BQ68" i="5"/>
  <c r="BN68" i="5"/>
  <c r="BT68" i="5"/>
  <c r="BM68" i="5"/>
  <c r="BI68" i="5"/>
  <c r="BH68" i="5"/>
  <c r="BJ68" i="5"/>
  <c r="BK68" i="5"/>
  <c r="BE68" i="5"/>
  <c r="AZ68" i="5"/>
  <c r="CK56" i="5"/>
  <c r="CI56" i="5"/>
  <c r="CE56" i="5"/>
  <c r="CA56" i="5"/>
  <c r="BY56" i="5"/>
  <c r="BW56" i="5"/>
  <c r="BR56" i="5"/>
  <c r="BQ56" i="5"/>
  <c r="BM56" i="5"/>
  <c r="BH56" i="5"/>
  <c r="BF56" i="5"/>
  <c r="BJ56" i="5"/>
  <c r="BD56" i="5"/>
  <c r="BA56" i="5"/>
  <c r="BP56" i="5" s="1"/>
  <c r="BY43" i="5"/>
  <c r="BW43" i="5"/>
  <c r="BS43" i="5"/>
  <c r="BR43" i="5"/>
  <c r="BF43" i="5"/>
  <c r="BE43" i="5"/>
  <c r="AV43" i="5"/>
  <c r="BO43" i="5" s="1"/>
  <c r="CD31" i="5"/>
  <c r="BR31" i="5"/>
  <c r="BE31" i="5"/>
  <c r="AV31" i="5"/>
  <c r="BC31" i="5" s="1"/>
  <c r="AU31" i="5"/>
  <c r="BN31" i="5" s="1"/>
  <c r="CJ4" i="5"/>
  <c r="CF4" i="5"/>
  <c r="CG4" i="5"/>
  <c r="CI4" i="5"/>
  <c r="CC4" i="5"/>
  <c r="CD4" i="5"/>
  <c r="CE4" i="5"/>
  <c r="BZ4" i="5"/>
  <c r="BW4" i="5"/>
  <c r="BX4" i="5"/>
  <c r="BT4" i="5"/>
  <c r="BS4" i="5"/>
  <c r="BQ4" i="5"/>
  <c r="BV4" i="5"/>
  <c r="BR4" i="5"/>
  <c r="BN4" i="5"/>
  <c r="BU4" i="5"/>
  <c r="BG4" i="5"/>
  <c r="BI4" i="5"/>
  <c r="BH4" i="5"/>
  <c r="BF4" i="5"/>
  <c r="BL4" i="5"/>
  <c r="BK4" i="5"/>
  <c r="BJ4" i="5"/>
  <c r="BE4" i="5"/>
  <c r="BD4" i="5"/>
  <c r="BB4" i="5"/>
  <c r="BA4" i="5"/>
  <c r="BP4" i="5" s="1"/>
  <c r="AZ4" i="5"/>
  <c r="AY4" i="5"/>
  <c r="AV4" i="5"/>
  <c r="BC4" i="5" s="1"/>
  <c r="AV452" i="5"/>
  <c r="BO452" i="5" s="1"/>
  <c r="AX21" i="5"/>
  <c r="AX53" i="5"/>
  <c r="AX85" i="5"/>
  <c r="BD85" i="5" s="1"/>
  <c r="AX117" i="5"/>
  <c r="AX149" i="5"/>
  <c r="AX181" i="5"/>
  <c r="BD181" i="5" s="1"/>
  <c r="AX213" i="5"/>
  <c r="AX245" i="5"/>
  <c r="AX277" i="5"/>
  <c r="AX398" i="5"/>
  <c r="AY434" i="5"/>
  <c r="AY362" i="5"/>
  <c r="AY306" i="5"/>
  <c r="AY178" i="5"/>
  <c r="AY106" i="5"/>
  <c r="AY50" i="5"/>
  <c r="AZ234" i="5"/>
  <c r="AZ106" i="5"/>
  <c r="AX22" i="5"/>
  <c r="AX33" i="5"/>
  <c r="AX54" i="5"/>
  <c r="BD54" i="5" s="1"/>
  <c r="AX65" i="5"/>
  <c r="BP65" i="5" s="1"/>
  <c r="AX86" i="5"/>
  <c r="AX97" i="5"/>
  <c r="AX118" i="5"/>
  <c r="AX129" i="5"/>
  <c r="AX150" i="5"/>
  <c r="AX161" i="5"/>
  <c r="BD161" i="5" s="1"/>
  <c r="AX182" i="5"/>
  <c r="BD182" i="5" s="1"/>
  <c r="AX193" i="5"/>
  <c r="BD193" i="5" s="1"/>
  <c r="AX214" i="5"/>
  <c r="BP214" i="5" s="1"/>
  <c r="AX225" i="5"/>
  <c r="BD225" i="5" s="1"/>
  <c r="AX246" i="5"/>
  <c r="BD246" i="5" s="1"/>
  <c r="AX257" i="5"/>
  <c r="AX278" i="5"/>
  <c r="BD278" i="5" s="1"/>
  <c r="AX289" i="5"/>
  <c r="BD289" i="5" s="1"/>
  <c r="AX414" i="5"/>
  <c r="BD414" i="5" s="1"/>
  <c r="AY474" i="5"/>
  <c r="AY290" i="5"/>
  <c r="AY218" i="5"/>
  <c r="AY90" i="5"/>
  <c r="BA554" i="5"/>
  <c r="BP554" i="5" s="1"/>
  <c r="BA426" i="5"/>
  <c r="BP426" i="5" s="1"/>
  <c r="AT430" i="5"/>
  <c r="AT422" i="5"/>
  <c r="AT406" i="5"/>
  <c r="AT390" i="5"/>
  <c r="AT382" i="5"/>
  <c r="AT374" i="5"/>
  <c r="AT366" i="5"/>
  <c r="AT358" i="5"/>
  <c r="AT350" i="5"/>
  <c r="AT342" i="5"/>
  <c r="AT334" i="5"/>
  <c r="AT326" i="5"/>
  <c r="AT318" i="5"/>
  <c r="AT310" i="5"/>
  <c r="AT302" i="5"/>
  <c r="AT294" i="5"/>
  <c r="AT286" i="5"/>
  <c r="AT270" i="5"/>
  <c r="AT262" i="5"/>
  <c r="AT254" i="5"/>
  <c r="AT238" i="5"/>
  <c r="AT230" i="5"/>
  <c r="AT222" i="5"/>
  <c r="AT206" i="5"/>
  <c r="AT198" i="5"/>
  <c r="AT190" i="5"/>
  <c r="AT174" i="5"/>
  <c r="AT166" i="5"/>
  <c r="AT158" i="5"/>
  <c r="AT142" i="5"/>
  <c r="AT134" i="5"/>
  <c r="AT126" i="5"/>
  <c r="AT110" i="5"/>
  <c r="AT102" i="5"/>
  <c r="AT94" i="5"/>
  <c r="AT78" i="5"/>
  <c r="AT562" i="5" s="1"/>
  <c r="AT563" i="5" s="1"/>
  <c r="AT70" i="5"/>
  <c r="AT62" i="5"/>
  <c r="AT46" i="5"/>
  <c r="AT38" i="5"/>
  <c r="AT30" i="5"/>
  <c r="AT14" i="5"/>
  <c r="AT6" i="5"/>
  <c r="AV26" i="5"/>
  <c r="BC26" i="5" s="1"/>
  <c r="AV58" i="5"/>
  <c r="BO58" i="5" s="1"/>
  <c r="AV130" i="5"/>
  <c r="BO130" i="5" s="1"/>
  <c r="AV138" i="5"/>
  <c r="BC138" i="5" s="1"/>
  <c r="AV146" i="5"/>
  <c r="BC146" i="5" s="1"/>
  <c r="AV186" i="5"/>
  <c r="BO186" i="5" s="1"/>
  <c r="AV202" i="5"/>
  <c r="BC202" i="5" s="1"/>
  <c r="AV242" i="5"/>
  <c r="BO242" i="5" s="1"/>
  <c r="AV250" i="5"/>
  <c r="BO250" i="5" s="1"/>
  <c r="AV258" i="5"/>
  <c r="BO258" i="5" s="1"/>
  <c r="AV274" i="5"/>
  <c r="BC274" i="5" s="1"/>
  <c r="AV282" i="5"/>
  <c r="BC282" i="5" s="1"/>
  <c r="AV314" i="5"/>
  <c r="BO314" i="5" s="1"/>
  <c r="AV354" i="5"/>
  <c r="BC354" i="5" s="1"/>
  <c r="AV386" i="5"/>
  <c r="BC386" i="5" s="1"/>
  <c r="AV402" i="5"/>
  <c r="BO402" i="5" s="1"/>
  <c r="AV410" i="5"/>
  <c r="BO410" i="5" s="1"/>
  <c r="AV426" i="5"/>
  <c r="BC426" i="5" s="1"/>
  <c r="AV442" i="5"/>
  <c r="BC442" i="5" s="1"/>
  <c r="AV458" i="5"/>
  <c r="BC458" i="5" s="1"/>
  <c r="AV474" i="5"/>
  <c r="BC474" i="5" s="1"/>
  <c r="AV482" i="5"/>
  <c r="BC482" i="5" s="1"/>
  <c r="AV498" i="5"/>
  <c r="BC498" i="5" s="1"/>
  <c r="AV514" i="5"/>
  <c r="BO514" i="5" s="1"/>
  <c r="AV522" i="5"/>
  <c r="BC522" i="5" s="1"/>
  <c r="AV530" i="5"/>
  <c r="BO530" i="5" s="1"/>
  <c r="AV538" i="5"/>
  <c r="BC538" i="5" s="1"/>
  <c r="AV554" i="5"/>
  <c r="BC554" i="5" s="1"/>
  <c r="AX13" i="5"/>
  <c r="AX45" i="5"/>
  <c r="AX77" i="5"/>
  <c r="AX109" i="5"/>
  <c r="AX141" i="5"/>
  <c r="BD141" i="5" s="1"/>
  <c r="AX173" i="5"/>
  <c r="AX205" i="5"/>
  <c r="AX237" i="5"/>
  <c r="AX269" i="5"/>
  <c r="BD269" i="5" s="1"/>
  <c r="AY458" i="5"/>
  <c r="AY330" i="5"/>
  <c r="AY202" i="5"/>
  <c r="AY74" i="5"/>
  <c r="AZ186" i="5"/>
  <c r="AZ58" i="5"/>
  <c r="AT341" i="5"/>
  <c r="AT333" i="5"/>
  <c r="AT325" i="5"/>
  <c r="AT317" i="5"/>
  <c r="AT309" i="5"/>
  <c r="AT301" i="5"/>
  <c r="AT293" i="5"/>
  <c r="AT285" i="5"/>
  <c r="AT261" i="5"/>
  <c r="AT253" i="5"/>
  <c r="AT229" i="5"/>
  <c r="AT221" i="5"/>
  <c r="AT197" i="5"/>
  <c r="AT189" i="5"/>
  <c r="AT165" i="5"/>
  <c r="AT157" i="5"/>
  <c r="AT133" i="5"/>
  <c r="AT125" i="5"/>
  <c r="AT101" i="5"/>
  <c r="AT93" i="5"/>
  <c r="AT69" i="5"/>
  <c r="AT61" i="5"/>
  <c r="AT37" i="5"/>
  <c r="AT29" i="5"/>
  <c r="AT5" i="5"/>
  <c r="AX25" i="5"/>
  <c r="AX57" i="5"/>
  <c r="BP57" i="5" s="1"/>
  <c r="AX89" i="5"/>
  <c r="BD89" i="5" s="1"/>
  <c r="AX121" i="5"/>
  <c r="AX153" i="5"/>
  <c r="AX185" i="5"/>
  <c r="BP185" i="5" s="1"/>
  <c r="AX217" i="5"/>
  <c r="AX249" i="5"/>
  <c r="AX281" i="5"/>
  <c r="AY314" i="5"/>
  <c r="AZ458" i="5"/>
  <c r="AY554" i="5"/>
  <c r="AY426" i="5"/>
  <c r="AY298" i="5"/>
  <c r="AX17" i="5"/>
  <c r="BD17" i="5" s="1"/>
  <c r="AX49" i="5"/>
  <c r="AX81" i="5"/>
  <c r="BD81" i="5" s="1"/>
  <c r="AX113" i="5"/>
  <c r="AX145" i="5"/>
  <c r="AX177" i="5"/>
  <c r="BP177" i="5" s="1"/>
  <c r="AX209" i="5"/>
  <c r="BD209" i="5" s="1"/>
  <c r="AX241" i="5"/>
  <c r="BD241" i="5" s="1"/>
  <c r="AX273" i="5"/>
  <c r="BP273" i="5" s="1"/>
  <c r="CF554" i="5"/>
  <c r="CI554" i="5"/>
  <c r="CK554" i="5"/>
  <c r="CD554" i="5"/>
  <c r="CC554" i="5"/>
  <c r="CA554" i="5"/>
  <c r="CE554" i="5"/>
  <c r="BV554" i="5"/>
  <c r="BY554" i="5"/>
  <c r="BW554" i="5"/>
  <c r="BT554" i="5"/>
  <c r="BS554" i="5"/>
  <c r="BU554" i="5"/>
  <c r="BR554" i="5"/>
  <c r="BK554" i="5"/>
  <c r="BJ554" i="5"/>
  <c r="BQ554" i="5"/>
  <c r="BE554" i="5"/>
  <c r="BM554" i="5"/>
  <c r="BF554" i="5"/>
  <c r="BD554" i="5"/>
  <c r="BI554" i="5"/>
  <c r="BH554" i="5"/>
  <c r="BG554" i="5"/>
  <c r="CH546" i="5"/>
  <c r="CF546" i="5"/>
  <c r="CG546" i="5"/>
  <c r="CJ546" i="5"/>
  <c r="CE546" i="5"/>
  <c r="CA546" i="5"/>
  <c r="BV546" i="5"/>
  <c r="CC546" i="5"/>
  <c r="CD546" i="5"/>
  <c r="BY546" i="5"/>
  <c r="BW546" i="5"/>
  <c r="BX546" i="5"/>
  <c r="BU546" i="5"/>
  <c r="BZ546" i="5"/>
  <c r="BK546" i="5"/>
  <c r="BS546" i="5"/>
  <c r="BJ546" i="5"/>
  <c r="BR546" i="5"/>
  <c r="BQ546" i="5"/>
  <c r="BO546" i="5"/>
  <c r="BL546" i="5"/>
  <c r="BH546" i="5"/>
  <c r="BE546" i="5"/>
  <c r="BC546" i="5"/>
  <c r="BF546" i="5"/>
  <c r="BD546" i="5"/>
  <c r="BI546" i="5"/>
  <c r="BG546" i="5"/>
  <c r="AZ546" i="5"/>
  <c r="CF538" i="5"/>
  <c r="CI538" i="5"/>
  <c r="CK538" i="5"/>
  <c r="CA538" i="5"/>
  <c r="CE538" i="5"/>
  <c r="CD538" i="5"/>
  <c r="BV538" i="5"/>
  <c r="CC538" i="5"/>
  <c r="BY538" i="5"/>
  <c r="BW538" i="5"/>
  <c r="BU538" i="5"/>
  <c r="BK538" i="5"/>
  <c r="BT538" i="5"/>
  <c r="BS538" i="5"/>
  <c r="BR538" i="5"/>
  <c r="BJ538" i="5"/>
  <c r="BQ538" i="5"/>
  <c r="BE538" i="5"/>
  <c r="BM538" i="5"/>
  <c r="BF538" i="5"/>
  <c r="BD538" i="5"/>
  <c r="BH538" i="5"/>
  <c r="BG538" i="5"/>
  <c r="BI538" i="5"/>
  <c r="CK530" i="5"/>
  <c r="CF530" i="5"/>
  <c r="CJ530" i="5"/>
  <c r="CI530" i="5"/>
  <c r="CG530" i="5"/>
  <c r="CH530" i="5"/>
  <c r="CE530" i="5"/>
  <c r="CA530" i="5"/>
  <c r="BV530" i="5"/>
  <c r="CD530" i="5"/>
  <c r="CC530" i="5"/>
  <c r="BY530" i="5"/>
  <c r="BZ530" i="5"/>
  <c r="BX530" i="5"/>
  <c r="BW530" i="5"/>
  <c r="BS530" i="5"/>
  <c r="BU530" i="5"/>
  <c r="BK530" i="5"/>
  <c r="BT530" i="5"/>
  <c r="BJ530" i="5"/>
  <c r="BR530" i="5"/>
  <c r="BQ530" i="5"/>
  <c r="BM530" i="5"/>
  <c r="BE530" i="5"/>
  <c r="BL530" i="5"/>
  <c r="BH530" i="5"/>
  <c r="BF530" i="5"/>
  <c r="BD530" i="5"/>
  <c r="BI530" i="5"/>
  <c r="BG530" i="5"/>
  <c r="BA530" i="5"/>
  <c r="BP530" i="5" s="1"/>
  <c r="AZ530" i="5"/>
  <c r="CK522" i="5"/>
  <c r="CF522" i="5"/>
  <c r="CI522" i="5"/>
  <c r="CD522" i="5"/>
  <c r="CC522" i="5"/>
  <c r="CA522" i="5"/>
  <c r="CE522" i="5"/>
  <c r="BV522" i="5"/>
  <c r="BY522" i="5"/>
  <c r="BW522" i="5"/>
  <c r="BT522" i="5"/>
  <c r="BS522" i="5"/>
  <c r="BR522" i="5"/>
  <c r="BK522" i="5"/>
  <c r="BU522" i="5"/>
  <c r="BJ522" i="5"/>
  <c r="BQ522" i="5"/>
  <c r="BP522" i="5"/>
  <c r="BE522" i="5"/>
  <c r="BM522" i="5"/>
  <c r="BF522" i="5"/>
  <c r="BD522" i="5"/>
  <c r="BG522" i="5"/>
  <c r="BI522" i="5"/>
  <c r="BH522" i="5"/>
  <c r="CK514" i="5"/>
  <c r="CF514" i="5"/>
  <c r="CE514" i="5"/>
  <c r="CA514" i="5"/>
  <c r="BV514" i="5"/>
  <c r="CC514" i="5"/>
  <c r="BY514" i="5"/>
  <c r="BW514" i="5"/>
  <c r="BT514" i="5"/>
  <c r="BK514" i="5"/>
  <c r="BS514" i="5"/>
  <c r="BR514" i="5"/>
  <c r="BQ514" i="5"/>
  <c r="BM514" i="5"/>
  <c r="BE514" i="5"/>
  <c r="BF514" i="5"/>
  <c r="BD514" i="5"/>
  <c r="BG514" i="5"/>
  <c r="BA514" i="5"/>
  <c r="BP514" i="5" s="1"/>
  <c r="AZ514" i="5"/>
  <c r="CK506" i="5"/>
  <c r="CA506" i="5"/>
  <c r="CC506" i="5"/>
  <c r="BW506" i="5"/>
  <c r="BR506" i="5"/>
  <c r="BJ506" i="5"/>
  <c r="BQ506" i="5"/>
  <c r="BF506" i="5"/>
  <c r="BI506" i="5"/>
  <c r="BG506" i="5"/>
  <c r="CH498" i="5"/>
  <c r="CF498" i="5"/>
  <c r="CG498" i="5"/>
  <c r="CE498" i="5"/>
  <c r="CK498" i="5"/>
  <c r="CJ498" i="5"/>
  <c r="CA498" i="5"/>
  <c r="BV498" i="5"/>
  <c r="CI498" i="5"/>
  <c r="CC498" i="5"/>
  <c r="CD498" i="5"/>
  <c r="BY498" i="5"/>
  <c r="BW498" i="5"/>
  <c r="BZ498" i="5"/>
  <c r="BX498" i="5"/>
  <c r="BS498" i="5"/>
  <c r="BU498" i="5"/>
  <c r="BL498" i="5"/>
  <c r="BK498" i="5"/>
  <c r="BT498" i="5"/>
  <c r="BJ498" i="5"/>
  <c r="BR498" i="5"/>
  <c r="BQ498" i="5"/>
  <c r="BE498" i="5"/>
  <c r="BM498" i="5"/>
  <c r="BH498" i="5"/>
  <c r="BF498" i="5"/>
  <c r="BD498" i="5"/>
  <c r="BI498" i="5"/>
  <c r="BG498" i="5"/>
  <c r="BA498" i="5"/>
  <c r="BP498" i="5" s="1"/>
  <c r="AZ498" i="5"/>
  <c r="CK490" i="5"/>
  <c r="CA490" i="5"/>
  <c r="CJ482" i="5"/>
  <c r="CG482" i="5"/>
  <c r="CF482" i="5"/>
  <c r="CI482" i="5"/>
  <c r="CK482" i="5"/>
  <c r="CA482" i="5"/>
  <c r="CE482" i="5"/>
  <c r="CD482" i="5"/>
  <c r="BV482" i="5"/>
  <c r="CH482" i="5"/>
  <c r="BY482" i="5"/>
  <c r="BZ482" i="5"/>
  <c r="CC482" i="5"/>
  <c r="BX482" i="5"/>
  <c r="BW482" i="5"/>
  <c r="BU482" i="5"/>
  <c r="BT482" i="5"/>
  <c r="BK482" i="5"/>
  <c r="BS482" i="5"/>
  <c r="BL482" i="5"/>
  <c r="BJ482" i="5"/>
  <c r="BQ482" i="5"/>
  <c r="BR482" i="5"/>
  <c r="BH482" i="5"/>
  <c r="BE482" i="5"/>
  <c r="BM482" i="5"/>
  <c r="BF482" i="5"/>
  <c r="BD482" i="5"/>
  <c r="BI482" i="5"/>
  <c r="BG482" i="5"/>
  <c r="BA482" i="5"/>
  <c r="BP482" i="5" s="1"/>
  <c r="AZ482" i="5"/>
  <c r="CF474" i="5"/>
  <c r="CK474" i="5"/>
  <c r="CI474" i="5"/>
  <c r="CE474" i="5"/>
  <c r="CA474" i="5"/>
  <c r="BV474" i="5"/>
  <c r="CC474" i="5"/>
  <c r="CD474" i="5"/>
  <c r="BY474" i="5"/>
  <c r="BW474" i="5"/>
  <c r="BU474" i="5"/>
  <c r="BK474" i="5"/>
  <c r="BT474" i="5"/>
  <c r="BS474" i="5"/>
  <c r="BR474" i="5"/>
  <c r="BJ474" i="5"/>
  <c r="BQ474" i="5"/>
  <c r="BM474" i="5"/>
  <c r="BE474" i="5"/>
  <c r="BF474" i="5"/>
  <c r="BD474" i="5"/>
  <c r="BI474" i="5"/>
  <c r="BH474" i="5"/>
  <c r="BG474" i="5"/>
  <c r="CK466" i="5"/>
  <c r="CE466" i="5"/>
  <c r="CI466" i="5"/>
  <c r="CA466" i="5"/>
  <c r="CF466" i="5"/>
  <c r="BV466" i="5"/>
  <c r="CC466" i="5"/>
  <c r="CD466" i="5"/>
  <c r="BY466" i="5"/>
  <c r="BW466" i="5"/>
  <c r="BS466" i="5"/>
  <c r="BK466" i="5"/>
  <c r="BU466" i="5"/>
  <c r="BT466" i="5"/>
  <c r="BJ466" i="5"/>
  <c r="BO466" i="5"/>
  <c r="BR466" i="5"/>
  <c r="BQ466" i="5"/>
  <c r="BE466" i="5"/>
  <c r="BC466" i="5"/>
  <c r="BM466" i="5"/>
  <c r="BH466" i="5"/>
  <c r="BD466" i="5"/>
  <c r="BG466" i="5"/>
  <c r="BF466" i="5"/>
  <c r="BI466" i="5"/>
  <c r="BA466" i="5"/>
  <c r="BP466" i="5" s="1"/>
  <c r="AZ466" i="5"/>
  <c r="CK458" i="5"/>
  <c r="CI458" i="5"/>
  <c r="CF458" i="5"/>
  <c r="CD458" i="5"/>
  <c r="CC458" i="5"/>
  <c r="CA458" i="5"/>
  <c r="BV458" i="5"/>
  <c r="CE458" i="5"/>
  <c r="BY458" i="5"/>
  <c r="BW458" i="5"/>
  <c r="BT458" i="5"/>
  <c r="BS458" i="5"/>
  <c r="BU458" i="5"/>
  <c r="BR458" i="5"/>
  <c r="BK458" i="5"/>
  <c r="BJ458" i="5"/>
  <c r="BQ458" i="5"/>
  <c r="BP458" i="5"/>
  <c r="BM458" i="5"/>
  <c r="BF458" i="5"/>
  <c r="BE458" i="5"/>
  <c r="BD458" i="5"/>
  <c r="BI458" i="5"/>
  <c r="BH458" i="5"/>
  <c r="BG458" i="5"/>
  <c r="CF450" i="5"/>
  <c r="CK450" i="5"/>
  <c r="CI450" i="5"/>
  <c r="CE450" i="5"/>
  <c r="CA450" i="5"/>
  <c r="BV450" i="5"/>
  <c r="CC450" i="5"/>
  <c r="CD450" i="5"/>
  <c r="BY450" i="5"/>
  <c r="BW450" i="5"/>
  <c r="BT450" i="5"/>
  <c r="BK450" i="5"/>
  <c r="BS450" i="5"/>
  <c r="BU450" i="5"/>
  <c r="BJ450" i="5"/>
  <c r="BR450" i="5"/>
  <c r="BQ450" i="5"/>
  <c r="BO450" i="5"/>
  <c r="BH450" i="5"/>
  <c r="BE450" i="5"/>
  <c r="BC450" i="5"/>
  <c r="BM450" i="5"/>
  <c r="BD450" i="5"/>
  <c r="BF450" i="5"/>
  <c r="BI450" i="5"/>
  <c r="BG450" i="5"/>
  <c r="BA450" i="5"/>
  <c r="BP450" i="5" s="1"/>
  <c r="AZ450" i="5"/>
  <c r="CF442" i="5"/>
  <c r="CE442" i="5"/>
  <c r="CA442" i="5"/>
  <c r="BV442" i="5"/>
  <c r="CD442" i="5"/>
  <c r="BW442" i="5"/>
  <c r="BY442" i="5"/>
  <c r="BU442" i="5"/>
  <c r="BS442" i="5"/>
  <c r="BJ442" i="5"/>
  <c r="BQ442" i="5"/>
  <c r="BM442" i="5"/>
  <c r="BF442" i="5"/>
  <c r="BD442" i="5"/>
  <c r="BI442" i="5"/>
  <c r="CK434" i="5"/>
  <c r="CI434" i="5"/>
  <c r="CE434" i="5"/>
  <c r="CD434" i="5"/>
  <c r="CA434" i="5"/>
  <c r="CF434" i="5"/>
  <c r="BV434" i="5"/>
  <c r="CC434" i="5"/>
  <c r="BY434" i="5"/>
  <c r="BW434" i="5"/>
  <c r="BU434" i="5"/>
  <c r="BS434" i="5"/>
  <c r="BK434" i="5"/>
  <c r="BT434" i="5"/>
  <c r="BJ434" i="5"/>
  <c r="BR434" i="5"/>
  <c r="BQ434" i="5"/>
  <c r="BM434" i="5"/>
  <c r="BE434" i="5"/>
  <c r="BH434" i="5"/>
  <c r="BD434" i="5"/>
  <c r="BI434" i="5"/>
  <c r="BG434" i="5"/>
  <c r="BF434" i="5"/>
  <c r="BA434" i="5"/>
  <c r="BP434" i="5" s="1"/>
  <c r="AZ434" i="5"/>
  <c r="CJ426" i="5"/>
  <c r="CI426" i="5"/>
  <c r="CH426" i="5"/>
  <c r="CD426" i="5"/>
  <c r="CG426" i="5"/>
  <c r="CF426" i="5"/>
  <c r="CC426" i="5"/>
  <c r="CA426" i="5"/>
  <c r="CK426" i="5"/>
  <c r="CE426" i="5"/>
  <c r="BV426" i="5"/>
  <c r="BZ426" i="5"/>
  <c r="BY426" i="5"/>
  <c r="BX426" i="5"/>
  <c r="BW426" i="5"/>
  <c r="BT426" i="5"/>
  <c r="BS426" i="5"/>
  <c r="BR426" i="5"/>
  <c r="BK426" i="5"/>
  <c r="BU426" i="5"/>
  <c r="BJ426" i="5"/>
  <c r="BQ426" i="5"/>
  <c r="BI426" i="5"/>
  <c r="BL426" i="5"/>
  <c r="BF426" i="5"/>
  <c r="BE426" i="5"/>
  <c r="BM426" i="5"/>
  <c r="BD426" i="5"/>
  <c r="BH426" i="5"/>
  <c r="BG426" i="5"/>
  <c r="BI418" i="5"/>
  <c r="CK410" i="5"/>
  <c r="CG410" i="5"/>
  <c r="CF410" i="5"/>
  <c r="CH410" i="5"/>
  <c r="CJ410" i="5"/>
  <c r="CI410" i="5"/>
  <c r="CA410" i="5"/>
  <c r="CE410" i="5"/>
  <c r="CD410" i="5"/>
  <c r="BV410" i="5"/>
  <c r="CC410" i="5"/>
  <c r="BZ410" i="5"/>
  <c r="BY410" i="5"/>
  <c r="BW410" i="5"/>
  <c r="BX410" i="5"/>
  <c r="BU410" i="5"/>
  <c r="BK410" i="5"/>
  <c r="BT410" i="5"/>
  <c r="BS410" i="5"/>
  <c r="BR410" i="5"/>
  <c r="BJ410" i="5"/>
  <c r="BQ410" i="5"/>
  <c r="BE410" i="5"/>
  <c r="BI410" i="5"/>
  <c r="BM410" i="5"/>
  <c r="BL410" i="5"/>
  <c r="BF410" i="5"/>
  <c r="BD410" i="5"/>
  <c r="BH410" i="5"/>
  <c r="BG410" i="5"/>
  <c r="CK402" i="5"/>
  <c r="CI402" i="5"/>
  <c r="CF402" i="5"/>
  <c r="CE402" i="5"/>
  <c r="CA402" i="5"/>
  <c r="BV402" i="5"/>
  <c r="CD402" i="5"/>
  <c r="CC402" i="5"/>
  <c r="BY402" i="5"/>
  <c r="BW402" i="5"/>
  <c r="BS402" i="5"/>
  <c r="BU402" i="5"/>
  <c r="BK402" i="5"/>
  <c r="BT402" i="5"/>
  <c r="BJ402" i="5"/>
  <c r="BR402" i="5"/>
  <c r="BQ402" i="5"/>
  <c r="BM402" i="5"/>
  <c r="BE402" i="5"/>
  <c r="BI402" i="5"/>
  <c r="BH402" i="5"/>
  <c r="BD402" i="5"/>
  <c r="BG402" i="5"/>
  <c r="BF402" i="5"/>
  <c r="BA402" i="5"/>
  <c r="BP402" i="5" s="1"/>
  <c r="AZ402" i="5"/>
  <c r="CK386" i="5"/>
  <c r="CI386" i="5"/>
  <c r="CE386" i="5"/>
  <c r="CF386" i="5"/>
  <c r="CA386" i="5"/>
  <c r="BV386" i="5"/>
  <c r="CC386" i="5"/>
  <c r="CD386" i="5"/>
  <c r="BY386" i="5"/>
  <c r="BW386" i="5"/>
  <c r="BT386" i="5"/>
  <c r="BK386" i="5"/>
  <c r="BU386" i="5"/>
  <c r="BS386" i="5"/>
  <c r="BJ386" i="5"/>
  <c r="BR386" i="5"/>
  <c r="BQ386" i="5"/>
  <c r="BM386" i="5"/>
  <c r="BI386" i="5"/>
  <c r="BH386" i="5"/>
  <c r="BE386" i="5"/>
  <c r="BD386" i="5"/>
  <c r="BG386" i="5"/>
  <c r="BF386" i="5"/>
  <c r="BA386" i="5"/>
  <c r="BP386" i="5" s="1"/>
  <c r="AZ386" i="5"/>
  <c r="CI378" i="5"/>
  <c r="CF378" i="5"/>
  <c r="CK378" i="5"/>
  <c r="CE378" i="5"/>
  <c r="CA378" i="5"/>
  <c r="BV378" i="5"/>
  <c r="CD378" i="5"/>
  <c r="CC378" i="5"/>
  <c r="BW378" i="5"/>
  <c r="BY378" i="5"/>
  <c r="BU378" i="5"/>
  <c r="BK378" i="5"/>
  <c r="BT378" i="5"/>
  <c r="BS378" i="5"/>
  <c r="BR378" i="5"/>
  <c r="BJ378" i="5"/>
  <c r="BQ378" i="5"/>
  <c r="BO378" i="5"/>
  <c r="BE378" i="5"/>
  <c r="BC378" i="5"/>
  <c r="BM378" i="5"/>
  <c r="BI378" i="5"/>
  <c r="BF378" i="5"/>
  <c r="BD378" i="5"/>
  <c r="BH378" i="5"/>
  <c r="BG378" i="5"/>
  <c r="BA378" i="5"/>
  <c r="BP378" i="5" s="1"/>
  <c r="CK362" i="5"/>
  <c r="CI362" i="5"/>
  <c r="CD362" i="5"/>
  <c r="CE362" i="5"/>
  <c r="CC362" i="5"/>
  <c r="CA362" i="5"/>
  <c r="CF362" i="5"/>
  <c r="BV362" i="5"/>
  <c r="BY362" i="5"/>
  <c r="BW362" i="5"/>
  <c r="BT362" i="5"/>
  <c r="BU362" i="5"/>
  <c r="BS362" i="5"/>
  <c r="BR362" i="5"/>
  <c r="BK362" i="5"/>
  <c r="BJ362" i="5"/>
  <c r="BQ362" i="5"/>
  <c r="BO362" i="5"/>
  <c r="BI362" i="5"/>
  <c r="BM362" i="5"/>
  <c r="BF362" i="5"/>
  <c r="BE362" i="5"/>
  <c r="BC362" i="5"/>
  <c r="BD362" i="5"/>
  <c r="BH362" i="5"/>
  <c r="BG362" i="5"/>
  <c r="BA362" i="5"/>
  <c r="BP362" i="5" s="1"/>
  <c r="CK354" i="5"/>
  <c r="CI354" i="5"/>
  <c r="CA354" i="5"/>
  <c r="CE354" i="5"/>
  <c r="CD354" i="5"/>
  <c r="BY354" i="5"/>
  <c r="BW354" i="5"/>
  <c r="BT354" i="5"/>
  <c r="BK354" i="5"/>
  <c r="BS354" i="5"/>
  <c r="BQ354" i="5"/>
  <c r="BR354" i="5"/>
  <c r="BE354" i="5"/>
  <c r="BM354" i="5"/>
  <c r="BD354" i="5"/>
  <c r="BF354" i="5"/>
  <c r="BA354" i="5"/>
  <c r="BP354" i="5" s="1"/>
  <c r="AZ354" i="5"/>
  <c r="CK338" i="5"/>
  <c r="CI338" i="5"/>
  <c r="CE338" i="5"/>
  <c r="CA338" i="5"/>
  <c r="BV338" i="5"/>
  <c r="CC338" i="5"/>
  <c r="BY338" i="5"/>
  <c r="BW338" i="5"/>
  <c r="BS338" i="5"/>
  <c r="BK338" i="5"/>
  <c r="BJ338" i="5"/>
  <c r="BO338" i="5"/>
  <c r="BR338" i="5"/>
  <c r="BQ338" i="5"/>
  <c r="BC338" i="5"/>
  <c r="BM338" i="5"/>
  <c r="BH338" i="5"/>
  <c r="BD338" i="5"/>
  <c r="BG338" i="5"/>
  <c r="BF338" i="5"/>
  <c r="AZ338" i="5"/>
  <c r="CK330" i="5"/>
  <c r="CI330" i="5"/>
  <c r="CF330" i="5"/>
  <c r="CC330" i="5"/>
  <c r="CA330" i="5"/>
  <c r="CE330" i="5"/>
  <c r="BY330" i="5"/>
  <c r="BW330" i="5"/>
  <c r="BS330" i="5"/>
  <c r="BR330" i="5"/>
  <c r="BK330" i="5"/>
  <c r="BJ330" i="5"/>
  <c r="BQ330" i="5"/>
  <c r="BI330" i="5"/>
  <c r="BF330" i="5"/>
  <c r="BE330" i="5"/>
  <c r="BD330" i="5"/>
  <c r="BG330" i="5"/>
  <c r="BA330" i="5"/>
  <c r="BP330" i="5" s="1"/>
  <c r="CK322" i="5"/>
  <c r="CF322" i="5"/>
  <c r="CE322" i="5"/>
  <c r="CA322" i="5"/>
  <c r="BV322" i="5"/>
  <c r="CD322" i="5"/>
  <c r="BY322" i="5"/>
  <c r="BW322" i="5"/>
  <c r="BT322" i="5"/>
  <c r="BK322" i="5"/>
  <c r="BS322" i="5"/>
  <c r="BJ322" i="5"/>
  <c r="BQ322" i="5"/>
  <c r="BO322" i="5"/>
  <c r="BH322" i="5"/>
  <c r="BE322" i="5"/>
  <c r="BC322" i="5"/>
  <c r="BM322" i="5"/>
  <c r="BF322" i="5"/>
  <c r="BG322" i="5"/>
  <c r="AZ322" i="5"/>
  <c r="CI314" i="5"/>
  <c r="CF314" i="5"/>
  <c r="CK314" i="5"/>
  <c r="CE314" i="5"/>
  <c r="CA314" i="5"/>
  <c r="BV314" i="5"/>
  <c r="CC314" i="5"/>
  <c r="CD314" i="5"/>
  <c r="BW314" i="5"/>
  <c r="BY314" i="5"/>
  <c r="BK314" i="5"/>
  <c r="BT314" i="5"/>
  <c r="BU314" i="5"/>
  <c r="BS314" i="5"/>
  <c r="BR314" i="5"/>
  <c r="BJ314" i="5"/>
  <c r="BQ314" i="5"/>
  <c r="BM314" i="5"/>
  <c r="BE314" i="5"/>
  <c r="BI314" i="5"/>
  <c r="BF314" i="5"/>
  <c r="BD314" i="5"/>
  <c r="BH314" i="5"/>
  <c r="BG314" i="5"/>
  <c r="BA314" i="5"/>
  <c r="BP314" i="5" s="1"/>
  <c r="CK306" i="5"/>
  <c r="CI306" i="5"/>
  <c r="CF306" i="5"/>
  <c r="CD306" i="5"/>
  <c r="CA306" i="5"/>
  <c r="BV306" i="5"/>
  <c r="BY306" i="5"/>
  <c r="BW306" i="5"/>
  <c r="BS306" i="5"/>
  <c r="BK306" i="5"/>
  <c r="BT306" i="5"/>
  <c r="BJ306" i="5"/>
  <c r="BO306" i="5"/>
  <c r="BR306" i="5"/>
  <c r="BM306" i="5"/>
  <c r="BC306" i="5"/>
  <c r="BI306" i="5"/>
  <c r="BH306" i="5"/>
  <c r="BG306" i="5"/>
  <c r="BF306" i="5"/>
  <c r="BA306" i="5"/>
  <c r="BP306" i="5" s="1"/>
  <c r="CK298" i="5"/>
  <c r="CD298" i="5"/>
  <c r="CI298" i="5"/>
  <c r="CC298" i="5"/>
  <c r="CA298" i="5"/>
  <c r="CE298" i="5"/>
  <c r="BV298" i="5"/>
  <c r="BS298" i="5"/>
  <c r="BR298" i="5"/>
  <c r="BK298" i="5"/>
  <c r="BU298" i="5"/>
  <c r="BJ298" i="5"/>
  <c r="BQ298" i="5"/>
  <c r="BE298" i="5"/>
  <c r="BD298" i="5"/>
  <c r="BH298" i="5"/>
  <c r="BG298" i="5"/>
  <c r="BA298" i="5"/>
  <c r="BP298" i="5" s="1"/>
  <c r="CF290" i="5"/>
  <c r="CE290" i="5"/>
  <c r="CI290" i="5"/>
  <c r="CC290" i="5"/>
  <c r="CD290" i="5"/>
  <c r="BY290" i="5"/>
  <c r="BW290" i="5"/>
  <c r="BT290" i="5"/>
  <c r="BK290" i="5"/>
  <c r="BJ290" i="5"/>
  <c r="BQ290" i="5"/>
  <c r="BI290" i="5"/>
  <c r="BH290" i="5"/>
  <c r="BE290" i="5"/>
  <c r="BG290" i="5"/>
  <c r="BF290" i="5"/>
  <c r="BA290" i="5"/>
  <c r="BP290" i="5" s="1"/>
  <c r="CK282" i="5"/>
  <c r="CF282" i="5"/>
  <c r="CI282" i="5"/>
  <c r="CA282" i="5"/>
  <c r="CE282" i="5"/>
  <c r="CD282" i="5"/>
  <c r="BV282" i="5"/>
  <c r="CC282" i="5"/>
  <c r="BY282" i="5"/>
  <c r="BW282" i="5"/>
  <c r="BU282" i="5"/>
  <c r="BK282" i="5"/>
  <c r="BT282" i="5"/>
  <c r="BS282" i="5"/>
  <c r="BR282" i="5"/>
  <c r="BJ282" i="5"/>
  <c r="BQ282" i="5"/>
  <c r="BE282" i="5"/>
  <c r="BI282" i="5"/>
  <c r="BM282" i="5"/>
  <c r="BF282" i="5"/>
  <c r="BD282" i="5"/>
  <c r="BH282" i="5"/>
  <c r="BG282" i="5"/>
  <c r="BA282" i="5"/>
  <c r="BP282" i="5" s="1"/>
  <c r="CK274" i="5"/>
  <c r="CI274" i="5"/>
  <c r="CJ274" i="5"/>
  <c r="CF274" i="5"/>
  <c r="CH274" i="5"/>
  <c r="CE274" i="5"/>
  <c r="CD274" i="5"/>
  <c r="CA274" i="5"/>
  <c r="CG274" i="5"/>
  <c r="BV274" i="5"/>
  <c r="BZ274" i="5"/>
  <c r="BY274" i="5"/>
  <c r="CC274" i="5"/>
  <c r="BX274" i="5"/>
  <c r="BW274" i="5"/>
  <c r="BS274" i="5"/>
  <c r="BK274" i="5"/>
  <c r="BU274" i="5"/>
  <c r="BT274" i="5"/>
  <c r="BJ274" i="5"/>
  <c r="BR274" i="5"/>
  <c r="BQ274" i="5"/>
  <c r="BM274" i="5"/>
  <c r="BE274" i="5"/>
  <c r="BL274" i="5"/>
  <c r="BI274" i="5"/>
  <c r="BH274" i="5"/>
  <c r="BD274" i="5"/>
  <c r="BG274" i="5"/>
  <c r="BF274" i="5"/>
  <c r="BA274" i="5"/>
  <c r="BP274" i="5" s="1"/>
  <c r="AZ274" i="5"/>
  <c r="CK266" i="5"/>
  <c r="CF266" i="5"/>
  <c r="CI266" i="5"/>
  <c r="CD266" i="5"/>
  <c r="CC266" i="5"/>
  <c r="CA266" i="5"/>
  <c r="CE266" i="5"/>
  <c r="BV266" i="5"/>
  <c r="BY266" i="5"/>
  <c r="BW266" i="5"/>
  <c r="BU266" i="5"/>
  <c r="BT266" i="5"/>
  <c r="BS266" i="5"/>
  <c r="BR266" i="5"/>
  <c r="BK266" i="5"/>
  <c r="BJ266" i="5"/>
  <c r="BQ266" i="5"/>
  <c r="BI266" i="5"/>
  <c r="BF266" i="5"/>
  <c r="BE266" i="5"/>
  <c r="BA266" i="5"/>
  <c r="BP266" i="5" s="1"/>
  <c r="BM266" i="5"/>
  <c r="BD266" i="5"/>
  <c r="BG266" i="5"/>
  <c r="BH266" i="5"/>
  <c r="CJ258" i="5"/>
  <c r="CH258" i="5"/>
  <c r="CG258" i="5"/>
  <c r="CK258" i="5"/>
  <c r="CF258" i="5"/>
  <c r="CA258" i="5"/>
  <c r="CI258" i="5"/>
  <c r="BX258" i="5"/>
  <c r="BV258" i="5"/>
  <c r="CE258" i="5"/>
  <c r="CC258" i="5"/>
  <c r="CD258" i="5"/>
  <c r="BY258" i="5"/>
  <c r="BZ258" i="5"/>
  <c r="BW258" i="5"/>
  <c r="BK258" i="5"/>
  <c r="BS258" i="5"/>
  <c r="BT258" i="5"/>
  <c r="BU258" i="5"/>
  <c r="BJ258" i="5"/>
  <c r="BQ258" i="5"/>
  <c r="BR258" i="5"/>
  <c r="BM258" i="5"/>
  <c r="BI258" i="5"/>
  <c r="BH258" i="5"/>
  <c r="BE258" i="5"/>
  <c r="BA258" i="5"/>
  <c r="BP258" i="5" s="1"/>
  <c r="BL258" i="5"/>
  <c r="BD258" i="5"/>
  <c r="BG258" i="5"/>
  <c r="BF258" i="5"/>
  <c r="AZ258" i="5"/>
  <c r="CK250" i="5"/>
  <c r="CF250" i="5"/>
  <c r="CI250" i="5"/>
  <c r="CE250" i="5"/>
  <c r="CA250" i="5"/>
  <c r="BV250" i="5"/>
  <c r="CD250" i="5"/>
  <c r="CC250" i="5"/>
  <c r="BW250" i="5"/>
  <c r="BY250" i="5"/>
  <c r="BT250" i="5"/>
  <c r="BU250" i="5"/>
  <c r="BK250" i="5"/>
  <c r="BS250" i="5"/>
  <c r="BR250" i="5"/>
  <c r="BJ250" i="5"/>
  <c r="BQ250" i="5"/>
  <c r="BE250" i="5"/>
  <c r="BA250" i="5"/>
  <c r="BP250" i="5" s="1"/>
  <c r="BM250" i="5"/>
  <c r="BI250" i="5"/>
  <c r="BF250" i="5"/>
  <c r="BD250" i="5"/>
  <c r="BH250" i="5"/>
  <c r="BG250" i="5"/>
  <c r="CI242" i="5"/>
  <c r="CK242" i="5"/>
  <c r="CE242" i="5"/>
  <c r="CF242" i="5"/>
  <c r="CA242" i="5"/>
  <c r="BV242" i="5"/>
  <c r="CC242" i="5"/>
  <c r="CD242" i="5"/>
  <c r="BY242" i="5"/>
  <c r="BW242" i="5"/>
  <c r="BS242" i="5"/>
  <c r="BK242" i="5"/>
  <c r="BT242" i="5"/>
  <c r="BU242" i="5"/>
  <c r="BJ242" i="5"/>
  <c r="BQ242" i="5"/>
  <c r="BR242" i="5"/>
  <c r="BE242" i="5"/>
  <c r="BA242" i="5"/>
  <c r="BP242" i="5" s="1"/>
  <c r="BI242" i="5"/>
  <c r="BM242" i="5"/>
  <c r="BH242" i="5"/>
  <c r="BD242" i="5"/>
  <c r="BG242" i="5"/>
  <c r="BF242" i="5"/>
  <c r="AZ242" i="5"/>
  <c r="CK234" i="5"/>
  <c r="CI234" i="5"/>
  <c r="CF234" i="5"/>
  <c r="CD234" i="5"/>
  <c r="CC234" i="5"/>
  <c r="CA234" i="5"/>
  <c r="CE234" i="5"/>
  <c r="BV234" i="5"/>
  <c r="BY234" i="5"/>
  <c r="BW234" i="5"/>
  <c r="BT234" i="5"/>
  <c r="BS234" i="5"/>
  <c r="BR234" i="5"/>
  <c r="BK234" i="5"/>
  <c r="BU234" i="5"/>
  <c r="BJ234" i="5"/>
  <c r="BQ234" i="5"/>
  <c r="BO234" i="5"/>
  <c r="BI234" i="5"/>
  <c r="BM234" i="5"/>
  <c r="BF234" i="5"/>
  <c r="BE234" i="5"/>
  <c r="BC234" i="5"/>
  <c r="BA234" i="5"/>
  <c r="BP234" i="5" s="1"/>
  <c r="BD234" i="5"/>
  <c r="BH234" i="5"/>
  <c r="BG234" i="5"/>
  <c r="CK226" i="5"/>
  <c r="CH226" i="5"/>
  <c r="CG226" i="5"/>
  <c r="CE226" i="5"/>
  <c r="CI226" i="5"/>
  <c r="CF226" i="5"/>
  <c r="CA226" i="5"/>
  <c r="CD226" i="5"/>
  <c r="CC226" i="5"/>
  <c r="BY226" i="5"/>
  <c r="BX226" i="5"/>
  <c r="BZ226" i="5"/>
  <c r="BW226" i="5"/>
  <c r="BU226" i="5"/>
  <c r="BT226" i="5"/>
  <c r="BS226" i="5"/>
  <c r="BJ226" i="5"/>
  <c r="BQ226" i="5"/>
  <c r="BR226" i="5"/>
  <c r="BL226" i="5"/>
  <c r="BI226" i="5"/>
  <c r="BH226" i="5"/>
  <c r="BA226" i="5"/>
  <c r="BP226" i="5" s="1"/>
  <c r="BM226" i="5"/>
  <c r="BD226" i="5"/>
  <c r="BG226" i="5"/>
  <c r="BF226" i="5"/>
  <c r="AZ226" i="5"/>
  <c r="CK218" i="5"/>
  <c r="CI218" i="5"/>
  <c r="CF218" i="5"/>
  <c r="CE218" i="5"/>
  <c r="CA218" i="5"/>
  <c r="BV218" i="5"/>
  <c r="CD218" i="5"/>
  <c r="CC218" i="5"/>
  <c r="BY218" i="5"/>
  <c r="BU218" i="5"/>
  <c r="BW218" i="5"/>
  <c r="BK218" i="5"/>
  <c r="BS218" i="5"/>
  <c r="BT218" i="5"/>
  <c r="BR218" i="5"/>
  <c r="BJ218" i="5"/>
  <c r="BQ218" i="5"/>
  <c r="BM218" i="5"/>
  <c r="BE218" i="5"/>
  <c r="BA218" i="5"/>
  <c r="BI218" i="5"/>
  <c r="BF218" i="5"/>
  <c r="BD218" i="5"/>
  <c r="BH218" i="5"/>
  <c r="BG218" i="5"/>
  <c r="CK210" i="5"/>
  <c r="CI210" i="5"/>
  <c r="CA210" i="5"/>
  <c r="CD210" i="5"/>
  <c r="BV210" i="5"/>
  <c r="CC210" i="5"/>
  <c r="CF210" i="5"/>
  <c r="BW210" i="5"/>
  <c r="BU210" i="5"/>
  <c r="BT210" i="5"/>
  <c r="BK210" i="5"/>
  <c r="BJ210" i="5"/>
  <c r="BR210" i="5"/>
  <c r="BQ210" i="5"/>
  <c r="BC210" i="5"/>
  <c r="BA210" i="5"/>
  <c r="BP210" i="5" s="1"/>
  <c r="BM210" i="5"/>
  <c r="BI210" i="5"/>
  <c r="BD210" i="5"/>
  <c r="BG210" i="5"/>
  <c r="AZ210" i="5"/>
  <c r="CK202" i="5"/>
  <c r="CF202" i="5"/>
  <c r="CD202" i="5"/>
  <c r="CC202" i="5"/>
  <c r="CA202" i="5"/>
  <c r="BV202" i="5"/>
  <c r="CI202" i="5"/>
  <c r="CE202" i="5"/>
  <c r="BY202" i="5"/>
  <c r="BW202" i="5"/>
  <c r="BS202" i="5"/>
  <c r="BR202" i="5"/>
  <c r="BK202" i="5"/>
  <c r="BT202" i="5"/>
  <c r="BU202" i="5"/>
  <c r="BJ202" i="5"/>
  <c r="BQ202" i="5"/>
  <c r="BI202" i="5"/>
  <c r="BM202" i="5"/>
  <c r="BF202" i="5"/>
  <c r="BE202" i="5"/>
  <c r="BA202" i="5"/>
  <c r="BP202" i="5" s="1"/>
  <c r="BD202" i="5"/>
  <c r="BH202" i="5"/>
  <c r="BG202" i="5"/>
  <c r="CK194" i="5"/>
  <c r="CJ194" i="5"/>
  <c r="CI194" i="5"/>
  <c r="CG194" i="5"/>
  <c r="CF194" i="5"/>
  <c r="CH194" i="5"/>
  <c r="CA194" i="5"/>
  <c r="CE194" i="5"/>
  <c r="BV194" i="5"/>
  <c r="CD194" i="5"/>
  <c r="CC194" i="5"/>
  <c r="BY194" i="5"/>
  <c r="BZ194" i="5"/>
  <c r="BX194" i="5"/>
  <c r="BW194" i="5"/>
  <c r="BT194" i="5"/>
  <c r="BU194" i="5"/>
  <c r="BK194" i="5"/>
  <c r="BS194" i="5"/>
  <c r="BJ194" i="5"/>
  <c r="BR194" i="5"/>
  <c r="BQ194" i="5"/>
  <c r="BO194" i="5"/>
  <c r="BI194" i="5"/>
  <c r="BH194" i="5"/>
  <c r="BE194" i="5"/>
  <c r="BC194" i="5"/>
  <c r="BA194" i="5"/>
  <c r="BP194" i="5" s="1"/>
  <c r="BM194" i="5"/>
  <c r="BL194" i="5"/>
  <c r="BD194" i="5"/>
  <c r="BF194" i="5"/>
  <c r="BG194" i="5"/>
  <c r="AZ194" i="5"/>
  <c r="CK186" i="5"/>
  <c r="CI186" i="5"/>
  <c r="CF186" i="5"/>
  <c r="CE186" i="5"/>
  <c r="CA186" i="5"/>
  <c r="BV186" i="5"/>
  <c r="CC186" i="5"/>
  <c r="CD186" i="5"/>
  <c r="BW186" i="5"/>
  <c r="BY186" i="5"/>
  <c r="BU186" i="5"/>
  <c r="BK186" i="5"/>
  <c r="BT186" i="5"/>
  <c r="BS186" i="5"/>
  <c r="BR186" i="5"/>
  <c r="BJ186" i="5"/>
  <c r="BQ186" i="5"/>
  <c r="BM186" i="5"/>
  <c r="BE186" i="5"/>
  <c r="BA186" i="5"/>
  <c r="BP186" i="5" s="1"/>
  <c r="BI186" i="5"/>
  <c r="BF186" i="5"/>
  <c r="BD186" i="5"/>
  <c r="BH186" i="5"/>
  <c r="BG186" i="5"/>
  <c r="CK178" i="5"/>
  <c r="CE178" i="5"/>
  <c r="CI178" i="5"/>
  <c r="CF178" i="5"/>
  <c r="CD178" i="5"/>
  <c r="CA178" i="5"/>
  <c r="BV178" i="5"/>
  <c r="CC178" i="5"/>
  <c r="BY178" i="5"/>
  <c r="BW178" i="5"/>
  <c r="BT178" i="5"/>
  <c r="BS178" i="5"/>
  <c r="BK178" i="5"/>
  <c r="BU178" i="5"/>
  <c r="BJ178" i="5"/>
  <c r="BQ178" i="5"/>
  <c r="BO178" i="5"/>
  <c r="BR178" i="5"/>
  <c r="BM178" i="5"/>
  <c r="BE178" i="5"/>
  <c r="BC178" i="5"/>
  <c r="BA178" i="5"/>
  <c r="BP178" i="5" s="1"/>
  <c r="BI178" i="5"/>
  <c r="BH178" i="5"/>
  <c r="BD178" i="5"/>
  <c r="BG178" i="5"/>
  <c r="BF178" i="5"/>
  <c r="AZ178" i="5"/>
  <c r="BT170" i="5"/>
  <c r="CK162" i="5"/>
  <c r="CI162" i="5"/>
  <c r="CE162" i="5"/>
  <c r="CA162" i="5"/>
  <c r="BV162" i="5"/>
  <c r="CD162" i="5"/>
  <c r="CF162" i="5"/>
  <c r="CC162" i="5"/>
  <c r="BY162" i="5"/>
  <c r="BW162" i="5"/>
  <c r="BU162" i="5"/>
  <c r="BK162" i="5"/>
  <c r="BS162" i="5"/>
  <c r="BT162" i="5"/>
  <c r="BJ162" i="5"/>
  <c r="BR162" i="5"/>
  <c r="BQ162" i="5"/>
  <c r="BO162" i="5"/>
  <c r="BM162" i="5"/>
  <c r="BI162" i="5"/>
  <c r="BH162" i="5"/>
  <c r="BE162" i="5"/>
  <c r="BC162" i="5"/>
  <c r="BA162" i="5"/>
  <c r="BP162" i="5" s="1"/>
  <c r="BD162" i="5"/>
  <c r="BG162" i="5"/>
  <c r="BF162" i="5"/>
  <c r="AZ162" i="5"/>
  <c r="CF154" i="5"/>
  <c r="CA154" i="5"/>
  <c r="BV154" i="5"/>
  <c r="CE154" i="5"/>
  <c r="CC154" i="5"/>
  <c r="BW154" i="5"/>
  <c r="BU154" i="5"/>
  <c r="BT154" i="5"/>
  <c r="BR154" i="5"/>
  <c r="BJ154" i="5"/>
  <c r="BE154" i="5"/>
  <c r="BA154" i="5"/>
  <c r="BP154" i="5" s="1"/>
  <c r="BI154" i="5"/>
  <c r="BF154" i="5"/>
  <c r="BD154" i="5"/>
  <c r="CK146" i="5"/>
  <c r="CJ146" i="5"/>
  <c r="CF146" i="5"/>
  <c r="CE146" i="5"/>
  <c r="CI146" i="5"/>
  <c r="CH146" i="5"/>
  <c r="CG146" i="5"/>
  <c r="CD146" i="5"/>
  <c r="CA146" i="5"/>
  <c r="BV146" i="5"/>
  <c r="CC146" i="5"/>
  <c r="BZ146" i="5"/>
  <c r="BY146" i="5"/>
  <c r="BX146" i="5"/>
  <c r="BW146" i="5"/>
  <c r="BS146" i="5"/>
  <c r="BK146" i="5"/>
  <c r="BT146" i="5"/>
  <c r="BU146" i="5"/>
  <c r="BJ146" i="5"/>
  <c r="BR146" i="5"/>
  <c r="BQ146" i="5"/>
  <c r="BL146" i="5"/>
  <c r="BM146" i="5"/>
  <c r="BE146" i="5"/>
  <c r="BA146" i="5"/>
  <c r="BP146" i="5" s="1"/>
  <c r="BI146" i="5"/>
  <c r="BH146" i="5"/>
  <c r="BD146" i="5"/>
  <c r="BG146" i="5"/>
  <c r="BF146" i="5"/>
  <c r="AZ146" i="5"/>
  <c r="CK138" i="5"/>
  <c r="CI138" i="5"/>
  <c r="CG138" i="5"/>
  <c r="CF138" i="5"/>
  <c r="CJ138" i="5"/>
  <c r="CH138" i="5"/>
  <c r="CD138" i="5"/>
  <c r="CE138" i="5"/>
  <c r="CC138" i="5"/>
  <c r="CA138" i="5"/>
  <c r="BV138" i="5"/>
  <c r="BX138" i="5"/>
  <c r="BY138" i="5"/>
  <c r="BZ138" i="5"/>
  <c r="BW138" i="5"/>
  <c r="BT138" i="5"/>
  <c r="BS138" i="5"/>
  <c r="BR138" i="5"/>
  <c r="BK138" i="5"/>
  <c r="BU138" i="5"/>
  <c r="BL138" i="5"/>
  <c r="BJ138" i="5"/>
  <c r="BQ138" i="5"/>
  <c r="BI138" i="5"/>
  <c r="BF138" i="5"/>
  <c r="BE138" i="5"/>
  <c r="BA138" i="5"/>
  <c r="BP138" i="5" s="1"/>
  <c r="BM138" i="5"/>
  <c r="BD138" i="5"/>
  <c r="BG138" i="5"/>
  <c r="BH138" i="5"/>
  <c r="CK130" i="5"/>
  <c r="CI130" i="5"/>
  <c r="CE130" i="5"/>
  <c r="CF130" i="5"/>
  <c r="CA130" i="5"/>
  <c r="BV130" i="5"/>
  <c r="CC130" i="5"/>
  <c r="CD130" i="5"/>
  <c r="BY130" i="5"/>
  <c r="BW130" i="5"/>
  <c r="BU130" i="5"/>
  <c r="BK130" i="5"/>
  <c r="BS130" i="5"/>
  <c r="BT130" i="5"/>
  <c r="BJ130" i="5"/>
  <c r="BQ130" i="5"/>
  <c r="BR130" i="5"/>
  <c r="BM130" i="5"/>
  <c r="BI130" i="5"/>
  <c r="BH130" i="5"/>
  <c r="BE130" i="5"/>
  <c r="BA130" i="5"/>
  <c r="BP130" i="5" s="1"/>
  <c r="BD130" i="5"/>
  <c r="BG130" i="5"/>
  <c r="BF130" i="5"/>
  <c r="AZ130" i="5"/>
  <c r="BS114" i="5"/>
  <c r="BI114" i="5"/>
  <c r="CK106" i="5"/>
  <c r="CI106" i="5"/>
  <c r="CE106" i="5"/>
  <c r="CD106" i="5"/>
  <c r="CF106" i="5"/>
  <c r="CC106" i="5"/>
  <c r="CA106" i="5"/>
  <c r="BV106" i="5"/>
  <c r="BW106" i="5"/>
  <c r="BY106" i="5"/>
  <c r="BT106" i="5"/>
  <c r="BS106" i="5"/>
  <c r="BR106" i="5"/>
  <c r="BK106" i="5"/>
  <c r="BU106" i="5"/>
  <c r="BJ106" i="5"/>
  <c r="BQ106" i="5"/>
  <c r="BO106" i="5"/>
  <c r="BI106" i="5"/>
  <c r="BM106" i="5"/>
  <c r="BF106" i="5"/>
  <c r="BE106" i="5"/>
  <c r="BC106" i="5"/>
  <c r="BA106" i="5"/>
  <c r="BP106" i="5" s="1"/>
  <c r="BD106" i="5"/>
  <c r="BH106" i="5"/>
  <c r="BG106" i="5"/>
  <c r="BV98" i="5"/>
  <c r="BY98" i="5"/>
  <c r="BW98" i="5"/>
  <c r="BU98" i="5"/>
  <c r="BR98" i="5"/>
  <c r="BD98" i="5"/>
  <c r="BF98" i="5"/>
  <c r="AZ98" i="5"/>
  <c r="CK90" i="5"/>
  <c r="CF90" i="5"/>
  <c r="CI90" i="5"/>
  <c r="CA90" i="5"/>
  <c r="CE90" i="5"/>
  <c r="BV90" i="5"/>
  <c r="CC90" i="5"/>
  <c r="CD90" i="5"/>
  <c r="BY90" i="5"/>
  <c r="BW90" i="5"/>
  <c r="BU90" i="5"/>
  <c r="BK90" i="5"/>
  <c r="BS90" i="5"/>
  <c r="BT90" i="5"/>
  <c r="BR90" i="5"/>
  <c r="BJ90" i="5"/>
  <c r="BQ90" i="5"/>
  <c r="BO90" i="5"/>
  <c r="BE90" i="5"/>
  <c r="BC90" i="5"/>
  <c r="BA90" i="5"/>
  <c r="BP90" i="5" s="1"/>
  <c r="BM90" i="5"/>
  <c r="BI90" i="5"/>
  <c r="BF90" i="5"/>
  <c r="BD90" i="5"/>
  <c r="BH90" i="5"/>
  <c r="BG90" i="5"/>
  <c r="CK82" i="5"/>
  <c r="CI82" i="5"/>
  <c r="CF82" i="5"/>
  <c r="CA82" i="5"/>
  <c r="CD82" i="5"/>
  <c r="CC82" i="5"/>
  <c r="BY82" i="5"/>
  <c r="BW82" i="5"/>
  <c r="BT82" i="5"/>
  <c r="BK82" i="5"/>
  <c r="BU82" i="5"/>
  <c r="BO82" i="5"/>
  <c r="BR82" i="5"/>
  <c r="BQ82" i="5"/>
  <c r="BE82" i="5"/>
  <c r="BC82" i="5"/>
  <c r="BA82" i="5"/>
  <c r="BP82" i="5" s="1"/>
  <c r="BH82" i="5"/>
  <c r="BD82" i="5"/>
  <c r="BG82" i="5"/>
  <c r="AZ82" i="5"/>
  <c r="CJ74" i="5"/>
  <c r="CI74" i="5"/>
  <c r="CG74" i="5"/>
  <c r="CD74" i="5"/>
  <c r="CE74" i="5"/>
  <c r="CF74" i="5"/>
  <c r="CC74" i="5"/>
  <c r="BV74" i="5"/>
  <c r="BZ74" i="5"/>
  <c r="BX74" i="5"/>
  <c r="BW74" i="5"/>
  <c r="BU74" i="5"/>
  <c r="BS74" i="5"/>
  <c r="BR74" i="5"/>
  <c r="BL74" i="5"/>
  <c r="BK74" i="5"/>
  <c r="BT74" i="5"/>
  <c r="BJ74" i="5"/>
  <c r="BQ74" i="5"/>
  <c r="BI74" i="5"/>
  <c r="BF74" i="5"/>
  <c r="BE74" i="5"/>
  <c r="BA74" i="5"/>
  <c r="BP74" i="5" s="1"/>
  <c r="BD74" i="5"/>
  <c r="BH74" i="5"/>
  <c r="BG74" i="5"/>
  <c r="CK66" i="5"/>
  <c r="CF66" i="5"/>
  <c r="CE66" i="5"/>
  <c r="CA66" i="5"/>
  <c r="CD66" i="5"/>
  <c r="BV66" i="5"/>
  <c r="BY66" i="5"/>
  <c r="BW66" i="5"/>
  <c r="BK66" i="5"/>
  <c r="BS66" i="5"/>
  <c r="BU66" i="5"/>
  <c r="BJ66" i="5"/>
  <c r="BR66" i="5"/>
  <c r="BQ66" i="5"/>
  <c r="BI66" i="5"/>
  <c r="BH66" i="5"/>
  <c r="BE66" i="5"/>
  <c r="BC66" i="5"/>
  <c r="BD66" i="5"/>
  <c r="BF66" i="5"/>
  <c r="AZ66" i="5"/>
  <c r="CK58" i="5"/>
  <c r="CF58" i="5"/>
  <c r="CE58" i="5"/>
  <c r="CI58" i="5"/>
  <c r="CA58" i="5"/>
  <c r="BV58" i="5"/>
  <c r="CC58" i="5"/>
  <c r="CD58" i="5"/>
  <c r="BW58" i="5"/>
  <c r="BY58" i="5"/>
  <c r="BU58" i="5"/>
  <c r="BM58" i="5"/>
  <c r="BK58" i="5"/>
  <c r="BT58" i="5"/>
  <c r="BS58" i="5"/>
  <c r="BR58" i="5"/>
  <c r="BJ58" i="5"/>
  <c r="BQ58" i="5"/>
  <c r="BE58" i="5"/>
  <c r="BA58" i="5"/>
  <c r="BP58" i="5" s="1"/>
  <c r="BI58" i="5"/>
  <c r="BF58" i="5"/>
  <c r="BD58" i="5"/>
  <c r="BH58" i="5"/>
  <c r="BG58" i="5"/>
  <c r="CK50" i="5"/>
  <c r="CH50" i="5"/>
  <c r="CG50" i="5"/>
  <c r="CE50" i="5"/>
  <c r="CJ50" i="5"/>
  <c r="CI50" i="5"/>
  <c r="CF50" i="5"/>
  <c r="CD50" i="5"/>
  <c r="CA50" i="5"/>
  <c r="BV50" i="5"/>
  <c r="BT50" i="5"/>
  <c r="CC50" i="5"/>
  <c r="BZ50" i="5"/>
  <c r="BY50" i="5"/>
  <c r="BW50" i="5"/>
  <c r="BX50" i="5"/>
  <c r="BS50" i="5"/>
  <c r="BK50" i="5"/>
  <c r="BI50" i="5"/>
  <c r="BU50" i="5"/>
  <c r="BJ50" i="5"/>
  <c r="BQ50" i="5"/>
  <c r="BO50" i="5"/>
  <c r="BR50" i="5"/>
  <c r="BM50" i="5"/>
  <c r="BL50" i="5"/>
  <c r="BE50" i="5"/>
  <c r="BC50" i="5"/>
  <c r="BA50" i="5"/>
  <c r="BP50" i="5" s="1"/>
  <c r="BH50" i="5"/>
  <c r="BD50" i="5"/>
  <c r="BG50" i="5"/>
  <c r="BF50" i="5"/>
  <c r="AZ50" i="5"/>
  <c r="CH42" i="5"/>
  <c r="CK42" i="5"/>
  <c r="CF42" i="5"/>
  <c r="CE42" i="5"/>
  <c r="CD42" i="5"/>
  <c r="CI42" i="5"/>
  <c r="CC42" i="5"/>
  <c r="BX42" i="5"/>
  <c r="BV42" i="5"/>
  <c r="BZ42" i="5"/>
  <c r="BY42" i="5"/>
  <c r="BW42" i="5"/>
  <c r="BS42" i="5"/>
  <c r="BU42" i="5"/>
  <c r="BK42" i="5"/>
  <c r="BM42" i="5"/>
  <c r="BJ42" i="5"/>
  <c r="BQ42" i="5"/>
  <c r="BL42" i="5"/>
  <c r="BF42" i="5"/>
  <c r="BE42" i="5"/>
  <c r="BH42" i="5"/>
  <c r="BG42" i="5"/>
  <c r="CK34" i="5"/>
  <c r="CI34" i="5"/>
  <c r="CF34" i="5"/>
  <c r="CD34" i="5"/>
  <c r="CA34" i="5"/>
  <c r="BT34" i="5"/>
  <c r="CC34" i="5"/>
  <c r="BY34" i="5"/>
  <c r="BW34" i="5"/>
  <c r="BK34" i="5"/>
  <c r="BI34" i="5"/>
  <c r="BS34" i="5"/>
  <c r="BR34" i="5"/>
  <c r="BQ34" i="5"/>
  <c r="BH34" i="5"/>
  <c r="BA34" i="5"/>
  <c r="BP34" i="5" s="1"/>
  <c r="BM34" i="5"/>
  <c r="BD34" i="5"/>
  <c r="BG34" i="5"/>
  <c r="AZ34" i="5"/>
  <c r="CK26" i="5"/>
  <c r="CI26" i="5"/>
  <c r="CH26" i="5"/>
  <c r="CF26" i="5"/>
  <c r="CJ26" i="5"/>
  <c r="CG26" i="5"/>
  <c r="CA26" i="5"/>
  <c r="CE26" i="5"/>
  <c r="CD26" i="5"/>
  <c r="BV26" i="5"/>
  <c r="BT26" i="5"/>
  <c r="BZ26" i="5"/>
  <c r="CC26" i="5"/>
  <c r="BY26" i="5"/>
  <c r="BX26" i="5"/>
  <c r="BW26" i="5"/>
  <c r="BU26" i="5"/>
  <c r="BM26" i="5"/>
  <c r="BL26" i="5"/>
  <c r="BK26" i="5"/>
  <c r="BI26" i="5"/>
  <c r="BS26" i="5"/>
  <c r="BR26" i="5"/>
  <c r="BJ26" i="5"/>
  <c r="BQ26" i="5"/>
  <c r="BE26" i="5"/>
  <c r="BA26" i="5"/>
  <c r="BP26" i="5" s="1"/>
  <c r="BF26" i="5"/>
  <c r="BD26" i="5"/>
  <c r="BH26" i="5"/>
  <c r="BG26" i="5"/>
  <c r="AZ18" i="5"/>
  <c r="CE10" i="5"/>
  <c r="BV10" i="5"/>
  <c r="BT10" i="5"/>
  <c r="BR10" i="5"/>
  <c r="BU10" i="5"/>
  <c r="BE10" i="5"/>
  <c r="BA10" i="5"/>
  <c r="BP10" i="5" s="1"/>
  <c r="BD10" i="5"/>
  <c r="AU26" i="5"/>
  <c r="BN26" i="5" s="1"/>
  <c r="AU42" i="5"/>
  <c r="BN42" i="5" s="1"/>
  <c r="AU50" i="5"/>
  <c r="BN50" i="5" s="1"/>
  <c r="AU58" i="5"/>
  <c r="BN58" i="5" s="1"/>
  <c r="AU66" i="5"/>
  <c r="BB66" i="5" s="1"/>
  <c r="AU74" i="5"/>
  <c r="BB74" i="5" s="1"/>
  <c r="AU82" i="5"/>
  <c r="BB82" i="5" s="1"/>
  <c r="AU90" i="5"/>
  <c r="BN90" i="5" s="1"/>
  <c r="AU106" i="5"/>
  <c r="BB106" i="5" s="1"/>
  <c r="AU130" i="5"/>
  <c r="BN130" i="5" s="1"/>
  <c r="AU138" i="5"/>
  <c r="BN138" i="5" s="1"/>
  <c r="AU146" i="5"/>
  <c r="BN146" i="5" s="1"/>
  <c r="AU154" i="5"/>
  <c r="BB154" i="5" s="1"/>
  <c r="AU162" i="5"/>
  <c r="BN162" i="5" s="1"/>
  <c r="AU178" i="5"/>
  <c r="BN178" i="5" s="1"/>
  <c r="AU186" i="5"/>
  <c r="BN186" i="5" s="1"/>
  <c r="AU194" i="5"/>
  <c r="BN194" i="5" s="1"/>
  <c r="AU202" i="5"/>
  <c r="BB202" i="5" s="1"/>
  <c r="AU210" i="5"/>
  <c r="BB210" i="5" s="1"/>
  <c r="AU218" i="5"/>
  <c r="AU226" i="5"/>
  <c r="BN226" i="5" s="1"/>
  <c r="AU234" i="5"/>
  <c r="BB234" i="5" s="1"/>
  <c r="AU242" i="5"/>
  <c r="BN242" i="5" s="1"/>
  <c r="AU250" i="5"/>
  <c r="BB250" i="5" s="1"/>
  <c r="AU258" i="5"/>
  <c r="BB258" i="5" s="1"/>
  <c r="AU266" i="5"/>
  <c r="BN266" i="5" s="1"/>
  <c r="AU274" i="5"/>
  <c r="BN274" i="5" s="1"/>
  <c r="AU282" i="5"/>
  <c r="BN282" i="5" s="1"/>
  <c r="AU290" i="5"/>
  <c r="BN290" i="5" s="1"/>
  <c r="AU298" i="5"/>
  <c r="BN298" i="5" s="1"/>
  <c r="AU306" i="5"/>
  <c r="BB306" i="5" s="1"/>
  <c r="AU314" i="5"/>
  <c r="BN314" i="5" s="1"/>
  <c r="AU322" i="5"/>
  <c r="BN322" i="5" s="1"/>
  <c r="AU338" i="5"/>
  <c r="BB338" i="5" s="1"/>
  <c r="AU354" i="5"/>
  <c r="BB354" i="5" s="1"/>
  <c r="AU362" i="5"/>
  <c r="BN362" i="5" s="1"/>
  <c r="AU370" i="5"/>
  <c r="BB370" i="5" s="1"/>
  <c r="AU378" i="5"/>
  <c r="BB378" i="5" s="1"/>
  <c r="AU386" i="5"/>
  <c r="BB386" i="5" s="1"/>
  <c r="AU402" i="5"/>
  <c r="BB402" i="5" s="1"/>
  <c r="AU410" i="5"/>
  <c r="BN410" i="5" s="1"/>
  <c r="AU426" i="5"/>
  <c r="BN426" i="5" s="1"/>
  <c r="AU434" i="5"/>
  <c r="BB434" i="5" s="1"/>
  <c r="AU442" i="5"/>
  <c r="BB442" i="5" s="1"/>
  <c r="AU450" i="5"/>
  <c r="BN450" i="5" s="1"/>
  <c r="AU458" i="5"/>
  <c r="BN458" i="5" s="1"/>
  <c r="AU466" i="5"/>
  <c r="BB466" i="5" s="1"/>
  <c r="AU474" i="5"/>
  <c r="BN474" i="5" s="1"/>
  <c r="AU482" i="5"/>
  <c r="BN482" i="5" s="1"/>
  <c r="AU498" i="5"/>
  <c r="BN498" i="5" s="1"/>
  <c r="AU506" i="5"/>
  <c r="BB506" i="5" s="1"/>
  <c r="AU514" i="5"/>
  <c r="BB514" i="5" s="1"/>
  <c r="AU522" i="5"/>
  <c r="BN522" i="5" s="1"/>
  <c r="AU530" i="5"/>
  <c r="BB530" i="5" s="1"/>
  <c r="AU538" i="5"/>
  <c r="BB538" i="5" s="1"/>
  <c r="AU546" i="5"/>
  <c r="BN546" i="5" s="1"/>
  <c r="AU554" i="5"/>
  <c r="BN554" i="5" s="1"/>
  <c r="AW560" i="5"/>
  <c r="AW561" i="5" s="1"/>
  <c r="AY522" i="5"/>
  <c r="AY466" i="5"/>
  <c r="AY338" i="5"/>
  <c r="AY266" i="5"/>
  <c r="AY210" i="5"/>
  <c r="AY138" i="5"/>
  <c r="AY82" i="5"/>
  <c r="AY10" i="5"/>
  <c r="AZ538" i="5"/>
  <c r="AZ410" i="5"/>
  <c r="AZ282" i="5"/>
  <c r="AZ218" i="5"/>
  <c r="AZ154" i="5"/>
  <c r="AZ90" i="5"/>
  <c r="AZ26" i="5"/>
  <c r="AT345" i="5"/>
  <c r="AT337" i="5"/>
  <c r="AT329" i="5"/>
  <c r="AT321" i="5"/>
  <c r="AT313" i="5"/>
  <c r="AT305" i="5"/>
  <c r="AT297" i="5"/>
  <c r="AT265" i="5"/>
  <c r="AT233" i="5"/>
  <c r="AT201" i="5"/>
  <c r="AT169" i="5"/>
  <c r="AT137" i="5"/>
  <c r="AT105" i="5"/>
  <c r="AT73" i="5"/>
  <c r="AT41" i="5"/>
  <c r="AT9" i="5"/>
  <c r="AY506" i="5"/>
  <c r="AY450" i="5"/>
  <c r="AY378" i="5"/>
  <c r="AY322" i="5"/>
  <c r="AY250" i="5"/>
  <c r="AY194" i="5"/>
  <c r="AY66" i="5"/>
  <c r="AZ522" i="5"/>
  <c r="BA538" i="5"/>
  <c r="BP538" i="5" s="1"/>
  <c r="BA474" i="5"/>
  <c r="BP474" i="5" s="1"/>
  <c r="BA410" i="5"/>
  <c r="BP410" i="5" s="1"/>
  <c r="CM560" i="5"/>
  <c r="CM561" i="5" s="1"/>
  <c r="CL560" i="5"/>
  <c r="CL561" i="5" s="1"/>
  <c r="C12" i="7"/>
  <c r="C13" i="7"/>
  <c r="C14" i="7"/>
  <c r="E51" i="9"/>
  <c r="I11" i="25" l="1"/>
  <c r="I39" i="25" s="1"/>
  <c r="AB39" i="25" s="1"/>
  <c r="BO181" i="5"/>
  <c r="E148" i="10"/>
  <c r="H148" i="10" s="1"/>
  <c r="AU601" i="5"/>
  <c r="AS595" i="5"/>
  <c r="AS596" i="5" s="1"/>
  <c r="AS600" i="5"/>
  <c r="AS597" i="5"/>
  <c r="AS598" i="5" s="1"/>
  <c r="AT601" i="5"/>
  <c r="AS599" i="5"/>
  <c r="G137" i="10"/>
  <c r="I11" i="24"/>
  <c r="I39" i="24" s="1"/>
  <c r="AB39" i="24" s="1"/>
  <c r="AX584" i="5"/>
  <c r="AX585" i="5" s="1"/>
  <c r="AT586" i="5"/>
  <c r="AT587" i="5" s="1"/>
  <c r="AS586" i="5"/>
  <c r="AS587" i="5" s="1"/>
  <c r="AB11" i="25"/>
  <c r="AB45" i="25" s="1"/>
  <c r="AA11" i="25"/>
  <c r="J11" i="25"/>
  <c r="G39" i="25"/>
  <c r="AX586" i="5"/>
  <c r="AX587" i="5" s="1"/>
  <c r="CD104" i="5"/>
  <c r="E137" i="10"/>
  <c r="H137" i="10" s="1"/>
  <c r="G11" i="24"/>
  <c r="F67" i="25"/>
  <c r="F75" i="24"/>
  <c r="F80" i="24" s="1"/>
  <c r="BA66" i="5"/>
  <c r="BP66" i="5" s="1"/>
  <c r="BM66" i="5"/>
  <c r="CC66" i="5"/>
  <c r="BA338" i="5"/>
  <c r="BP338" i="5" s="1"/>
  <c r="BE338" i="5"/>
  <c r="BU338" i="5"/>
  <c r="CF338" i="5"/>
  <c r="BK347" i="5"/>
  <c r="AT584" i="5"/>
  <c r="AT585" i="5" s="1"/>
  <c r="AS584" i="5"/>
  <c r="AS585" i="5" s="1"/>
  <c r="BX40" i="5"/>
  <c r="BG296" i="5"/>
  <c r="CI347" i="5"/>
  <c r="CG40" i="5"/>
  <c r="BT296" i="5"/>
  <c r="BJ115" i="5"/>
  <c r="BC52" i="5"/>
  <c r="CF296" i="5"/>
  <c r="BG66" i="5"/>
  <c r="BO66" i="5"/>
  <c r="BT66" i="5"/>
  <c r="CI66" i="5"/>
  <c r="BI338" i="5"/>
  <c r="BT338" i="5"/>
  <c r="BX338" i="5" s="1"/>
  <c r="CD338" i="5"/>
  <c r="AV266" i="5"/>
  <c r="BC266" i="5" s="1"/>
  <c r="BY115" i="5"/>
  <c r="BG52" i="5"/>
  <c r="CE115" i="5"/>
  <c r="BS52" i="5"/>
  <c r="CC52" i="5"/>
  <c r="AY347" i="5"/>
  <c r="BM104" i="5"/>
  <c r="BM10" i="5"/>
  <c r="CK10" i="5"/>
  <c r="BF31" i="5"/>
  <c r="BY196" i="5"/>
  <c r="BA516" i="5"/>
  <c r="BP516" i="5" s="1"/>
  <c r="BI10" i="5"/>
  <c r="BS506" i="5"/>
  <c r="BS31" i="5"/>
  <c r="BG516" i="5"/>
  <c r="AU244" i="5"/>
  <c r="BB244" i="5" s="1"/>
  <c r="BK260" i="5"/>
  <c r="BK244" i="5"/>
  <c r="BG10" i="5"/>
  <c r="CC10" i="5"/>
  <c r="BH506" i="5"/>
  <c r="CD506" i="5"/>
  <c r="AV516" i="5"/>
  <c r="BO516" i="5" s="1"/>
  <c r="CF31" i="5"/>
  <c r="BD196" i="5"/>
  <c r="BW260" i="5"/>
  <c r="BS516" i="5"/>
  <c r="BR244" i="5"/>
  <c r="CD260" i="5"/>
  <c r="CD244" i="5"/>
  <c r="I11" i="23"/>
  <c r="I39" i="23" s="1"/>
  <c r="AB39" i="23" s="1"/>
  <c r="BU64" i="5"/>
  <c r="BE299" i="5"/>
  <c r="H126" i="10"/>
  <c r="BK132" i="5"/>
  <c r="BN132" i="5"/>
  <c r="CE132" i="5"/>
  <c r="BG223" i="5"/>
  <c r="BS223" i="5"/>
  <c r="CF223" i="5"/>
  <c r="AZ235" i="5"/>
  <c r="BS235" i="5"/>
  <c r="CE235" i="5"/>
  <c r="AV298" i="5"/>
  <c r="BO298" i="5" s="1"/>
  <c r="AY234" i="5"/>
  <c r="AV132" i="5"/>
  <c r="BO132" i="5" s="1"/>
  <c r="AY132" i="5"/>
  <c r="BM132" i="5"/>
  <c r="BR132" i="5"/>
  <c r="CD132" i="5"/>
  <c r="AU223" i="5"/>
  <c r="BN223" i="5" s="1"/>
  <c r="BJ223" i="5"/>
  <c r="BT223" i="5"/>
  <c r="CK223" i="5"/>
  <c r="BE235" i="5"/>
  <c r="BT235" i="5"/>
  <c r="CD235" i="5"/>
  <c r="AU555" i="5"/>
  <c r="BN555" i="5" s="1"/>
  <c r="BM298" i="5"/>
  <c r="BT298" i="5"/>
  <c r="AZ362" i="5"/>
  <c r="BB132" i="5"/>
  <c r="BZ132" i="5" s="1"/>
  <c r="BG132" i="5"/>
  <c r="BS132" i="5"/>
  <c r="CF132" i="5"/>
  <c r="BH223" i="5"/>
  <c r="BI223" i="5"/>
  <c r="BV223" i="5"/>
  <c r="BD235" i="5"/>
  <c r="BI235" i="5"/>
  <c r="CC235" i="5"/>
  <c r="AZ555" i="5"/>
  <c r="BI555" i="5"/>
  <c r="G11" i="23"/>
  <c r="BD115" i="5"/>
  <c r="BF40" i="5"/>
  <c r="BU418" i="5"/>
  <c r="AT582" i="5"/>
  <c r="AT583" i="5" s="1"/>
  <c r="AS582" i="5"/>
  <c r="AS583" i="5" s="1"/>
  <c r="F67" i="23"/>
  <c r="BS299" i="5"/>
  <c r="BA98" i="5"/>
  <c r="BP98" i="5" s="1"/>
  <c r="CD98" i="5"/>
  <c r="BE312" i="5"/>
  <c r="BV376" i="5"/>
  <c r="BI98" i="5"/>
  <c r="CF98" i="5"/>
  <c r="BH154" i="5"/>
  <c r="BS154" i="5"/>
  <c r="CI154" i="5"/>
  <c r="BR290" i="5"/>
  <c r="CA290" i="5"/>
  <c r="BI354" i="5"/>
  <c r="CC354" i="5"/>
  <c r="BG442" i="5"/>
  <c r="BT442" i="5"/>
  <c r="CK442" i="5"/>
  <c r="BA442" i="5"/>
  <c r="BP442" i="5" s="1"/>
  <c r="BS312" i="5"/>
  <c r="BM98" i="5"/>
  <c r="CK98" i="5"/>
  <c r="BR312" i="5"/>
  <c r="BE64" i="5"/>
  <c r="AV56" i="5"/>
  <c r="BC56" i="5" s="1"/>
  <c r="CK116" i="5"/>
  <c r="BA42" i="5"/>
  <c r="BP42" i="5" s="1"/>
  <c r="BR42" i="5"/>
  <c r="CA42" i="5"/>
  <c r="CJ42" i="5"/>
  <c r="BF298" i="5"/>
  <c r="BW298" i="5"/>
  <c r="BP150" i="5"/>
  <c r="BS98" i="5"/>
  <c r="BY116" i="5"/>
  <c r="BE18" i="5"/>
  <c r="CE114" i="5"/>
  <c r="BW299" i="5"/>
  <c r="BV312" i="5"/>
  <c r="BT427" i="5"/>
  <c r="BY64" i="5"/>
  <c r="AU98" i="5"/>
  <c r="BN98" i="5" s="1"/>
  <c r="BY18" i="5"/>
  <c r="BJ98" i="5"/>
  <c r="CI98" i="5"/>
  <c r="BE122" i="5"/>
  <c r="CD299" i="5"/>
  <c r="CI312" i="5"/>
  <c r="BE376" i="5"/>
  <c r="CF427" i="5"/>
  <c r="BL76" i="5"/>
  <c r="BM168" i="5"/>
  <c r="AU170" i="5"/>
  <c r="BN170" i="5" s="1"/>
  <c r="CA18" i="5"/>
  <c r="CC122" i="5"/>
  <c r="BD170" i="5"/>
  <c r="BF346" i="5"/>
  <c r="AU299" i="5"/>
  <c r="BN299" i="5" s="1"/>
  <c r="CJ299" i="5"/>
  <c r="BY324" i="5"/>
  <c r="BQ376" i="5"/>
  <c r="CD351" i="5"/>
  <c r="BA51" i="5"/>
  <c r="BP51" i="5" s="1"/>
  <c r="BO434" i="5"/>
  <c r="BK346" i="5"/>
  <c r="BF394" i="5"/>
  <c r="AV114" i="5"/>
  <c r="BO114" i="5" s="1"/>
  <c r="CA170" i="5"/>
  <c r="CI346" i="5"/>
  <c r="BE370" i="5"/>
  <c r="BU394" i="5"/>
  <c r="BD490" i="5"/>
  <c r="AV98" i="5"/>
  <c r="BC98" i="5" s="1"/>
  <c r="BG299" i="5"/>
  <c r="BM312" i="5"/>
  <c r="AU427" i="5"/>
  <c r="BB427" i="5" s="1"/>
  <c r="BV51" i="5"/>
  <c r="BD116" i="5"/>
  <c r="CD370" i="5"/>
  <c r="CF394" i="5"/>
  <c r="BR490" i="5"/>
  <c r="BM299" i="5"/>
  <c r="BF312" i="5"/>
  <c r="BE427" i="5"/>
  <c r="CF51" i="5"/>
  <c r="BI116" i="5"/>
  <c r="AU114" i="5"/>
  <c r="BN114" i="5" s="1"/>
  <c r="BA18" i="5"/>
  <c r="BP18" i="5" s="1"/>
  <c r="BS18" i="5"/>
  <c r="CG18" i="5"/>
  <c r="CJ18" i="5"/>
  <c r="BM114" i="5"/>
  <c r="BU114" i="5"/>
  <c r="CI114" i="5"/>
  <c r="BA122" i="5"/>
  <c r="BP122" i="5" s="1"/>
  <c r="BY122" i="5"/>
  <c r="BH170" i="5"/>
  <c r="BJ170" i="5"/>
  <c r="BV170" i="5"/>
  <c r="BD346" i="5"/>
  <c r="BT346" i="5"/>
  <c r="CE346" i="5"/>
  <c r="BI370" i="5"/>
  <c r="BW370" i="5"/>
  <c r="BE394" i="5"/>
  <c r="BT394" i="5"/>
  <c r="CI394" i="5"/>
  <c r="BH418" i="5"/>
  <c r="BW418" i="5"/>
  <c r="CI418" i="5"/>
  <c r="BI490" i="5"/>
  <c r="BJ490" i="5"/>
  <c r="BV490" i="5"/>
  <c r="CF490" i="5"/>
  <c r="AV370" i="5"/>
  <c r="BC370" i="5" s="1"/>
  <c r="CC95" i="5"/>
  <c r="BT324" i="5"/>
  <c r="CA351" i="5"/>
  <c r="BC116" i="5"/>
  <c r="BG116" i="5"/>
  <c r="BS116" i="5"/>
  <c r="CC116" i="5"/>
  <c r="AY122" i="5"/>
  <c r="BR18" i="5"/>
  <c r="CH18" i="5"/>
  <c r="BW114" i="5"/>
  <c r="CK114" i="5"/>
  <c r="BV122" i="5"/>
  <c r="AZ370" i="5"/>
  <c r="BR370" i="5"/>
  <c r="CF370" i="5"/>
  <c r="BI394" i="5"/>
  <c r="BC490" i="5"/>
  <c r="CC490" i="5"/>
  <c r="AV346" i="5"/>
  <c r="BO346" i="5" s="1"/>
  <c r="BA95" i="5"/>
  <c r="BP95" i="5" s="1"/>
  <c r="CE324" i="5"/>
  <c r="CK351" i="5"/>
  <c r="AU116" i="5"/>
  <c r="BN116" i="5" s="1"/>
  <c r="BE116" i="5"/>
  <c r="BT116" i="5"/>
  <c r="BW116" i="5"/>
  <c r="BF18" i="5"/>
  <c r="BW18" i="5"/>
  <c r="BA114" i="5"/>
  <c r="BP114" i="5" s="1"/>
  <c r="BJ122" i="5"/>
  <c r="BM170" i="5"/>
  <c r="BK170" i="5"/>
  <c r="CC170" i="5"/>
  <c r="BI346" i="5"/>
  <c r="BW346" i="5"/>
  <c r="CF346" i="5"/>
  <c r="BY394" i="5"/>
  <c r="CK394" i="5"/>
  <c r="BM418" i="5"/>
  <c r="CC418" i="5"/>
  <c r="BS490" i="5"/>
  <c r="AU418" i="5"/>
  <c r="BN418" i="5" s="1"/>
  <c r="AU18" i="5"/>
  <c r="BN18" i="5" s="1"/>
  <c r="BG18" i="5"/>
  <c r="BQ18" i="5"/>
  <c r="BZ18" i="5"/>
  <c r="CD18" i="5"/>
  <c r="BE114" i="5"/>
  <c r="BY114" i="5"/>
  <c r="BH122" i="5"/>
  <c r="BR122" i="5"/>
  <c r="CD122" i="5"/>
  <c r="BA170" i="5"/>
  <c r="BP170" i="5" s="1"/>
  <c r="BR170" i="5"/>
  <c r="CF170" i="5"/>
  <c r="BE346" i="5"/>
  <c r="BY346" i="5"/>
  <c r="BF370" i="5"/>
  <c r="BJ370" i="5"/>
  <c r="CC370" i="5"/>
  <c r="BP394" i="5"/>
  <c r="BW394" i="5"/>
  <c r="AZ418" i="5"/>
  <c r="BR418" i="5"/>
  <c r="CD418" i="5"/>
  <c r="BE490" i="5"/>
  <c r="BT490" i="5"/>
  <c r="CE490" i="5"/>
  <c r="AV324" i="5"/>
  <c r="BO324" i="5" s="1"/>
  <c r="AY95" i="5"/>
  <c r="CK324" i="5"/>
  <c r="BI51" i="5"/>
  <c r="BJ116" i="5"/>
  <c r="BU116" i="5"/>
  <c r="CA116" i="5"/>
  <c r="AU490" i="5"/>
  <c r="BN490" i="5" s="1"/>
  <c r="AU346" i="5"/>
  <c r="BB346" i="5" s="1"/>
  <c r="BD18" i="5"/>
  <c r="BJ18" i="5"/>
  <c r="BX18" i="5"/>
  <c r="CE18" i="5"/>
  <c r="AZ114" i="5"/>
  <c r="BR114" i="5"/>
  <c r="CC114" i="5"/>
  <c r="BD122" i="5"/>
  <c r="BS122" i="5"/>
  <c r="CA122" i="5"/>
  <c r="BE170" i="5"/>
  <c r="BS170" i="5"/>
  <c r="CD170" i="5"/>
  <c r="BQ346" i="5"/>
  <c r="CD346" i="5"/>
  <c r="BG370" i="5"/>
  <c r="BT370" i="5"/>
  <c r="BV370" i="5"/>
  <c r="BQ394" i="5"/>
  <c r="BV394" i="5"/>
  <c r="BF418" i="5"/>
  <c r="BJ418" i="5"/>
  <c r="BV418" i="5"/>
  <c r="BM490" i="5"/>
  <c r="BU490" i="5"/>
  <c r="CD490" i="5"/>
  <c r="BK95" i="5"/>
  <c r="AZ324" i="5"/>
  <c r="AY351" i="5"/>
  <c r="BK116" i="5"/>
  <c r="BR116" i="5"/>
  <c r="CD116" i="5"/>
  <c r="AV170" i="5"/>
  <c r="BO170" i="5" s="1"/>
  <c r="AV18" i="5"/>
  <c r="BC18" i="5" s="1"/>
  <c r="AZ170" i="5"/>
  <c r="BI95" i="5"/>
  <c r="BD324" i="5"/>
  <c r="BE351" i="5"/>
  <c r="AY116" i="5"/>
  <c r="BM116" i="5"/>
  <c r="BV116" i="5"/>
  <c r="CE116" i="5"/>
  <c r="BH18" i="5"/>
  <c r="CI18" i="5"/>
  <c r="BF114" i="5"/>
  <c r="BV114" i="5"/>
  <c r="BU122" i="5"/>
  <c r="BF170" i="5"/>
  <c r="CE170" i="5"/>
  <c r="BU370" i="5"/>
  <c r="BG418" i="5"/>
  <c r="BS418" i="5"/>
  <c r="CA418" i="5"/>
  <c r="BL490" i="5"/>
  <c r="BY490" i="5"/>
  <c r="CH490" i="5"/>
  <c r="AY394" i="5"/>
  <c r="AU394" i="5"/>
  <c r="BN394" i="5" s="1"/>
  <c r="BM18" i="5"/>
  <c r="CA114" i="5"/>
  <c r="BG346" i="5"/>
  <c r="BR346" i="5"/>
  <c r="BV346" i="5"/>
  <c r="BH370" i="5"/>
  <c r="BK370" i="5"/>
  <c r="CE370" i="5"/>
  <c r="BG394" i="5"/>
  <c r="BR394" i="5"/>
  <c r="CC394" i="5"/>
  <c r="BD418" i="5"/>
  <c r="BK418" i="5"/>
  <c r="CF418" i="5"/>
  <c r="BG490" i="5"/>
  <c r="BO490" i="5"/>
  <c r="BW490" i="5"/>
  <c r="CG490" i="5"/>
  <c r="AY490" i="5"/>
  <c r="BU95" i="5"/>
  <c r="BF324" i="5"/>
  <c r="BF351" i="5"/>
  <c r="AZ116" i="5"/>
  <c r="BF116" i="5"/>
  <c r="BO116" i="5"/>
  <c r="CF116" i="5"/>
  <c r="BI18" i="5"/>
  <c r="CC18" i="5"/>
  <c r="BJ114" i="5"/>
  <c r="BF122" i="5"/>
  <c r="CE122" i="5"/>
  <c r="BU170" i="5"/>
  <c r="BA346" i="5"/>
  <c r="BP346" i="5" s="1"/>
  <c r="BJ346" i="5"/>
  <c r="CC346" i="5"/>
  <c r="BD370" i="5"/>
  <c r="CA370" i="5"/>
  <c r="BH394" i="5"/>
  <c r="BJ394" i="5"/>
  <c r="CA394" i="5"/>
  <c r="BK18" i="5"/>
  <c r="BT18" i="5"/>
  <c r="CF18" i="5"/>
  <c r="BD114" i="5"/>
  <c r="BT114" i="5"/>
  <c r="BI122" i="5"/>
  <c r="BK122" i="5"/>
  <c r="CI122" i="5"/>
  <c r="BI170" i="5"/>
  <c r="BW170" i="5"/>
  <c r="CI170" i="5"/>
  <c r="AV394" i="5"/>
  <c r="BC394" i="5" s="1"/>
  <c r="AZ394" i="5"/>
  <c r="AU122" i="5"/>
  <c r="BB122" i="5" s="1"/>
  <c r="BL18" i="5"/>
  <c r="BU18" i="5"/>
  <c r="BV18" i="5"/>
  <c r="CK18" i="5"/>
  <c r="BH114" i="5"/>
  <c r="BK114" i="5"/>
  <c r="CF114" i="5"/>
  <c r="BM122" i="5"/>
  <c r="BT122" i="5"/>
  <c r="CF122" i="5"/>
  <c r="BG170" i="5"/>
  <c r="BQ170" i="5"/>
  <c r="BY170" i="5"/>
  <c r="CK170" i="5"/>
  <c r="BH346" i="5"/>
  <c r="BS346" i="5"/>
  <c r="CA346" i="5"/>
  <c r="BM370" i="5"/>
  <c r="BS370" i="5"/>
  <c r="CI370" i="5"/>
  <c r="BM394" i="5"/>
  <c r="BS394" i="5"/>
  <c r="CD394" i="5"/>
  <c r="BE418" i="5"/>
  <c r="BT418" i="5"/>
  <c r="CE418" i="5"/>
  <c r="BH490" i="5"/>
  <c r="BQ490" i="5"/>
  <c r="BX490" i="5"/>
  <c r="CI490" i="5"/>
  <c r="AY346" i="5"/>
  <c r="BW95" i="5"/>
  <c r="BI324" i="5"/>
  <c r="BU351" i="5"/>
  <c r="BA116" i="5"/>
  <c r="BP116" i="5" s="1"/>
  <c r="BH116" i="5"/>
  <c r="BQ116" i="5"/>
  <c r="CI116" i="5"/>
  <c r="BK56" i="5"/>
  <c r="BS56" i="5"/>
  <c r="CF56" i="5"/>
  <c r="BA68" i="5"/>
  <c r="BP68" i="5" s="1"/>
  <c r="BG68" i="5"/>
  <c r="BS68" i="5"/>
  <c r="CF68" i="5"/>
  <c r="BD299" i="5"/>
  <c r="BL299" i="5"/>
  <c r="BT299" i="5"/>
  <c r="BX299" i="5"/>
  <c r="CK299" i="5"/>
  <c r="BJ312" i="5"/>
  <c r="BU312" i="5"/>
  <c r="CA312" i="5"/>
  <c r="BJ376" i="5"/>
  <c r="BS376" i="5"/>
  <c r="CC376" i="5"/>
  <c r="BD427" i="5"/>
  <c r="BI427" i="5"/>
  <c r="BV427" i="5"/>
  <c r="CI427" i="5"/>
  <c r="AV290" i="5"/>
  <c r="BC290" i="5" s="1"/>
  <c r="BD51" i="5"/>
  <c r="BJ51" i="5"/>
  <c r="CA51" i="5"/>
  <c r="CI51" i="5"/>
  <c r="BK64" i="5"/>
  <c r="BQ64" i="5"/>
  <c r="CA64" i="5"/>
  <c r="AY56" i="5"/>
  <c r="BG56" i="5"/>
  <c r="BU56" i="5"/>
  <c r="CC56" i="5"/>
  <c r="AY299" i="5"/>
  <c r="BI299" i="5"/>
  <c r="BY299" i="5"/>
  <c r="CE299" i="5"/>
  <c r="AY312" i="5"/>
  <c r="BK312" i="5"/>
  <c r="BW312" i="5"/>
  <c r="CE312" i="5"/>
  <c r="BK376" i="5"/>
  <c r="BY376" i="5"/>
  <c r="CE376" i="5"/>
  <c r="AY427" i="5"/>
  <c r="BK427" i="5"/>
  <c r="BY427" i="5"/>
  <c r="CD427" i="5"/>
  <c r="AY51" i="5"/>
  <c r="BK51" i="5"/>
  <c r="CC51" i="5"/>
  <c r="CK51" i="5"/>
  <c r="BG64" i="5"/>
  <c r="BS64" i="5"/>
  <c r="CC64" i="5"/>
  <c r="BE98" i="5"/>
  <c r="BK98" i="5"/>
  <c r="CA98" i="5"/>
  <c r="AU330" i="5"/>
  <c r="BN330" i="5" s="1"/>
  <c r="BI82" i="5"/>
  <c r="BJ82" i="5"/>
  <c r="BV82" i="5"/>
  <c r="BH98" i="5"/>
  <c r="BT98" i="5"/>
  <c r="CE98" i="5"/>
  <c r="BM154" i="5"/>
  <c r="BK154" i="5"/>
  <c r="CD154" i="5"/>
  <c r="BD290" i="5"/>
  <c r="CB290" i="5" s="1"/>
  <c r="BS290" i="5"/>
  <c r="BV290" i="5"/>
  <c r="BD306" i="5"/>
  <c r="CB306" i="5" s="1"/>
  <c r="BQ306" i="5"/>
  <c r="CC306" i="5"/>
  <c r="BH330" i="5"/>
  <c r="BU330" i="5"/>
  <c r="BV330" i="5"/>
  <c r="BH354" i="5"/>
  <c r="BU354" i="5"/>
  <c r="CF354" i="5"/>
  <c r="BH442" i="5"/>
  <c r="BR442" i="5"/>
  <c r="CC442" i="5"/>
  <c r="BH514" i="5"/>
  <c r="BU514" i="5"/>
  <c r="CI514" i="5"/>
  <c r="AY442" i="5"/>
  <c r="AV154" i="5"/>
  <c r="BO154" i="5" s="1"/>
  <c r="AV68" i="5"/>
  <c r="BO68" i="5" s="1"/>
  <c r="AZ56" i="5"/>
  <c r="BI56" i="5"/>
  <c r="BN56" i="5"/>
  <c r="BZ56" i="5" s="1"/>
  <c r="CD56" i="5"/>
  <c r="BD68" i="5"/>
  <c r="BU68" i="5"/>
  <c r="BW68" i="5"/>
  <c r="CK68" i="5"/>
  <c r="BF260" i="5"/>
  <c r="BA299" i="5"/>
  <c r="BP299" i="5" s="1"/>
  <c r="BK299" i="5"/>
  <c r="BV299" i="5"/>
  <c r="CH299" i="5"/>
  <c r="AZ312" i="5"/>
  <c r="BG312" i="5"/>
  <c r="BY312" i="5"/>
  <c r="CF312" i="5"/>
  <c r="AY376" i="5"/>
  <c r="BM376" i="5"/>
  <c r="BR376" i="5"/>
  <c r="CF376" i="5"/>
  <c r="BA427" i="5"/>
  <c r="BP427" i="5" s="1"/>
  <c r="BJ427" i="5"/>
  <c r="CA427" i="5"/>
  <c r="CK427" i="5"/>
  <c r="BG51" i="5"/>
  <c r="BM51" i="5"/>
  <c r="BU51" i="5"/>
  <c r="AY64" i="5"/>
  <c r="BI64" i="5"/>
  <c r="BT64" i="5"/>
  <c r="CF64" i="5"/>
  <c r="AZ299" i="5"/>
  <c r="BJ299" i="5"/>
  <c r="BZ299" i="5"/>
  <c r="CF299" i="5"/>
  <c r="BA312" i="5"/>
  <c r="BP312" i="5" s="1"/>
  <c r="BI312" i="5"/>
  <c r="BN312" i="5"/>
  <c r="CD312" i="5"/>
  <c r="BB376" i="5"/>
  <c r="BZ376" i="5" s="1"/>
  <c r="BG376" i="5"/>
  <c r="BT376" i="5"/>
  <c r="CD376" i="5"/>
  <c r="AZ427" i="5"/>
  <c r="BM427" i="5"/>
  <c r="CC427" i="5"/>
  <c r="BH51" i="5"/>
  <c r="BR51" i="5"/>
  <c r="BW51" i="5"/>
  <c r="AZ64" i="5"/>
  <c r="BM64" i="5"/>
  <c r="BW64" i="5"/>
  <c r="CE64" i="5"/>
  <c r="BD376" i="5"/>
  <c r="BI376" i="5"/>
  <c r="BU376" i="5"/>
  <c r="CI376" i="5"/>
  <c r="AZ51" i="5"/>
  <c r="BQ51" i="5"/>
  <c r="BY51" i="5"/>
  <c r="BB64" i="5"/>
  <c r="BF64" i="5"/>
  <c r="BN64" i="5"/>
  <c r="CD64" i="5"/>
  <c r="AV312" i="5"/>
  <c r="BO312" i="5" s="1"/>
  <c r="BF299" i="5"/>
  <c r="BQ299" i="5"/>
  <c r="CC299" i="5"/>
  <c r="CI299" i="5"/>
  <c r="BB312" i="5"/>
  <c r="BH312" i="5"/>
  <c r="BT312" i="5"/>
  <c r="CK312" i="5"/>
  <c r="AZ376" i="5"/>
  <c r="BF376" i="5"/>
  <c r="BW376" i="5"/>
  <c r="CK376" i="5"/>
  <c r="BF427" i="5"/>
  <c r="BR427" i="5"/>
  <c r="BU427" i="5"/>
  <c r="AV64" i="5"/>
  <c r="BC64" i="5" s="1"/>
  <c r="AV51" i="5"/>
  <c r="BC51" i="5" s="1"/>
  <c r="BE51" i="5"/>
  <c r="BS51" i="5"/>
  <c r="CE51" i="5"/>
  <c r="BD64" i="5"/>
  <c r="BH64" i="5"/>
  <c r="BR64" i="5"/>
  <c r="CI64" i="5"/>
  <c r="BF82" i="5"/>
  <c r="BM82" i="5"/>
  <c r="BS82" i="5"/>
  <c r="BX82" i="5" s="1"/>
  <c r="CE82" i="5"/>
  <c r="BG98" i="5"/>
  <c r="BQ98" i="5"/>
  <c r="CC98" i="5"/>
  <c r="BG154" i="5"/>
  <c r="BQ154" i="5"/>
  <c r="BY154" i="5"/>
  <c r="CK154" i="5"/>
  <c r="AZ290" i="5"/>
  <c r="BM290" i="5"/>
  <c r="BU290" i="5"/>
  <c r="AZ306" i="5"/>
  <c r="BE306" i="5"/>
  <c r="BU306" i="5"/>
  <c r="CE306" i="5"/>
  <c r="BM330" i="5"/>
  <c r="BT330" i="5"/>
  <c r="CD330" i="5"/>
  <c r="BG354" i="5"/>
  <c r="BJ354" i="5"/>
  <c r="BV354" i="5"/>
  <c r="BE442" i="5"/>
  <c r="BK442" i="5"/>
  <c r="CI442" i="5"/>
  <c r="BI514" i="5"/>
  <c r="BJ514" i="5"/>
  <c r="CD514" i="5"/>
  <c r="AV330" i="5"/>
  <c r="BC330" i="5" s="1"/>
  <c r="BE56" i="5"/>
  <c r="BT56" i="5"/>
  <c r="BV56" i="5"/>
  <c r="AY68" i="5"/>
  <c r="BF68" i="5"/>
  <c r="BR68" i="5"/>
  <c r="CD68" i="5"/>
  <c r="AV299" i="5"/>
  <c r="BO299" i="5" s="1"/>
  <c r="BH299" i="5"/>
  <c r="BR299" i="5"/>
  <c r="BU299" i="5"/>
  <c r="BD312" i="5"/>
  <c r="BQ312" i="5"/>
  <c r="CC312" i="5"/>
  <c r="BA376" i="5"/>
  <c r="BP376" i="5" s="1"/>
  <c r="BH376" i="5"/>
  <c r="CA376" i="5"/>
  <c r="AV427" i="5"/>
  <c r="BO427" i="5" s="1"/>
  <c r="BH427" i="5"/>
  <c r="BS427" i="5"/>
  <c r="AU51" i="5"/>
  <c r="BB51" i="5" s="1"/>
  <c r="BF51" i="5"/>
  <c r="BT51" i="5"/>
  <c r="BA64" i="5"/>
  <c r="BP64" i="5" s="1"/>
  <c r="BJ64" i="5"/>
  <c r="BV64" i="5"/>
  <c r="CK64" i="5"/>
  <c r="BC120" i="5"/>
  <c r="BM555" i="5"/>
  <c r="BP22" i="5"/>
  <c r="BT555" i="5"/>
  <c r="AZ223" i="5"/>
  <c r="BM223" i="5"/>
  <c r="CA223" i="5"/>
  <c r="BH235" i="5"/>
  <c r="BM235" i="5"/>
  <c r="CC555" i="5"/>
  <c r="BB21" i="5"/>
  <c r="BZ21" i="5" s="1"/>
  <c r="BT27" i="5"/>
  <c r="BH555" i="5"/>
  <c r="BD95" i="5"/>
  <c r="BQ95" i="5"/>
  <c r="BV95" i="5"/>
  <c r="BE324" i="5"/>
  <c r="BU324" i="5"/>
  <c r="BW324" i="5"/>
  <c r="AU351" i="5"/>
  <c r="BN351" i="5" s="1"/>
  <c r="BG351" i="5"/>
  <c r="BR351" i="5"/>
  <c r="CC351" i="5"/>
  <c r="BA12" i="5"/>
  <c r="BP12" i="5" s="1"/>
  <c r="BK76" i="5"/>
  <c r="AV122" i="5"/>
  <c r="BC122" i="5" s="1"/>
  <c r="BE95" i="5"/>
  <c r="BR95" i="5"/>
  <c r="CE95" i="5"/>
  <c r="BK324" i="5"/>
  <c r="BV324" i="5"/>
  <c r="CA324" i="5"/>
  <c r="AV351" i="5"/>
  <c r="BC351" i="5" s="1"/>
  <c r="BJ351" i="5"/>
  <c r="BS351" i="5"/>
  <c r="CE351" i="5"/>
  <c r="BN241" i="5"/>
  <c r="BZ241" i="5" s="1"/>
  <c r="BK12" i="5"/>
  <c r="BS76" i="5"/>
  <c r="G16" i="10"/>
  <c r="AU95" i="5"/>
  <c r="BN95" i="5" s="1"/>
  <c r="BG95" i="5"/>
  <c r="BS95" i="5"/>
  <c r="CD95" i="5"/>
  <c r="BM324" i="5"/>
  <c r="BN324" i="5"/>
  <c r="CD324" i="5"/>
  <c r="AZ351" i="5"/>
  <c r="BK351" i="5"/>
  <c r="BT351" i="5"/>
  <c r="CF351" i="5"/>
  <c r="BC25" i="5"/>
  <c r="BY12" i="5"/>
  <c r="CD76" i="5"/>
  <c r="BF180" i="5"/>
  <c r="BA490" i="5"/>
  <c r="BP490" i="5" s="1"/>
  <c r="AY418" i="5"/>
  <c r="AV95" i="5"/>
  <c r="BC95" i="5" s="1"/>
  <c r="BJ95" i="5"/>
  <c r="BT95" i="5"/>
  <c r="CI95" i="5"/>
  <c r="AY324" i="5"/>
  <c r="BJ324" i="5"/>
  <c r="BR324" i="5"/>
  <c r="CC324" i="5"/>
  <c r="BH351" i="5"/>
  <c r="BM351" i="5"/>
  <c r="BY351" i="5"/>
  <c r="CI351" i="5"/>
  <c r="AV76" i="5"/>
  <c r="BO76" i="5" s="1"/>
  <c r="CG76" i="5"/>
  <c r="BY180" i="5"/>
  <c r="AU34" i="5"/>
  <c r="BB34" i="5" s="1"/>
  <c r="BF34" i="5"/>
  <c r="BJ34" i="5"/>
  <c r="BV34" i="5"/>
  <c r="BG114" i="5"/>
  <c r="BQ114" i="5"/>
  <c r="CD114" i="5"/>
  <c r="BG122" i="5"/>
  <c r="BQ122" i="5"/>
  <c r="BW122" i="5"/>
  <c r="CK122" i="5"/>
  <c r="BM346" i="5"/>
  <c r="BU346" i="5"/>
  <c r="CK346" i="5"/>
  <c r="BA370" i="5"/>
  <c r="BP370" i="5" s="1"/>
  <c r="BQ370" i="5"/>
  <c r="BY370" i="5"/>
  <c r="CK370" i="5"/>
  <c r="BD394" i="5"/>
  <c r="BK394" i="5"/>
  <c r="CE394" i="5"/>
  <c r="BA418" i="5"/>
  <c r="BP418" i="5" s="1"/>
  <c r="BQ418" i="5"/>
  <c r="BY418" i="5"/>
  <c r="CK418" i="5"/>
  <c r="BF490" i="5"/>
  <c r="BK490" i="5"/>
  <c r="BZ490" i="5"/>
  <c r="CJ490" i="5"/>
  <c r="BP49" i="5"/>
  <c r="AZ95" i="5"/>
  <c r="BM95" i="5"/>
  <c r="CA95" i="5"/>
  <c r="CF95" i="5"/>
  <c r="BA324" i="5"/>
  <c r="BP324" i="5" s="1"/>
  <c r="BH324" i="5"/>
  <c r="BQ324" i="5"/>
  <c r="CF324" i="5"/>
  <c r="BA351" i="5"/>
  <c r="BP351" i="5" s="1"/>
  <c r="BI351" i="5"/>
  <c r="BW351" i="5"/>
  <c r="AU76" i="5"/>
  <c r="BB76" i="5" s="1"/>
  <c r="AZ490" i="5"/>
  <c r="BH95" i="5"/>
  <c r="BF95" i="5"/>
  <c r="BY95" i="5"/>
  <c r="BB324" i="5"/>
  <c r="BG324" i="5"/>
  <c r="BS324" i="5"/>
  <c r="CI324" i="5"/>
  <c r="BD351" i="5"/>
  <c r="BQ351" i="5"/>
  <c r="BC217" i="5"/>
  <c r="AY76" i="5"/>
  <c r="BP86" i="5"/>
  <c r="BO248" i="5"/>
  <c r="CC232" i="5"/>
  <c r="BD42" i="5"/>
  <c r="CB42" i="5" s="1"/>
  <c r="BI42" i="5"/>
  <c r="BT42" i="5"/>
  <c r="CG42" i="5"/>
  <c r="BI298" i="5"/>
  <c r="BY298" i="5"/>
  <c r="CF298" i="5"/>
  <c r="AV42" i="5"/>
  <c r="BO42" i="5" s="1"/>
  <c r="BR555" i="5"/>
  <c r="AV555" i="5"/>
  <c r="BO555" i="5" s="1"/>
  <c r="BS555" i="5"/>
  <c r="AU283" i="5"/>
  <c r="BN283" i="5" s="1"/>
  <c r="BH27" i="5"/>
  <c r="BL283" i="5"/>
  <c r="AZ42" i="5"/>
  <c r="BF555" i="5"/>
  <c r="BW555" i="5"/>
  <c r="BN193" i="5"/>
  <c r="BZ193" i="5" s="1"/>
  <c r="BL232" i="5"/>
  <c r="BK168" i="5"/>
  <c r="BM232" i="5"/>
  <c r="BU168" i="5"/>
  <c r="BQ232" i="5"/>
  <c r="BF115" i="5"/>
  <c r="BM115" i="5"/>
  <c r="BX115" i="5"/>
  <c r="CF115" i="5"/>
  <c r="BM40" i="5"/>
  <c r="BQ40" i="5"/>
  <c r="BV40" i="5"/>
  <c r="CI40" i="5"/>
  <c r="BE52" i="5"/>
  <c r="BU52" i="5"/>
  <c r="BW52" i="5"/>
  <c r="BA104" i="5"/>
  <c r="BP104" i="5" s="1"/>
  <c r="BF104" i="5"/>
  <c r="BY104" i="5"/>
  <c r="CK104" i="5"/>
  <c r="BA296" i="5"/>
  <c r="BP296" i="5" s="1"/>
  <c r="BH296" i="5"/>
  <c r="CA296" i="5"/>
  <c r="BF347" i="5"/>
  <c r="BQ347" i="5"/>
  <c r="BU347" i="5"/>
  <c r="AU104" i="5"/>
  <c r="BN104" i="5" s="1"/>
  <c r="AZ115" i="5"/>
  <c r="BR115" i="5"/>
  <c r="BV115" i="5"/>
  <c r="CH115" i="5"/>
  <c r="AV104" i="5"/>
  <c r="BO104" i="5" s="1"/>
  <c r="BI40" i="5"/>
  <c r="BS40" i="5"/>
  <c r="CA40" i="5"/>
  <c r="CJ40" i="5"/>
  <c r="BJ52" i="5"/>
  <c r="BT52" i="5"/>
  <c r="BY52" i="5"/>
  <c r="BE104" i="5"/>
  <c r="BH104" i="5"/>
  <c r="CC104" i="5"/>
  <c r="BE296" i="5"/>
  <c r="BU296" i="5"/>
  <c r="BV296" i="5"/>
  <c r="BH347" i="5"/>
  <c r="BS347" i="5"/>
  <c r="BW347" i="5"/>
  <c r="AU40" i="5"/>
  <c r="BB40" i="5" s="1"/>
  <c r="AV115" i="5"/>
  <c r="BC115" i="5" s="1"/>
  <c r="BG115" i="5"/>
  <c r="BT115" i="5"/>
  <c r="CC115" i="5"/>
  <c r="CI115" i="5"/>
  <c r="AY40" i="5"/>
  <c r="BJ40" i="5"/>
  <c r="BT40" i="5"/>
  <c r="BZ40" i="5"/>
  <c r="CK40" i="5"/>
  <c r="BK52" i="5"/>
  <c r="BR52" i="5"/>
  <c r="CD52" i="5"/>
  <c r="BD104" i="5"/>
  <c r="BT104" i="5"/>
  <c r="CA104" i="5"/>
  <c r="BK296" i="5"/>
  <c r="BQ296" i="5"/>
  <c r="CC296" i="5"/>
  <c r="AV347" i="5"/>
  <c r="BO347" i="5" s="1"/>
  <c r="AZ347" i="5"/>
  <c r="BT347" i="5"/>
  <c r="CE347" i="5"/>
  <c r="AU115" i="5"/>
  <c r="BN115" i="5" s="1"/>
  <c r="BH115" i="5"/>
  <c r="BQ115" i="5"/>
  <c r="BU115" i="5"/>
  <c r="CJ115" i="5"/>
  <c r="AV40" i="5"/>
  <c r="BC40" i="5" s="1"/>
  <c r="AZ40" i="5"/>
  <c r="BG40" i="5"/>
  <c r="BW40" i="5"/>
  <c r="CC40" i="5"/>
  <c r="AZ52" i="5"/>
  <c r="BF52" i="5"/>
  <c r="BO52" i="5"/>
  <c r="CE52" i="5"/>
  <c r="BJ104" i="5"/>
  <c r="BU104" i="5"/>
  <c r="BV104" i="5"/>
  <c r="BM296" i="5"/>
  <c r="BS296" i="5"/>
  <c r="CE296" i="5"/>
  <c r="AU347" i="5"/>
  <c r="BB347" i="5" s="1"/>
  <c r="BG347" i="5"/>
  <c r="BR347" i="5"/>
  <c r="CF347" i="5"/>
  <c r="BA115" i="5"/>
  <c r="BP115" i="5" s="1"/>
  <c r="BI115" i="5"/>
  <c r="BS115" i="5"/>
  <c r="BW115" i="5"/>
  <c r="CK115" i="5"/>
  <c r="BD40" i="5"/>
  <c r="BL40" i="5"/>
  <c r="BR40" i="5"/>
  <c r="CH40" i="5"/>
  <c r="AY52" i="5"/>
  <c r="BH52" i="5"/>
  <c r="BQ52" i="5"/>
  <c r="CF52" i="5"/>
  <c r="BK104" i="5"/>
  <c r="BQ104" i="5"/>
  <c r="CE104" i="5"/>
  <c r="BJ296" i="5"/>
  <c r="BR296" i="5"/>
  <c r="CD296" i="5"/>
  <c r="BD347" i="5"/>
  <c r="BI347" i="5"/>
  <c r="BY347" i="5"/>
  <c r="CD347" i="5"/>
  <c r="AU296" i="5"/>
  <c r="BB296" i="5" s="1"/>
  <c r="BE115" i="5"/>
  <c r="BK115" i="5"/>
  <c r="BZ115" i="5"/>
  <c r="CD115" i="5"/>
  <c r="AV296" i="5"/>
  <c r="BC296" i="5" s="1"/>
  <c r="AU52" i="5"/>
  <c r="BN52" i="5" s="1"/>
  <c r="BE40" i="5"/>
  <c r="BH40" i="5"/>
  <c r="CE40" i="5"/>
  <c r="CD40" i="5"/>
  <c r="BA52" i="5"/>
  <c r="BP52" i="5" s="1"/>
  <c r="BI52" i="5"/>
  <c r="BV52" i="5"/>
  <c r="CI52" i="5"/>
  <c r="AY104" i="5"/>
  <c r="BG104" i="5"/>
  <c r="BW104" i="5"/>
  <c r="CF104" i="5"/>
  <c r="AZ296" i="5"/>
  <c r="BI296" i="5"/>
  <c r="BW296" i="5"/>
  <c r="CI296" i="5"/>
  <c r="BA347" i="5"/>
  <c r="BP347" i="5" s="1"/>
  <c r="BJ347" i="5"/>
  <c r="CC347" i="5"/>
  <c r="CK347" i="5"/>
  <c r="AY115" i="5"/>
  <c r="BL115" i="5"/>
  <c r="CA115" i="5"/>
  <c r="BK40" i="5"/>
  <c r="BU40" i="5"/>
  <c r="BY40" i="5"/>
  <c r="BD52" i="5"/>
  <c r="BM52" i="5"/>
  <c r="CA52" i="5"/>
  <c r="CK52" i="5"/>
  <c r="AZ104" i="5"/>
  <c r="BI104" i="5"/>
  <c r="BR104" i="5"/>
  <c r="BD296" i="5"/>
  <c r="BF296" i="5"/>
  <c r="BY296" i="5"/>
  <c r="BE347" i="5"/>
  <c r="BM347" i="5"/>
  <c r="BN129" i="5"/>
  <c r="BZ129" i="5" s="1"/>
  <c r="BP129" i="5"/>
  <c r="BX129" i="5" s="1"/>
  <c r="BD76" i="5"/>
  <c r="BR76" i="5"/>
  <c r="CJ76" i="5"/>
  <c r="AU180" i="5"/>
  <c r="BB180" i="5" s="1"/>
  <c r="AZ180" i="5"/>
  <c r="BG180" i="5"/>
  <c r="CA180" i="5"/>
  <c r="BC277" i="5"/>
  <c r="AZ76" i="5"/>
  <c r="BV76" i="5"/>
  <c r="CI76" i="5"/>
  <c r="AY180" i="5"/>
  <c r="BI180" i="5"/>
  <c r="CD180" i="5"/>
  <c r="BJ76" i="5"/>
  <c r="BX76" i="5"/>
  <c r="CC76" i="5"/>
  <c r="BA180" i="5"/>
  <c r="BP180" i="5" s="1"/>
  <c r="BU180" i="5"/>
  <c r="CE180" i="5"/>
  <c r="BD180" i="5"/>
  <c r="BR180" i="5"/>
  <c r="CI180" i="5"/>
  <c r="BF76" i="5"/>
  <c r="BW76" i="5"/>
  <c r="BE180" i="5"/>
  <c r="BO180" i="5"/>
  <c r="CC180" i="5"/>
  <c r="BG76" i="5"/>
  <c r="BZ76" i="5"/>
  <c r="BK180" i="5"/>
  <c r="BQ180" i="5"/>
  <c r="CK180" i="5"/>
  <c r="BI76" i="5"/>
  <c r="CF76" i="5"/>
  <c r="BM180" i="5"/>
  <c r="BV180" i="5"/>
  <c r="BE76" i="5"/>
  <c r="BT76" i="5"/>
  <c r="BU76" i="5"/>
  <c r="BC180" i="5"/>
  <c r="BH180" i="5"/>
  <c r="BS180" i="5"/>
  <c r="CF180" i="5"/>
  <c r="BA76" i="5"/>
  <c r="BP76" i="5" s="1"/>
  <c r="BH76" i="5"/>
  <c r="BQ76" i="5"/>
  <c r="CC168" i="5"/>
  <c r="BJ180" i="5"/>
  <c r="BT180" i="5"/>
  <c r="BW180" i="5"/>
  <c r="AY232" i="5"/>
  <c r="CK232" i="5"/>
  <c r="AZ378" i="5"/>
  <c r="BA43" i="5"/>
  <c r="BP43" i="5" s="1"/>
  <c r="CC43" i="5"/>
  <c r="BE107" i="5"/>
  <c r="CF107" i="5"/>
  <c r="AZ363" i="5"/>
  <c r="CF363" i="5"/>
  <c r="BM388" i="5"/>
  <c r="AZ440" i="5"/>
  <c r="BY440" i="5"/>
  <c r="BK363" i="5"/>
  <c r="BF388" i="5"/>
  <c r="BE440" i="5"/>
  <c r="CF440" i="5"/>
  <c r="BA219" i="5"/>
  <c r="BP219" i="5" s="1"/>
  <c r="BR219" i="5"/>
  <c r="BH43" i="5"/>
  <c r="CF43" i="5"/>
  <c r="BQ107" i="5"/>
  <c r="CK107" i="5"/>
  <c r="BR363" i="5"/>
  <c r="BT388" i="5"/>
  <c r="BG440" i="5"/>
  <c r="CK440" i="5"/>
  <c r="BW219" i="5"/>
  <c r="BP217" i="5"/>
  <c r="BJ43" i="5"/>
  <c r="CK43" i="5"/>
  <c r="AV107" i="5"/>
  <c r="BC107" i="5" s="1"/>
  <c r="BS107" i="5"/>
  <c r="BT363" i="5"/>
  <c r="BQ388" i="5"/>
  <c r="BF440" i="5"/>
  <c r="BP145" i="5"/>
  <c r="BP118" i="5"/>
  <c r="BQ43" i="5"/>
  <c r="BD107" i="5"/>
  <c r="BY107" i="5"/>
  <c r="BN120" i="5"/>
  <c r="BZ120" i="5" s="1"/>
  <c r="BY363" i="5"/>
  <c r="AY388" i="5"/>
  <c r="BW388" i="5"/>
  <c r="BH440" i="5"/>
  <c r="BP237" i="5"/>
  <c r="BX237" i="5" s="1"/>
  <c r="AV376" i="5"/>
  <c r="BO376" i="5" s="1"/>
  <c r="AV219" i="5"/>
  <c r="BO219" i="5" s="1"/>
  <c r="BC58" i="5"/>
  <c r="BC85" i="5"/>
  <c r="BP21" i="5"/>
  <c r="BX21" i="5" s="1"/>
  <c r="AV388" i="5"/>
  <c r="BC388" i="5" s="1"/>
  <c r="AZ43" i="5"/>
  <c r="BM43" i="5"/>
  <c r="BU43" i="5"/>
  <c r="AU107" i="5"/>
  <c r="BB107" i="5" s="1"/>
  <c r="BK107" i="5"/>
  <c r="BT107" i="5"/>
  <c r="CE107" i="5"/>
  <c r="AV363" i="5"/>
  <c r="BO363" i="5" s="1"/>
  <c r="BE363" i="5"/>
  <c r="BS363" i="5"/>
  <c r="BW363" i="5"/>
  <c r="BK388" i="5"/>
  <c r="BR388" i="5"/>
  <c r="CI388" i="5"/>
  <c r="BA440" i="5"/>
  <c r="BP440" i="5" s="1"/>
  <c r="BI440" i="5"/>
  <c r="BR440" i="5"/>
  <c r="CD440" i="5"/>
  <c r="BO249" i="5"/>
  <c r="BC245" i="5"/>
  <c r="AU219" i="5"/>
  <c r="BN219" i="5" s="1"/>
  <c r="BG219" i="5"/>
  <c r="BY219" i="5"/>
  <c r="CF219" i="5"/>
  <c r="BD219" i="5"/>
  <c r="BI219" i="5"/>
  <c r="BT219" i="5"/>
  <c r="CD219" i="5"/>
  <c r="AY219" i="5"/>
  <c r="BK219" i="5"/>
  <c r="BV219" i="5"/>
  <c r="CI219" i="5"/>
  <c r="G27" i="10"/>
  <c r="H27" i="10" s="1"/>
  <c r="AY363" i="5"/>
  <c r="BI363" i="5"/>
  <c r="BV363" i="5"/>
  <c r="CD363" i="5"/>
  <c r="BB388" i="5"/>
  <c r="BZ388" i="5" s="1"/>
  <c r="BH388" i="5"/>
  <c r="BS388" i="5"/>
  <c r="CE388" i="5"/>
  <c r="BD440" i="5"/>
  <c r="BQ440" i="5"/>
  <c r="BV440" i="5"/>
  <c r="BE219" i="5"/>
  <c r="BJ219" i="5"/>
  <c r="CC219" i="5"/>
  <c r="CK219" i="5"/>
  <c r="AU43" i="5"/>
  <c r="BB43" i="5" s="1"/>
  <c r="BG43" i="5"/>
  <c r="BV43" i="5"/>
  <c r="CE43" i="5"/>
  <c r="BF107" i="5"/>
  <c r="BJ107" i="5"/>
  <c r="CA107" i="5"/>
  <c r="BA363" i="5"/>
  <c r="BP363" i="5" s="1"/>
  <c r="CB363" i="5" s="1"/>
  <c r="BQ363" i="5"/>
  <c r="CC363" i="5"/>
  <c r="CK363" i="5"/>
  <c r="BA388" i="5"/>
  <c r="BP388" i="5" s="1"/>
  <c r="BG388" i="5"/>
  <c r="BV388" i="5"/>
  <c r="CF388" i="5"/>
  <c r="BM440" i="5"/>
  <c r="BS440" i="5"/>
  <c r="CA440" i="5"/>
  <c r="BF219" i="5"/>
  <c r="BM219" i="5"/>
  <c r="CA219" i="5"/>
  <c r="BP277" i="5"/>
  <c r="BD43" i="5"/>
  <c r="BI43" i="5"/>
  <c r="BT43" i="5"/>
  <c r="CD43" i="5"/>
  <c r="BH107" i="5"/>
  <c r="BM107" i="5"/>
  <c r="BU107" i="5"/>
  <c r="BF363" i="5"/>
  <c r="BJ363" i="5"/>
  <c r="CA363" i="5"/>
  <c r="BD388" i="5"/>
  <c r="BI388" i="5"/>
  <c r="BY388" i="5"/>
  <c r="CK388" i="5"/>
  <c r="BJ440" i="5"/>
  <c r="BU440" i="5"/>
  <c r="CC440" i="5"/>
  <c r="BH219" i="5"/>
  <c r="BQ219" i="5"/>
  <c r="CE219" i="5"/>
  <c r="AY162" i="5"/>
  <c r="AY43" i="5"/>
  <c r="BK43" i="5"/>
  <c r="CA43" i="5"/>
  <c r="AZ107" i="5"/>
  <c r="BR107" i="5"/>
  <c r="BH363" i="5"/>
  <c r="BM363" i="5"/>
  <c r="BE388" i="5"/>
  <c r="BU388" i="5"/>
  <c r="CA388" i="5"/>
  <c r="AY440" i="5"/>
  <c r="BK440" i="5"/>
  <c r="BW440" i="5"/>
  <c r="CE440" i="5"/>
  <c r="AV440" i="5"/>
  <c r="BO440" i="5" s="1"/>
  <c r="AZ219" i="5"/>
  <c r="BS219" i="5"/>
  <c r="BB287" i="5"/>
  <c r="BZ287" i="5" s="1"/>
  <c r="I11" i="19"/>
  <c r="I39" i="19" s="1"/>
  <c r="AB39" i="19" s="1"/>
  <c r="AC39" i="19" s="1"/>
  <c r="BP153" i="5"/>
  <c r="BP257" i="5"/>
  <c r="BC514" i="5"/>
  <c r="BC130" i="5"/>
  <c r="BP117" i="5"/>
  <c r="BB257" i="5"/>
  <c r="BP13" i="5"/>
  <c r="BX13" i="5" s="1"/>
  <c r="BP249" i="5"/>
  <c r="G115" i="10"/>
  <c r="BP205" i="5"/>
  <c r="BX205" i="5" s="1"/>
  <c r="G60" i="10"/>
  <c r="AZ12" i="5"/>
  <c r="BG12" i="5"/>
  <c r="CA12" i="5"/>
  <c r="CK12" i="5"/>
  <c r="BJ244" i="5"/>
  <c r="BU244" i="5"/>
  <c r="BW244" i="5"/>
  <c r="BO370" i="5"/>
  <c r="BP213" i="5"/>
  <c r="BX213" i="5" s="1"/>
  <c r="BA31" i="5"/>
  <c r="BP31" i="5" s="1"/>
  <c r="BJ31" i="5"/>
  <c r="CA31" i="5"/>
  <c r="CC31" i="5"/>
  <c r="BK196" i="5"/>
  <c r="BT196" i="5"/>
  <c r="CE196" i="5"/>
  <c r="BH260" i="5"/>
  <c r="CI260" i="5"/>
  <c r="BA491" i="5"/>
  <c r="BP491" i="5" s="1"/>
  <c r="BQ491" i="5"/>
  <c r="CC491" i="5"/>
  <c r="CK491" i="5"/>
  <c r="BE516" i="5"/>
  <c r="BI516" i="5"/>
  <c r="BY516" i="5"/>
  <c r="CK516" i="5"/>
  <c r="BE12" i="5"/>
  <c r="BR12" i="5"/>
  <c r="BU12" i="5"/>
  <c r="AV232" i="5"/>
  <c r="BO232" i="5" s="1"/>
  <c r="BE155" i="5"/>
  <c r="BJ155" i="5"/>
  <c r="CC155" i="5"/>
  <c r="CK155" i="5"/>
  <c r="BJ168" i="5"/>
  <c r="BS168" i="5"/>
  <c r="CD168" i="5"/>
  <c r="AZ232" i="5"/>
  <c r="BG232" i="5"/>
  <c r="BW232" i="5"/>
  <c r="CE232" i="5"/>
  <c r="AY244" i="5"/>
  <c r="BM244" i="5"/>
  <c r="BV244" i="5"/>
  <c r="CF244" i="5"/>
  <c r="BK10" i="5"/>
  <c r="CA10" i="5"/>
  <c r="BF210" i="5"/>
  <c r="BE210" i="5"/>
  <c r="BS210" i="5"/>
  <c r="BX210" i="5" s="1"/>
  <c r="CE210" i="5"/>
  <c r="BA322" i="5"/>
  <c r="BP322" i="5" s="1"/>
  <c r="BI322" i="5"/>
  <c r="BU322" i="5"/>
  <c r="CI322" i="5"/>
  <c r="BD506" i="5"/>
  <c r="BU506" i="5"/>
  <c r="BV506" i="5"/>
  <c r="AZ31" i="5"/>
  <c r="BK31" i="5"/>
  <c r="BW31" i="5"/>
  <c r="CI31" i="5"/>
  <c r="BD184" i="5"/>
  <c r="BT184" i="5"/>
  <c r="BW184" i="5"/>
  <c r="CK184" i="5"/>
  <c r="BM196" i="5"/>
  <c r="BR196" i="5"/>
  <c r="CD196" i="5"/>
  <c r="BG260" i="5"/>
  <c r="CC260" i="5"/>
  <c r="BH491" i="5"/>
  <c r="BR491" i="5"/>
  <c r="CA491" i="5"/>
  <c r="BD516" i="5"/>
  <c r="CB516" i="5" s="1"/>
  <c r="BU516" i="5"/>
  <c r="CA516" i="5"/>
  <c r="BN33" i="5"/>
  <c r="BZ33" i="5" s="1"/>
  <c r="AU12" i="5"/>
  <c r="BN12" i="5" s="1"/>
  <c r="BM12" i="5"/>
  <c r="BT12" i="5"/>
  <c r="CD12" i="5"/>
  <c r="AV184" i="5"/>
  <c r="BC184" i="5" s="1"/>
  <c r="AZ155" i="5"/>
  <c r="BM155" i="5"/>
  <c r="CA155" i="5"/>
  <c r="AY168" i="5"/>
  <c r="BG168" i="5"/>
  <c r="BR168" i="5"/>
  <c r="CF168" i="5"/>
  <c r="BA232" i="5"/>
  <c r="BP232" i="5" s="1"/>
  <c r="BI232" i="5"/>
  <c r="BR232" i="5"/>
  <c r="CG232" i="5"/>
  <c r="AZ244" i="5"/>
  <c r="BF244" i="5"/>
  <c r="BO244" i="5"/>
  <c r="CI244" i="5"/>
  <c r="E16" i="10"/>
  <c r="E115" i="10"/>
  <c r="BP121" i="5"/>
  <c r="BP109" i="5"/>
  <c r="AV226" i="5"/>
  <c r="AV10" i="5"/>
  <c r="BO10" i="5" s="1"/>
  <c r="BG31" i="5"/>
  <c r="BI31" i="5"/>
  <c r="BY31" i="5"/>
  <c r="CK31" i="5"/>
  <c r="BM184" i="5"/>
  <c r="BV184" i="5"/>
  <c r="AY196" i="5"/>
  <c r="BJ196" i="5"/>
  <c r="BQ196" i="5"/>
  <c r="CC196" i="5"/>
  <c r="BU260" i="5"/>
  <c r="CF260" i="5"/>
  <c r="BI491" i="5"/>
  <c r="BJ491" i="5"/>
  <c r="BU491" i="5"/>
  <c r="BF516" i="5"/>
  <c r="BV516" i="5"/>
  <c r="BW516" i="5"/>
  <c r="BI12" i="5"/>
  <c r="BQ12" i="5"/>
  <c r="CE12" i="5"/>
  <c r="AV168" i="5"/>
  <c r="BO168" i="5" s="1"/>
  <c r="BA155" i="5"/>
  <c r="BP155" i="5" s="1"/>
  <c r="CB155" i="5" s="1"/>
  <c r="BQ155" i="5"/>
  <c r="BU155" i="5"/>
  <c r="AZ168" i="5"/>
  <c r="BI168" i="5"/>
  <c r="BW168" i="5"/>
  <c r="CI168" i="5"/>
  <c r="BE232" i="5"/>
  <c r="BF232" i="5"/>
  <c r="BZ232" i="5"/>
  <c r="CH232" i="5"/>
  <c r="BA244" i="5"/>
  <c r="BP244" i="5" s="1"/>
  <c r="BH244" i="5"/>
  <c r="BQ244" i="5"/>
  <c r="CE244" i="5"/>
  <c r="BF10" i="5"/>
  <c r="BS10" i="5"/>
  <c r="CD10" i="5"/>
  <c r="BM506" i="5"/>
  <c r="BT506" i="5"/>
  <c r="CE506" i="5"/>
  <c r="AV506" i="5"/>
  <c r="BO506" i="5" s="1"/>
  <c r="AY34" i="5"/>
  <c r="AY546" i="5"/>
  <c r="AV260" i="5"/>
  <c r="BC260" i="5" s="1"/>
  <c r="AY31" i="5"/>
  <c r="BQ31" i="5"/>
  <c r="CE31" i="5"/>
  <c r="BJ184" i="5"/>
  <c r="BQ184" i="5"/>
  <c r="CA184" i="5"/>
  <c r="AZ196" i="5"/>
  <c r="BF196" i="5"/>
  <c r="BS196" i="5"/>
  <c r="CI196" i="5"/>
  <c r="AZ260" i="5"/>
  <c r="BQ260" i="5"/>
  <c r="AZ491" i="5"/>
  <c r="BM491" i="5"/>
  <c r="BW491" i="5"/>
  <c r="BJ516" i="5"/>
  <c r="BN516" i="5"/>
  <c r="BZ516" i="5" s="1"/>
  <c r="CD516" i="5"/>
  <c r="BJ12" i="5"/>
  <c r="BS12" i="5"/>
  <c r="CF12" i="5"/>
  <c r="BF155" i="5"/>
  <c r="BS155" i="5"/>
  <c r="BW155" i="5"/>
  <c r="BD168" i="5"/>
  <c r="BF168" i="5"/>
  <c r="CA168" i="5"/>
  <c r="CK168" i="5"/>
  <c r="BD232" i="5"/>
  <c r="BH232" i="5"/>
  <c r="BY232" i="5"/>
  <c r="CD232" i="5"/>
  <c r="BC244" i="5"/>
  <c r="BG244" i="5"/>
  <c r="BS244" i="5"/>
  <c r="CC244" i="5"/>
  <c r="G49" i="10"/>
  <c r="H49" i="10" s="1"/>
  <c r="AU10" i="5"/>
  <c r="BN10" i="5" s="1"/>
  <c r="BQ10" i="5"/>
  <c r="BW10" i="5"/>
  <c r="CF10" i="5"/>
  <c r="BE34" i="5"/>
  <c r="BU34" i="5"/>
  <c r="CE34" i="5"/>
  <c r="BH210" i="5"/>
  <c r="BO210" i="5"/>
  <c r="BY210" i="5"/>
  <c r="BE226" i="5"/>
  <c r="BK226" i="5"/>
  <c r="BV226" i="5"/>
  <c r="CJ226" i="5"/>
  <c r="BD322" i="5"/>
  <c r="BR322" i="5"/>
  <c r="CC322" i="5"/>
  <c r="BE506" i="5"/>
  <c r="BK506" i="5"/>
  <c r="CI506" i="5"/>
  <c r="BA546" i="5"/>
  <c r="BP546" i="5" s="1"/>
  <c r="CB546" i="5" s="1"/>
  <c r="BM546" i="5"/>
  <c r="BT546" i="5"/>
  <c r="CI546" i="5"/>
  <c r="CK546" i="5"/>
  <c r="BP45" i="5"/>
  <c r="AZ506" i="5"/>
  <c r="AV196" i="5"/>
  <c r="BO196" i="5" s="1"/>
  <c r="BD31" i="5"/>
  <c r="BM31" i="5"/>
  <c r="BT31" i="5"/>
  <c r="AY184" i="5"/>
  <c r="BK184" i="5"/>
  <c r="BS184" i="5"/>
  <c r="CC184" i="5"/>
  <c r="BA196" i="5"/>
  <c r="BP196" i="5" s="1"/>
  <c r="CB196" i="5" s="1"/>
  <c r="BH196" i="5"/>
  <c r="BV196" i="5"/>
  <c r="CF196" i="5"/>
  <c r="BA260" i="5"/>
  <c r="BP260" i="5" s="1"/>
  <c r="BS260" i="5"/>
  <c r="AV287" i="5"/>
  <c r="BO287" i="5" s="1"/>
  <c r="BE287" i="5"/>
  <c r="BS287" i="5"/>
  <c r="BI479" i="5"/>
  <c r="BL479" i="5" s="1"/>
  <c r="BM479" i="5"/>
  <c r="AV491" i="5"/>
  <c r="BC491" i="5" s="1"/>
  <c r="BE491" i="5"/>
  <c r="BS491" i="5"/>
  <c r="CE491" i="5"/>
  <c r="AY516" i="5"/>
  <c r="BK516" i="5"/>
  <c r="BR516" i="5"/>
  <c r="CI516" i="5"/>
  <c r="BO33" i="5"/>
  <c r="AV12" i="5"/>
  <c r="BO12" i="5" s="1"/>
  <c r="BD12" i="5"/>
  <c r="BF12" i="5"/>
  <c r="BV12" i="5"/>
  <c r="CI12" i="5"/>
  <c r="AV155" i="5"/>
  <c r="BC155" i="5" s="1"/>
  <c r="BH155" i="5"/>
  <c r="BR155" i="5"/>
  <c r="CE155" i="5"/>
  <c r="BE168" i="5"/>
  <c r="BH168" i="5"/>
  <c r="BY168" i="5"/>
  <c r="BJ232" i="5"/>
  <c r="BT232" i="5"/>
  <c r="CA232" i="5"/>
  <c r="CF232" i="5"/>
  <c r="BD244" i="5"/>
  <c r="BI244" i="5"/>
  <c r="BY244" i="5"/>
  <c r="CK244" i="5"/>
  <c r="AX580" i="5"/>
  <c r="AX581" i="5" s="1"/>
  <c r="BH10" i="5"/>
  <c r="BJ10" i="5"/>
  <c r="BY10" i="5"/>
  <c r="CI10" i="5"/>
  <c r="BC418" i="5"/>
  <c r="BP506" i="5"/>
  <c r="BY506" i="5"/>
  <c r="CF506" i="5"/>
  <c r="BP281" i="5"/>
  <c r="BX281" i="5" s="1"/>
  <c r="BP25" i="5"/>
  <c r="AV74" i="5"/>
  <c r="BC74" i="5" s="1"/>
  <c r="BP398" i="5"/>
  <c r="BH31" i="5"/>
  <c r="BU31" i="5"/>
  <c r="AZ184" i="5"/>
  <c r="BG184" i="5"/>
  <c r="BU184" i="5"/>
  <c r="CF184" i="5"/>
  <c r="BB196" i="5"/>
  <c r="BZ196" i="5" s="1"/>
  <c r="BG196" i="5"/>
  <c r="CA196" i="5"/>
  <c r="CK196" i="5"/>
  <c r="BJ260" i="5"/>
  <c r="BV260" i="5"/>
  <c r="AU491" i="5"/>
  <c r="BN491" i="5" s="1"/>
  <c r="BF491" i="5"/>
  <c r="BT491" i="5"/>
  <c r="AZ516" i="5"/>
  <c r="BM516" i="5"/>
  <c r="BT516" i="5"/>
  <c r="CC516" i="5"/>
  <c r="AY12" i="5"/>
  <c r="BH12" i="5"/>
  <c r="BW12" i="5"/>
  <c r="AU155" i="5"/>
  <c r="BB155" i="5" s="1"/>
  <c r="BG155" i="5"/>
  <c r="BV155" i="5"/>
  <c r="BA168" i="5"/>
  <c r="BP168" i="5" s="1"/>
  <c r="BT168" i="5"/>
  <c r="BK232" i="5"/>
  <c r="BU232" i="5"/>
  <c r="BV232" i="5"/>
  <c r="BE244" i="5"/>
  <c r="BT244" i="5"/>
  <c r="CA244" i="5"/>
  <c r="BO266" i="5"/>
  <c r="BP173" i="5"/>
  <c r="BC504" i="5"/>
  <c r="AY555" i="5"/>
  <c r="BK555" i="5"/>
  <c r="BY555" i="5"/>
  <c r="CD555" i="5"/>
  <c r="AV27" i="5"/>
  <c r="BO27" i="5" s="1"/>
  <c r="BI27" i="5"/>
  <c r="BU27" i="5"/>
  <c r="AY283" i="5"/>
  <c r="BQ283" i="5"/>
  <c r="BU283" i="5"/>
  <c r="BN49" i="5"/>
  <c r="BZ49" i="5" s="1"/>
  <c r="BC34" i="5"/>
  <c r="BC314" i="5"/>
  <c r="BB31" i="5"/>
  <c r="BZ31" i="5" s="1"/>
  <c r="BA555" i="5"/>
  <c r="BP555" i="5" s="1"/>
  <c r="BJ555" i="5"/>
  <c r="CA555" i="5"/>
  <c r="CK555" i="5"/>
  <c r="BD27" i="5"/>
  <c r="BK27" i="5"/>
  <c r="BW27" i="5"/>
  <c r="BA283" i="5"/>
  <c r="BP283" i="5" s="1"/>
  <c r="BT283" i="5"/>
  <c r="BW283" i="5"/>
  <c r="BC154" i="5"/>
  <c r="BP113" i="5"/>
  <c r="AY27" i="5"/>
  <c r="BJ27" i="5"/>
  <c r="CE27" i="5"/>
  <c r="BE283" i="5"/>
  <c r="BR283" i="5"/>
  <c r="CD283" i="5"/>
  <c r="BE555" i="5"/>
  <c r="BQ555" i="5"/>
  <c r="BU555" i="5"/>
  <c r="BC117" i="5"/>
  <c r="BE27" i="5"/>
  <c r="BQ27" i="5"/>
  <c r="CD27" i="5"/>
  <c r="BF283" i="5"/>
  <c r="BV283" i="5"/>
  <c r="CH283" i="5"/>
  <c r="BO474" i="5"/>
  <c r="AZ27" i="5"/>
  <c r="BR27" i="5"/>
  <c r="CI27" i="5"/>
  <c r="BG283" i="5"/>
  <c r="BX283" i="5"/>
  <c r="CK283" i="5"/>
  <c r="G93" i="10"/>
  <c r="BP53" i="5"/>
  <c r="BX53" i="5" s="1"/>
  <c r="BA27" i="5"/>
  <c r="BP27" i="5" s="1"/>
  <c r="CC27" i="5"/>
  <c r="CK27" i="5"/>
  <c r="BK283" i="5"/>
  <c r="BZ283" i="5"/>
  <c r="BC410" i="5"/>
  <c r="BD555" i="5"/>
  <c r="BG555" i="5"/>
  <c r="BV555" i="5"/>
  <c r="BM27" i="5"/>
  <c r="CA27" i="5"/>
  <c r="BJ283" i="5"/>
  <c r="CF283" i="5"/>
  <c r="AT580" i="5"/>
  <c r="AT581" i="5" s="1"/>
  <c r="AS580" i="5"/>
  <c r="AS581" i="5" s="1"/>
  <c r="AB11" i="22"/>
  <c r="AB45" i="22" s="1"/>
  <c r="G39" i="22"/>
  <c r="J11" i="22"/>
  <c r="F67" i="22"/>
  <c r="E82" i="10"/>
  <c r="H82" i="10" s="1"/>
  <c r="BN260" i="5"/>
  <c r="BZ260" i="5" s="1"/>
  <c r="BN17" i="5"/>
  <c r="BZ17" i="5" s="1"/>
  <c r="BI283" i="5"/>
  <c r="CE283" i="5"/>
  <c r="CI283" i="5"/>
  <c r="AY260" i="5"/>
  <c r="BM260" i="5"/>
  <c r="BR260" i="5"/>
  <c r="CE260" i="5"/>
  <c r="E93" i="10"/>
  <c r="BO354" i="5"/>
  <c r="BB91" i="5"/>
  <c r="BZ91" i="5" s="1"/>
  <c r="G11" i="21"/>
  <c r="E104" i="10"/>
  <c r="BF27" i="5"/>
  <c r="BS27" i="5"/>
  <c r="BY27" i="5"/>
  <c r="AV283" i="5"/>
  <c r="BC283" i="5" s="1"/>
  <c r="AZ283" i="5"/>
  <c r="BM283" i="5"/>
  <c r="BY283" i="5"/>
  <c r="CJ283" i="5"/>
  <c r="BO138" i="5"/>
  <c r="BD260" i="5"/>
  <c r="BI260" i="5"/>
  <c r="BY260" i="5"/>
  <c r="CK260" i="5"/>
  <c r="AX578" i="5"/>
  <c r="AX579" i="5" s="1"/>
  <c r="BO146" i="5"/>
  <c r="BE260" i="5"/>
  <c r="BT260" i="5"/>
  <c r="CA260" i="5"/>
  <c r="AX576" i="5"/>
  <c r="AX577" i="5" s="1"/>
  <c r="AU27" i="5"/>
  <c r="BB27" i="5" s="1"/>
  <c r="BG27" i="5"/>
  <c r="BV27" i="5"/>
  <c r="BD283" i="5"/>
  <c r="BH283" i="5"/>
  <c r="BS283" i="5"/>
  <c r="CC283" i="5"/>
  <c r="I11" i="21"/>
  <c r="I39" i="21" s="1"/>
  <c r="AB39" i="21" s="1"/>
  <c r="G104" i="10"/>
  <c r="F67" i="21"/>
  <c r="G11" i="16"/>
  <c r="AA11" i="16" s="1"/>
  <c r="BO458" i="5"/>
  <c r="AT578" i="5"/>
  <c r="AT579" i="5" s="1"/>
  <c r="AS578" i="5"/>
  <c r="AS579" i="5" s="1"/>
  <c r="AT576" i="5"/>
  <c r="AT577" i="5" s="1"/>
  <c r="AS576" i="5"/>
  <c r="AS577" i="5" s="1"/>
  <c r="E60" i="10"/>
  <c r="AB11" i="19"/>
  <c r="AA11" i="19"/>
  <c r="AA45" i="19" s="1"/>
  <c r="I11" i="18"/>
  <c r="I39" i="18" s="1"/>
  <c r="AB39" i="18" s="1"/>
  <c r="G71" i="10"/>
  <c r="BC235" i="5"/>
  <c r="G39" i="20"/>
  <c r="AB11" i="20"/>
  <c r="AB45" i="20" s="1"/>
  <c r="AA11" i="20"/>
  <c r="J11" i="20"/>
  <c r="BO282" i="5"/>
  <c r="AT574" i="5"/>
  <c r="AT575" i="5" s="1"/>
  <c r="AS574" i="5"/>
  <c r="AS575" i="5" s="1"/>
  <c r="G11" i="18"/>
  <c r="E71" i="10"/>
  <c r="BO498" i="5"/>
  <c r="BO18" i="5"/>
  <c r="BP245" i="5"/>
  <c r="F67" i="20"/>
  <c r="F67" i="19"/>
  <c r="F67" i="18"/>
  <c r="BN218" i="5"/>
  <c r="BO442" i="5"/>
  <c r="AX572" i="5"/>
  <c r="AX573" i="5" s="1"/>
  <c r="G38" i="10"/>
  <c r="I11" i="15"/>
  <c r="AX570" i="5"/>
  <c r="AX571" i="5" s="1"/>
  <c r="BN82" i="5"/>
  <c r="BZ82" i="5" s="1"/>
  <c r="BC250" i="5"/>
  <c r="BN171" i="5"/>
  <c r="BZ171" i="5" s="1"/>
  <c r="BP248" i="5"/>
  <c r="CB248" i="5" s="1"/>
  <c r="AU248" i="5"/>
  <c r="AT572" i="5"/>
  <c r="AT573" i="5" s="1"/>
  <c r="AS572" i="5"/>
  <c r="AS573" i="5" s="1"/>
  <c r="BC530" i="5"/>
  <c r="BO479" i="5"/>
  <c r="BC182" i="5"/>
  <c r="AV218" i="5"/>
  <c r="AT570" i="5"/>
  <c r="AT571" i="5" s="1"/>
  <c r="AS570" i="5"/>
  <c r="AS571" i="5" s="1"/>
  <c r="G39" i="17"/>
  <c r="AB11" i="17"/>
  <c r="AA11" i="17"/>
  <c r="BO26" i="5"/>
  <c r="BC414" i="5"/>
  <c r="BO51" i="5"/>
  <c r="J11" i="17"/>
  <c r="I39" i="17"/>
  <c r="AB39" i="17" s="1"/>
  <c r="BN427" i="5"/>
  <c r="BZ427" i="5" s="1"/>
  <c r="G11" i="15"/>
  <c r="E38" i="10"/>
  <c r="BP218" i="5"/>
  <c r="BX218" i="5" s="1"/>
  <c r="AT568" i="5"/>
  <c r="AT569" i="5" s="1"/>
  <c r="AS568" i="5"/>
  <c r="AS569" i="5" s="1"/>
  <c r="AX568" i="5"/>
  <c r="AX569" i="5" s="1"/>
  <c r="F67" i="17"/>
  <c r="F75" i="16"/>
  <c r="F80" i="16" s="1"/>
  <c r="CB410" i="5"/>
  <c r="AB45" i="13"/>
  <c r="CB530" i="5"/>
  <c r="F67" i="15"/>
  <c r="CB474" i="5"/>
  <c r="BC258" i="5"/>
  <c r="BO274" i="5"/>
  <c r="BD97" i="5"/>
  <c r="BL97" i="5" s="1"/>
  <c r="AX566" i="5"/>
  <c r="AX567" i="5" s="1"/>
  <c r="BO4" i="5"/>
  <c r="CA4" i="5" s="1"/>
  <c r="BO54" i="5"/>
  <c r="BO426" i="5"/>
  <c r="BB159" i="5"/>
  <c r="BZ159" i="5" s="1"/>
  <c r="BO415" i="5"/>
  <c r="BB182" i="5"/>
  <c r="BZ182" i="5" s="1"/>
  <c r="BC278" i="5"/>
  <c r="AS566" i="5"/>
  <c r="AS567" i="5" s="1"/>
  <c r="CB466" i="5"/>
  <c r="BO554" i="5"/>
  <c r="BB426" i="5"/>
  <c r="BO31" i="5"/>
  <c r="BO171" i="5"/>
  <c r="BB363" i="5"/>
  <c r="BZ363" i="5" s="1"/>
  <c r="BO97" i="5"/>
  <c r="BO91" i="5"/>
  <c r="BN97" i="5"/>
  <c r="BB42" i="5"/>
  <c r="BO538" i="5"/>
  <c r="BB479" i="5"/>
  <c r="BZ479" i="5" s="1"/>
  <c r="AT566" i="5"/>
  <c r="AT567" i="5" s="1"/>
  <c r="F12" i="13"/>
  <c r="D17" i="10"/>
  <c r="BD77" i="5"/>
  <c r="AX562" i="5"/>
  <c r="AX563" i="5" s="1"/>
  <c r="BC186" i="5"/>
  <c r="BC298" i="5"/>
  <c r="BN402" i="5"/>
  <c r="BZ402" i="5" s="1"/>
  <c r="BC223" i="5"/>
  <c r="BB235" i="5"/>
  <c r="BZ235" i="5" s="1"/>
  <c r="BN121" i="5"/>
  <c r="BZ121" i="5" s="1"/>
  <c r="BP85" i="5"/>
  <c r="CB85" i="5" s="1"/>
  <c r="BB109" i="5"/>
  <c r="BZ109" i="5" s="1"/>
  <c r="BO246" i="5"/>
  <c r="BO57" i="5"/>
  <c r="AB11" i="14"/>
  <c r="AB45" i="14" s="1"/>
  <c r="AA11" i="14"/>
  <c r="J11" i="14"/>
  <c r="G39" i="14"/>
  <c r="BB214" i="5"/>
  <c r="BZ214" i="5" s="1"/>
  <c r="BN398" i="5"/>
  <c r="BZ398" i="5" s="1"/>
  <c r="AS562" i="5"/>
  <c r="AS563" i="5" s="1"/>
  <c r="BO202" i="5"/>
  <c r="BB50" i="5"/>
  <c r="BC402" i="5"/>
  <c r="BC159" i="5"/>
  <c r="BC13" i="5"/>
  <c r="BO118" i="5"/>
  <c r="BN278" i="5"/>
  <c r="BZ278" i="5" s="1"/>
  <c r="G11" i="12"/>
  <c r="E5" i="10"/>
  <c r="BN338" i="5"/>
  <c r="BZ338" i="5" s="1"/>
  <c r="CB482" i="5"/>
  <c r="G5" i="10"/>
  <c r="I11" i="12"/>
  <c r="I39" i="12" s="1"/>
  <c r="AB39" i="12" s="1"/>
  <c r="BC114" i="5"/>
  <c r="BN234" i="5"/>
  <c r="BZ234" i="5" s="1"/>
  <c r="BP149" i="5"/>
  <c r="BZ184" i="5"/>
  <c r="BO77" i="5"/>
  <c r="BO86" i="5"/>
  <c r="BN246" i="5"/>
  <c r="BZ246" i="5" s="1"/>
  <c r="BN81" i="5"/>
  <c r="BZ225" i="5"/>
  <c r="BB282" i="5"/>
  <c r="BZ282" i="5" s="1"/>
  <c r="BB86" i="5"/>
  <c r="BZ86" i="5" s="1"/>
  <c r="AT564" i="5"/>
  <c r="AT565" i="5" s="1"/>
  <c r="AS564" i="5"/>
  <c r="AS565" i="5" s="1"/>
  <c r="BN244" i="5"/>
  <c r="BZ244" i="5" s="1"/>
  <c r="AX564" i="5"/>
  <c r="AX565" i="5" s="1"/>
  <c r="BN74" i="5"/>
  <c r="BB226" i="5"/>
  <c r="BB498" i="5"/>
  <c r="BP33" i="5"/>
  <c r="BB223" i="5"/>
  <c r="BZ223" i="5" s="1"/>
  <c r="BN77" i="5"/>
  <c r="BB237" i="5"/>
  <c r="BZ237" i="5" s="1"/>
  <c r="J11" i="13"/>
  <c r="G39" i="13"/>
  <c r="AA11" i="13"/>
  <c r="CB34" i="5"/>
  <c r="F67" i="14"/>
  <c r="CB498" i="5"/>
  <c r="BZ273" i="5"/>
  <c r="BZ440" i="5"/>
  <c r="CB82" i="5"/>
  <c r="CB130" i="5"/>
  <c r="CB274" i="5"/>
  <c r="CB330" i="5"/>
  <c r="BL120" i="5"/>
  <c r="BZ117" i="5"/>
  <c r="CB138" i="5"/>
  <c r="CB434" i="5"/>
  <c r="CB554" i="5"/>
  <c r="F75" i="13"/>
  <c r="F80" i="13" s="1"/>
  <c r="BL378" i="5"/>
  <c r="BZ113" i="5"/>
  <c r="CB10" i="5"/>
  <c r="CB504" i="5"/>
  <c r="BZ249" i="5"/>
  <c r="BZ53" i="5"/>
  <c r="BZ209" i="5"/>
  <c r="BL58" i="5"/>
  <c r="CB354" i="5"/>
  <c r="BL282" i="5"/>
  <c r="CB362" i="5"/>
  <c r="BZ68" i="5"/>
  <c r="CB223" i="5"/>
  <c r="CB287" i="5"/>
  <c r="CB106" i="5"/>
  <c r="BX250" i="5"/>
  <c r="BX132" i="5"/>
  <c r="BZ289" i="5"/>
  <c r="BL250" i="5"/>
  <c r="CB450" i="5"/>
  <c r="BL474" i="5"/>
  <c r="CB514" i="5"/>
  <c r="CB159" i="5"/>
  <c r="CB202" i="5"/>
  <c r="CB258" i="5"/>
  <c r="CB50" i="5"/>
  <c r="CB178" i="5"/>
  <c r="CB226" i="5"/>
  <c r="CB442" i="5"/>
  <c r="CB91" i="5"/>
  <c r="CB522" i="5"/>
  <c r="F67" i="12"/>
  <c r="CB154" i="5"/>
  <c r="BL522" i="5"/>
  <c r="BL554" i="5"/>
  <c r="BZ452" i="5"/>
  <c r="BZ177" i="5"/>
  <c r="CB26" i="5"/>
  <c r="CB146" i="5"/>
  <c r="BL159" i="5"/>
  <c r="CB452" i="5"/>
  <c r="BZ149" i="5"/>
  <c r="BZ181" i="5"/>
  <c r="BZ213" i="5"/>
  <c r="BZ65" i="5"/>
  <c r="CB162" i="5"/>
  <c r="BX162" i="5"/>
  <c r="CB338" i="5"/>
  <c r="CB90" i="5"/>
  <c r="BX90" i="5"/>
  <c r="CB120" i="5"/>
  <c r="BX120" i="5"/>
  <c r="CB386" i="5"/>
  <c r="BX386" i="5"/>
  <c r="CB186" i="5"/>
  <c r="BX186" i="5"/>
  <c r="CB538" i="5"/>
  <c r="BX538" i="5"/>
  <c r="CB346" i="5"/>
  <c r="CB266" i="5"/>
  <c r="BX266" i="5"/>
  <c r="CB210" i="5"/>
  <c r="CB234" i="5"/>
  <c r="BX234" i="5"/>
  <c r="CB282" i="5"/>
  <c r="BX282" i="5"/>
  <c r="CB298" i="5"/>
  <c r="BX298" i="5"/>
  <c r="CB314" i="5"/>
  <c r="BX314" i="5"/>
  <c r="BN258" i="5"/>
  <c r="BL466" i="5"/>
  <c r="BX466" i="5"/>
  <c r="BB482" i="5"/>
  <c r="BN530" i="5"/>
  <c r="CK61" i="5"/>
  <c r="CI61" i="5"/>
  <c r="CF61" i="5"/>
  <c r="CD61" i="5"/>
  <c r="CE61" i="5"/>
  <c r="CA61" i="5"/>
  <c r="CC61" i="5"/>
  <c r="BV61" i="5"/>
  <c r="BT61" i="5"/>
  <c r="BM61" i="5"/>
  <c r="BW61" i="5"/>
  <c r="BY61" i="5"/>
  <c r="BS61" i="5"/>
  <c r="BU61" i="5"/>
  <c r="BR61" i="5"/>
  <c r="BQ61" i="5"/>
  <c r="BK61" i="5"/>
  <c r="BJ61" i="5"/>
  <c r="BI61" i="5"/>
  <c r="BH61" i="5"/>
  <c r="BE61" i="5"/>
  <c r="BG61" i="5"/>
  <c r="BF61" i="5"/>
  <c r="BD61" i="5"/>
  <c r="BA61" i="5"/>
  <c r="BP61" i="5" s="1"/>
  <c r="AZ61" i="5"/>
  <c r="AY61" i="5"/>
  <c r="AU61" i="5"/>
  <c r="BN61" i="5" s="1"/>
  <c r="AV61" i="5"/>
  <c r="BC61" i="5" s="1"/>
  <c r="CK189" i="5"/>
  <c r="CI189" i="5"/>
  <c r="CF189" i="5"/>
  <c r="CD189" i="5"/>
  <c r="CE189" i="5"/>
  <c r="CA189" i="5"/>
  <c r="CC189" i="5"/>
  <c r="BV189" i="5"/>
  <c r="BT189" i="5"/>
  <c r="BY189" i="5"/>
  <c r="BW189" i="5"/>
  <c r="BS189" i="5"/>
  <c r="BU189" i="5"/>
  <c r="BM189" i="5"/>
  <c r="BR189" i="5"/>
  <c r="BQ189" i="5"/>
  <c r="BK189" i="5"/>
  <c r="BJ189" i="5"/>
  <c r="BI189" i="5"/>
  <c r="BH189" i="5"/>
  <c r="BG189" i="5"/>
  <c r="BF189" i="5"/>
  <c r="BD189" i="5"/>
  <c r="BE189" i="5"/>
  <c r="BA189" i="5"/>
  <c r="BP189" i="5" s="1"/>
  <c r="AZ189" i="5"/>
  <c r="AY189" i="5"/>
  <c r="AU189" i="5"/>
  <c r="BN189" i="5" s="1"/>
  <c r="AV189" i="5"/>
  <c r="BC189" i="5" s="1"/>
  <c r="CI301" i="5"/>
  <c r="CK301" i="5"/>
  <c r="CF301" i="5"/>
  <c r="CE301" i="5"/>
  <c r="CA301" i="5"/>
  <c r="CC301" i="5"/>
  <c r="CD301" i="5"/>
  <c r="BV301" i="5"/>
  <c r="BY301" i="5"/>
  <c r="BW301" i="5"/>
  <c r="BU301" i="5"/>
  <c r="BT301" i="5"/>
  <c r="BS301" i="5"/>
  <c r="BM301" i="5"/>
  <c r="BQ301" i="5"/>
  <c r="BR301" i="5"/>
  <c r="BK301" i="5"/>
  <c r="BI301" i="5"/>
  <c r="BJ301" i="5"/>
  <c r="BH301" i="5"/>
  <c r="BG301" i="5"/>
  <c r="BF301" i="5"/>
  <c r="BD301" i="5"/>
  <c r="BA301" i="5"/>
  <c r="BP301" i="5" s="1"/>
  <c r="AZ301" i="5"/>
  <c r="BE301" i="5"/>
  <c r="AY301" i="5"/>
  <c r="AU301" i="5"/>
  <c r="BB301" i="5" s="1"/>
  <c r="AV301" i="5"/>
  <c r="BO301" i="5" s="1"/>
  <c r="CK70" i="5"/>
  <c r="CF70" i="5"/>
  <c r="CE70" i="5"/>
  <c r="CD70" i="5"/>
  <c r="CI70" i="5"/>
  <c r="BY70" i="5"/>
  <c r="BW70" i="5"/>
  <c r="BU70" i="5"/>
  <c r="CA70" i="5"/>
  <c r="CC70" i="5"/>
  <c r="BV70" i="5"/>
  <c r="BT70" i="5"/>
  <c r="BR70" i="5"/>
  <c r="BJ70" i="5"/>
  <c r="BS70" i="5"/>
  <c r="BK70" i="5"/>
  <c r="BQ70" i="5"/>
  <c r="BD70" i="5"/>
  <c r="BI70" i="5"/>
  <c r="BM70" i="5"/>
  <c r="BG70" i="5"/>
  <c r="BE70" i="5"/>
  <c r="BA70" i="5"/>
  <c r="BP70" i="5" s="1"/>
  <c r="BH70" i="5"/>
  <c r="BF70" i="5"/>
  <c r="AZ70" i="5"/>
  <c r="AY70" i="5"/>
  <c r="AV70" i="5"/>
  <c r="BC70" i="5" s="1"/>
  <c r="AU70" i="5"/>
  <c r="BN70" i="5" s="1"/>
  <c r="CK158" i="5"/>
  <c r="CI158" i="5"/>
  <c r="CF158" i="5"/>
  <c r="CE158" i="5"/>
  <c r="BY158" i="5"/>
  <c r="BW158" i="5"/>
  <c r="BU158" i="5"/>
  <c r="CC158" i="5"/>
  <c r="CD158" i="5"/>
  <c r="CA158" i="5"/>
  <c r="BV158" i="5"/>
  <c r="BS158" i="5"/>
  <c r="BQ158" i="5"/>
  <c r="BJ158" i="5"/>
  <c r="BT158" i="5"/>
  <c r="BK158" i="5"/>
  <c r="BR158" i="5"/>
  <c r="BM158" i="5"/>
  <c r="BD158" i="5"/>
  <c r="BI158" i="5"/>
  <c r="BE158" i="5"/>
  <c r="BA158" i="5"/>
  <c r="BP158" i="5" s="1"/>
  <c r="BH158" i="5"/>
  <c r="BG158" i="5"/>
  <c r="BF158" i="5"/>
  <c r="AV158" i="5"/>
  <c r="BC158" i="5" s="1"/>
  <c r="AZ158" i="5"/>
  <c r="AY158" i="5"/>
  <c r="AU158" i="5"/>
  <c r="BB158" i="5" s="1"/>
  <c r="CK238" i="5"/>
  <c r="CF238" i="5"/>
  <c r="CE238" i="5"/>
  <c r="CI238" i="5"/>
  <c r="BY238" i="5"/>
  <c r="CD238" i="5"/>
  <c r="CC238" i="5"/>
  <c r="BW238" i="5"/>
  <c r="BU238" i="5"/>
  <c r="CA238" i="5"/>
  <c r="BV238" i="5"/>
  <c r="BT238" i="5"/>
  <c r="BJ238" i="5"/>
  <c r="BS238" i="5"/>
  <c r="BQ238" i="5"/>
  <c r="BK238" i="5"/>
  <c r="BR238" i="5"/>
  <c r="BI238" i="5"/>
  <c r="BD238" i="5"/>
  <c r="BM238" i="5"/>
  <c r="BE238" i="5"/>
  <c r="BA238" i="5"/>
  <c r="BP238" i="5" s="1"/>
  <c r="BG238" i="5"/>
  <c r="BF238" i="5"/>
  <c r="BH238" i="5"/>
  <c r="AZ238" i="5"/>
  <c r="AY238" i="5"/>
  <c r="AV238" i="5"/>
  <c r="BC238" i="5" s="1"/>
  <c r="AU238" i="5"/>
  <c r="BN238" i="5" s="1"/>
  <c r="CF318" i="5"/>
  <c r="CK318" i="5"/>
  <c r="CI318" i="5"/>
  <c r="CE318" i="5"/>
  <c r="BY318" i="5"/>
  <c r="BW318" i="5"/>
  <c r="BU318" i="5"/>
  <c r="CD318" i="5"/>
  <c r="CC318" i="5"/>
  <c r="CA318" i="5"/>
  <c r="BV318" i="5"/>
  <c r="BT318" i="5"/>
  <c r="BS318" i="5"/>
  <c r="BQ318" i="5"/>
  <c r="BJ318" i="5"/>
  <c r="BK318" i="5"/>
  <c r="BR318" i="5"/>
  <c r="BM318" i="5"/>
  <c r="BD318" i="5"/>
  <c r="BI318" i="5"/>
  <c r="BE318" i="5"/>
  <c r="BH318" i="5"/>
  <c r="BG318" i="5"/>
  <c r="BF318" i="5"/>
  <c r="BA318" i="5"/>
  <c r="BP318" i="5" s="1"/>
  <c r="AV318" i="5"/>
  <c r="BC318" i="5" s="1"/>
  <c r="AZ318" i="5"/>
  <c r="AU318" i="5"/>
  <c r="BB318" i="5" s="1"/>
  <c r="AY318" i="5"/>
  <c r="CK382" i="5"/>
  <c r="CF382" i="5"/>
  <c r="CI382" i="5"/>
  <c r="BY382" i="5"/>
  <c r="CE382" i="5"/>
  <c r="CD382" i="5"/>
  <c r="BW382" i="5"/>
  <c r="BU382" i="5"/>
  <c r="CC382" i="5"/>
  <c r="CA382" i="5"/>
  <c r="BV382" i="5"/>
  <c r="BT382" i="5"/>
  <c r="BS382" i="5"/>
  <c r="BQ382" i="5"/>
  <c r="BJ382" i="5"/>
  <c r="BK382" i="5"/>
  <c r="BR382" i="5"/>
  <c r="BD382" i="5"/>
  <c r="BM382" i="5"/>
  <c r="BI382" i="5"/>
  <c r="BE382" i="5"/>
  <c r="BH382" i="5"/>
  <c r="BG382" i="5"/>
  <c r="BF382" i="5"/>
  <c r="BA382" i="5"/>
  <c r="BP382" i="5" s="1"/>
  <c r="AZ382" i="5"/>
  <c r="AV382" i="5"/>
  <c r="BO382" i="5" s="1"/>
  <c r="AY382" i="5"/>
  <c r="AU382" i="5"/>
  <c r="BB382" i="5" s="1"/>
  <c r="BL171" i="5"/>
  <c r="BX235" i="5"/>
  <c r="BP17" i="5"/>
  <c r="CB17" i="5" s="1"/>
  <c r="BD25" i="5"/>
  <c r="BP241" i="5"/>
  <c r="CB241" i="5" s="1"/>
  <c r="BD249" i="5"/>
  <c r="CK108" i="5"/>
  <c r="CI108" i="5"/>
  <c r="CC108" i="5"/>
  <c r="CF108" i="5"/>
  <c r="CE108" i="5"/>
  <c r="CD108" i="5"/>
  <c r="CA108" i="5"/>
  <c r="BY108" i="5"/>
  <c r="BU108" i="5"/>
  <c r="BW108" i="5"/>
  <c r="BV108" i="5"/>
  <c r="BS108" i="5"/>
  <c r="BQ108" i="5"/>
  <c r="BR108" i="5"/>
  <c r="BT108" i="5"/>
  <c r="BK108" i="5"/>
  <c r="BI108" i="5"/>
  <c r="BG108" i="5"/>
  <c r="BH108" i="5"/>
  <c r="BF108" i="5"/>
  <c r="BM108" i="5"/>
  <c r="BJ108" i="5"/>
  <c r="AZ108" i="5"/>
  <c r="AY108" i="5"/>
  <c r="BE108" i="5"/>
  <c r="BD108" i="5"/>
  <c r="BA108" i="5"/>
  <c r="BP108" i="5" s="1"/>
  <c r="AU108" i="5"/>
  <c r="BN108" i="5" s="1"/>
  <c r="AV108" i="5"/>
  <c r="BC108" i="5" s="1"/>
  <c r="CK236" i="5"/>
  <c r="CC236" i="5"/>
  <c r="CF236" i="5"/>
  <c r="CI236" i="5"/>
  <c r="CE236" i="5"/>
  <c r="CD236" i="5"/>
  <c r="CA236" i="5"/>
  <c r="BY236" i="5"/>
  <c r="BU236" i="5"/>
  <c r="BW236" i="5"/>
  <c r="BV236" i="5"/>
  <c r="BS236" i="5"/>
  <c r="BQ236" i="5"/>
  <c r="BR236" i="5"/>
  <c r="BT236" i="5"/>
  <c r="BK236" i="5"/>
  <c r="BI236" i="5"/>
  <c r="BG236" i="5"/>
  <c r="BH236" i="5"/>
  <c r="BF236" i="5"/>
  <c r="BM236" i="5"/>
  <c r="BJ236" i="5"/>
  <c r="AZ236" i="5"/>
  <c r="AY236" i="5"/>
  <c r="BE236" i="5"/>
  <c r="BD236" i="5"/>
  <c r="BA236" i="5"/>
  <c r="BP236" i="5" s="1"/>
  <c r="AU236" i="5"/>
  <c r="BN236" i="5" s="1"/>
  <c r="AV236" i="5"/>
  <c r="BO236" i="5" s="1"/>
  <c r="CK364" i="5"/>
  <c r="CI364" i="5"/>
  <c r="CE364" i="5"/>
  <c r="CC364" i="5"/>
  <c r="CF364" i="5"/>
  <c r="CD364" i="5"/>
  <c r="CA364" i="5"/>
  <c r="BY364" i="5"/>
  <c r="BU364" i="5"/>
  <c r="BW364" i="5"/>
  <c r="BS364" i="5"/>
  <c r="BQ364" i="5"/>
  <c r="BV364" i="5"/>
  <c r="BT364" i="5"/>
  <c r="BR364" i="5"/>
  <c r="BK364" i="5"/>
  <c r="BI364" i="5"/>
  <c r="BG364" i="5"/>
  <c r="BH364" i="5"/>
  <c r="BF364" i="5"/>
  <c r="BM364" i="5"/>
  <c r="BJ364" i="5"/>
  <c r="BA364" i="5"/>
  <c r="BP364" i="5" s="1"/>
  <c r="AY364" i="5"/>
  <c r="BE364" i="5"/>
  <c r="BD364" i="5"/>
  <c r="AZ364" i="5"/>
  <c r="AU364" i="5"/>
  <c r="BN364" i="5" s="1"/>
  <c r="AV364" i="5"/>
  <c r="BO364" i="5" s="1"/>
  <c r="CK492" i="5"/>
  <c r="CE492" i="5"/>
  <c r="CC492" i="5"/>
  <c r="CI492" i="5"/>
  <c r="CF492" i="5"/>
  <c r="CD492" i="5"/>
  <c r="CA492" i="5"/>
  <c r="BY492" i="5"/>
  <c r="BU492" i="5"/>
  <c r="BW492" i="5"/>
  <c r="BS492" i="5"/>
  <c r="BQ492" i="5"/>
  <c r="BT492" i="5"/>
  <c r="BR492" i="5"/>
  <c r="BV492" i="5"/>
  <c r="BK492" i="5"/>
  <c r="BI492" i="5"/>
  <c r="BG492" i="5"/>
  <c r="BH492" i="5"/>
  <c r="BM492" i="5"/>
  <c r="BJ492" i="5"/>
  <c r="BF492" i="5"/>
  <c r="AY492" i="5"/>
  <c r="BE492" i="5"/>
  <c r="BD492" i="5"/>
  <c r="BA492" i="5"/>
  <c r="BP492" i="5" s="1"/>
  <c r="AZ492" i="5"/>
  <c r="AU492" i="5"/>
  <c r="BN492" i="5" s="1"/>
  <c r="AV492" i="5"/>
  <c r="BC492" i="5" s="1"/>
  <c r="CK8" i="5"/>
  <c r="CJ8" i="5"/>
  <c r="CI8" i="5"/>
  <c r="CH8" i="5"/>
  <c r="CF8" i="5"/>
  <c r="CD8" i="5"/>
  <c r="CG8" i="5"/>
  <c r="CE8" i="5"/>
  <c r="BX8" i="5"/>
  <c r="CC8" i="5"/>
  <c r="CA8" i="5"/>
  <c r="BV8" i="5"/>
  <c r="BZ8" i="5"/>
  <c r="BY8" i="5"/>
  <c r="BW8" i="5"/>
  <c r="BR8" i="5"/>
  <c r="BS8" i="5"/>
  <c r="BQ8" i="5"/>
  <c r="BL8" i="5"/>
  <c r="BU8" i="5"/>
  <c r="BT8" i="5"/>
  <c r="BM8" i="5"/>
  <c r="BH8" i="5"/>
  <c r="BF8" i="5"/>
  <c r="BG8" i="5"/>
  <c r="BK8" i="5"/>
  <c r="BJ8" i="5"/>
  <c r="BI8" i="5"/>
  <c r="BE8" i="5"/>
  <c r="BD8" i="5"/>
  <c r="BA8" i="5"/>
  <c r="BP8" i="5" s="1"/>
  <c r="AZ8" i="5"/>
  <c r="AY8" i="5"/>
  <c r="AU8" i="5"/>
  <c r="BB8" i="5" s="1"/>
  <c r="AV8" i="5"/>
  <c r="BC8" i="5" s="1"/>
  <c r="CK123" i="5"/>
  <c r="CI123" i="5"/>
  <c r="CF123" i="5"/>
  <c r="CD123" i="5"/>
  <c r="CE123" i="5"/>
  <c r="BW123" i="5"/>
  <c r="BU123" i="5"/>
  <c r="CA123" i="5"/>
  <c r="CC123" i="5"/>
  <c r="BY123" i="5"/>
  <c r="BV123" i="5"/>
  <c r="BT123" i="5"/>
  <c r="BR123" i="5"/>
  <c r="BS123" i="5"/>
  <c r="BQ123" i="5"/>
  <c r="BM123" i="5"/>
  <c r="BJ123" i="5"/>
  <c r="BI123" i="5"/>
  <c r="BK123" i="5"/>
  <c r="BG123" i="5"/>
  <c r="BF123" i="5"/>
  <c r="BA123" i="5"/>
  <c r="BP123" i="5" s="1"/>
  <c r="AZ123" i="5"/>
  <c r="BH123" i="5"/>
  <c r="BE123" i="5"/>
  <c r="AY123" i="5"/>
  <c r="BD123" i="5"/>
  <c r="AU123" i="5"/>
  <c r="BN123" i="5" s="1"/>
  <c r="AV123" i="5"/>
  <c r="BO123" i="5" s="1"/>
  <c r="CK251" i="5"/>
  <c r="CF251" i="5"/>
  <c r="CD251" i="5"/>
  <c r="CI251" i="5"/>
  <c r="BW251" i="5"/>
  <c r="BU251" i="5"/>
  <c r="CE251" i="5"/>
  <c r="CA251" i="5"/>
  <c r="CC251" i="5"/>
  <c r="BY251" i="5"/>
  <c r="BT251" i="5"/>
  <c r="BV251" i="5"/>
  <c r="BR251" i="5"/>
  <c r="BS251" i="5"/>
  <c r="BQ251" i="5"/>
  <c r="BM251" i="5"/>
  <c r="BJ251" i="5"/>
  <c r="BI251" i="5"/>
  <c r="BK251" i="5"/>
  <c r="BG251" i="5"/>
  <c r="BF251" i="5"/>
  <c r="BA251" i="5"/>
  <c r="BP251" i="5" s="1"/>
  <c r="AZ251" i="5"/>
  <c r="BH251" i="5"/>
  <c r="BE251" i="5"/>
  <c r="AY251" i="5"/>
  <c r="BD251" i="5"/>
  <c r="AU251" i="5"/>
  <c r="BN251" i="5" s="1"/>
  <c r="AV251" i="5"/>
  <c r="BC251" i="5" s="1"/>
  <c r="CK367" i="5"/>
  <c r="CI367" i="5"/>
  <c r="CF367" i="5"/>
  <c r="CE367" i="5"/>
  <c r="CC367" i="5"/>
  <c r="BV367" i="5"/>
  <c r="CD367" i="5"/>
  <c r="BW367" i="5"/>
  <c r="BY367" i="5"/>
  <c r="CA367" i="5"/>
  <c r="BU367" i="5"/>
  <c r="BT367" i="5"/>
  <c r="BS367" i="5"/>
  <c r="BR367" i="5"/>
  <c r="BQ367" i="5"/>
  <c r="BJ367" i="5"/>
  <c r="BI367" i="5"/>
  <c r="BM367" i="5"/>
  <c r="BK367" i="5"/>
  <c r="BF367" i="5"/>
  <c r="BH367" i="5"/>
  <c r="BG367" i="5"/>
  <c r="BA367" i="5"/>
  <c r="BP367" i="5" s="1"/>
  <c r="AY367" i="5"/>
  <c r="BE367" i="5"/>
  <c r="BD367" i="5"/>
  <c r="AZ367" i="5"/>
  <c r="AV367" i="5"/>
  <c r="BO367" i="5" s="1"/>
  <c r="AU367" i="5"/>
  <c r="BB367" i="5" s="1"/>
  <c r="CJ468" i="5"/>
  <c r="CK468" i="5"/>
  <c r="CG468" i="5"/>
  <c r="CI468" i="5"/>
  <c r="CE468" i="5"/>
  <c r="CC468" i="5"/>
  <c r="CH468" i="5"/>
  <c r="CF468" i="5"/>
  <c r="CD468" i="5"/>
  <c r="CA468" i="5"/>
  <c r="BZ468" i="5"/>
  <c r="BW468" i="5"/>
  <c r="BX468" i="5"/>
  <c r="BS468" i="5"/>
  <c r="BQ468" i="5"/>
  <c r="BY468" i="5"/>
  <c r="BU468" i="5"/>
  <c r="BT468" i="5"/>
  <c r="BR468" i="5"/>
  <c r="BV468" i="5"/>
  <c r="BI468" i="5"/>
  <c r="BG468" i="5"/>
  <c r="BH468" i="5"/>
  <c r="BF468" i="5"/>
  <c r="BK468" i="5"/>
  <c r="BJ468" i="5"/>
  <c r="BL468" i="5"/>
  <c r="BM468" i="5"/>
  <c r="BD468" i="5"/>
  <c r="BE468" i="5"/>
  <c r="BA468" i="5"/>
  <c r="BP468" i="5" s="1"/>
  <c r="AZ468" i="5"/>
  <c r="AY468" i="5"/>
  <c r="AV468" i="5"/>
  <c r="BC468" i="5" s="1"/>
  <c r="AU468" i="5"/>
  <c r="BB468" i="5" s="1"/>
  <c r="CK60" i="5"/>
  <c r="CF60" i="5"/>
  <c r="CC60" i="5"/>
  <c r="CE60" i="5"/>
  <c r="CD60" i="5"/>
  <c r="CI60" i="5"/>
  <c r="CA60" i="5"/>
  <c r="BU60" i="5"/>
  <c r="BS60" i="5"/>
  <c r="BQ60" i="5"/>
  <c r="BW60" i="5"/>
  <c r="BY60" i="5"/>
  <c r="BV60" i="5"/>
  <c r="BR60" i="5"/>
  <c r="BT60" i="5"/>
  <c r="BI60" i="5"/>
  <c r="BG60" i="5"/>
  <c r="BK60" i="5"/>
  <c r="BH60" i="5"/>
  <c r="BF60" i="5"/>
  <c r="BM60" i="5"/>
  <c r="BJ60" i="5"/>
  <c r="BE60" i="5"/>
  <c r="BD60" i="5"/>
  <c r="BA60" i="5"/>
  <c r="BP60" i="5" s="1"/>
  <c r="AZ60" i="5"/>
  <c r="AY60" i="5"/>
  <c r="AU60" i="5"/>
  <c r="BN60" i="5" s="1"/>
  <c r="AV60" i="5"/>
  <c r="BC60" i="5" s="1"/>
  <c r="CI188" i="5"/>
  <c r="CK188" i="5"/>
  <c r="CF188" i="5"/>
  <c r="CC188" i="5"/>
  <c r="CE188" i="5"/>
  <c r="CD188" i="5"/>
  <c r="BU188" i="5"/>
  <c r="BY188" i="5"/>
  <c r="CA188" i="5"/>
  <c r="BW188" i="5"/>
  <c r="BS188" i="5"/>
  <c r="BQ188" i="5"/>
  <c r="BV188" i="5"/>
  <c r="BR188" i="5"/>
  <c r="BT188" i="5"/>
  <c r="BI188" i="5"/>
  <c r="BG188" i="5"/>
  <c r="BK188" i="5"/>
  <c r="BH188" i="5"/>
  <c r="BF188" i="5"/>
  <c r="BM188" i="5"/>
  <c r="BJ188" i="5"/>
  <c r="BD188" i="5"/>
  <c r="BE188" i="5"/>
  <c r="BA188" i="5"/>
  <c r="BP188" i="5" s="1"/>
  <c r="AZ188" i="5"/>
  <c r="AY188" i="5"/>
  <c r="AU188" i="5"/>
  <c r="BN188" i="5" s="1"/>
  <c r="AV188" i="5"/>
  <c r="BO188" i="5" s="1"/>
  <c r="CK316" i="5"/>
  <c r="CJ316" i="5"/>
  <c r="CI316" i="5"/>
  <c r="CH316" i="5"/>
  <c r="CF316" i="5"/>
  <c r="CE316" i="5"/>
  <c r="CC316" i="5"/>
  <c r="CG316" i="5"/>
  <c r="CD316" i="5"/>
  <c r="BX316" i="5"/>
  <c r="BZ316" i="5"/>
  <c r="BU316" i="5"/>
  <c r="CA316" i="5"/>
  <c r="BY316" i="5"/>
  <c r="BW316" i="5"/>
  <c r="BV316" i="5"/>
  <c r="BS316" i="5"/>
  <c r="BQ316" i="5"/>
  <c r="BT316" i="5"/>
  <c r="BR316" i="5"/>
  <c r="BI316" i="5"/>
  <c r="BG316" i="5"/>
  <c r="BK316" i="5"/>
  <c r="BH316" i="5"/>
  <c r="BF316" i="5"/>
  <c r="BM316" i="5"/>
  <c r="BJ316" i="5"/>
  <c r="BL316" i="5"/>
  <c r="BD316" i="5"/>
  <c r="BE316" i="5"/>
  <c r="BA316" i="5"/>
  <c r="BP316" i="5" s="1"/>
  <c r="AY316" i="5"/>
  <c r="AZ316" i="5"/>
  <c r="AU316" i="5"/>
  <c r="BN316" i="5" s="1"/>
  <c r="AV316" i="5"/>
  <c r="BO316" i="5" s="1"/>
  <c r="CK444" i="5"/>
  <c r="CF444" i="5"/>
  <c r="CE444" i="5"/>
  <c r="CC444" i="5"/>
  <c r="CI444" i="5"/>
  <c r="CD444" i="5"/>
  <c r="BU444" i="5"/>
  <c r="BY444" i="5"/>
  <c r="CA444" i="5"/>
  <c r="BS444" i="5"/>
  <c r="BQ444" i="5"/>
  <c r="BW444" i="5"/>
  <c r="BT444" i="5"/>
  <c r="BR444" i="5"/>
  <c r="BV444" i="5"/>
  <c r="BI444" i="5"/>
  <c r="BG444" i="5"/>
  <c r="BK444" i="5"/>
  <c r="BH444" i="5"/>
  <c r="BF444" i="5"/>
  <c r="BM444" i="5"/>
  <c r="BJ444" i="5"/>
  <c r="BD444" i="5"/>
  <c r="BE444" i="5"/>
  <c r="AY444" i="5"/>
  <c r="AZ444" i="5"/>
  <c r="BA444" i="5"/>
  <c r="BP444" i="5" s="1"/>
  <c r="AU444" i="5"/>
  <c r="BN444" i="5" s="1"/>
  <c r="AV444" i="5"/>
  <c r="BO444" i="5" s="1"/>
  <c r="BP161" i="5"/>
  <c r="CB161" i="5" s="1"/>
  <c r="CK11" i="5"/>
  <c r="CI11" i="5"/>
  <c r="CH11" i="5"/>
  <c r="CJ11" i="5"/>
  <c r="CD11" i="5"/>
  <c r="CG11" i="5"/>
  <c r="BY11" i="5"/>
  <c r="BW11" i="5"/>
  <c r="BU11" i="5"/>
  <c r="CC11" i="5"/>
  <c r="CA11" i="5"/>
  <c r="CE11" i="5"/>
  <c r="CF11" i="5"/>
  <c r="BT11" i="5"/>
  <c r="BZ11" i="5"/>
  <c r="BV11" i="5"/>
  <c r="BX11" i="5"/>
  <c r="BS11" i="5"/>
  <c r="BR11" i="5"/>
  <c r="BJ11" i="5"/>
  <c r="BQ11" i="5"/>
  <c r="BI11" i="5"/>
  <c r="BL11" i="5"/>
  <c r="BG11" i="5"/>
  <c r="BM11" i="5"/>
  <c r="BK11" i="5"/>
  <c r="BH11" i="5"/>
  <c r="BF11" i="5"/>
  <c r="BE11" i="5"/>
  <c r="AZ11" i="5"/>
  <c r="BA11" i="5"/>
  <c r="BP11" i="5" s="1"/>
  <c r="AY11" i="5"/>
  <c r="BD11" i="5"/>
  <c r="AU11" i="5"/>
  <c r="BB11" i="5" s="1"/>
  <c r="AV11" i="5"/>
  <c r="BO11" i="5" s="1"/>
  <c r="CK139" i="5"/>
  <c r="CJ139" i="5"/>
  <c r="CG139" i="5"/>
  <c r="CH139" i="5"/>
  <c r="CD139" i="5"/>
  <c r="CF139" i="5"/>
  <c r="CI139" i="5"/>
  <c r="BW139" i="5"/>
  <c r="BU139" i="5"/>
  <c r="CE139" i="5"/>
  <c r="CA139" i="5"/>
  <c r="CC139" i="5"/>
  <c r="BZ139" i="5"/>
  <c r="BY139" i="5"/>
  <c r="BV139" i="5"/>
  <c r="BX139" i="5"/>
  <c r="BT139" i="5"/>
  <c r="BS139" i="5"/>
  <c r="BR139" i="5"/>
  <c r="BM139" i="5"/>
  <c r="BJ139" i="5"/>
  <c r="BQ139" i="5"/>
  <c r="BI139" i="5"/>
  <c r="BL139" i="5"/>
  <c r="BG139" i="5"/>
  <c r="BK139" i="5"/>
  <c r="BH139" i="5"/>
  <c r="BF139" i="5"/>
  <c r="BE139" i="5"/>
  <c r="AZ139" i="5"/>
  <c r="BA139" i="5"/>
  <c r="BP139" i="5" s="1"/>
  <c r="AY139" i="5"/>
  <c r="BD139" i="5"/>
  <c r="AU139" i="5"/>
  <c r="BB139" i="5" s="1"/>
  <c r="AV139" i="5"/>
  <c r="BO139" i="5" s="1"/>
  <c r="CK267" i="5"/>
  <c r="CI267" i="5"/>
  <c r="CD267" i="5"/>
  <c r="CE267" i="5"/>
  <c r="CF267" i="5"/>
  <c r="BW267" i="5"/>
  <c r="BU267" i="5"/>
  <c r="CA267" i="5"/>
  <c r="CC267" i="5"/>
  <c r="BY267" i="5"/>
  <c r="BV267" i="5"/>
  <c r="BT267" i="5"/>
  <c r="BS267" i="5"/>
  <c r="BR267" i="5"/>
  <c r="BM267" i="5"/>
  <c r="BJ267" i="5"/>
  <c r="BQ267" i="5"/>
  <c r="BI267" i="5"/>
  <c r="BG267" i="5"/>
  <c r="BK267" i="5"/>
  <c r="BH267" i="5"/>
  <c r="BF267" i="5"/>
  <c r="BE267" i="5"/>
  <c r="AZ267" i="5"/>
  <c r="BA267" i="5"/>
  <c r="BP267" i="5" s="1"/>
  <c r="AY267" i="5"/>
  <c r="BD267" i="5"/>
  <c r="AU267" i="5"/>
  <c r="BB267" i="5" s="1"/>
  <c r="AV267" i="5"/>
  <c r="BO267" i="5" s="1"/>
  <c r="CK395" i="5"/>
  <c r="CD395" i="5"/>
  <c r="CF395" i="5"/>
  <c r="CI395" i="5"/>
  <c r="CE395" i="5"/>
  <c r="BW395" i="5"/>
  <c r="BU395" i="5"/>
  <c r="CA395" i="5"/>
  <c r="CC395" i="5"/>
  <c r="BY395" i="5"/>
  <c r="BV395" i="5"/>
  <c r="BT395" i="5"/>
  <c r="BS395" i="5"/>
  <c r="BM395" i="5"/>
  <c r="BJ395" i="5"/>
  <c r="BR395" i="5"/>
  <c r="BQ395" i="5"/>
  <c r="BI395" i="5"/>
  <c r="BG395" i="5"/>
  <c r="BK395" i="5"/>
  <c r="BH395" i="5"/>
  <c r="BF395" i="5"/>
  <c r="BE395" i="5"/>
  <c r="AZ395" i="5"/>
  <c r="BA395" i="5"/>
  <c r="BP395" i="5" s="1"/>
  <c r="AY395" i="5"/>
  <c r="BD395" i="5"/>
  <c r="AU395" i="5"/>
  <c r="BN395" i="5" s="1"/>
  <c r="AV395" i="5"/>
  <c r="BC395" i="5" s="1"/>
  <c r="CK511" i="5"/>
  <c r="CI511" i="5"/>
  <c r="CE511" i="5"/>
  <c r="CC511" i="5"/>
  <c r="CD511" i="5"/>
  <c r="BV511" i="5"/>
  <c r="CF511" i="5"/>
  <c r="CA511" i="5"/>
  <c r="BW511" i="5"/>
  <c r="BY511" i="5"/>
  <c r="BU511" i="5"/>
  <c r="BT511" i="5"/>
  <c r="BS511" i="5"/>
  <c r="BR511" i="5"/>
  <c r="BQ511" i="5"/>
  <c r="BK511" i="5"/>
  <c r="BJ511" i="5"/>
  <c r="BM511" i="5"/>
  <c r="BI511" i="5"/>
  <c r="BH511" i="5"/>
  <c r="BF511" i="5"/>
  <c r="BG511" i="5"/>
  <c r="BD511" i="5"/>
  <c r="BA511" i="5"/>
  <c r="BP511" i="5" s="1"/>
  <c r="AY511" i="5"/>
  <c r="AZ511" i="5"/>
  <c r="BE511" i="5"/>
  <c r="AV511" i="5"/>
  <c r="BC511" i="5" s="1"/>
  <c r="AU511" i="5"/>
  <c r="BN511" i="5" s="1"/>
  <c r="BD13" i="5"/>
  <c r="BD173" i="5"/>
  <c r="BP181" i="5"/>
  <c r="CB181" i="5" s="1"/>
  <c r="BD205" i="5"/>
  <c r="BL269" i="5"/>
  <c r="BP269" i="5"/>
  <c r="CB269" i="5" s="1"/>
  <c r="BD86" i="5"/>
  <c r="CB86" i="5" s="1"/>
  <c r="BL182" i="5"/>
  <c r="BP278" i="5"/>
  <c r="CB278" i="5" s="1"/>
  <c r="BP414" i="5"/>
  <c r="CB414" i="5" s="1"/>
  <c r="BP209" i="5"/>
  <c r="CB209" i="5" s="1"/>
  <c r="CK179" i="5"/>
  <c r="CI179" i="5"/>
  <c r="CF179" i="5"/>
  <c r="CD179" i="5"/>
  <c r="CE179" i="5"/>
  <c r="BW179" i="5"/>
  <c r="BU179" i="5"/>
  <c r="CA179" i="5"/>
  <c r="BV179" i="5"/>
  <c r="CC179" i="5"/>
  <c r="BY179" i="5"/>
  <c r="BT179" i="5"/>
  <c r="BS179" i="5"/>
  <c r="BQ179" i="5"/>
  <c r="BR179" i="5"/>
  <c r="BM179" i="5"/>
  <c r="BK179" i="5"/>
  <c r="BJ179" i="5"/>
  <c r="BI179" i="5"/>
  <c r="BF179" i="5"/>
  <c r="AZ179" i="5"/>
  <c r="BH179" i="5"/>
  <c r="BG179" i="5"/>
  <c r="AY179" i="5"/>
  <c r="BE179" i="5"/>
  <c r="BD179" i="5"/>
  <c r="BA179" i="5"/>
  <c r="BP179" i="5" s="1"/>
  <c r="AU179" i="5"/>
  <c r="BB179" i="5" s="1"/>
  <c r="AV179" i="5"/>
  <c r="BC179" i="5" s="1"/>
  <c r="CK307" i="5"/>
  <c r="CJ307" i="5"/>
  <c r="CG307" i="5"/>
  <c r="CF307" i="5"/>
  <c r="CH307" i="5"/>
  <c r="CD307" i="5"/>
  <c r="CI307" i="5"/>
  <c r="CE307" i="5"/>
  <c r="BW307" i="5"/>
  <c r="BU307" i="5"/>
  <c r="CA307" i="5"/>
  <c r="CC307" i="5"/>
  <c r="BX307" i="5"/>
  <c r="BV307" i="5"/>
  <c r="BZ307" i="5"/>
  <c r="BY307" i="5"/>
  <c r="BT307" i="5"/>
  <c r="BS307" i="5"/>
  <c r="BQ307" i="5"/>
  <c r="BR307" i="5"/>
  <c r="BL307" i="5"/>
  <c r="BM307" i="5"/>
  <c r="BK307" i="5"/>
  <c r="BJ307" i="5"/>
  <c r="BI307" i="5"/>
  <c r="BF307" i="5"/>
  <c r="AZ307" i="5"/>
  <c r="BH307" i="5"/>
  <c r="BG307" i="5"/>
  <c r="BA307" i="5"/>
  <c r="BP307" i="5" s="1"/>
  <c r="AY307" i="5"/>
  <c r="BE307" i="5"/>
  <c r="BD307" i="5"/>
  <c r="AU307" i="5"/>
  <c r="BN307" i="5" s="1"/>
  <c r="AV307" i="5"/>
  <c r="BC307" i="5" s="1"/>
  <c r="CK435" i="5"/>
  <c r="CF435" i="5"/>
  <c r="CD435" i="5"/>
  <c r="CI435" i="5"/>
  <c r="CE435" i="5"/>
  <c r="BW435" i="5"/>
  <c r="BU435" i="5"/>
  <c r="CA435" i="5"/>
  <c r="CC435" i="5"/>
  <c r="BV435" i="5"/>
  <c r="BY435" i="5"/>
  <c r="BT435" i="5"/>
  <c r="BS435" i="5"/>
  <c r="BQ435" i="5"/>
  <c r="BR435" i="5"/>
  <c r="BM435" i="5"/>
  <c r="BK435" i="5"/>
  <c r="BJ435" i="5"/>
  <c r="BI435" i="5"/>
  <c r="BF435" i="5"/>
  <c r="AZ435" i="5"/>
  <c r="BH435" i="5"/>
  <c r="BG435" i="5"/>
  <c r="BA435" i="5"/>
  <c r="BP435" i="5" s="1"/>
  <c r="AY435" i="5"/>
  <c r="BE435" i="5"/>
  <c r="BD435" i="5"/>
  <c r="AU435" i="5"/>
  <c r="BN435" i="5" s="1"/>
  <c r="AV435" i="5"/>
  <c r="BC435" i="5" s="1"/>
  <c r="CK446" i="5"/>
  <c r="CF446" i="5"/>
  <c r="CI446" i="5"/>
  <c r="CE446" i="5"/>
  <c r="BY446" i="5"/>
  <c r="BW446" i="5"/>
  <c r="BU446" i="5"/>
  <c r="CC446" i="5"/>
  <c r="CD446" i="5"/>
  <c r="CA446" i="5"/>
  <c r="BT446" i="5"/>
  <c r="BS446" i="5"/>
  <c r="BV446" i="5"/>
  <c r="BQ446" i="5"/>
  <c r="BJ446" i="5"/>
  <c r="BK446" i="5"/>
  <c r="BR446" i="5"/>
  <c r="BM446" i="5"/>
  <c r="BD446" i="5"/>
  <c r="BI446" i="5"/>
  <c r="BE446" i="5"/>
  <c r="BH446" i="5"/>
  <c r="BG446" i="5"/>
  <c r="BF446" i="5"/>
  <c r="BA446" i="5"/>
  <c r="BP446" i="5" s="1"/>
  <c r="AV446" i="5"/>
  <c r="BC446" i="5" s="1"/>
  <c r="AZ446" i="5"/>
  <c r="AU446" i="5"/>
  <c r="BB446" i="5" s="1"/>
  <c r="AY446" i="5"/>
  <c r="CK478" i="5"/>
  <c r="CF478" i="5"/>
  <c r="CE478" i="5"/>
  <c r="BY478" i="5"/>
  <c r="CI478" i="5"/>
  <c r="BW478" i="5"/>
  <c r="BU478" i="5"/>
  <c r="CA478" i="5"/>
  <c r="CD478" i="5"/>
  <c r="CC478" i="5"/>
  <c r="BV478" i="5"/>
  <c r="BT478" i="5"/>
  <c r="BS478" i="5"/>
  <c r="BQ478" i="5"/>
  <c r="BJ478" i="5"/>
  <c r="BK478" i="5"/>
  <c r="BR478" i="5"/>
  <c r="BF478" i="5"/>
  <c r="BD478" i="5"/>
  <c r="BM478" i="5"/>
  <c r="BI478" i="5"/>
  <c r="BE478" i="5"/>
  <c r="BH478" i="5"/>
  <c r="BG478" i="5"/>
  <c r="BA478" i="5"/>
  <c r="BP478" i="5" s="1"/>
  <c r="AY478" i="5"/>
  <c r="AV478" i="5"/>
  <c r="BC478" i="5" s="1"/>
  <c r="AU478" i="5"/>
  <c r="BB478" i="5" s="1"/>
  <c r="AZ478" i="5"/>
  <c r="CJ510" i="5"/>
  <c r="CH510" i="5"/>
  <c r="CI510" i="5"/>
  <c r="CG510" i="5"/>
  <c r="CF510" i="5"/>
  <c r="CK510" i="5"/>
  <c r="BZ510" i="5"/>
  <c r="BY510" i="5"/>
  <c r="CE510" i="5"/>
  <c r="CD510" i="5"/>
  <c r="BW510" i="5"/>
  <c r="BU510" i="5"/>
  <c r="CC510" i="5"/>
  <c r="BX510" i="5"/>
  <c r="CA510" i="5"/>
  <c r="BT510" i="5"/>
  <c r="BS510" i="5"/>
  <c r="BQ510" i="5"/>
  <c r="BJ510" i="5"/>
  <c r="BV510" i="5"/>
  <c r="BK510" i="5"/>
  <c r="BR510" i="5"/>
  <c r="BL510" i="5"/>
  <c r="BF510" i="5"/>
  <c r="BD510" i="5"/>
  <c r="BM510" i="5"/>
  <c r="BI510" i="5"/>
  <c r="BE510" i="5"/>
  <c r="BH510" i="5"/>
  <c r="BG510" i="5"/>
  <c r="BA510" i="5"/>
  <c r="BP510" i="5" s="1"/>
  <c r="AZ510" i="5"/>
  <c r="AV510" i="5"/>
  <c r="BO510" i="5" s="1"/>
  <c r="AY510" i="5"/>
  <c r="AU510" i="5"/>
  <c r="BN510" i="5" s="1"/>
  <c r="CK488" i="5"/>
  <c r="CI488" i="5"/>
  <c r="CD488" i="5"/>
  <c r="CF488" i="5"/>
  <c r="CE488" i="5"/>
  <c r="CC488" i="5"/>
  <c r="BV488" i="5"/>
  <c r="CA488" i="5"/>
  <c r="BY488" i="5"/>
  <c r="BW488" i="5"/>
  <c r="BT488" i="5"/>
  <c r="BR488" i="5"/>
  <c r="BS488" i="5"/>
  <c r="BQ488" i="5"/>
  <c r="BU488" i="5"/>
  <c r="BH488" i="5"/>
  <c r="BI488" i="5"/>
  <c r="BG488" i="5"/>
  <c r="BM488" i="5"/>
  <c r="BK488" i="5"/>
  <c r="BJ488" i="5"/>
  <c r="BF488" i="5"/>
  <c r="BE488" i="5"/>
  <c r="BD488" i="5"/>
  <c r="BA488" i="5"/>
  <c r="BP488" i="5" s="1"/>
  <c r="AZ488" i="5"/>
  <c r="AY488" i="5"/>
  <c r="AU488" i="5"/>
  <c r="BB488" i="5" s="1"/>
  <c r="AV488" i="5"/>
  <c r="BC488" i="5" s="1"/>
  <c r="BC145" i="5"/>
  <c r="BD177" i="5"/>
  <c r="CB177" i="5" s="1"/>
  <c r="BC185" i="5"/>
  <c r="BL193" i="5"/>
  <c r="CK143" i="5"/>
  <c r="CF143" i="5"/>
  <c r="CC143" i="5"/>
  <c r="CE143" i="5"/>
  <c r="CI143" i="5"/>
  <c r="BV143" i="5"/>
  <c r="CD143" i="5"/>
  <c r="BW143" i="5"/>
  <c r="CA143" i="5"/>
  <c r="BY143" i="5"/>
  <c r="BU143" i="5"/>
  <c r="BT143" i="5"/>
  <c r="BS143" i="5"/>
  <c r="BR143" i="5"/>
  <c r="BQ143" i="5"/>
  <c r="BM143" i="5"/>
  <c r="BK143" i="5"/>
  <c r="BJ143" i="5"/>
  <c r="BI143" i="5"/>
  <c r="BF143" i="5"/>
  <c r="BH143" i="5"/>
  <c r="BG143" i="5"/>
  <c r="AY143" i="5"/>
  <c r="BE143" i="5"/>
  <c r="BD143" i="5"/>
  <c r="AZ143" i="5"/>
  <c r="BA143" i="5"/>
  <c r="BP143" i="5" s="1"/>
  <c r="AV143" i="5"/>
  <c r="BC143" i="5" s="1"/>
  <c r="AU143" i="5"/>
  <c r="BN143" i="5" s="1"/>
  <c r="CK360" i="5"/>
  <c r="CI360" i="5"/>
  <c r="CF360" i="5"/>
  <c r="CD360" i="5"/>
  <c r="CE360" i="5"/>
  <c r="CC360" i="5"/>
  <c r="BV360" i="5"/>
  <c r="CA360" i="5"/>
  <c r="BY360" i="5"/>
  <c r="BW360" i="5"/>
  <c r="BT360" i="5"/>
  <c r="BR360" i="5"/>
  <c r="BS360" i="5"/>
  <c r="BQ360" i="5"/>
  <c r="BU360" i="5"/>
  <c r="BH360" i="5"/>
  <c r="BF360" i="5"/>
  <c r="BI360" i="5"/>
  <c r="BG360" i="5"/>
  <c r="BM360" i="5"/>
  <c r="BK360" i="5"/>
  <c r="BJ360" i="5"/>
  <c r="BD360" i="5"/>
  <c r="BE360" i="5"/>
  <c r="BA360" i="5"/>
  <c r="BP360" i="5" s="1"/>
  <c r="AZ360" i="5"/>
  <c r="AY360" i="5"/>
  <c r="AU360" i="5"/>
  <c r="BB360" i="5" s="1"/>
  <c r="AV360" i="5"/>
  <c r="BO360" i="5" s="1"/>
  <c r="BO65" i="5"/>
  <c r="BP289" i="5"/>
  <c r="CB289" i="5" s="1"/>
  <c r="CK119" i="5"/>
  <c r="CJ119" i="5"/>
  <c r="CG119" i="5"/>
  <c r="CI119" i="5"/>
  <c r="CC119" i="5"/>
  <c r="CE119" i="5"/>
  <c r="CF119" i="5"/>
  <c r="BV119" i="5"/>
  <c r="CH119" i="5"/>
  <c r="CD119" i="5"/>
  <c r="BY119" i="5"/>
  <c r="BU119" i="5"/>
  <c r="BZ119" i="5"/>
  <c r="BX119" i="5"/>
  <c r="CA119" i="5"/>
  <c r="BW119" i="5"/>
  <c r="BS119" i="5"/>
  <c r="BT119" i="5"/>
  <c r="BR119" i="5"/>
  <c r="BL119" i="5"/>
  <c r="BK119" i="5"/>
  <c r="BQ119" i="5"/>
  <c r="BM119" i="5"/>
  <c r="BI119" i="5"/>
  <c r="BH119" i="5"/>
  <c r="BJ119" i="5"/>
  <c r="AY119" i="5"/>
  <c r="BG119" i="5"/>
  <c r="BF119" i="5"/>
  <c r="AZ119" i="5"/>
  <c r="BE119" i="5"/>
  <c r="BD119" i="5"/>
  <c r="BA119" i="5"/>
  <c r="BP119" i="5" s="1"/>
  <c r="AV119" i="5"/>
  <c r="BO119" i="5" s="1"/>
  <c r="AU119" i="5"/>
  <c r="BN119" i="5" s="1"/>
  <c r="CK247" i="5"/>
  <c r="CI247" i="5"/>
  <c r="CC247" i="5"/>
  <c r="BV247" i="5"/>
  <c r="CE247" i="5"/>
  <c r="CF247" i="5"/>
  <c r="CD247" i="5"/>
  <c r="BY247" i="5"/>
  <c r="BU247" i="5"/>
  <c r="CA247" i="5"/>
  <c r="BW247" i="5"/>
  <c r="BS247" i="5"/>
  <c r="BT247" i="5"/>
  <c r="BR247" i="5"/>
  <c r="BK247" i="5"/>
  <c r="BQ247" i="5"/>
  <c r="BM247" i="5"/>
  <c r="BI247" i="5"/>
  <c r="BH247" i="5"/>
  <c r="BJ247" i="5"/>
  <c r="AY247" i="5"/>
  <c r="BG247" i="5"/>
  <c r="BF247" i="5"/>
  <c r="AZ247" i="5"/>
  <c r="BE247" i="5"/>
  <c r="BD247" i="5"/>
  <c r="BA247" i="5"/>
  <c r="BP247" i="5" s="1"/>
  <c r="AV247" i="5"/>
  <c r="BO247" i="5" s="1"/>
  <c r="AU247" i="5"/>
  <c r="BN247" i="5" s="1"/>
  <c r="CK375" i="5"/>
  <c r="CI375" i="5"/>
  <c r="CE375" i="5"/>
  <c r="CC375" i="5"/>
  <c r="CF375" i="5"/>
  <c r="BV375" i="5"/>
  <c r="CD375" i="5"/>
  <c r="BY375" i="5"/>
  <c r="BU375" i="5"/>
  <c r="CA375" i="5"/>
  <c r="BW375" i="5"/>
  <c r="BT375" i="5"/>
  <c r="BS375" i="5"/>
  <c r="BR375" i="5"/>
  <c r="BK375" i="5"/>
  <c r="BQ375" i="5"/>
  <c r="BM375" i="5"/>
  <c r="BI375" i="5"/>
  <c r="BH375" i="5"/>
  <c r="BJ375" i="5"/>
  <c r="BA375" i="5"/>
  <c r="BP375" i="5" s="1"/>
  <c r="AY375" i="5"/>
  <c r="BG375" i="5"/>
  <c r="BF375" i="5"/>
  <c r="AZ375" i="5"/>
  <c r="BE375" i="5"/>
  <c r="BD375" i="5"/>
  <c r="AV375" i="5"/>
  <c r="BC375" i="5" s="1"/>
  <c r="AU375" i="5"/>
  <c r="BN375" i="5" s="1"/>
  <c r="CK503" i="5"/>
  <c r="CE503" i="5"/>
  <c r="CC503" i="5"/>
  <c r="CI503" i="5"/>
  <c r="BV503" i="5"/>
  <c r="CF503" i="5"/>
  <c r="CD503" i="5"/>
  <c r="BY503" i="5"/>
  <c r="BU503" i="5"/>
  <c r="CA503" i="5"/>
  <c r="BW503" i="5"/>
  <c r="BT503" i="5"/>
  <c r="BS503" i="5"/>
  <c r="BR503" i="5"/>
  <c r="BK503" i="5"/>
  <c r="BQ503" i="5"/>
  <c r="BM503" i="5"/>
  <c r="BH503" i="5"/>
  <c r="BJ503" i="5"/>
  <c r="BF503" i="5"/>
  <c r="BA503" i="5"/>
  <c r="BP503" i="5" s="1"/>
  <c r="AY503" i="5"/>
  <c r="BI503" i="5"/>
  <c r="BG503" i="5"/>
  <c r="AZ503" i="5"/>
  <c r="BE503" i="5"/>
  <c r="BD503" i="5"/>
  <c r="AV503" i="5"/>
  <c r="BC503" i="5" s="1"/>
  <c r="AU503" i="5"/>
  <c r="BB503" i="5" s="1"/>
  <c r="BN89" i="5"/>
  <c r="BZ89" i="5" s="1"/>
  <c r="BC97" i="5"/>
  <c r="CK369" i="5"/>
  <c r="CI369" i="5"/>
  <c r="CF369" i="5"/>
  <c r="CD369" i="5"/>
  <c r="CE369" i="5"/>
  <c r="BY369" i="5"/>
  <c r="CA369" i="5"/>
  <c r="CC369" i="5"/>
  <c r="BU369" i="5"/>
  <c r="BV369" i="5"/>
  <c r="BW369" i="5"/>
  <c r="BM369" i="5"/>
  <c r="BT369" i="5"/>
  <c r="BS369" i="5"/>
  <c r="BQ369" i="5"/>
  <c r="BR369" i="5"/>
  <c r="BK369" i="5"/>
  <c r="BJ369" i="5"/>
  <c r="BI369" i="5"/>
  <c r="BG369" i="5"/>
  <c r="BH369" i="5"/>
  <c r="BF369" i="5"/>
  <c r="BD369" i="5"/>
  <c r="BA369" i="5"/>
  <c r="BP369" i="5" s="1"/>
  <c r="BE369" i="5"/>
  <c r="AY369" i="5"/>
  <c r="AZ369" i="5"/>
  <c r="AV369" i="5"/>
  <c r="BO369" i="5" s="1"/>
  <c r="AU369" i="5"/>
  <c r="BB369" i="5" s="1"/>
  <c r="CK401" i="5"/>
  <c r="CF401" i="5"/>
  <c r="CI401" i="5"/>
  <c r="CD401" i="5"/>
  <c r="BY401" i="5"/>
  <c r="CE401" i="5"/>
  <c r="CC401" i="5"/>
  <c r="CA401" i="5"/>
  <c r="BU401" i="5"/>
  <c r="BV401" i="5"/>
  <c r="BW401" i="5"/>
  <c r="BM401" i="5"/>
  <c r="BT401" i="5"/>
  <c r="BS401" i="5"/>
  <c r="BR401" i="5"/>
  <c r="BQ401" i="5"/>
  <c r="BK401" i="5"/>
  <c r="BJ401" i="5"/>
  <c r="BI401" i="5"/>
  <c r="BG401" i="5"/>
  <c r="BH401" i="5"/>
  <c r="BF401" i="5"/>
  <c r="BD401" i="5"/>
  <c r="BE401" i="5"/>
  <c r="AY401" i="5"/>
  <c r="AZ401" i="5"/>
  <c r="BA401" i="5"/>
  <c r="BP401" i="5" s="1"/>
  <c r="AV401" i="5"/>
  <c r="BC401" i="5" s="1"/>
  <c r="AU401" i="5"/>
  <c r="BB401" i="5" s="1"/>
  <c r="CK433" i="5"/>
  <c r="CF433" i="5"/>
  <c r="CI433" i="5"/>
  <c r="CD433" i="5"/>
  <c r="CE433" i="5"/>
  <c r="BY433" i="5"/>
  <c r="CC433" i="5"/>
  <c r="BU433" i="5"/>
  <c r="CA433" i="5"/>
  <c r="BW433" i="5"/>
  <c r="BV433" i="5"/>
  <c r="BM433" i="5"/>
  <c r="BT433" i="5"/>
  <c r="BS433" i="5"/>
  <c r="BR433" i="5"/>
  <c r="BQ433" i="5"/>
  <c r="BK433" i="5"/>
  <c r="BJ433" i="5"/>
  <c r="BG433" i="5"/>
  <c r="BI433" i="5"/>
  <c r="BH433" i="5"/>
  <c r="BF433" i="5"/>
  <c r="BD433" i="5"/>
  <c r="BE433" i="5"/>
  <c r="AY433" i="5"/>
  <c r="BA433" i="5"/>
  <c r="BP433" i="5" s="1"/>
  <c r="AZ433" i="5"/>
  <c r="AV433" i="5"/>
  <c r="BC433" i="5" s="1"/>
  <c r="AU433" i="5"/>
  <c r="BB433" i="5" s="1"/>
  <c r="CK465" i="5"/>
  <c r="CF465" i="5"/>
  <c r="CI465" i="5"/>
  <c r="CD465" i="5"/>
  <c r="CE465" i="5"/>
  <c r="BY465" i="5"/>
  <c r="BU465" i="5"/>
  <c r="CA465" i="5"/>
  <c r="CC465" i="5"/>
  <c r="BW465" i="5"/>
  <c r="BV465" i="5"/>
  <c r="BM465" i="5"/>
  <c r="BT465" i="5"/>
  <c r="BS465" i="5"/>
  <c r="BR465" i="5"/>
  <c r="BQ465" i="5"/>
  <c r="BK465" i="5"/>
  <c r="BJ465" i="5"/>
  <c r="BG465" i="5"/>
  <c r="BF465" i="5"/>
  <c r="BI465" i="5"/>
  <c r="BH465" i="5"/>
  <c r="BE465" i="5"/>
  <c r="BD465" i="5"/>
  <c r="AY465" i="5"/>
  <c r="AZ465" i="5"/>
  <c r="BA465" i="5"/>
  <c r="BP465" i="5" s="1"/>
  <c r="AV465" i="5"/>
  <c r="BO465" i="5" s="1"/>
  <c r="AU465" i="5"/>
  <c r="BB465" i="5" s="1"/>
  <c r="CK497" i="5"/>
  <c r="CI497" i="5"/>
  <c r="CD497" i="5"/>
  <c r="CF497" i="5"/>
  <c r="CE497" i="5"/>
  <c r="BY497" i="5"/>
  <c r="CC497" i="5"/>
  <c r="CA497" i="5"/>
  <c r="BU497" i="5"/>
  <c r="BW497" i="5"/>
  <c r="BV497" i="5"/>
  <c r="BM497" i="5"/>
  <c r="BT497" i="5"/>
  <c r="BS497" i="5"/>
  <c r="BQ497" i="5"/>
  <c r="BR497" i="5"/>
  <c r="BK497" i="5"/>
  <c r="BJ497" i="5"/>
  <c r="BG497" i="5"/>
  <c r="BI497" i="5"/>
  <c r="BH497" i="5"/>
  <c r="BF497" i="5"/>
  <c r="BD497" i="5"/>
  <c r="BE497" i="5"/>
  <c r="AY497" i="5"/>
  <c r="BA497" i="5"/>
  <c r="BP497" i="5" s="1"/>
  <c r="AZ497" i="5"/>
  <c r="AV497" i="5"/>
  <c r="BO497" i="5" s="1"/>
  <c r="AU497" i="5"/>
  <c r="BB497" i="5" s="1"/>
  <c r="CK529" i="5"/>
  <c r="CI529" i="5"/>
  <c r="CD529" i="5"/>
  <c r="CF529" i="5"/>
  <c r="BY529" i="5"/>
  <c r="CC529" i="5"/>
  <c r="CE529" i="5"/>
  <c r="BU529" i="5"/>
  <c r="CA529" i="5"/>
  <c r="BW529" i="5"/>
  <c r="BM529" i="5"/>
  <c r="BV529" i="5"/>
  <c r="BT529" i="5"/>
  <c r="BS529" i="5"/>
  <c r="BR529" i="5"/>
  <c r="BQ529" i="5"/>
  <c r="BK529" i="5"/>
  <c r="BJ529" i="5"/>
  <c r="BG529" i="5"/>
  <c r="BI529" i="5"/>
  <c r="BH529" i="5"/>
  <c r="BF529" i="5"/>
  <c r="BE529" i="5"/>
  <c r="BD529" i="5"/>
  <c r="AY529" i="5"/>
  <c r="AZ529" i="5"/>
  <c r="BA529" i="5"/>
  <c r="BP529" i="5" s="1"/>
  <c r="AV529" i="5"/>
  <c r="BC529" i="5" s="1"/>
  <c r="AU529" i="5"/>
  <c r="BB529" i="5" s="1"/>
  <c r="BL162" i="5"/>
  <c r="CK233" i="5"/>
  <c r="CI233" i="5"/>
  <c r="CF233" i="5"/>
  <c r="CE233" i="5"/>
  <c r="BY233" i="5"/>
  <c r="CC233" i="5"/>
  <c r="BW233" i="5"/>
  <c r="BT233" i="5"/>
  <c r="CD233" i="5"/>
  <c r="CA233" i="5"/>
  <c r="BV233" i="5"/>
  <c r="BU233" i="5"/>
  <c r="BS233" i="5"/>
  <c r="BQ233" i="5"/>
  <c r="BM233" i="5"/>
  <c r="BR233" i="5"/>
  <c r="BK233" i="5"/>
  <c r="BJ233" i="5"/>
  <c r="BI233" i="5"/>
  <c r="BE233" i="5"/>
  <c r="BD233" i="5"/>
  <c r="BH233" i="5"/>
  <c r="BG233" i="5"/>
  <c r="BF233" i="5"/>
  <c r="BA233" i="5"/>
  <c r="BP233" i="5" s="1"/>
  <c r="AZ233" i="5"/>
  <c r="AY233" i="5"/>
  <c r="AU233" i="5"/>
  <c r="BN233" i="5" s="1"/>
  <c r="AV233" i="5"/>
  <c r="BC233" i="5" s="1"/>
  <c r="CK345" i="5"/>
  <c r="CF345" i="5"/>
  <c r="CD345" i="5"/>
  <c r="CI345" i="5"/>
  <c r="CC345" i="5"/>
  <c r="BY345" i="5"/>
  <c r="CE345" i="5"/>
  <c r="BW345" i="5"/>
  <c r="CA345" i="5"/>
  <c r="BV345" i="5"/>
  <c r="BU345" i="5"/>
  <c r="BM345" i="5"/>
  <c r="BT345" i="5"/>
  <c r="BS345" i="5"/>
  <c r="BQ345" i="5"/>
  <c r="BR345" i="5"/>
  <c r="BK345" i="5"/>
  <c r="BI345" i="5"/>
  <c r="BJ345" i="5"/>
  <c r="BH345" i="5"/>
  <c r="BG345" i="5"/>
  <c r="BF345" i="5"/>
  <c r="BE345" i="5"/>
  <c r="BD345" i="5"/>
  <c r="BA345" i="5"/>
  <c r="BP345" i="5" s="1"/>
  <c r="AZ345" i="5"/>
  <c r="AY345" i="5"/>
  <c r="AU345" i="5"/>
  <c r="BN345" i="5" s="1"/>
  <c r="AV345" i="5"/>
  <c r="BO345" i="5" s="1"/>
  <c r="BN66" i="5"/>
  <c r="BZ66" i="5" s="1"/>
  <c r="BL82" i="5"/>
  <c r="BL90" i="5"/>
  <c r="BB130" i="5"/>
  <c r="BZ130" i="5" s="1"/>
  <c r="BB138" i="5"/>
  <c r="BN154" i="5"/>
  <c r="BZ154" i="5" s="1"/>
  <c r="BX154" i="5"/>
  <c r="BX178" i="5"/>
  <c r="CB194" i="5"/>
  <c r="BN210" i="5"/>
  <c r="BZ210" i="5" s="1"/>
  <c r="BL242" i="5"/>
  <c r="BL266" i="5"/>
  <c r="BB290" i="5"/>
  <c r="BZ290" i="5" s="1"/>
  <c r="BB298" i="5"/>
  <c r="BZ298" i="5" s="1"/>
  <c r="BN306" i="5"/>
  <c r="BZ306" i="5" s="1"/>
  <c r="BL330" i="5"/>
  <c r="BL402" i="5"/>
  <c r="BB418" i="5"/>
  <c r="BZ418" i="5" s="1"/>
  <c r="CB426" i="5"/>
  <c r="BN466" i="5"/>
  <c r="BZ466" i="5" s="1"/>
  <c r="BB474" i="5"/>
  <c r="BZ474" i="5" s="1"/>
  <c r="BO482" i="5"/>
  <c r="BX514" i="5"/>
  <c r="BB554" i="5"/>
  <c r="BZ554" i="5" s="1"/>
  <c r="CK69" i="5"/>
  <c r="CI69" i="5"/>
  <c r="CG69" i="5"/>
  <c r="CF69" i="5"/>
  <c r="CE69" i="5"/>
  <c r="CD69" i="5"/>
  <c r="CA69" i="5"/>
  <c r="CC69" i="5"/>
  <c r="BT69" i="5"/>
  <c r="BY69" i="5"/>
  <c r="BW69" i="5"/>
  <c r="BV69" i="5"/>
  <c r="BM69" i="5"/>
  <c r="BU69" i="5"/>
  <c r="BS69" i="5"/>
  <c r="BR69" i="5"/>
  <c r="BQ69" i="5"/>
  <c r="BJ69" i="5"/>
  <c r="BK69" i="5"/>
  <c r="BI69" i="5"/>
  <c r="BF69" i="5"/>
  <c r="BH69" i="5"/>
  <c r="BG69" i="5"/>
  <c r="BA69" i="5"/>
  <c r="BP69" i="5" s="1"/>
  <c r="BE69" i="5"/>
  <c r="BD69" i="5"/>
  <c r="AZ69" i="5"/>
  <c r="AY69" i="5"/>
  <c r="AU69" i="5"/>
  <c r="BB69" i="5" s="1"/>
  <c r="AV69" i="5"/>
  <c r="BO69" i="5" s="1"/>
  <c r="CI197" i="5"/>
  <c r="CK197" i="5"/>
  <c r="CF197" i="5"/>
  <c r="CE197" i="5"/>
  <c r="CD197" i="5"/>
  <c r="CA197" i="5"/>
  <c r="CC197" i="5"/>
  <c r="BT197" i="5"/>
  <c r="BY197" i="5"/>
  <c r="BV197" i="5"/>
  <c r="BW197" i="5"/>
  <c r="BU197" i="5"/>
  <c r="BS197" i="5"/>
  <c r="BR197" i="5"/>
  <c r="BM197" i="5"/>
  <c r="BQ197" i="5"/>
  <c r="BJ197" i="5"/>
  <c r="BK197" i="5"/>
  <c r="BI197" i="5"/>
  <c r="BF197" i="5"/>
  <c r="BH197" i="5"/>
  <c r="BG197" i="5"/>
  <c r="BA197" i="5"/>
  <c r="BP197" i="5" s="1"/>
  <c r="BE197" i="5"/>
  <c r="BD197" i="5"/>
  <c r="AZ197" i="5"/>
  <c r="AY197" i="5"/>
  <c r="AU197" i="5"/>
  <c r="BN197" i="5" s="1"/>
  <c r="AV197" i="5"/>
  <c r="BO197" i="5" s="1"/>
  <c r="CK309" i="5"/>
  <c r="CI309" i="5"/>
  <c r="CF309" i="5"/>
  <c r="CD309" i="5"/>
  <c r="CC309" i="5"/>
  <c r="CE309" i="5"/>
  <c r="CA309" i="5"/>
  <c r="BY309" i="5"/>
  <c r="BV309" i="5"/>
  <c r="BW309" i="5"/>
  <c r="BT309" i="5"/>
  <c r="BS309" i="5"/>
  <c r="BR309" i="5"/>
  <c r="BU309" i="5"/>
  <c r="BM309" i="5"/>
  <c r="BJ309" i="5"/>
  <c r="BQ309" i="5"/>
  <c r="BI309" i="5"/>
  <c r="BF309" i="5"/>
  <c r="BK309" i="5"/>
  <c r="BG309" i="5"/>
  <c r="BE309" i="5"/>
  <c r="BH309" i="5"/>
  <c r="BA309" i="5"/>
  <c r="BP309" i="5" s="1"/>
  <c r="BD309" i="5"/>
  <c r="AZ309" i="5"/>
  <c r="AY309" i="5"/>
  <c r="AU309" i="5"/>
  <c r="BB309" i="5" s="1"/>
  <c r="AV309" i="5"/>
  <c r="BC309" i="5" s="1"/>
  <c r="CK78" i="5"/>
  <c r="CK562" i="5" s="1"/>
  <c r="CK563" i="5" s="1"/>
  <c r="CJ78" i="5"/>
  <c r="CI78" i="5"/>
  <c r="CI562" i="5" s="1"/>
  <c r="CI563" i="5" s="1"/>
  <c r="CG78" i="5"/>
  <c r="CF78" i="5"/>
  <c r="CF562" i="5" s="1"/>
  <c r="CF563" i="5" s="1"/>
  <c r="CH78" i="5"/>
  <c r="CE78" i="5"/>
  <c r="CE562" i="5" s="1"/>
  <c r="CE563" i="5" s="1"/>
  <c r="CD78" i="5"/>
  <c r="CD562" i="5" s="1"/>
  <c r="CD563" i="5" s="1"/>
  <c r="BZ78" i="5"/>
  <c r="BX78" i="5"/>
  <c r="CC78" i="5"/>
  <c r="CC562" i="5" s="1"/>
  <c r="CC563" i="5" s="1"/>
  <c r="BW78" i="5"/>
  <c r="BW562" i="5" s="1"/>
  <c r="BW563" i="5" s="1"/>
  <c r="BU78" i="5"/>
  <c r="BU562" i="5" s="1"/>
  <c r="BU563" i="5" s="1"/>
  <c r="CA78" i="5"/>
  <c r="CA562" i="5" s="1"/>
  <c r="CA563" i="5" s="1"/>
  <c r="BV78" i="5"/>
  <c r="BV562" i="5" s="1"/>
  <c r="BV563" i="5" s="1"/>
  <c r="BY78" i="5"/>
  <c r="BY562" i="5" s="1"/>
  <c r="BY563" i="5" s="1"/>
  <c r="BT78" i="5"/>
  <c r="BT562" i="5" s="1"/>
  <c r="BT563" i="5" s="1"/>
  <c r="BJ78" i="5"/>
  <c r="BJ562" i="5" s="1"/>
  <c r="BJ563" i="5" s="1"/>
  <c r="BS78" i="5"/>
  <c r="BS562" i="5" s="1"/>
  <c r="BS563" i="5" s="1"/>
  <c r="BQ78" i="5"/>
  <c r="BQ562" i="5" s="1"/>
  <c r="BQ563" i="5" s="1"/>
  <c r="BK78" i="5"/>
  <c r="BK562" i="5" s="1"/>
  <c r="BK563" i="5" s="1"/>
  <c r="BR78" i="5"/>
  <c r="BR562" i="5" s="1"/>
  <c r="BR563" i="5" s="1"/>
  <c r="BM78" i="5"/>
  <c r="BM562" i="5" s="1"/>
  <c r="BM563" i="5" s="1"/>
  <c r="BI78" i="5"/>
  <c r="BI562" i="5" s="1"/>
  <c r="BI563" i="5" s="1"/>
  <c r="BD78" i="5"/>
  <c r="BL78" i="5"/>
  <c r="BE78" i="5"/>
  <c r="BE562" i="5" s="1"/>
  <c r="BE563" i="5" s="1"/>
  <c r="BA78" i="5"/>
  <c r="BP78" i="5" s="1"/>
  <c r="BH78" i="5"/>
  <c r="BH562" i="5" s="1"/>
  <c r="BH563" i="5" s="1"/>
  <c r="BG78" i="5"/>
  <c r="BG562" i="5" s="1"/>
  <c r="BG563" i="5" s="1"/>
  <c r="BF78" i="5"/>
  <c r="BF562" i="5" s="1"/>
  <c r="BF563" i="5" s="1"/>
  <c r="AV78" i="5"/>
  <c r="AV562" i="5" s="1"/>
  <c r="AV563" i="5" s="1"/>
  <c r="AZ78" i="5"/>
  <c r="AZ562" i="5" s="1"/>
  <c r="AZ563" i="5" s="1"/>
  <c r="AU78" i="5"/>
  <c r="BN78" i="5" s="1"/>
  <c r="AY78" i="5"/>
  <c r="AY562" i="5" s="1"/>
  <c r="AY563" i="5" s="1"/>
  <c r="CK166" i="5"/>
  <c r="CF166" i="5"/>
  <c r="CI166" i="5"/>
  <c r="CE166" i="5"/>
  <c r="CD166" i="5"/>
  <c r="BY166" i="5"/>
  <c r="BW166" i="5"/>
  <c r="BU166" i="5"/>
  <c r="CA166" i="5"/>
  <c r="CC166" i="5"/>
  <c r="BT166" i="5"/>
  <c r="BV166" i="5"/>
  <c r="BR166" i="5"/>
  <c r="BJ166" i="5"/>
  <c r="BS166" i="5"/>
  <c r="BK166" i="5"/>
  <c r="BQ166" i="5"/>
  <c r="BM166" i="5"/>
  <c r="BD166" i="5"/>
  <c r="BI166" i="5"/>
  <c r="BG166" i="5"/>
  <c r="BE166" i="5"/>
  <c r="BA166" i="5"/>
  <c r="BP166" i="5" s="1"/>
  <c r="BF166" i="5"/>
  <c r="BH166" i="5"/>
  <c r="AZ166" i="5"/>
  <c r="AY166" i="5"/>
  <c r="AV166" i="5"/>
  <c r="BC166" i="5" s="1"/>
  <c r="AU166" i="5"/>
  <c r="BB166" i="5" s="1"/>
  <c r="CI254" i="5"/>
  <c r="CK254" i="5"/>
  <c r="CF254" i="5"/>
  <c r="CG254" i="5"/>
  <c r="CE254" i="5"/>
  <c r="CH254" i="5"/>
  <c r="CJ254" i="5"/>
  <c r="BZ254" i="5"/>
  <c r="BY254" i="5"/>
  <c r="CD254" i="5"/>
  <c r="BW254" i="5"/>
  <c r="BU254" i="5"/>
  <c r="CA254" i="5"/>
  <c r="BX254" i="5"/>
  <c r="CC254" i="5"/>
  <c r="BV254" i="5"/>
  <c r="BS254" i="5"/>
  <c r="BT254" i="5"/>
  <c r="BQ254" i="5"/>
  <c r="BJ254" i="5"/>
  <c r="BL254" i="5"/>
  <c r="BK254" i="5"/>
  <c r="BR254" i="5"/>
  <c r="BD254" i="5"/>
  <c r="BM254" i="5"/>
  <c r="BI254" i="5"/>
  <c r="BE254" i="5"/>
  <c r="BA254" i="5"/>
  <c r="BP254" i="5" s="1"/>
  <c r="BH254" i="5"/>
  <c r="BG254" i="5"/>
  <c r="BF254" i="5"/>
  <c r="AV254" i="5"/>
  <c r="BC254" i="5" s="1"/>
  <c r="AY254" i="5"/>
  <c r="AU254" i="5"/>
  <c r="BN254" i="5" s="1"/>
  <c r="AZ254" i="5"/>
  <c r="CK326" i="5"/>
  <c r="CF326" i="5"/>
  <c r="CJ326" i="5"/>
  <c r="CI326" i="5"/>
  <c r="CG326" i="5"/>
  <c r="CH326" i="5"/>
  <c r="CD326" i="5"/>
  <c r="BZ326" i="5"/>
  <c r="BY326" i="5"/>
  <c r="CE326" i="5"/>
  <c r="BW326" i="5"/>
  <c r="BU326" i="5"/>
  <c r="CA326" i="5"/>
  <c r="CC326" i="5"/>
  <c r="BX326" i="5"/>
  <c r="BV326" i="5"/>
  <c r="BR326" i="5"/>
  <c r="BJ326" i="5"/>
  <c r="BT326" i="5"/>
  <c r="BS326" i="5"/>
  <c r="BK326" i="5"/>
  <c r="BQ326" i="5"/>
  <c r="BM326" i="5"/>
  <c r="BD326" i="5"/>
  <c r="BI326" i="5"/>
  <c r="BL326" i="5"/>
  <c r="BG326" i="5"/>
  <c r="BE326" i="5"/>
  <c r="BH326" i="5"/>
  <c r="BF326" i="5"/>
  <c r="BA326" i="5"/>
  <c r="BP326" i="5" s="1"/>
  <c r="AY326" i="5"/>
  <c r="AV326" i="5"/>
  <c r="BC326" i="5" s="1"/>
  <c r="AZ326" i="5"/>
  <c r="AU326" i="5"/>
  <c r="BN326" i="5" s="1"/>
  <c r="CK390" i="5"/>
  <c r="CF390" i="5"/>
  <c r="CI390" i="5"/>
  <c r="CD390" i="5"/>
  <c r="CE390" i="5"/>
  <c r="BY390" i="5"/>
  <c r="BW390" i="5"/>
  <c r="BU390" i="5"/>
  <c r="CA390" i="5"/>
  <c r="CC390" i="5"/>
  <c r="BV390" i="5"/>
  <c r="BJ390" i="5"/>
  <c r="BT390" i="5"/>
  <c r="BS390" i="5"/>
  <c r="BK390" i="5"/>
  <c r="BR390" i="5"/>
  <c r="BQ390" i="5"/>
  <c r="BM390" i="5"/>
  <c r="BD390" i="5"/>
  <c r="BI390" i="5"/>
  <c r="BG390" i="5"/>
  <c r="BE390" i="5"/>
  <c r="BH390" i="5"/>
  <c r="BF390" i="5"/>
  <c r="AY390" i="5"/>
  <c r="BA390" i="5"/>
  <c r="BP390" i="5" s="1"/>
  <c r="AV390" i="5"/>
  <c r="BO390" i="5" s="1"/>
  <c r="AU390" i="5"/>
  <c r="BB390" i="5" s="1"/>
  <c r="AZ390" i="5"/>
  <c r="CB132" i="5"/>
  <c r="BX171" i="5"/>
  <c r="BC452" i="5"/>
  <c r="CB479" i="5"/>
  <c r="BC516" i="5"/>
  <c r="BB555" i="5"/>
  <c r="BZ555" i="5" s="1"/>
  <c r="BD257" i="5"/>
  <c r="CK7" i="5"/>
  <c r="CI7" i="5"/>
  <c r="CE7" i="5"/>
  <c r="CC7" i="5"/>
  <c r="CF7" i="5"/>
  <c r="CD7" i="5"/>
  <c r="BV7" i="5"/>
  <c r="BT7" i="5"/>
  <c r="BU7" i="5"/>
  <c r="BY7" i="5"/>
  <c r="CA7" i="5"/>
  <c r="BW7" i="5"/>
  <c r="BS7" i="5"/>
  <c r="BR7" i="5"/>
  <c r="BQ7" i="5"/>
  <c r="BM7" i="5"/>
  <c r="BK7" i="5"/>
  <c r="BJ7" i="5"/>
  <c r="BI7" i="5"/>
  <c r="BH7" i="5"/>
  <c r="BE7" i="5"/>
  <c r="AY7" i="5"/>
  <c r="BG7" i="5"/>
  <c r="BF7" i="5"/>
  <c r="AZ7" i="5"/>
  <c r="BD7" i="5"/>
  <c r="BA7" i="5"/>
  <c r="BP7" i="5" s="1"/>
  <c r="AV7" i="5"/>
  <c r="BO7" i="5" s="1"/>
  <c r="AU7" i="5"/>
  <c r="BN7" i="5" s="1"/>
  <c r="CK135" i="5"/>
  <c r="CE135" i="5"/>
  <c r="CC135" i="5"/>
  <c r="CI135" i="5"/>
  <c r="CF135" i="5"/>
  <c r="CD135" i="5"/>
  <c r="BV135" i="5"/>
  <c r="CA135" i="5"/>
  <c r="BU135" i="5"/>
  <c r="BY135" i="5"/>
  <c r="BW135" i="5"/>
  <c r="BT135" i="5"/>
  <c r="BS135" i="5"/>
  <c r="BQ135" i="5"/>
  <c r="BR135" i="5"/>
  <c r="BK135" i="5"/>
  <c r="BM135" i="5"/>
  <c r="BJ135" i="5"/>
  <c r="BI135" i="5"/>
  <c r="BH135" i="5"/>
  <c r="AY135" i="5"/>
  <c r="BG135" i="5"/>
  <c r="BF135" i="5"/>
  <c r="AZ135" i="5"/>
  <c r="BD135" i="5"/>
  <c r="BA135" i="5"/>
  <c r="BP135" i="5" s="1"/>
  <c r="BE135" i="5"/>
  <c r="AV135" i="5"/>
  <c r="BC135" i="5" s="1"/>
  <c r="AU135" i="5"/>
  <c r="BN135" i="5" s="1"/>
  <c r="CK263" i="5"/>
  <c r="CI263" i="5"/>
  <c r="CE263" i="5"/>
  <c r="CC263" i="5"/>
  <c r="CF263" i="5"/>
  <c r="CD263" i="5"/>
  <c r="BV263" i="5"/>
  <c r="BU263" i="5"/>
  <c r="BY263" i="5"/>
  <c r="CA263" i="5"/>
  <c r="BW263" i="5"/>
  <c r="BT263" i="5"/>
  <c r="BS263" i="5"/>
  <c r="BQ263" i="5"/>
  <c r="BR263" i="5"/>
  <c r="BK263" i="5"/>
  <c r="BM263" i="5"/>
  <c r="BJ263" i="5"/>
  <c r="BI263" i="5"/>
  <c r="BH263" i="5"/>
  <c r="AY263" i="5"/>
  <c r="BG263" i="5"/>
  <c r="BF263" i="5"/>
  <c r="AZ263" i="5"/>
  <c r="BD263" i="5"/>
  <c r="BA263" i="5"/>
  <c r="BP263" i="5" s="1"/>
  <c r="BE263" i="5"/>
  <c r="AV263" i="5"/>
  <c r="BO263" i="5" s="1"/>
  <c r="AU263" i="5"/>
  <c r="BB263" i="5" s="1"/>
  <c r="CK391" i="5"/>
  <c r="CI391" i="5"/>
  <c r="CE391" i="5"/>
  <c r="CC391" i="5"/>
  <c r="CF391" i="5"/>
  <c r="CD391" i="5"/>
  <c r="BV391" i="5"/>
  <c r="BU391" i="5"/>
  <c r="CA391" i="5"/>
  <c r="BY391" i="5"/>
  <c r="BW391" i="5"/>
  <c r="BS391" i="5"/>
  <c r="BT391" i="5"/>
  <c r="BR391" i="5"/>
  <c r="BQ391" i="5"/>
  <c r="BK391" i="5"/>
  <c r="BM391" i="5"/>
  <c r="BJ391" i="5"/>
  <c r="BI391" i="5"/>
  <c r="BH391" i="5"/>
  <c r="BA391" i="5"/>
  <c r="BP391" i="5" s="1"/>
  <c r="AY391" i="5"/>
  <c r="BG391" i="5"/>
  <c r="BF391" i="5"/>
  <c r="AZ391" i="5"/>
  <c r="BD391" i="5"/>
  <c r="BE391" i="5"/>
  <c r="AV391" i="5"/>
  <c r="BO391" i="5" s="1"/>
  <c r="AU391" i="5"/>
  <c r="BB391" i="5" s="1"/>
  <c r="CK519" i="5"/>
  <c r="CE519" i="5"/>
  <c r="CC519" i="5"/>
  <c r="CF519" i="5"/>
  <c r="CI519" i="5"/>
  <c r="CD519" i="5"/>
  <c r="BV519" i="5"/>
  <c r="BU519" i="5"/>
  <c r="BY519" i="5"/>
  <c r="CA519" i="5"/>
  <c r="BW519" i="5"/>
  <c r="BS519" i="5"/>
  <c r="BT519" i="5"/>
  <c r="BR519" i="5"/>
  <c r="BQ519" i="5"/>
  <c r="BK519" i="5"/>
  <c r="BM519" i="5"/>
  <c r="BJ519" i="5"/>
  <c r="BH519" i="5"/>
  <c r="BA519" i="5"/>
  <c r="BP519" i="5" s="1"/>
  <c r="AY519" i="5"/>
  <c r="BI519" i="5"/>
  <c r="BG519" i="5"/>
  <c r="BF519" i="5"/>
  <c r="AZ519" i="5"/>
  <c r="BE519" i="5"/>
  <c r="BD519" i="5"/>
  <c r="AV519" i="5"/>
  <c r="BO519" i="5" s="1"/>
  <c r="AU519" i="5"/>
  <c r="BN519" i="5" s="1"/>
  <c r="CK20" i="5"/>
  <c r="CJ20" i="5"/>
  <c r="CG20" i="5"/>
  <c r="CH20" i="5"/>
  <c r="CC20" i="5"/>
  <c r="CE20" i="5"/>
  <c r="CI20" i="5"/>
  <c r="CF20" i="5"/>
  <c r="CD20" i="5"/>
  <c r="BX20" i="5"/>
  <c r="BZ20" i="5"/>
  <c r="BY20" i="5"/>
  <c r="BW20" i="5"/>
  <c r="CA20" i="5"/>
  <c r="BU20" i="5"/>
  <c r="BS20" i="5"/>
  <c r="BQ20" i="5"/>
  <c r="BV20" i="5"/>
  <c r="BR20" i="5"/>
  <c r="BT20" i="5"/>
  <c r="BM20" i="5"/>
  <c r="BL20" i="5"/>
  <c r="BI20" i="5"/>
  <c r="BG20" i="5"/>
  <c r="BH20" i="5"/>
  <c r="BF20" i="5"/>
  <c r="BK20" i="5"/>
  <c r="BJ20" i="5"/>
  <c r="BE20" i="5"/>
  <c r="BD20" i="5"/>
  <c r="BA20" i="5"/>
  <c r="BP20" i="5" s="1"/>
  <c r="AZ20" i="5"/>
  <c r="AY20" i="5"/>
  <c r="AV20" i="5"/>
  <c r="BO20" i="5" s="1"/>
  <c r="AU20" i="5"/>
  <c r="BB20" i="5" s="1"/>
  <c r="CK136" i="5"/>
  <c r="CI136" i="5"/>
  <c r="CF136" i="5"/>
  <c r="CD136" i="5"/>
  <c r="CE136" i="5"/>
  <c r="CC136" i="5"/>
  <c r="CA136" i="5"/>
  <c r="BV136" i="5"/>
  <c r="BW136" i="5"/>
  <c r="BY136" i="5"/>
  <c r="BR136" i="5"/>
  <c r="BS136" i="5"/>
  <c r="BQ136" i="5"/>
  <c r="BT136" i="5"/>
  <c r="BU136" i="5"/>
  <c r="BH136" i="5"/>
  <c r="BF136" i="5"/>
  <c r="BI136" i="5"/>
  <c r="BG136" i="5"/>
  <c r="BM136" i="5"/>
  <c r="BK136" i="5"/>
  <c r="BJ136" i="5"/>
  <c r="BE136" i="5"/>
  <c r="BD136" i="5"/>
  <c r="BA136" i="5"/>
  <c r="BP136" i="5" s="1"/>
  <c r="AZ136" i="5"/>
  <c r="AY136" i="5"/>
  <c r="AU136" i="5"/>
  <c r="BN136" i="5" s="1"/>
  <c r="AV136" i="5"/>
  <c r="BC136" i="5" s="1"/>
  <c r="CK264" i="5"/>
  <c r="CF264" i="5"/>
  <c r="CD264" i="5"/>
  <c r="CI264" i="5"/>
  <c r="CE264" i="5"/>
  <c r="CC264" i="5"/>
  <c r="CA264" i="5"/>
  <c r="BV264" i="5"/>
  <c r="BW264" i="5"/>
  <c r="BR264" i="5"/>
  <c r="BY264" i="5"/>
  <c r="BS264" i="5"/>
  <c r="BQ264" i="5"/>
  <c r="BU264" i="5"/>
  <c r="BT264" i="5"/>
  <c r="BH264" i="5"/>
  <c r="BF264" i="5"/>
  <c r="BI264" i="5"/>
  <c r="BG264" i="5"/>
  <c r="BM264" i="5"/>
  <c r="BK264" i="5"/>
  <c r="BJ264" i="5"/>
  <c r="BE264" i="5"/>
  <c r="BD264" i="5"/>
  <c r="BA264" i="5"/>
  <c r="BP264" i="5" s="1"/>
  <c r="AZ264" i="5"/>
  <c r="AY264" i="5"/>
  <c r="AU264" i="5"/>
  <c r="BN264" i="5" s="1"/>
  <c r="AV264" i="5"/>
  <c r="BO264" i="5" s="1"/>
  <c r="CK379" i="5"/>
  <c r="CF379" i="5"/>
  <c r="CD379" i="5"/>
  <c r="BW379" i="5"/>
  <c r="BU379" i="5"/>
  <c r="CE379" i="5"/>
  <c r="CI379" i="5"/>
  <c r="CA379" i="5"/>
  <c r="CC379" i="5"/>
  <c r="BY379" i="5"/>
  <c r="BV379" i="5"/>
  <c r="BT379" i="5"/>
  <c r="BS379" i="5"/>
  <c r="BR379" i="5"/>
  <c r="BQ379" i="5"/>
  <c r="BM379" i="5"/>
  <c r="BJ379" i="5"/>
  <c r="BI379" i="5"/>
  <c r="BK379" i="5"/>
  <c r="BG379" i="5"/>
  <c r="BF379" i="5"/>
  <c r="AZ379" i="5"/>
  <c r="BH379" i="5"/>
  <c r="BE379" i="5"/>
  <c r="BA379" i="5"/>
  <c r="BP379" i="5" s="1"/>
  <c r="AY379" i="5"/>
  <c r="BD379" i="5"/>
  <c r="AU379" i="5"/>
  <c r="BB379" i="5" s="1"/>
  <c r="AV379" i="5"/>
  <c r="BO379" i="5" s="1"/>
  <c r="CK495" i="5"/>
  <c r="CI495" i="5"/>
  <c r="CF495" i="5"/>
  <c r="CE495" i="5"/>
  <c r="CC495" i="5"/>
  <c r="BV495" i="5"/>
  <c r="CD495" i="5"/>
  <c r="CA495" i="5"/>
  <c r="BW495" i="5"/>
  <c r="BY495" i="5"/>
  <c r="BU495" i="5"/>
  <c r="BT495" i="5"/>
  <c r="BS495" i="5"/>
  <c r="BR495" i="5"/>
  <c r="BQ495" i="5"/>
  <c r="BJ495" i="5"/>
  <c r="BM495" i="5"/>
  <c r="BK495" i="5"/>
  <c r="BH495" i="5"/>
  <c r="BG495" i="5"/>
  <c r="BA495" i="5"/>
  <c r="BP495" i="5" s="1"/>
  <c r="AY495" i="5"/>
  <c r="BF495" i="5"/>
  <c r="BI495" i="5"/>
  <c r="BD495" i="5"/>
  <c r="AZ495" i="5"/>
  <c r="BE495" i="5"/>
  <c r="AV495" i="5"/>
  <c r="BO495" i="5" s="1"/>
  <c r="AU495" i="5"/>
  <c r="BN495" i="5" s="1"/>
  <c r="CK87" i="5"/>
  <c r="CI87" i="5"/>
  <c r="CC87" i="5"/>
  <c r="CF87" i="5"/>
  <c r="BV87" i="5"/>
  <c r="CE87" i="5"/>
  <c r="CD87" i="5"/>
  <c r="BY87" i="5"/>
  <c r="BU87" i="5"/>
  <c r="BW87" i="5"/>
  <c r="CA87" i="5"/>
  <c r="BS87" i="5"/>
  <c r="BT87" i="5"/>
  <c r="BQ87" i="5"/>
  <c r="BK87" i="5"/>
  <c r="BM87" i="5"/>
  <c r="BR87" i="5"/>
  <c r="BJ87" i="5"/>
  <c r="BI87" i="5"/>
  <c r="BH87" i="5"/>
  <c r="BG87" i="5"/>
  <c r="AY87" i="5"/>
  <c r="BF87" i="5"/>
  <c r="AZ87" i="5"/>
  <c r="BD87" i="5"/>
  <c r="BA87" i="5"/>
  <c r="BP87" i="5" s="1"/>
  <c r="BE87" i="5"/>
  <c r="AV87" i="5"/>
  <c r="BC87" i="5" s="1"/>
  <c r="AU87" i="5"/>
  <c r="BN87" i="5" s="1"/>
  <c r="CK215" i="5"/>
  <c r="CI215" i="5"/>
  <c r="CC215" i="5"/>
  <c r="CF215" i="5"/>
  <c r="BV215" i="5"/>
  <c r="CE215" i="5"/>
  <c r="CD215" i="5"/>
  <c r="BY215" i="5"/>
  <c r="BU215" i="5"/>
  <c r="BW215" i="5"/>
  <c r="CA215" i="5"/>
  <c r="BS215" i="5"/>
  <c r="BT215" i="5"/>
  <c r="BQ215" i="5"/>
  <c r="BK215" i="5"/>
  <c r="BR215" i="5"/>
  <c r="BM215" i="5"/>
  <c r="BJ215" i="5"/>
  <c r="BI215" i="5"/>
  <c r="BH215" i="5"/>
  <c r="BG215" i="5"/>
  <c r="AY215" i="5"/>
  <c r="BF215" i="5"/>
  <c r="AZ215" i="5"/>
  <c r="BD215" i="5"/>
  <c r="BA215" i="5"/>
  <c r="BE215" i="5"/>
  <c r="AV215" i="5"/>
  <c r="AU215" i="5"/>
  <c r="CK343" i="5"/>
  <c r="CI343" i="5"/>
  <c r="CE343" i="5"/>
  <c r="CC343" i="5"/>
  <c r="CF343" i="5"/>
  <c r="BV343" i="5"/>
  <c r="CD343" i="5"/>
  <c r="BY343" i="5"/>
  <c r="BU343" i="5"/>
  <c r="BW343" i="5"/>
  <c r="CA343" i="5"/>
  <c r="BT343" i="5"/>
  <c r="BS343" i="5"/>
  <c r="BQ343" i="5"/>
  <c r="BK343" i="5"/>
  <c r="BR343" i="5"/>
  <c r="BM343" i="5"/>
  <c r="BJ343" i="5"/>
  <c r="BI343" i="5"/>
  <c r="BH343" i="5"/>
  <c r="BG343" i="5"/>
  <c r="BA343" i="5"/>
  <c r="BP343" i="5" s="1"/>
  <c r="AY343" i="5"/>
  <c r="BF343" i="5"/>
  <c r="AZ343" i="5"/>
  <c r="BD343" i="5"/>
  <c r="BE343" i="5"/>
  <c r="AV343" i="5"/>
  <c r="BC343" i="5" s="1"/>
  <c r="AU343" i="5"/>
  <c r="BB343" i="5" s="1"/>
  <c r="CK471" i="5"/>
  <c r="CH471" i="5"/>
  <c r="CJ471" i="5"/>
  <c r="CE471" i="5"/>
  <c r="CC471" i="5"/>
  <c r="CG471" i="5"/>
  <c r="CI471" i="5"/>
  <c r="BV471" i="5"/>
  <c r="CF471" i="5"/>
  <c r="CD471" i="5"/>
  <c r="BY471" i="5"/>
  <c r="BX471" i="5"/>
  <c r="BU471" i="5"/>
  <c r="BW471" i="5"/>
  <c r="CA471" i="5"/>
  <c r="BZ471" i="5"/>
  <c r="BT471" i="5"/>
  <c r="BL471" i="5"/>
  <c r="BS471" i="5"/>
  <c r="BR471" i="5"/>
  <c r="BQ471" i="5"/>
  <c r="BK471" i="5"/>
  <c r="BM471" i="5"/>
  <c r="BJ471" i="5"/>
  <c r="BH471" i="5"/>
  <c r="BI471" i="5"/>
  <c r="BG471" i="5"/>
  <c r="BA471" i="5"/>
  <c r="BP471" i="5" s="1"/>
  <c r="AY471" i="5"/>
  <c r="BF471" i="5"/>
  <c r="AZ471" i="5"/>
  <c r="BE471" i="5"/>
  <c r="BD471" i="5"/>
  <c r="AV471" i="5"/>
  <c r="BO471" i="5" s="1"/>
  <c r="AU471" i="5"/>
  <c r="BB471" i="5" s="1"/>
  <c r="BO113" i="5"/>
  <c r="BO129" i="5"/>
  <c r="BN153" i="5"/>
  <c r="BZ153" i="5" s="1"/>
  <c r="CJ24" i="5"/>
  <c r="CK24" i="5"/>
  <c r="CI24" i="5"/>
  <c r="CE24" i="5"/>
  <c r="CD24" i="5"/>
  <c r="CH24" i="5"/>
  <c r="CG24" i="5"/>
  <c r="CF24" i="5"/>
  <c r="CA24" i="5"/>
  <c r="CC24" i="5"/>
  <c r="BZ24" i="5"/>
  <c r="BV24" i="5"/>
  <c r="BX24" i="5"/>
  <c r="BR24" i="5"/>
  <c r="BW24" i="5"/>
  <c r="BY24" i="5"/>
  <c r="BS24" i="5"/>
  <c r="BQ24" i="5"/>
  <c r="BU24" i="5"/>
  <c r="BT24" i="5"/>
  <c r="BH24" i="5"/>
  <c r="BF24" i="5"/>
  <c r="BG24" i="5"/>
  <c r="BI24" i="5"/>
  <c r="BM24" i="5"/>
  <c r="BL24" i="5"/>
  <c r="BK24" i="5"/>
  <c r="BJ24" i="5"/>
  <c r="BE24" i="5"/>
  <c r="BA24" i="5"/>
  <c r="BP24" i="5" s="1"/>
  <c r="AZ24" i="5"/>
  <c r="BD24" i="5"/>
  <c r="AY24" i="5"/>
  <c r="AU24" i="5"/>
  <c r="BN24" i="5" s="1"/>
  <c r="AV24" i="5"/>
  <c r="BC24" i="5" s="1"/>
  <c r="CK152" i="5"/>
  <c r="CE152" i="5"/>
  <c r="CD152" i="5"/>
  <c r="CI152" i="5"/>
  <c r="CF152" i="5"/>
  <c r="CC152" i="5"/>
  <c r="BV152" i="5"/>
  <c r="CA152" i="5"/>
  <c r="BY152" i="5"/>
  <c r="BW152" i="5"/>
  <c r="BR152" i="5"/>
  <c r="BS152" i="5"/>
  <c r="BQ152" i="5"/>
  <c r="BU152" i="5"/>
  <c r="BT152" i="5"/>
  <c r="BH152" i="5"/>
  <c r="BF152" i="5"/>
  <c r="BI152" i="5"/>
  <c r="BG152" i="5"/>
  <c r="BM152" i="5"/>
  <c r="BK152" i="5"/>
  <c r="BJ152" i="5"/>
  <c r="BA152" i="5"/>
  <c r="BP152" i="5" s="1"/>
  <c r="AZ152" i="5"/>
  <c r="BE152" i="5"/>
  <c r="BD152" i="5"/>
  <c r="AY152" i="5"/>
  <c r="AU152" i="5"/>
  <c r="BN152" i="5" s="1"/>
  <c r="AV152" i="5"/>
  <c r="BC152" i="5" s="1"/>
  <c r="CK280" i="5"/>
  <c r="CI280" i="5"/>
  <c r="CD280" i="5"/>
  <c r="CF280" i="5"/>
  <c r="CE280" i="5"/>
  <c r="CC280" i="5"/>
  <c r="BV280" i="5"/>
  <c r="CA280" i="5"/>
  <c r="BY280" i="5"/>
  <c r="BW280" i="5"/>
  <c r="BT280" i="5"/>
  <c r="BR280" i="5"/>
  <c r="BS280" i="5"/>
  <c r="BQ280" i="5"/>
  <c r="BU280" i="5"/>
  <c r="BH280" i="5"/>
  <c r="BF280" i="5"/>
  <c r="BI280" i="5"/>
  <c r="BG280" i="5"/>
  <c r="BM280" i="5"/>
  <c r="BK280" i="5"/>
  <c r="BJ280" i="5"/>
  <c r="BA280" i="5"/>
  <c r="BP280" i="5" s="1"/>
  <c r="AZ280" i="5"/>
  <c r="BE280" i="5"/>
  <c r="BD280" i="5"/>
  <c r="AY280" i="5"/>
  <c r="AU280" i="5"/>
  <c r="BN280" i="5" s="1"/>
  <c r="AV280" i="5"/>
  <c r="BC280" i="5" s="1"/>
  <c r="CK408" i="5"/>
  <c r="CI408" i="5"/>
  <c r="CD408" i="5"/>
  <c r="CE408" i="5"/>
  <c r="CF408" i="5"/>
  <c r="BV408" i="5"/>
  <c r="CA408" i="5"/>
  <c r="CC408" i="5"/>
  <c r="BT408" i="5"/>
  <c r="BR408" i="5"/>
  <c r="BY408" i="5"/>
  <c r="BW408" i="5"/>
  <c r="BS408" i="5"/>
  <c r="BQ408" i="5"/>
  <c r="BU408" i="5"/>
  <c r="BH408" i="5"/>
  <c r="BF408" i="5"/>
  <c r="BI408" i="5"/>
  <c r="BG408" i="5"/>
  <c r="BM408" i="5"/>
  <c r="BK408" i="5"/>
  <c r="BJ408" i="5"/>
  <c r="BA408" i="5"/>
  <c r="BP408" i="5" s="1"/>
  <c r="AZ408" i="5"/>
  <c r="BE408" i="5"/>
  <c r="BD408" i="5"/>
  <c r="AY408" i="5"/>
  <c r="AU408" i="5"/>
  <c r="BB408" i="5" s="1"/>
  <c r="AV408" i="5"/>
  <c r="BC408" i="5" s="1"/>
  <c r="CK523" i="5"/>
  <c r="CD523" i="5"/>
  <c r="CE523" i="5"/>
  <c r="CF523" i="5"/>
  <c r="BW523" i="5"/>
  <c r="BU523" i="5"/>
  <c r="CI523" i="5"/>
  <c r="CA523" i="5"/>
  <c r="CC523" i="5"/>
  <c r="BY523" i="5"/>
  <c r="BT523" i="5"/>
  <c r="BV523" i="5"/>
  <c r="BS523" i="5"/>
  <c r="BM523" i="5"/>
  <c r="BJ523" i="5"/>
  <c r="BR523" i="5"/>
  <c r="BQ523" i="5"/>
  <c r="BG523" i="5"/>
  <c r="BK523" i="5"/>
  <c r="BH523" i="5"/>
  <c r="BF523" i="5"/>
  <c r="BE523" i="5"/>
  <c r="AZ523" i="5"/>
  <c r="BI523" i="5"/>
  <c r="BA523" i="5"/>
  <c r="BP523" i="5" s="1"/>
  <c r="AY523" i="5"/>
  <c r="BD523" i="5"/>
  <c r="AU523" i="5"/>
  <c r="BN523" i="5" s="1"/>
  <c r="AV523" i="5"/>
  <c r="BC523" i="5" s="1"/>
  <c r="BN13" i="5"/>
  <c r="BZ13" i="5" s="1"/>
  <c r="BD21" i="5"/>
  <c r="BB45" i="5"/>
  <c r="BZ45" i="5" s="1"/>
  <c r="BD109" i="5"/>
  <c r="BC173" i="5"/>
  <c r="BN173" i="5"/>
  <c r="BZ173" i="5" s="1"/>
  <c r="BD237" i="5"/>
  <c r="CI365" i="5"/>
  <c r="CF365" i="5"/>
  <c r="CK365" i="5"/>
  <c r="CE365" i="5"/>
  <c r="CA365" i="5"/>
  <c r="CD365" i="5"/>
  <c r="CC365" i="5"/>
  <c r="BV365" i="5"/>
  <c r="BY365" i="5"/>
  <c r="BW365" i="5"/>
  <c r="BU365" i="5"/>
  <c r="BT365" i="5"/>
  <c r="BS365" i="5"/>
  <c r="BM365" i="5"/>
  <c r="BR365" i="5"/>
  <c r="BQ365" i="5"/>
  <c r="BI365" i="5"/>
  <c r="BH365" i="5"/>
  <c r="BK365" i="5"/>
  <c r="BJ365" i="5"/>
  <c r="BF365" i="5"/>
  <c r="BG365" i="5"/>
  <c r="BA365" i="5"/>
  <c r="BP365" i="5" s="1"/>
  <c r="AZ365" i="5"/>
  <c r="BE365" i="5"/>
  <c r="BD365" i="5"/>
  <c r="AY365" i="5"/>
  <c r="AU365" i="5"/>
  <c r="BB365" i="5" s="1"/>
  <c r="AV365" i="5"/>
  <c r="BC365" i="5" s="1"/>
  <c r="CK397" i="5"/>
  <c r="CI397" i="5"/>
  <c r="CE397" i="5"/>
  <c r="CF397" i="5"/>
  <c r="CD397" i="5"/>
  <c r="CA397" i="5"/>
  <c r="CC397" i="5"/>
  <c r="BV397" i="5"/>
  <c r="BY397" i="5"/>
  <c r="BW397" i="5"/>
  <c r="BU397" i="5"/>
  <c r="BT397" i="5"/>
  <c r="BS397" i="5"/>
  <c r="BM397" i="5"/>
  <c r="BQ397" i="5"/>
  <c r="BR397" i="5"/>
  <c r="BK397" i="5"/>
  <c r="BJ397" i="5"/>
  <c r="BI397" i="5"/>
  <c r="BH397" i="5"/>
  <c r="BG397" i="5"/>
  <c r="BF397" i="5"/>
  <c r="BD397" i="5"/>
  <c r="BE397" i="5"/>
  <c r="BA397" i="5"/>
  <c r="BP397" i="5" s="1"/>
  <c r="AZ397" i="5"/>
  <c r="AY397" i="5"/>
  <c r="AU397" i="5"/>
  <c r="BB397" i="5" s="1"/>
  <c r="AV397" i="5"/>
  <c r="BC397" i="5" s="1"/>
  <c r="CI429" i="5"/>
  <c r="CK429" i="5"/>
  <c r="CF429" i="5"/>
  <c r="CE429" i="5"/>
  <c r="CA429" i="5"/>
  <c r="CC429" i="5"/>
  <c r="CD429" i="5"/>
  <c r="BV429" i="5"/>
  <c r="BW429" i="5"/>
  <c r="BY429" i="5"/>
  <c r="BT429" i="5"/>
  <c r="BS429" i="5"/>
  <c r="BU429" i="5"/>
  <c r="BM429" i="5"/>
  <c r="BR429" i="5"/>
  <c r="BQ429" i="5"/>
  <c r="BK429" i="5"/>
  <c r="BI429" i="5"/>
  <c r="BJ429" i="5"/>
  <c r="BH429" i="5"/>
  <c r="BG429" i="5"/>
  <c r="BF429" i="5"/>
  <c r="BD429" i="5"/>
  <c r="BA429" i="5"/>
  <c r="BP429" i="5" s="1"/>
  <c r="AZ429" i="5"/>
  <c r="BE429" i="5"/>
  <c r="AY429" i="5"/>
  <c r="AU429" i="5"/>
  <c r="BN429" i="5" s="1"/>
  <c r="AV429" i="5"/>
  <c r="BO429" i="5" s="1"/>
  <c r="CI461" i="5"/>
  <c r="CK461" i="5"/>
  <c r="CE461" i="5"/>
  <c r="CF461" i="5"/>
  <c r="CA461" i="5"/>
  <c r="CC461" i="5"/>
  <c r="CD461" i="5"/>
  <c r="BV461" i="5"/>
  <c r="BY461" i="5"/>
  <c r="BU461" i="5"/>
  <c r="BW461" i="5"/>
  <c r="BT461" i="5"/>
  <c r="BS461" i="5"/>
  <c r="BM461" i="5"/>
  <c r="BR461" i="5"/>
  <c r="BQ461" i="5"/>
  <c r="BH461" i="5"/>
  <c r="BK461" i="5"/>
  <c r="BJ461" i="5"/>
  <c r="BI461" i="5"/>
  <c r="BG461" i="5"/>
  <c r="BF461" i="5"/>
  <c r="BA461" i="5"/>
  <c r="BP461" i="5" s="1"/>
  <c r="BE461" i="5"/>
  <c r="AZ461" i="5"/>
  <c r="BD461" i="5"/>
  <c r="AY461" i="5"/>
  <c r="AU461" i="5"/>
  <c r="BN461" i="5" s="1"/>
  <c r="AV461" i="5"/>
  <c r="BO461" i="5" s="1"/>
  <c r="CI493" i="5"/>
  <c r="CK493" i="5"/>
  <c r="CF493" i="5"/>
  <c r="CE493" i="5"/>
  <c r="CA493" i="5"/>
  <c r="CD493" i="5"/>
  <c r="CC493" i="5"/>
  <c r="BV493" i="5"/>
  <c r="BY493" i="5"/>
  <c r="BW493" i="5"/>
  <c r="BU493" i="5"/>
  <c r="BT493" i="5"/>
  <c r="BS493" i="5"/>
  <c r="BM493" i="5"/>
  <c r="BR493" i="5"/>
  <c r="BQ493" i="5"/>
  <c r="BH493" i="5"/>
  <c r="BK493" i="5"/>
  <c r="BJ493" i="5"/>
  <c r="BF493" i="5"/>
  <c r="BI493" i="5"/>
  <c r="BG493" i="5"/>
  <c r="BA493" i="5"/>
  <c r="BP493" i="5" s="1"/>
  <c r="AZ493" i="5"/>
  <c r="BE493" i="5"/>
  <c r="BD493" i="5"/>
  <c r="AY493" i="5"/>
  <c r="AU493" i="5"/>
  <c r="BB493" i="5" s="1"/>
  <c r="AV493" i="5"/>
  <c r="BC493" i="5" s="1"/>
  <c r="CJ525" i="5"/>
  <c r="CI525" i="5"/>
  <c r="CG525" i="5"/>
  <c r="CK525" i="5"/>
  <c r="CH525" i="5"/>
  <c r="CF525" i="5"/>
  <c r="CE525" i="5"/>
  <c r="CD525" i="5"/>
  <c r="CA525" i="5"/>
  <c r="CC525" i="5"/>
  <c r="BV525" i="5"/>
  <c r="BZ525" i="5"/>
  <c r="BX525" i="5"/>
  <c r="BW525" i="5"/>
  <c r="BY525" i="5"/>
  <c r="BU525" i="5"/>
  <c r="BT525" i="5"/>
  <c r="BS525" i="5"/>
  <c r="BM525" i="5"/>
  <c r="BQ525" i="5"/>
  <c r="BR525" i="5"/>
  <c r="BK525" i="5"/>
  <c r="BJ525" i="5"/>
  <c r="BH525" i="5"/>
  <c r="BL525" i="5"/>
  <c r="BI525" i="5"/>
  <c r="BG525" i="5"/>
  <c r="BF525" i="5"/>
  <c r="BD525" i="5"/>
  <c r="BA525" i="5"/>
  <c r="BP525" i="5" s="1"/>
  <c r="AZ525" i="5"/>
  <c r="BE525" i="5"/>
  <c r="AY525" i="5"/>
  <c r="AU525" i="5"/>
  <c r="BB525" i="5" s="1"/>
  <c r="AV525" i="5"/>
  <c r="BC525" i="5" s="1"/>
  <c r="CI557" i="5"/>
  <c r="CF557" i="5"/>
  <c r="CK557" i="5"/>
  <c r="CE557" i="5"/>
  <c r="CA557" i="5"/>
  <c r="CD557" i="5"/>
  <c r="CC557" i="5"/>
  <c r="BV557" i="5"/>
  <c r="BY557" i="5"/>
  <c r="BW557" i="5"/>
  <c r="BT557" i="5"/>
  <c r="BU557" i="5"/>
  <c r="BS557" i="5"/>
  <c r="BM557" i="5"/>
  <c r="BR557" i="5"/>
  <c r="BQ557" i="5"/>
  <c r="BK557" i="5"/>
  <c r="BJ557" i="5"/>
  <c r="BH557" i="5"/>
  <c r="BI557" i="5"/>
  <c r="BG557" i="5"/>
  <c r="BF557" i="5"/>
  <c r="BE557" i="5"/>
  <c r="BD557" i="5"/>
  <c r="BA557" i="5"/>
  <c r="BP557" i="5" s="1"/>
  <c r="AZ557" i="5"/>
  <c r="AY557" i="5"/>
  <c r="AV557" i="5"/>
  <c r="BO557" i="5" s="1"/>
  <c r="AU557" i="5"/>
  <c r="BN557" i="5" s="1"/>
  <c r="BX86" i="5"/>
  <c r="BD214" i="5"/>
  <c r="CB214" i="5" s="1"/>
  <c r="BO214" i="5"/>
  <c r="BD398" i="5"/>
  <c r="BD217" i="5"/>
  <c r="CB217" i="5" s="1"/>
  <c r="BN76" i="5"/>
  <c r="CK192" i="5"/>
  <c r="CD192" i="5"/>
  <c r="CI192" i="5"/>
  <c r="CF192" i="5"/>
  <c r="CE192" i="5"/>
  <c r="CC192" i="5"/>
  <c r="CA192" i="5"/>
  <c r="BV192" i="5"/>
  <c r="BY192" i="5"/>
  <c r="BR192" i="5"/>
  <c r="BW192" i="5"/>
  <c r="BT192" i="5"/>
  <c r="BS192" i="5"/>
  <c r="BQ192" i="5"/>
  <c r="BU192" i="5"/>
  <c r="BM192" i="5"/>
  <c r="BJ192" i="5"/>
  <c r="BH192" i="5"/>
  <c r="BF192" i="5"/>
  <c r="BI192" i="5"/>
  <c r="BG192" i="5"/>
  <c r="BK192" i="5"/>
  <c r="BE192" i="5"/>
  <c r="BA192" i="5"/>
  <c r="BP192" i="5" s="1"/>
  <c r="BD192" i="5"/>
  <c r="AZ192" i="5"/>
  <c r="AY192" i="5"/>
  <c r="AU192" i="5"/>
  <c r="BN192" i="5" s="1"/>
  <c r="AV192" i="5"/>
  <c r="BC192" i="5" s="1"/>
  <c r="CI320" i="5"/>
  <c r="CG320" i="5"/>
  <c r="CD320" i="5"/>
  <c r="CJ320" i="5"/>
  <c r="CE320" i="5"/>
  <c r="CC320" i="5"/>
  <c r="CK320" i="5"/>
  <c r="CH320" i="5"/>
  <c r="CF320" i="5"/>
  <c r="CA320" i="5"/>
  <c r="BZ320" i="5"/>
  <c r="BV320" i="5"/>
  <c r="BY320" i="5"/>
  <c r="BX320" i="5"/>
  <c r="BW320" i="5"/>
  <c r="BT320" i="5"/>
  <c r="BR320" i="5"/>
  <c r="BS320" i="5"/>
  <c r="BQ320" i="5"/>
  <c r="BU320" i="5"/>
  <c r="BM320" i="5"/>
  <c r="BJ320" i="5"/>
  <c r="BH320" i="5"/>
  <c r="BF320" i="5"/>
  <c r="BL320" i="5"/>
  <c r="BI320" i="5"/>
  <c r="BG320" i="5"/>
  <c r="BK320" i="5"/>
  <c r="BE320" i="5"/>
  <c r="BA320" i="5"/>
  <c r="BP320" i="5" s="1"/>
  <c r="BD320" i="5"/>
  <c r="AZ320" i="5"/>
  <c r="AY320" i="5"/>
  <c r="AU320" i="5"/>
  <c r="BN320" i="5" s="1"/>
  <c r="AV320" i="5"/>
  <c r="BC320" i="5" s="1"/>
  <c r="CI448" i="5"/>
  <c r="CK448" i="5"/>
  <c r="CD448" i="5"/>
  <c r="CF448" i="5"/>
  <c r="CE448" i="5"/>
  <c r="CC448" i="5"/>
  <c r="CA448" i="5"/>
  <c r="BW448" i="5"/>
  <c r="BV448" i="5"/>
  <c r="BT448" i="5"/>
  <c r="BR448" i="5"/>
  <c r="BY448" i="5"/>
  <c r="BS448" i="5"/>
  <c r="BQ448" i="5"/>
  <c r="BU448" i="5"/>
  <c r="BM448" i="5"/>
  <c r="BJ448" i="5"/>
  <c r="BH448" i="5"/>
  <c r="BF448" i="5"/>
  <c r="BI448" i="5"/>
  <c r="BG448" i="5"/>
  <c r="BK448" i="5"/>
  <c r="BE448" i="5"/>
  <c r="BD448" i="5"/>
  <c r="BA448" i="5"/>
  <c r="BP448" i="5" s="1"/>
  <c r="AZ448" i="5"/>
  <c r="AY448" i="5"/>
  <c r="AU448" i="5"/>
  <c r="BN448" i="5" s="1"/>
  <c r="AV448" i="5"/>
  <c r="BO448" i="5" s="1"/>
  <c r="BB22" i="5"/>
  <c r="BB150" i="5"/>
  <c r="BZ150" i="5" s="1"/>
  <c r="BP246" i="5"/>
  <c r="CB246" i="5" s="1"/>
  <c r="CK542" i="5"/>
  <c r="CF542" i="5"/>
  <c r="CI542" i="5"/>
  <c r="CE542" i="5"/>
  <c r="BY542" i="5"/>
  <c r="BW542" i="5"/>
  <c r="BU542" i="5"/>
  <c r="CC542" i="5"/>
  <c r="CD542" i="5"/>
  <c r="CA542" i="5"/>
  <c r="BT542" i="5"/>
  <c r="BV542" i="5"/>
  <c r="BQ542" i="5"/>
  <c r="BJ542" i="5"/>
  <c r="BK542" i="5"/>
  <c r="BR542" i="5"/>
  <c r="BS542" i="5"/>
  <c r="BM542" i="5"/>
  <c r="BF542" i="5"/>
  <c r="BD542" i="5"/>
  <c r="BI542" i="5"/>
  <c r="BE542" i="5"/>
  <c r="BH542" i="5"/>
  <c r="BG542" i="5"/>
  <c r="BA542" i="5"/>
  <c r="BP542" i="5" s="1"/>
  <c r="AV542" i="5"/>
  <c r="BC542" i="5" s="1"/>
  <c r="AZ542" i="5"/>
  <c r="AY542" i="5"/>
  <c r="AU542" i="5"/>
  <c r="BN542" i="5" s="1"/>
  <c r="CK500" i="5"/>
  <c r="CI500" i="5"/>
  <c r="CE500" i="5"/>
  <c r="CC500" i="5"/>
  <c r="CF500" i="5"/>
  <c r="CD500" i="5"/>
  <c r="BW500" i="5"/>
  <c r="CA500" i="5"/>
  <c r="BS500" i="5"/>
  <c r="BQ500" i="5"/>
  <c r="BY500" i="5"/>
  <c r="BT500" i="5"/>
  <c r="BR500" i="5"/>
  <c r="BV500" i="5"/>
  <c r="BU500" i="5"/>
  <c r="BI500" i="5"/>
  <c r="BG500" i="5"/>
  <c r="BH500" i="5"/>
  <c r="BM500" i="5"/>
  <c r="BK500" i="5"/>
  <c r="BJ500" i="5"/>
  <c r="BF500" i="5"/>
  <c r="BD500" i="5"/>
  <c r="BE500" i="5"/>
  <c r="BA500" i="5"/>
  <c r="BP500" i="5" s="1"/>
  <c r="AZ500" i="5"/>
  <c r="AY500" i="5"/>
  <c r="AV500" i="5"/>
  <c r="BC500" i="5" s="1"/>
  <c r="AU500" i="5"/>
  <c r="BN500" i="5" s="1"/>
  <c r="BD185" i="5"/>
  <c r="CB185" i="5" s="1"/>
  <c r="BN185" i="5"/>
  <c r="BZ185" i="5" s="1"/>
  <c r="CB40" i="5"/>
  <c r="BB168" i="5"/>
  <c r="BZ168" i="5" s="1"/>
  <c r="BB219" i="5"/>
  <c r="BZ219" i="5" s="1"/>
  <c r="CB244" i="5"/>
  <c r="CK271" i="5"/>
  <c r="CI271" i="5"/>
  <c r="CF271" i="5"/>
  <c r="CE271" i="5"/>
  <c r="CC271" i="5"/>
  <c r="BV271" i="5"/>
  <c r="BW271" i="5"/>
  <c r="CD271" i="5"/>
  <c r="CA271" i="5"/>
  <c r="BY271" i="5"/>
  <c r="BU271" i="5"/>
  <c r="BT271" i="5"/>
  <c r="BS271" i="5"/>
  <c r="BR271" i="5"/>
  <c r="BQ271" i="5"/>
  <c r="BM271" i="5"/>
  <c r="BK271" i="5"/>
  <c r="BJ271" i="5"/>
  <c r="BI271" i="5"/>
  <c r="BF271" i="5"/>
  <c r="BH271" i="5"/>
  <c r="BG271" i="5"/>
  <c r="BA271" i="5"/>
  <c r="BP271" i="5" s="1"/>
  <c r="AY271" i="5"/>
  <c r="BE271" i="5"/>
  <c r="BD271" i="5"/>
  <c r="AZ271" i="5"/>
  <c r="AV271" i="5"/>
  <c r="BC271" i="5" s="1"/>
  <c r="AU271" i="5"/>
  <c r="BB271" i="5" s="1"/>
  <c r="BL347" i="5"/>
  <c r="CK372" i="5"/>
  <c r="CI372" i="5"/>
  <c r="CE372" i="5"/>
  <c r="CC372" i="5"/>
  <c r="CF372" i="5"/>
  <c r="CD372" i="5"/>
  <c r="BW372" i="5"/>
  <c r="CA372" i="5"/>
  <c r="BS372" i="5"/>
  <c r="BQ372" i="5"/>
  <c r="BY372" i="5"/>
  <c r="BT372" i="5"/>
  <c r="BR372" i="5"/>
  <c r="BV372" i="5"/>
  <c r="BU372" i="5"/>
  <c r="BI372" i="5"/>
  <c r="BG372" i="5"/>
  <c r="BH372" i="5"/>
  <c r="BF372" i="5"/>
  <c r="BM372" i="5"/>
  <c r="BK372" i="5"/>
  <c r="BJ372" i="5"/>
  <c r="BE372" i="5"/>
  <c r="BD372" i="5"/>
  <c r="BA372" i="5"/>
  <c r="BP372" i="5" s="1"/>
  <c r="AZ372" i="5"/>
  <c r="AY372" i="5"/>
  <c r="AV372" i="5"/>
  <c r="BC372" i="5" s="1"/>
  <c r="AU372" i="5"/>
  <c r="BN372" i="5" s="1"/>
  <c r="BC49" i="5"/>
  <c r="BN281" i="5"/>
  <c r="BZ281" i="5" s="1"/>
  <c r="CK3" i="5"/>
  <c r="CI3" i="5"/>
  <c r="CF3" i="5"/>
  <c r="CE3" i="5"/>
  <c r="CD3" i="5"/>
  <c r="CG3" i="5"/>
  <c r="BW3" i="5"/>
  <c r="BU3" i="5"/>
  <c r="CA3" i="5"/>
  <c r="BY3" i="5"/>
  <c r="BV3" i="5"/>
  <c r="CC3" i="5"/>
  <c r="BM3" i="5"/>
  <c r="BT3" i="5"/>
  <c r="BS3" i="5"/>
  <c r="BR3" i="5"/>
  <c r="BQ3" i="5"/>
  <c r="BK3" i="5"/>
  <c r="BJ3" i="5"/>
  <c r="BI3" i="5"/>
  <c r="BH3" i="5"/>
  <c r="AZ3" i="5"/>
  <c r="BG3" i="5"/>
  <c r="BF3" i="5"/>
  <c r="BE3" i="5"/>
  <c r="AY3" i="5"/>
  <c r="BD3" i="5"/>
  <c r="BA3" i="5"/>
  <c r="BP3" i="5" s="1"/>
  <c r="AU3" i="5"/>
  <c r="BN3" i="5" s="1"/>
  <c r="AV3" i="5"/>
  <c r="BO3" i="5" s="1"/>
  <c r="CK131" i="5"/>
  <c r="CI131" i="5"/>
  <c r="CF131" i="5"/>
  <c r="CE131" i="5"/>
  <c r="CD131" i="5"/>
  <c r="BW131" i="5"/>
  <c r="BU131" i="5"/>
  <c r="CC131" i="5"/>
  <c r="BV131" i="5"/>
  <c r="CA131" i="5"/>
  <c r="BY131" i="5"/>
  <c r="BS131" i="5"/>
  <c r="BT131" i="5"/>
  <c r="BQ131" i="5"/>
  <c r="BR131" i="5"/>
  <c r="BM131" i="5"/>
  <c r="BK131" i="5"/>
  <c r="BJ131" i="5"/>
  <c r="BI131" i="5"/>
  <c r="BH131" i="5"/>
  <c r="AZ131" i="5"/>
  <c r="BG131" i="5"/>
  <c r="BF131" i="5"/>
  <c r="AY131" i="5"/>
  <c r="BD131" i="5"/>
  <c r="BA131" i="5"/>
  <c r="BP131" i="5" s="1"/>
  <c r="BE131" i="5"/>
  <c r="AU131" i="5"/>
  <c r="BN131" i="5" s="1"/>
  <c r="AV131" i="5"/>
  <c r="BO131" i="5" s="1"/>
  <c r="CK259" i="5"/>
  <c r="CJ259" i="5"/>
  <c r="CI259" i="5"/>
  <c r="CG259" i="5"/>
  <c r="CF259" i="5"/>
  <c r="CE259" i="5"/>
  <c r="CD259" i="5"/>
  <c r="CH259" i="5"/>
  <c r="BW259" i="5"/>
  <c r="BU259" i="5"/>
  <c r="CC259" i="5"/>
  <c r="CA259" i="5"/>
  <c r="BX259" i="5"/>
  <c r="BV259" i="5"/>
  <c r="BZ259" i="5"/>
  <c r="BY259" i="5"/>
  <c r="BS259" i="5"/>
  <c r="BT259" i="5"/>
  <c r="BQ259" i="5"/>
  <c r="BL259" i="5"/>
  <c r="BR259" i="5"/>
  <c r="BM259" i="5"/>
  <c r="BK259" i="5"/>
  <c r="BJ259" i="5"/>
  <c r="BI259" i="5"/>
  <c r="BH259" i="5"/>
  <c r="AZ259" i="5"/>
  <c r="BG259" i="5"/>
  <c r="BF259" i="5"/>
  <c r="AY259" i="5"/>
  <c r="BD259" i="5"/>
  <c r="BA259" i="5"/>
  <c r="BP259" i="5" s="1"/>
  <c r="BE259" i="5"/>
  <c r="AU259" i="5"/>
  <c r="BN259" i="5" s="1"/>
  <c r="AV259" i="5"/>
  <c r="BO259" i="5" s="1"/>
  <c r="CK387" i="5"/>
  <c r="CI387" i="5"/>
  <c r="CF387" i="5"/>
  <c r="CD387" i="5"/>
  <c r="BW387" i="5"/>
  <c r="BU387" i="5"/>
  <c r="CC387" i="5"/>
  <c r="CE387" i="5"/>
  <c r="BV387" i="5"/>
  <c r="CA387" i="5"/>
  <c r="BY387" i="5"/>
  <c r="BT387" i="5"/>
  <c r="BS387" i="5"/>
  <c r="BQ387" i="5"/>
  <c r="BR387" i="5"/>
  <c r="BM387" i="5"/>
  <c r="BK387" i="5"/>
  <c r="BJ387" i="5"/>
  <c r="BI387" i="5"/>
  <c r="BH387" i="5"/>
  <c r="AZ387" i="5"/>
  <c r="BG387" i="5"/>
  <c r="BF387" i="5"/>
  <c r="BA387" i="5"/>
  <c r="BP387" i="5" s="1"/>
  <c r="AY387" i="5"/>
  <c r="BD387" i="5"/>
  <c r="BE387" i="5"/>
  <c r="AU387" i="5"/>
  <c r="BN387" i="5" s="1"/>
  <c r="AV387" i="5"/>
  <c r="BO387" i="5" s="1"/>
  <c r="CK515" i="5"/>
  <c r="CG515" i="5"/>
  <c r="CJ515" i="5"/>
  <c r="CH515" i="5"/>
  <c r="CI515" i="5"/>
  <c r="CD515" i="5"/>
  <c r="CF515" i="5"/>
  <c r="BW515" i="5"/>
  <c r="BU515" i="5"/>
  <c r="CC515" i="5"/>
  <c r="CE515" i="5"/>
  <c r="CA515" i="5"/>
  <c r="BV515" i="5"/>
  <c r="BZ515" i="5"/>
  <c r="BY515" i="5"/>
  <c r="BX515" i="5"/>
  <c r="BT515" i="5"/>
  <c r="BS515" i="5"/>
  <c r="BQ515" i="5"/>
  <c r="BL515" i="5"/>
  <c r="BR515" i="5"/>
  <c r="BM515" i="5"/>
  <c r="BK515" i="5"/>
  <c r="BJ515" i="5"/>
  <c r="BI515" i="5"/>
  <c r="BH515" i="5"/>
  <c r="AZ515" i="5"/>
  <c r="BG515" i="5"/>
  <c r="BF515" i="5"/>
  <c r="BA515" i="5"/>
  <c r="BP515" i="5" s="1"/>
  <c r="AY515" i="5"/>
  <c r="BE515" i="5"/>
  <c r="BD515" i="5"/>
  <c r="AU515" i="5"/>
  <c r="BB515" i="5" s="1"/>
  <c r="AV515" i="5"/>
  <c r="BO515" i="5" s="1"/>
  <c r="BO89" i="5"/>
  <c r="BB97" i="5"/>
  <c r="CI9" i="5"/>
  <c r="CK9" i="5"/>
  <c r="CF9" i="5"/>
  <c r="CE9" i="5"/>
  <c r="CC9" i="5"/>
  <c r="CD9" i="5"/>
  <c r="CA9" i="5"/>
  <c r="BY9" i="5"/>
  <c r="BW9" i="5"/>
  <c r="BV9" i="5"/>
  <c r="BM9" i="5"/>
  <c r="BT9" i="5"/>
  <c r="BS9" i="5"/>
  <c r="BR9" i="5"/>
  <c r="BQ9" i="5"/>
  <c r="BU9" i="5"/>
  <c r="BI9" i="5"/>
  <c r="BK9" i="5"/>
  <c r="BJ9" i="5"/>
  <c r="BF9" i="5"/>
  <c r="BE9" i="5"/>
  <c r="BD9" i="5"/>
  <c r="BH9" i="5"/>
  <c r="BG9" i="5"/>
  <c r="BA9" i="5"/>
  <c r="BP9" i="5" s="1"/>
  <c r="AY9" i="5"/>
  <c r="AZ9" i="5"/>
  <c r="AU9" i="5"/>
  <c r="BB9" i="5" s="1"/>
  <c r="AV9" i="5"/>
  <c r="BC9" i="5" s="1"/>
  <c r="CI265" i="5"/>
  <c r="CF265" i="5"/>
  <c r="CK265" i="5"/>
  <c r="CE265" i="5"/>
  <c r="BY265" i="5"/>
  <c r="CD265" i="5"/>
  <c r="CC265" i="5"/>
  <c r="BW265" i="5"/>
  <c r="BT265" i="5"/>
  <c r="CA265" i="5"/>
  <c r="BV265" i="5"/>
  <c r="BU265" i="5"/>
  <c r="BS265" i="5"/>
  <c r="BQ265" i="5"/>
  <c r="BM265" i="5"/>
  <c r="BR265" i="5"/>
  <c r="BK265" i="5"/>
  <c r="BJ265" i="5"/>
  <c r="BI265" i="5"/>
  <c r="BF265" i="5"/>
  <c r="BE265" i="5"/>
  <c r="BD265" i="5"/>
  <c r="BH265" i="5"/>
  <c r="BG265" i="5"/>
  <c r="BA265" i="5"/>
  <c r="BP265" i="5" s="1"/>
  <c r="AY265" i="5"/>
  <c r="AZ265" i="5"/>
  <c r="AU265" i="5"/>
  <c r="BN265" i="5" s="1"/>
  <c r="AV265" i="5"/>
  <c r="BO265" i="5" s="1"/>
  <c r="BB10" i="5"/>
  <c r="BZ10" i="5" s="1"/>
  <c r="BX106" i="5"/>
  <c r="BB162" i="5"/>
  <c r="BZ162" i="5" s="1"/>
  <c r="BB170" i="5"/>
  <c r="BZ170" i="5" s="1"/>
  <c r="BB186" i="5"/>
  <c r="BZ186" i="5" s="1"/>
  <c r="BL218" i="5"/>
  <c r="BB266" i="5"/>
  <c r="BZ266" i="5" s="1"/>
  <c r="BB314" i="5"/>
  <c r="BZ314" i="5" s="1"/>
  <c r="BO330" i="5"/>
  <c r="BN346" i="5"/>
  <c r="BZ346" i="5" s="1"/>
  <c r="BL354" i="5"/>
  <c r="BL362" i="5"/>
  <c r="BL386" i="5"/>
  <c r="BL394" i="5"/>
  <c r="BX442" i="5"/>
  <c r="BX450" i="5"/>
  <c r="BL458" i="5"/>
  <c r="CB458" i="5"/>
  <c r="BL514" i="5"/>
  <c r="BN514" i="5"/>
  <c r="BZ514" i="5" s="1"/>
  <c r="BB522" i="5"/>
  <c r="BZ522" i="5" s="1"/>
  <c r="BO522" i="5"/>
  <c r="BL538" i="5"/>
  <c r="CK93" i="5"/>
  <c r="CI93" i="5"/>
  <c r="CF93" i="5"/>
  <c r="CE93" i="5"/>
  <c r="CD93" i="5"/>
  <c r="CA93" i="5"/>
  <c r="CC93" i="5"/>
  <c r="BV93" i="5"/>
  <c r="BT93" i="5"/>
  <c r="BW93" i="5"/>
  <c r="BY93" i="5"/>
  <c r="BU93" i="5"/>
  <c r="BS93" i="5"/>
  <c r="BM93" i="5"/>
  <c r="BQ93" i="5"/>
  <c r="BR93" i="5"/>
  <c r="BK93" i="5"/>
  <c r="BJ93" i="5"/>
  <c r="BI93" i="5"/>
  <c r="BH93" i="5"/>
  <c r="BG93" i="5"/>
  <c r="BF93" i="5"/>
  <c r="BE93" i="5"/>
  <c r="BD93" i="5"/>
  <c r="BA93" i="5"/>
  <c r="BP93" i="5" s="1"/>
  <c r="AZ93" i="5"/>
  <c r="AY93" i="5"/>
  <c r="AU93" i="5"/>
  <c r="BN93" i="5" s="1"/>
  <c r="AV93" i="5"/>
  <c r="BC93" i="5" s="1"/>
  <c r="CK221" i="5"/>
  <c r="CI221" i="5"/>
  <c r="CF221" i="5"/>
  <c r="CE221" i="5"/>
  <c r="CD221" i="5"/>
  <c r="CA221" i="5"/>
  <c r="CC221" i="5"/>
  <c r="BV221" i="5"/>
  <c r="BT221" i="5"/>
  <c r="BW221" i="5"/>
  <c r="BY221" i="5"/>
  <c r="BS221" i="5"/>
  <c r="BU221" i="5"/>
  <c r="BM221" i="5"/>
  <c r="BQ221" i="5"/>
  <c r="BR221" i="5"/>
  <c r="BK221" i="5"/>
  <c r="BJ221" i="5"/>
  <c r="BI221" i="5"/>
  <c r="BH221" i="5"/>
  <c r="BG221" i="5"/>
  <c r="BF221" i="5"/>
  <c r="BE221" i="5"/>
  <c r="BD221" i="5"/>
  <c r="BA221" i="5"/>
  <c r="BP221" i="5" s="1"/>
  <c r="AZ221" i="5"/>
  <c r="AY221" i="5"/>
  <c r="AU221" i="5"/>
  <c r="BB221" i="5" s="1"/>
  <c r="AV221" i="5"/>
  <c r="BC221" i="5" s="1"/>
  <c r="CJ317" i="5"/>
  <c r="CK317" i="5"/>
  <c r="CF317" i="5"/>
  <c r="CI317" i="5"/>
  <c r="CE317" i="5"/>
  <c r="CG317" i="5"/>
  <c r="CD317" i="5"/>
  <c r="CH317" i="5"/>
  <c r="CA317" i="5"/>
  <c r="CC317" i="5"/>
  <c r="BV317" i="5"/>
  <c r="BX317" i="5"/>
  <c r="BZ317" i="5"/>
  <c r="BY317" i="5"/>
  <c r="BW317" i="5"/>
  <c r="BS317" i="5"/>
  <c r="BU317" i="5"/>
  <c r="BT317" i="5"/>
  <c r="BM317" i="5"/>
  <c r="BR317" i="5"/>
  <c r="BQ317" i="5"/>
  <c r="BK317" i="5"/>
  <c r="BJ317" i="5"/>
  <c r="BL317" i="5"/>
  <c r="BI317" i="5"/>
  <c r="BH317" i="5"/>
  <c r="BG317" i="5"/>
  <c r="BF317" i="5"/>
  <c r="BD317" i="5"/>
  <c r="BE317" i="5"/>
  <c r="BA317" i="5"/>
  <c r="BP317" i="5" s="1"/>
  <c r="AZ317" i="5"/>
  <c r="AY317" i="5"/>
  <c r="AU317" i="5"/>
  <c r="BB317" i="5" s="1"/>
  <c r="AV317" i="5"/>
  <c r="BC317" i="5" s="1"/>
  <c r="CK6" i="5"/>
  <c r="CF6" i="5"/>
  <c r="CE6" i="5"/>
  <c r="CI6" i="5"/>
  <c r="CD6" i="5"/>
  <c r="CC6" i="5"/>
  <c r="BY6" i="5"/>
  <c r="BW6" i="5"/>
  <c r="BU6" i="5"/>
  <c r="CA6" i="5"/>
  <c r="BV6" i="5"/>
  <c r="BR6" i="5"/>
  <c r="BJ6" i="5"/>
  <c r="BT6" i="5"/>
  <c r="BS6" i="5"/>
  <c r="BK6" i="5"/>
  <c r="BI6" i="5"/>
  <c r="BQ6" i="5"/>
  <c r="BD6" i="5"/>
  <c r="BM6" i="5"/>
  <c r="BG6" i="5"/>
  <c r="BE6" i="5"/>
  <c r="BA6" i="5"/>
  <c r="BP6" i="5" s="1"/>
  <c r="BH6" i="5"/>
  <c r="BF6" i="5"/>
  <c r="AZ6" i="5"/>
  <c r="AY6" i="5"/>
  <c r="AV6" i="5"/>
  <c r="BC6" i="5" s="1"/>
  <c r="AU6" i="5"/>
  <c r="BN6" i="5" s="1"/>
  <c r="CK94" i="5"/>
  <c r="CI94" i="5"/>
  <c r="CF94" i="5"/>
  <c r="CE94" i="5"/>
  <c r="BY94" i="5"/>
  <c r="CD94" i="5"/>
  <c r="BW94" i="5"/>
  <c r="BU94" i="5"/>
  <c r="CA94" i="5"/>
  <c r="CC94" i="5"/>
  <c r="BV94" i="5"/>
  <c r="BT94" i="5"/>
  <c r="BS94" i="5"/>
  <c r="BQ94" i="5"/>
  <c r="BJ94" i="5"/>
  <c r="BK94" i="5"/>
  <c r="BR94" i="5"/>
  <c r="BD94" i="5"/>
  <c r="BM94" i="5"/>
  <c r="BI94" i="5"/>
  <c r="BE94" i="5"/>
  <c r="BA94" i="5"/>
  <c r="BP94" i="5" s="1"/>
  <c r="BF94" i="5"/>
  <c r="BH94" i="5"/>
  <c r="BG94" i="5"/>
  <c r="AY94" i="5"/>
  <c r="AV94" i="5"/>
  <c r="BC94" i="5" s="1"/>
  <c r="AZ94" i="5"/>
  <c r="AU94" i="5"/>
  <c r="BB94" i="5" s="1"/>
  <c r="CK174" i="5"/>
  <c r="CF174" i="5"/>
  <c r="CI174" i="5"/>
  <c r="CE174" i="5"/>
  <c r="CD174" i="5"/>
  <c r="BY174" i="5"/>
  <c r="CC174" i="5"/>
  <c r="BW174" i="5"/>
  <c r="BU174" i="5"/>
  <c r="CA174" i="5"/>
  <c r="BV174" i="5"/>
  <c r="BJ174" i="5"/>
  <c r="BS174" i="5"/>
  <c r="BT174" i="5"/>
  <c r="BQ174" i="5"/>
  <c r="BK174" i="5"/>
  <c r="BR174" i="5"/>
  <c r="BM174" i="5"/>
  <c r="BI174" i="5"/>
  <c r="BD174" i="5"/>
  <c r="BE174" i="5"/>
  <c r="BA174" i="5"/>
  <c r="BP174" i="5" s="1"/>
  <c r="BH174" i="5"/>
  <c r="BG174" i="5"/>
  <c r="BF174" i="5"/>
  <c r="AZ174" i="5"/>
  <c r="AV174" i="5"/>
  <c r="BO174" i="5" s="1"/>
  <c r="AY174" i="5"/>
  <c r="AU174" i="5"/>
  <c r="BN174" i="5" s="1"/>
  <c r="CK262" i="5"/>
  <c r="CF262" i="5"/>
  <c r="CI262" i="5"/>
  <c r="CE262" i="5"/>
  <c r="CD262" i="5"/>
  <c r="BY262" i="5"/>
  <c r="BW262" i="5"/>
  <c r="BU262" i="5"/>
  <c r="CA262" i="5"/>
  <c r="CC262" i="5"/>
  <c r="BV262" i="5"/>
  <c r="BT262" i="5"/>
  <c r="BR262" i="5"/>
  <c r="BJ262" i="5"/>
  <c r="BS262" i="5"/>
  <c r="BK262" i="5"/>
  <c r="BQ262" i="5"/>
  <c r="BM262" i="5"/>
  <c r="BD262" i="5"/>
  <c r="BI262" i="5"/>
  <c r="BG262" i="5"/>
  <c r="BE262" i="5"/>
  <c r="BA262" i="5"/>
  <c r="BP262" i="5" s="1"/>
  <c r="BH262" i="5"/>
  <c r="BF262" i="5"/>
  <c r="AZ262" i="5"/>
  <c r="AY262" i="5"/>
  <c r="AV262" i="5"/>
  <c r="BC262" i="5" s="1"/>
  <c r="AU262" i="5"/>
  <c r="BN262" i="5" s="1"/>
  <c r="CF334" i="5"/>
  <c r="CK334" i="5"/>
  <c r="CE334" i="5"/>
  <c r="CD334" i="5"/>
  <c r="BY334" i="5"/>
  <c r="CC334" i="5"/>
  <c r="BW334" i="5"/>
  <c r="BU334" i="5"/>
  <c r="CI334" i="5"/>
  <c r="CA334" i="5"/>
  <c r="BV334" i="5"/>
  <c r="BJ334" i="5"/>
  <c r="BT334" i="5"/>
  <c r="BS334" i="5"/>
  <c r="BQ334" i="5"/>
  <c r="BK334" i="5"/>
  <c r="BR334" i="5"/>
  <c r="BM334" i="5"/>
  <c r="BI334" i="5"/>
  <c r="BD334" i="5"/>
  <c r="BE334" i="5"/>
  <c r="BH334" i="5"/>
  <c r="BG334" i="5"/>
  <c r="BF334" i="5"/>
  <c r="BA334" i="5"/>
  <c r="BP334" i="5" s="1"/>
  <c r="AV334" i="5"/>
  <c r="BC334" i="5" s="1"/>
  <c r="AU334" i="5"/>
  <c r="BB334" i="5" s="1"/>
  <c r="AZ334" i="5"/>
  <c r="AY334" i="5"/>
  <c r="CK406" i="5"/>
  <c r="CF406" i="5"/>
  <c r="CE406" i="5"/>
  <c r="CI406" i="5"/>
  <c r="CD406" i="5"/>
  <c r="BY406" i="5"/>
  <c r="BW406" i="5"/>
  <c r="BU406" i="5"/>
  <c r="CA406" i="5"/>
  <c r="CC406" i="5"/>
  <c r="BV406" i="5"/>
  <c r="BT406" i="5"/>
  <c r="BS406" i="5"/>
  <c r="BJ406" i="5"/>
  <c r="BK406" i="5"/>
  <c r="BM406" i="5"/>
  <c r="BR406" i="5"/>
  <c r="BQ406" i="5"/>
  <c r="BI406" i="5"/>
  <c r="BG406" i="5"/>
  <c r="BD406" i="5"/>
  <c r="BE406" i="5"/>
  <c r="BH406" i="5"/>
  <c r="BF406" i="5"/>
  <c r="AY406" i="5"/>
  <c r="AV406" i="5"/>
  <c r="BC406" i="5" s="1"/>
  <c r="AU406" i="5"/>
  <c r="BB406" i="5" s="1"/>
  <c r="BA406" i="5"/>
  <c r="BP406" i="5" s="1"/>
  <c r="AZ406" i="5"/>
  <c r="BC68" i="5"/>
  <c r="BN107" i="5"/>
  <c r="BZ107" i="5" s="1"/>
  <c r="BC196" i="5"/>
  <c r="BC555" i="5"/>
  <c r="BX33" i="5"/>
  <c r="CK19" i="5"/>
  <c r="CI19" i="5"/>
  <c r="CF19" i="5"/>
  <c r="CD19" i="5"/>
  <c r="CC19" i="5"/>
  <c r="CE19" i="5"/>
  <c r="BY19" i="5"/>
  <c r="BW19" i="5"/>
  <c r="BU19" i="5"/>
  <c r="BV19" i="5"/>
  <c r="CA19" i="5"/>
  <c r="BT19" i="5"/>
  <c r="BS19" i="5"/>
  <c r="BR19" i="5"/>
  <c r="BQ19" i="5"/>
  <c r="BM19" i="5"/>
  <c r="BK19" i="5"/>
  <c r="BJ19" i="5"/>
  <c r="BI19" i="5"/>
  <c r="BE19" i="5"/>
  <c r="AZ19" i="5"/>
  <c r="BH19" i="5"/>
  <c r="BG19" i="5"/>
  <c r="BF19" i="5"/>
  <c r="AY19" i="5"/>
  <c r="BD19" i="5"/>
  <c r="BA19" i="5"/>
  <c r="BP19" i="5" s="1"/>
  <c r="AU19" i="5"/>
  <c r="BN19" i="5" s="1"/>
  <c r="AV19" i="5"/>
  <c r="BO19" i="5" s="1"/>
  <c r="CK147" i="5"/>
  <c r="CI147" i="5"/>
  <c r="CF147" i="5"/>
  <c r="CD147" i="5"/>
  <c r="BW147" i="5"/>
  <c r="BU147" i="5"/>
  <c r="CE147" i="5"/>
  <c r="CC147" i="5"/>
  <c r="BV147" i="5"/>
  <c r="CA147" i="5"/>
  <c r="BY147" i="5"/>
  <c r="BS147" i="5"/>
  <c r="BQ147" i="5"/>
  <c r="BT147" i="5"/>
  <c r="BR147" i="5"/>
  <c r="BM147" i="5"/>
  <c r="BK147" i="5"/>
  <c r="BJ147" i="5"/>
  <c r="BI147" i="5"/>
  <c r="AZ147" i="5"/>
  <c r="BH147" i="5"/>
  <c r="BG147" i="5"/>
  <c r="BF147" i="5"/>
  <c r="AY147" i="5"/>
  <c r="BD147" i="5"/>
  <c r="BE147" i="5"/>
  <c r="BA147" i="5"/>
  <c r="BP147" i="5" s="1"/>
  <c r="AU147" i="5"/>
  <c r="BN147" i="5" s="1"/>
  <c r="AV147" i="5"/>
  <c r="BC147" i="5" s="1"/>
  <c r="CK275" i="5"/>
  <c r="CI275" i="5"/>
  <c r="CF275" i="5"/>
  <c r="CD275" i="5"/>
  <c r="CE275" i="5"/>
  <c r="BW275" i="5"/>
  <c r="BU275" i="5"/>
  <c r="CC275" i="5"/>
  <c r="BV275" i="5"/>
  <c r="CA275" i="5"/>
  <c r="BY275" i="5"/>
  <c r="BT275" i="5"/>
  <c r="BS275" i="5"/>
  <c r="BQ275" i="5"/>
  <c r="BR275" i="5"/>
  <c r="BM275" i="5"/>
  <c r="BK275" i="5"/>
  <c r="BJ275" i="5"/>
  <c r="BI275" i="5"/>
  <c r="AZ275" i="5"/>
  <c r="BH275" i="5"/>
  <c r="BG275" i="5"/>
  <c r="BF275" i="5"/>
  <c r="BA275" i="5"/>
  <c r="BP275" i="5" s="1"/>
  <c r="AY275" i="5"/>
  <c r="BD275" i="5"/>
  <c r="BE275" i="5"/>
  <c r="AU275" i="5"/>
  <c r="BB275" i="5" s="1"/>
  <c r="AV275" i="5"/>
  <c r="BC275" i="5" s="1"/>
  <c r="CK403" i="5"/>
  <c r="CF403" i="5"/>
  <c r="CD403" i="5"/>
  <c r="CI403" i="5"/>
  <c r="CE403" i="5"/>
  <c r="BW403" i="5"/>
  <c r="BU403" i="5"/>
  <c r="CC403" i="5"/>
  <c r="BV403" i="5"/>
  <c r="CA403" i="5"/>
  <c r="BY403" i="5"/>
  <c r="BT403" i="5"/>
  <c r="BS403" i="5"/>
  <c r="BQ403" i="5"/>
  <c r="BR403" i="5"/>
  <c r="BM403" i="5"/>
  <c r="BK403" i="5"/>
  <c r="BJ403" i="5"/>
  <c r="BI403" i="5"/>
  <c r="AZ403" i="5"/>
  <c r="BH403" i="5"/>
  <c r="BG403" i="5"/>
  <c r="BF403" i="5"/>
  <c r="BA403" i="5"/>
  <c r="BP403" i="5" s="1"/>
  <c r="AY403" i="5"/>
  <c r="BD403" i="5"/>
  <c r="BE403" i="5"/>
  <c r="AU403" i="5"/>
  <c r="BB403" i="5" s="1"/>
  <c r="AV403" i="5"/>
  <c r="BO403" i="5" s="1"/>
  <c r="CK531" i="5"/>
  <c r="CF531" i="5"/>
  <c r="CD531" i="5"/>
  <c r="CI531" i="5"/>
  <c r="CE531" i="5"/>
  <c r="BW531" i="5"/>
  <c r="BU531" i="5"/>
  <c r="CC531" i="5"/>
  <c r="BV531" i="5"/>
  <c r="CA531" i="5"/>
  <c r="BY531" i="5"/>
  <c r="BT531" i="5"/>
  <c r="BS531" i="5"/>
  <c r="BQ531" i="5"/>
  <c r="BR531" i="5"/>
  <c r="BM531" i="5"/>
  <c r="BK531" i="5"/>
  <c r="BJ531" i="5"/>
  <c r="BI531" i="5"/>
  <c r="BF531" i="5"/>
  <c r="AZ531" i="5"/>
  <c r="BH531" i="5"/>
  <c r="BG531" i="5"/>
  <c r="BA531" i="5"/>
  <c r="BP531" i="5" s="1"/>
  <c r="AY531" i="5"/>
  <c r="BE531" i="5"/>
  <c r="BD531" i="5"/>
  <c r="AU531" i="5"/>
  <c r="BB531" i="5" s="1"/>
  <c r="AV531" i="5"/>
  <c r="BC531" i="5" s="1"/>
  <c r="CK148" i="5"/>
  <c r="CC148" i="5"/>
  <c r="CF148" i="5"/>
  <c r="CE148" i="5"/>
  <c r="CI148" i="5"/>
  <c r="CD148" i="5"/>
  <c r="BW148" i="5"/>
  <c r="CA148" i="5"/>
  <c r="BY148" i="5"/>
  <c r="BU148" i="5"/>
  <c r="BS148" i="5"/>
  <c r="BQ148" i="5"/>
  <c r="BV148" i="5"/>
  <c r="BR148" i="5"/>
  <c r="BT148" i="5"/>
  <c r="BI148" i="5"/>
  <c r="BG148" i="5"/>
  <c r="BH148" i="5"/>
  <c r="BF148" i="5"/>
  <c r="BM148" i="5"/>
  <c r="BK148" i="5"/>
  <c r="BJ148" i="5"/>
  <c r="BE148" i="5"/>
  <c r="BD148" i="5"/>
  <c r="BA148" i="5"/>
  <c r="BP148" i="5" s="1"/>
  <c r="AZ148" i="5"/>
  <c r="AY148" i="5"/>
  <c r="AV148" i="5"/>
  <c r="BC148" i="5" s="1"/>
  <c r="AU148" i="5"/>
  <c r="BN148" i="5" s="1"/>
  <c r="CE276" i="5"/>
  <c r="CC276" i="5"/>
  <c r="CK276" i="5"/>
  <c r="CF276" i="5"/>
  <c r="CI276" i="5"/>
  <c r="CD276" i="5"/>
  <c r="BW276" i="5"/>
  <c r="CA276" i="5"/>
  <c r="BV276" i="5"/>
  <c r="BU276" i="5"/>
  <c r="BS276" i="5"/>
  <c r="BQ276" i="5"/>
  <c r="BY276" i="5"/>
  <c r="BT276" i="5"/>
  <c r="BR276" i="5"/>
  <c r="BI276" i="5"/>
  <c r="BG276" i="5"/>
  <c r="BH276" i="5"/>
  <c r="BF276" i="5"/>
  <c r="BM276" i="5"/>
  <c r="BK276" i="5"/>
  <c r="BJ276" i="5"/>
  <c r="BE276" i="5"/>
  <c r="BD276" i="5"/>
  <c r="BA276" i="5"/>
  <c r="BP276" i="5" s="1"/>
  <c r="AZ276" i="5"/>
  <c r="AY276" i="5"/>
  <c r="AV276" i="5"/>
  <c r="BC276" i="5" s="1"/>
  <c r="AU276" i="5"/>
  <c r="BN276" i="5" s="1"/>
  <c r="CF392" i="5"/>
  <c r="CI392" i="5"/>
  <c r="CD392" i="5"/>
  <c r="CE392" i="5"/>
  <c r="CK392" i="5"/>
  <c r="CC392" i="5"/>
  <c r="CA392" i="5"/>
  <c r="BV392" i="5"/>
  <c r="BW392" i="5"/>
  <c r="BT392" i="5"/>
  <c r="BR392" i="5"/>
  <c r="BY392" i="5"/>
  <c r="BS392" i="5"/>
  <c r="BQ392" i="5"/>
  <c r="BU392" i="5"/>
  <c r="BH392" i="5"/>
  <c r="BF392" i="5"/>
  <c r="BI392" i="5"/>
  <c r="BG392" i="5"/>
  <c r="BM392" i="5"/>
  <c r="BK392" i="5"/>
  <c r="BJ392" i="5"/>
  <c r="BE392" i="5"/>
  <c r="BD392" i="5"/>
  <c r="BA392" i="5"/>
  <c r="BP392" i="5" s="1"/>
  <c r="AZ392" i="5"/>
  <c r="AY392" i="5"/>
  <c r="AU392" i="5"/>
  <c r="BB392" i="5" s="1"/>
  <c r="AV392" i="5"/>
  <c r="BO392" i="5" s="1"/>
  <c r="CK507" i="5"/>
  <c r="CJ507" i="5"/>
  <c r="CI507" i="5"/>
  <c r="CD507" i="5"/>
  <c r="CF507" i="5"/>
  <c r="CG507" i="5"/>
  <c r="CH507" i="5"/>
  <c r="BX507" i="5"/>
  <c r="BW507" i="5"/>
  <c r="BU507" i="5"/>
  <c r="CE507" i="5"/>
  <c r="CA507" i="5"/>
  <c r="CC507" i="5"/>
  <c r="BZ507" i="5"/>
  <c r="BY507" i="5"/>
  <c r="BV507" i="5"/>
  <c r="BT507" i="5"/>
  <c r="BS507" i="5"/>
  <c r="BR507" i="5"/>
  <c r="BQ507" i="5"/>
  <c r="BM507" i="5"/>
  <c r="BJ507" i="5"/>
  <c r="BL507" i="5"/>
  <c r="BK507" i="5"/>
  <c r="BG507" i="5"/>
  <c r="AZ507" i="5"/>
  <c r="BI507" i="5"/>
  <c r="BF507" i="5"/>
  <c r="BH507" i="5"/>
  <c r="BE507" i="5"/>
  <c r="BA507" i="5"/>
  <c r="BP507" i="5" s="1"/>
  <c r="AY507" i="5"/>
  <c r="BD507" i="5"/>
  <c r="AU507" i="5"/>
  <c r="BN507" i="5" s="1"/>
  <c r="AV507" i="5"/>
  <c r="BO507" i="5" s="1"/>
  <c r="CK99" i="5"/>
  <c r="CH99" i="5"/>
  <c r="CG99" i="5"/>
  <c r="CE99" i="5"/>
  <c r="CD99" i="5"/>
  <c r="CJ99" i="5"/>
  <c r="CF99" i="5"/>
  <c r="BW99" i="5"/>
  <c r="BU99" i="5"/>
  <c r="CI99" i="5"/>
  <c r="CC99" i="5"/>
  <c r="CA99" i="5"/>
  <c r="BZ99" i="5"/>
  <c r="BV99" i="5"/>
  <c r="BX99" i="5"/>
  <c r="BY99" i="5"/>
  <c r="BL99" i="5"/>
  <c r="BT99" i="5"/>
  <c r="BS99" i="5"/>
  <c r="BQ99" i="5"/>
  <c r="BR99" i="5"/>
  <c r="BK99" i="5"/>
  <c r="BJ99" i="5"/>
  <c r="BI99" i="5"/>
  <c r="BM99" i="5"/>
  <c r="BH99" i="5"/>
  <c r="BG99" i="5"/>
  <c r="BF99" i="5"/>
  <c r="AZ99" i="5"/>
  <c r="AY99" i="5"/>
  <c r="BD99" i="5"/>
  <c r="BE99" i="5"/>
  <c r="BA99" i="5"/>
  <c r="BP99" i="5" s="1"/>
  <c r="AU99" i="5"/>
  <c r="BN99" i="5" s="1"/>
  <c r="AV99" i="5"/>
  <c r="BO99" i="5" s="1"/>
  <c r="CK227" i="5"/>
  <c r="CE227" i="5"/>
  <c r="CI227" i="5"/>
  <c r="CD227" i="5"/>
  <c r="CF227" i="5"/>
  <c r="BW227" i="5"/>
  <c r="BU227" i="5"/>
  <c r="CC227" i="5"/>
  <c r="CA227" i="5"/>
  <c r="BV227" i="5"/>
  <c r="BY227" i="5"/>
  <c r="BT227" i="5"/>
  <c r="BS227" i="5"/>
  <c r="BQ227" i="5"/>
  <c r="BR227" i="5"/>
  <c r="BK227" i="5"/>
  <c r="BJ227" i="5"/>
  <c r="BI227" i="5"/>
  <c r="BM227" i="5"/>
  <c r="BH227" i="5"/>
  <c r="BG227" i="5"/>
  <c r="BF227" i="5"/>
  <c r="AZ227" i="5"/>
  <c r="AY227" i="5"/>
  <c r="BD227" i="5"/>
  <c r="BE227" i="5"/>
  <c r="BA227" i="5"/>
  <c r="BP227" i="5" s="1"/>
  <c r="AU227" i="5"/>
  <c r="BB227" i="5" s="1"/>
  <c r="AV227" i="5"/>
  <c r="BO227" i="5" s="1"/>
  <c r="CK355" i="5"/>
  <c r="CD355" i="5"/>
  <c r="CF355" i="5"/>
  <c r="CI355" i="5"/>
  <c r="BW355" i="5"/>
  <c r="BU355" i="5"/>
  <c r="CE355" i="5"/>
  <c r="CC355" i="5"/>
  <c r="CA355" i="5"/>
  <c r="BV355" i="5"/>
  <c r="BY355" i="5"/>
  <c r="BT355" i="5"/>
  <c r="BS355" i="5"/>
  <c r="BQ355" i="5"/>
  <c r="BR355" i="5"/>
  <c r="BK355" i="5"/>
  <c r="BJ355" i="5"/>
  <c r="BI355" i="5"/>
  <c r="BM355" i="5"/>
  <c r="BH355" i="5"/>
  <c r="BG355" i="5"/>
  <c r="BF355" i="5"/>
  <c r="AZ355" i="5"/>
  <c r="BA355" i="5"/>
  <c r="BP355" i="5" s="1"/>
  <c r="AY355" i="5"/>
  <c r="BD355" i="5"/>
  <c r="BE355" i="5"/>
  <c r="AU355" i="5"/>
  <c r="BN355" i="5" s="1"/>
  <c r="AV355" i="5"/>
  <c r="BC355" i="5" s="1"/>
  <c r="CK483" i="5"/>
  <c r="CD483" i="5"/>
  <c r="CI483" i="5"/>
  <c r="CF483" i="5"/>
  <c r="BW483" i="5"/>
  <c r="BU483" i="5"/>
  <c r="CE483" i="5"/>
  <c r="CC483" i="5"/>
  <c r="CA483" i="5"/>
  <c r="BV483" i="5"/>
  <c r="BY483" i="5"/>
  <c r="BT483" i="5"/>
  <c r="BS483" i="5"/>
  <c r="BQ483" i="5"/>
  <c r="BR483" i="5"/>
  <c r="BK483" i="5"/>
  <c r="BJ483" i="5"/>
  <c r="BI483" i="5"/>
  <c r="BM483" i="5"/>
  <c r="BH483" i="5"/>
  <c r="BG483" i="5"/>
  <c r="AZ483" i="5"/>
  <c r="BF483" i="5"/>
  <c r="BA483" i="5"/>
  <c r="BP483" i="5" s="1"/>
  <c r="AY483" i="5"/>
  <c r="BD483" i="5"/>
  <c r="BE483" i="5"/>
  <c r="AU483" i="5"/>
  <c r="BB483" i="5" s="1"/>
  <c r="AV483" i="5"/>
  <c r="BC483" i="5" s="1"/>
  <c r="CK36" i="5"/>
  <c r="CF36" i="5"/>
  <c r="CI36" i="5"/>
  <c r="CC36" i="5"/>
  <c r="CE36" i="5"/>
  <c r="CD36" i="5"/>
  <c r="CA36" i="5"/>
  <c r="BY36" i="5"/>
  <c r="BW36" i="5"/>
  <c r="BV36" i="5"/>
  <c r="BS36" i="5"/>
  <c r="BQ36" i="5"/>
  <c r="BR36" i="5"/>
  <c r="BU36" i="5"/>
  <c r="BT36" i="5"/>
  <c r="BM36" i="5"/>
  <c r="BG36" i="5"/>
  <c r="BI36" i="5"/>
  <c r="BH36" i="5"/>
  <c r="BF36" i="5"/>
  <c r="BK36" i="5"/>
  <c r="BJ36" i="5"/>
  <c r="BE36" i="5"/>
  <c r="BD36" i="5"/>
  <c r="BA36" i="5"/>
  <c r="BP36" i="5" s="1"/>
  <c r="AZ36" i="5"/>
  <c r="AY36" i="5"/>
  <c r="AV36" i="5"/>
  <c r="BC36" i="5" s="1"/>
  <c r="AU36" i="5"/>
  <c r="BB36" i="5" s="1"/>
  <c r="CF164" i="5"/>
  <c r="CK164" i="5"/>
  <c r="CC164" i="5"/>
  <c r="CI164" i="5"/>
  <c r="CE164" i="5"/>
  <c r="CD164" i="5"/>
  <c r="CA164" i="5"/>
  <c r="BW164" i="5"/>
  <c r="BV164" i="5"/>
  <c r="BY164" i="5"/>
  <c r="BS164" i="5"/>
  <c r="BQ164" i="5"/>
  <c r="BR164" i="5"/>
  <c r="BT164" i="5"/>
  <c r="BU164" i="5"/>
  <c r="BI164" i="5"/>
  <c r="BG164" i="5"/>
  <c r="BH164" i="5"/>
  <c r="BF164" i="5"/>
  <c r="BM164" i="5"/>
  <c r="BK164" i="5"/>
  <c r="BJ164" i="5"/>
  <c r="BE164" i="5"/>
  <c r="BD164" i="5"/>
  <c r="BA164" i="5"/>
  <c r="BP164" i="5" s="1"/>
  <c r="AZ164" i="5"/>
  <c r="AY164" i="5"/>
  <c r="AV164" i="5"/>
  <c r="BC164" i="5" s="1"/>
  <c r="AU164" i="5"/>
  <c r="BN164" i="5" s="1"/>
  <c r="CJ292" i="5"/>
  <c r="CI292" i="5"/>
  <c r="CG292" i="5"/>
  <c r="CF292" i="5"/>
  <c r="CK292" i="5"/>
  <c r="CE292" i="5"/>
  <c r="CC292" i="5"/>
  <c r="CH292" i="5"/>
  <c r="CD292" i="5"/>
  <c r="CA292" i="5"/>
  <c r="BX292" i="5"/>
  <c r="BW292" i="5"/>
  <c r="BZ292" i="5"/>
  <c r="BV292" i="5"/>
  <c r="BS292" i="5"/>
  <c r="BQ292" i="5"/>
  <c r="BY292" i="5"/>
  <c r="BT292" i="5"/>
  <c r="BR292" i="5"/>
  <c r="BU292" i="5"/>
  <c r="BI292" i="5"/>
  <c r="BG292" i="5"/>
  <c r="BH292" i="5"/>
  <c r="BF292" i="5"/>
  <c r="BL292" i="5"/>
  <c r="BM292" i="5"/>
  <c r="BK292" i="5"/>
  <c r="BJ292" i="5"/>
  <c r="BE292" i="5"/>
  <c r="BD292" i="5"/>
  <c r="BA292" i="5"/>
  <c r="BP292" i="5" s="1"/>
  <c r="AZ292" i="5"/>
  <c r="AY292" i="5"/>
  <c r="AV292" i="5"/>
  <c r="BO292" i="5" s="1"/>
  <c r="AU292" i="5"/>
  <c r="BB292" i="5" s="1"/>
  <c r="CI420" i="5"/>
  <c r="CF420" i="5"/>
  <c r="CE420" i="5"/>
  <c r="CC420" i="5"/>
  <c r="CK420" i="5"/>
  <c r="CD420" i="5"/>
  <c r="CA420" i="5"/>
  <c r="BW420" i="5"/>
  <c r="BY420" i="5"/>
  <c r="BV420" i="5"/>
  <c r="BS420" i="5"/>
  <c r="BQ420" i="5"/>
  <c r="BT420" i="5"/>
  <c r="BR420" i="5"/>
  <c r="BU420" i="5"/>
  <c r="BI420" i="5"/>
  <c r="BG420" i="5"/>
  <c r="BH420" i="5"/>
  <c r="BF420" i="5"/>
  <c r="BM420" i="5"/>
  <c r="BK420" i="5"/>
  <c r="BJ420" i="5"/>
  <c r="BE420" i="5"/>
  <c r="BD420" i="5"/>
  <c r="BA420" i="5"/>
  <c r="BP420" i="5" s="1"/>
  <c r="AZ420" i="5"/>
  <c r="AY420" i="5"/>
  <c r="AV420" i="5"/>
  <c r="BO420" i="5" s="1"/>
  <c r="AU420" i="5"/>
  <c r="BB420" i="5" s="1"/>
  <c r="CJ536" i="5"/>
  <c r="CI536" i="5"/>
  <c r="CH536" i="5"/>
  <c r="CG536" i="5"/>
  <c r="CD536" i="5"/>
  <c r="CK536" i="5"/>
  <c r="CF536" i="5"/>
  <c r="CE536" i="5"/>
  <c r="CC536" i="5"/>
  <c r="BV536" i="5"/>
  <c r="CA536" i="5"/>
  <c r="BZ536" i="5"/>
  <c r="BX536" i="5"/>
  <c r="BY536" i="5"/>
  <c r="BT536" i="5"/>
  <c r="BR536" i="5"/>
  <c r="BW536" i="5"/>
  <c r="BS536" i="5"/>
  <c r="BQ536" i="5"/>
  <c r="BU536" i="5"/>
  <c r="BH536" i="5"/>
  <c r="BI536" i="5"/>
  <c r="BG536" i="5"/>
  <c r="BM536" i="5"/>
  <c r="BK536" i="5"/>
  <c r="BL536" i="5"/>
  <c r="BJ536" i="5"/>
  <c r="BF536" i="5"/>
  <c r="BA536" i="5"/>
  <c r="BP536" i="5" s="1"/>
  <c r="AZ536" i="5"/>
  <c r="BE536" i="5"/>
  <c r="BD536" i="5"/>
  <c r="AY536" i="5"/>
  <c r="AV536" i="5"/>
  <c r="BC536" i="5" s="1"/>
  <c r="AU536" i="5"/>
  <c r="BB536" i="5" s="1"/>
  <c r="BD45" i="5"/>
  <c r="CB45" i="5" s="1"/>
  <c r="BX45" i="5"/>
  <c r="BD53" i="5"/>
  <c r="BL53" i="5" s="1"/>
  <c r="BB77" i="5"/>
  <c r="BP77" i="5"/>
  <c r="BX109" i="5"/>
  <c r="BN205" i="5"/>
  <c r="BZ205" i="5" s="1"/>
  <c r="BD213" i="5"/>
  <c r="CB213" i="5" s="1"/>
  <c r="BB269" i="5"/>
  <c r="BZ269" i="5" s="1"/>
  <c r="BX269" i="5"/>
  <c r="BN54" i="5"/>
  <c r="BZ54" i="5" s="1"/>
  <c r="BB118" i="5"/>
  <c r="BZ118" i="5" s="1"/>
  <c r="BX214" i="5"/>
  <c r="BL414" i="5"/>
  <c r="BN217" i="5"/>
  <c r="BZ217" i="5" s="1"/>
  <c r="BC225" i="5"/>
  <c r="CH204" i="5"/>
  <c r="CK204" i="5"/>
  <c r="CJ204" i="5"/>
  <c r="CI204" i="5"/>
  <c r="CC204" i="5"/>
  <c r="CG204" i="5"/>
  <c r="CF204" i="5"/>
  <c r="CD204" i="5"/>
  <c r="CE204" i="5"/>
  <c r="BX204" i="5"/>
  <c r="BY204" i="5"/>
  <c r="BU204" i="5"/>
  <c r="CA204" i="5"/>
  <c r="BZ204" i="5"/>
  <c r="BW204" i="5"/>
  <c r="BS204" i="5"/>
  <c r="BQ204" i="5"/>
  <c r="BV204" i="5"/>
  <c r="BR204" i="5"/>
  <c r="BT204" i="5"/>
  <c r="BK204" i="5"/>
  <c r="BI204" i="5"/>
  <c r="BG204" i="5"/>
  <c r="BH204" i="5"/>
  <c r="BF204" i="5"/>
  <c r="BM204" i="5"/>
  <c r="BJ204" i="5"/>
  <c r="BL204" i="5"/>
  <c r="BE204" i="5"/>
  <c r="AZ204" i="5"/>
  <c r="BD204" i="5"/>
  <c r="AY204" i="5"/>
  <c r="BA204" i="5"/>
  <c r="BP204" i="5" s="1"/>
  <c r="AU204" i="5"/>
  <c r="BN204" i="5" s="1"/>
  <c r="AV204" i="5"/>
  <c r="BO204" i="5" s="1"/>
  <c r="CK332" i="5"/>
  <c r="CI332" i="5"/>
  <c r="CE332" i="5"/>
  <c r="CC332" i="5"/>
  <c r="CD332" i="5"/>
  <c r="CF332" i="5"/>
  <c r="BY332" i="5"/>
  <c r="BU332" i="5"/>
  <c r="CA332" i="5"/>
  <c r="BS332" i="5"/>
  <c r="BQ332" i="5"/>
  <c r="BW332" i="5"/>
  <c r="BT332" i="5"/>
  <c r="BR332" i="5"/>
  <c r="BV332" i="5"/>
  <c r="BK332" i="5"/>
  <c r="BI332" i="5"/>
  <c r="BG332" i="5"/>
  <c r="BH332" i="5"/>
  <c r="BF332" i="5"/>
  <c r="BM332" i="5"/>
  <c r="BJ332" i="5"/>
  <c r="BE332" i="5"/>
  <c r="BA332" i="5"/>
  <c r="BP332" i="5" s="1"/>
  <c r="BD332" i="5"/>
  <c r="AY332" i="5"/>
  <c r="AZ332" i="5"/>
  <c r="AU332" i="5"/>
  <c r="BN332" i="5" s="1"/>
  <c r="AV332" i="5"/>
  <c r="BC332" i="5" s="1"/>
  <c r="CK460" i="5"/>
  <c r="CE460" i="5"/>
  <c r="CC460" i="5"/>
  <c r="CF460" i="5"/>
  <c r="CI460" i="5"/>
  <c r="BY460" i="5"/>
  <c r="BU460" i="5"/>
  <c r="CD460" i="5"/>
  <c r="CA460" i="5"/>
  <c r="BS460" i="5"/>
  <c r="BQ460" i="5"/>
  <c r="BW460" i="5"/>
  <c r="BT460" i="5"/>
  <c r="BR460" i="5"/>
  <c r="BV460" i="5"/>
  <c r="BK460" i="5"/>
  <c r="BI460" i="5"/>
  <c r="BG460" i="5"/>
  <c r="BH460" i="5"/>
  <c r="BF460" i="5"/>
  <c r="BM460" i="5"/>
  <c r="BJ460" i="5"/>
  <c r="BE460" i="5"/>
  <c r="BD460" i="5"/>
  <c r="AY460" i="5"/>
  <c r="BA460" i="5"/>
  <c r="BP460" i="5" s="1"/>
  <c r="AZ460" i="5"/>
  <c r="AU460" i="5"/>
  <c r="BB460" i="5" s="1"/>
  <c r="AV460" i="5"/>
  <c r="BO460" i="5" s="1"/>
  <c r="BD22" i="5"/>
  <c r="CB22" i="5" s="1"/>
  <c r="BD150" i="5"/>
  <c r="CB150" i="5" s="1"/>
  <c r="BO150" i="5"/>
  <c r="BX150" i="5"/>
  <c r="CK454" i="5"/>
  <c r="CF454" i="5"/>
  <c r="CI454" i="5"/>
  <c r="CD454" i="5"/>
  <c r="BY454" i="5"/>
  <c r="CE454" i="5"/>
  <c r="BW454" i="5"/>
  <c r="BU454" i="5"/>
  <c r="CA454" i="5"/>
  <c r="CC454" i="5"/>
  <c r="BV454" i="5"/>
  <c r="BJ454" i="5"/>
  <c r="BT454" i="5"/>
  <c r="BS454" i="5"/>
  <c r="BK454" i="5"/>
  <c r="BQ454" i="5"/>
  <c r="BR454" i="5"/>
  <c r="BM454" i="5"/>
  <c r="BD454" i="5"/>
  <c r="BG454" i="5"/>
  <c r="BE454" i="5"/>
  <c r="BI454" i="5"/>
  <c r="BH454" i="5"/>
  <c r="BF454" i="5"/>
  <c r="AY454" i="5"/>
  <c r="BA454" i="5"/>
  <c r="BP454" i="5" s="1"/>
  <c r="AV454" i="5"/>
  <c r="BO454" i="5" s="1"/>
  <c r="AZ454" i="5"/>
  <c r="AU454" i="5"/>
  <c r="BN454" i="5" s="1"/>
  <c r="CK486" i="5"/>
  <c r="CJ486" i="5"/>
  <c r="CI486" i="5"/>
  <c r="CG486" i="5"/>
  <c r="CH486" i="5"/>
  <c r="CF486" i="5"/>
  <c r="CD486" i="5"/>
  <c r="BZ486" i="5"/>
  <c r="BY486" i="5"/>
  <c r="BX486" i="5"/>
  <c r="BW486" i="5"/>
  <c r="BU486" i="5"/>
  <c r="CA486" i="5"/>
  <c r="CC486" i="5"/>
  <c r="CE486" i="5"/>
  <c r="BJ486" i="5"/>
  <c r="BV486" i="5"/>
  <c r="BT486" i="5"/>
  <c r="BS486" i="5"/>
  <c r="BK486" i="5"/>
  <c r="BR486" i="5"/>
  <c r="BQ486" i="5"/>
  <c r="BM486" i="5"/>
  <c r="BF486" i="5"/>
  <c r="BD486" i="5"/>
  <c r="BL486" i="5"/>
  <c r="BG486" i="5"/>
  <c r="BE486" i="5"/>
  <c r="BI486" i="5"/>
  <c r="BH486" i="5"/>
  <c r="AY486" i="5"/>
  <c r="AV486" i="5"/>
  <c r="BC486" i="5" s="1"/>
  <c r="AZ486" i="5"/>
  <c r="BA486" i="5"/>
  <c r="BP486" i="5" s="1"/>
  <c r="AU486" i="5"/>
  <c r="BN486" i="5" s="1"/>
  <c r="CK518" i="5"/>
  <c r="CI518" i="5"/>
  <c r="CJ518" i="5"/>
  <c r="CH518" i="5"/>
  <c r="CD518" i="5"/>
  <c r="CF518" i="5"/>
  <c r="CE518" i="5"/>
  <c r="BZ518" i="5"/>
  <c r="BY518" i="5"/>
  <c r="CG518" i="5"/>
  <c r="BX518" i="5"/>
  <c r="BW518" i="5"/>
  <c r="BU518" i="5"/>
  <c r="CA518" i="5"/>
  <c r="CC518" i="5"/>
  <c r="BV518" i="5"/>
  <c r="BJ518" i="5"/>
  <c r="BT518" i="5"/>
  <c r="BS518" i="5"/>
  <c r="BK518" i="5"/>
  <c r="BR518" i="5"/>
  <c r="BL518" i="5"/>
  <c r="BQ518" i="5"/>
  <c r="BM518" i="5"/>
  <c r="BF518" i="5"/>
  <c r="BD518" i="5"/>
  <c r="BG518" i="5"/>
  <c r="BE518" i="5"/>
  <c r="BI518" i="5"/>
  <c r="BH518" i="5"/>
  <c r="AY518" i="5"/>
  <c r="BA518" i="5"/>
  <c r="BP518" i="5" s="1"/>
  <c r="AV518" i="5"/>
  <c r="BO518" i="5" s="1"/>
  <c r="AU518" i="5"/>
  <c r="BB518" i="5" s="1"/>
  <c r="AZ518" i="5"/>
  <c r="CK550" i="5"/>
  <c r="CI550" i="5"/>
  <c r="CF550" i="5"/>
  <c r="CD550" i="5"/>
  <c r="BY550" i="5"/>
  <c r="CE550" i="5"/>
  <c r="BW550" i="5"/>
  <c r="BU550" i="5"/>
  <c r="CA550" i="5"/>
  <c r="CC550" i="5"/>
  <c r="BJ550" i="5"/>
  <c r="BT550" i="5"/>
  <c r="BV550" i="5"/>
  <c r="BS550" i="5"/>
  <c r="BK550" i="5"/>
  <c r="BR550" i="5"/>
  <c r="BQ550" i="5"/>
  <c r="BM550" i="5"/>
  <c r="BF550" i="5"/>
  <c r="BD550" i="5"/>
  <c r="BG550" i="5"/>
  <c r="BE550" i="5"/>
  <c r="BI550" i="5"/>
  <c r="BH550" i="5"/>
  <c r="AY550" i="5"/>
  <c r="AZ550" i="5"/>
  <c r="AV550" i="5"/>
  <c r="BA550" i="5"/>
  <c r="AU550" i="5"/>
  <c r="CK527" i="5"/>
  <c r="CF527" i="5"/>
  <c r="CE527" i="5"/>
  <c r="CC527" i="5"/>
  <c r="CI527" i="5"/>
  <c r="BV527" i="5"/>
  <c r="CD527" i="5"/>
  <c r="BW527" i="5"/>
  <c r="CA527" i="5"/>
  <c r="BY527" i="5"/>
  <c r="BT527" i="5"/>
  <c r="BS527" i="5"/>
  <c r="BU527" i="5"/>
  <c r="BR527" i="5"/>
  <c r="BQ527" i="5"/>
  <c r="BM527" i="5"/>
  <c r="BK527" i="5"/>
  <c r="BJ527" i="5"/>
  <c r="BI527" i="5"/>
  <c r="BH527" i="5"/>
  <c r="BG527" i="5"/>
  <c r="BA527" i="5"/>
  <c r="BP527" i="5" s="1"/>
  <c r="AY527" i="5"/>
  <c r="BF527" i="5"/>
  <c r="BD527" i="5"/>
  <c r="AZ527" i="5"/>
  <c r="BE527" i="5"/>
  <c r="AV527" i="5"/>
  <c r="BO527" i="5" s="1"/>
  <c r="AU527" i="5"/>
  <c r="BB527" i="5" s="1"/>
  <c r="BD145" i="5"/>
  <c r="CB145" i="5" s="1"/>
  <c r="BP193" i="5"/>
  <c r="CB193" i="5" s="1"/>
  <c r="CK79" i="5"/>
  <c r="CF79" i="5"/>
  <c r="CC79" i="5"/>
  <c r="CE79" i="5"/>
  <c r="CI79" i="5"/>
  <c r="BV79" i="5"/>
  <c r="CD79" i="5"/>
  <c r="CA79" i="5"/>
  <c r="BW79" i="5"/>
  <c r="BY79" i="5"/>
  <c r="BT79" i="5"/>
  <c r="BU79" i="5"/>
  <c r="BS79" i="5"/>
  <c r="BR79" i="5"/>
  <c r="BQ79" i="5"/>
  <c r="BM79" i="5"/>
  <c r="BI79" i="5"/>
  <c r="BK79" i="5"/>
  <c r="BJ79" i="5"/>
  <c r="BF79" i="5"/>
  <c r="AY79" i="5"/>
  <c r="BH79" i="5"/>
  <c r="BE79" i="5"/>
  <c r="BG79" i="5"/>
  <c r="BD79" i="5"/>
  <c r="AZ79" i="5"/>
  <c r="BA79" i="5"/>
  <c r="AV79" i="5"/>
  <c r="BO79" i="5" s="1"/>
  <c r="AU79" i="5"/>
  <c r="BB116" i="5"/>
  <c r="BZ116" i="5" s="1"/>
  <c r="BC168" i="5"/>
  <c r="BC219" i="5"/>
  <c r="CK399" i="5"/>
  <c r="CI399" i="5"/>
  <c r="CF399" i="5"/>
  <c r="CE399" i="5"/>
  <c r="CC399" i="5"/>
  <c r="BV399" i="5"/>
  <c r="CD399" i="5"/>
  <c r="BW399" i="5"/>
  <c r="CA399" i="5"/>
  <c r="BY399" i="5"/>
  <c r="BU399" i="5"/>
  <c r="BT399" i="5"/>
  <c r="BS399" i="5"/>
  <c r="BR399" i="5"/>
  <c r="BQ399" i="5"/>
  <c r="BM399" i="5"/>
  <c r="BK399" i="5"/>
  <c r="BJ399" i="5"/>
  <c r="BI399" i="5"/>
  <c r="BF399" i="5"/>
  <c r="BH399" i="5"/>
  <c r="BG399" i="5"/>
  <c r="BA399" i="5"/>
  <c r="BP399" i="5" s="1"/>
  <c r="AY399" i="5"/>
  <c r="BE399" i="5"/>
  <c r="BD399" i="5"/>
  <c r="AZ399" i="5"/>
  <c r="AV399" i="5"/>
  <c r="BO399" i="5" s="1"/>
  <c r="AU399" i="5"/>
  <c r="BN399" i="5" s="1"/>
  <c r="BD49" i="5"/>
  <c r="BL49" i="5" s="1"/>
  <c r="BB57" i="5"/>
  <c r="BZ57" i="5" s="1"/>
  <c r="BX57" i="5"/>
  <c r="BD65" i="5"/>
  <c r="CB65" i="5" s="1"/>
  <c r="BX273" i="5"/>
  <c r="BO281" i="5"/>
  <c r="CK16" i="5"/>
  <c r="CJ16" i="5"/>
  <c r="CI16" i="5"/>
  <c r="CD16" i="5"/>
  <c r="CC16" i="5"/>
  <c r="CF16" i="5"/>
  <c r="CE16" i="5"/>
  <c r="CH16" i="5"/>
  <c r="CG16" i="5"/>
  <c r="CA16" i="5"/>
  <c r="BZ16" i="5"/>
  <c r="BT16" i="5"/>
  <c r="BW16" i="5"/>
  <c r="BY16" i="5"/>
  <c r="BR16" i="5"/>
  <c r="BV16" i="5"/>
  <c r="BX16" i="5"/>
  <c r="BS16" i="5"/>
  <c r="BQ16" i="5"/>
  <c r="BU16" i="5"/>
  <c r="BH16" i="5"/>
  <c r="BF16" i="5"/>
  <c r="BM16" i="5"/>
  <c r="BJ16" i="5"/>
  <c r="BG16" i="5"/>
  <c r="BK16" i="5"/>
  <c r="BI16" i="5"/>
  <c r="BL16" i="5"/>
  <c r="BA16" i="5"/>
  <c r="BP16" i="5" s="1"/>
  <c r="BE16" i="5"/>
  <c r="BD16" i="5"/>
  <c r="AY16" i="5"/>
  <c r="AZ16" i="5"/>
  <c r="AU16" i="5"/>
  <c r="BN16" i="5" s="1"/>
  <c r="AV16" i="5"/>
  <c r="BO16" i="5" s="1"/>
  <c r="CK144" i="5"/>
  <c r="CI144" i="5"/>
  <c r="CD144" i="5"/>
  <c r="CG144" i="5"/>
  <c r="CF144" i="5"/>
  <c r="CE144" i="5"/>
  <c r="CC144" i="5"/>
  <c r="CA144" i="5"/>
  <c r="BW144" i="5"/>
  <c r="BY144" i="5"/>
  <c r="BV144" i="5"/>
  <c r="BT144" i="5"/>
  <c r="BR144" i="5"/>
  <c r="BS144" i="5"/>
  <c r="BQ144" i="5"/>
  <c r="BU144" i="5"/>
  <c r="BH144" i="5"/>
  <c r="BF144" i="5"/>
  <c r="BM144" i="5"/>
  <c r="BJ144" i="5"/>
  <c r="BI144" i="5"/>
  <c r="BG144" i="5"/>
  <c r="BK144" i="5"/>
  <c r="BA144" i="5"/>
  <c r="BP144" i="5" s="1"/>
  <c r="BE144" i="5"/>
  <c r="BD144" i="5"/>
  <c r="AY144" i="5"/>
  <c r="AZ144" i="5"/>
  <c r="AU144" i="5"/>
  <c r="BN144" i="5" s="1"/>
  <c r="AV144" i="5"/>
  <c r="BC144" i="5" s="1"/>
  <c r="CK272" i="5"/>
  <c r="CD272" i="5"/>
  <c r="CI272" i="5"/>
  <c r="CE272" i="5"/>
  <c r="CF272" i="5"/>
  <c r="CC272" i="5"/>
  <c r="CA272" i="5"/>
  <c r="BW272" i="5"/>
  <c r="BY272" i="5"/>
  <c r="BV272" i="5"/>
  <c r="BT272" i="5"/>
  <c r="BR272" i="5"/>
  <c r="BS272" i="5"/>
  <c r="BQ272" i="5"/>
  <c r="BU272" i="5"/>
  <c r="BH272" i="5"/>
  <c r="BF272" i="5"/>
  <c r="BM272" i="5"/>
  <c r="BJ272" i="5"/>
  <c r="BI272" i="5"/>
  <c r="BG272" i="5"/>
  <c r="BK272" i="5"/>
  <c r="BE272" i="5"/>
  <c r="BD272" i="5"/>
  <c r="BA272" i="5"/>
  <c r="BP272" i="5" s="1"/>
  <c r="AY272" i="5"/>
  <c r="AZ272" i="5"/>
  <c r="AU272" i="5"/>
  <c r="BB272" i="5" s="1"/>
  <c r="AV272" i="5"/>
  <c r="BC272" i="5" s="1"/>
  <c r="CK400" i="5"/>
  <c r="CD400" i="5"/>
  <c r="CF400" i="5"/>
  <c r="CE400" i="5"/>
  <c r="CI400" i="5"/>
  <c r="CC400" i="5"/>
  <c r="CA400" i="5"/>
  <c r="BW400" i="5"/>
  <c r="BV400" i="5"/>
  <c r="BY400" i="5"/>
  <c r="BT400" i="5"/>
  <c r="BR400" i="5"/>
  <c r="BS400" i="5"/>
  <c r="BQ400" i="5"/>
  <c r="BU400" i="5"/>
  <c r="BH400" i="5"/>
  <c r="BF400" i="5"/>
  <c r="BM400" i="5"/>
  <c r="BJ400" i="5"/>
  <c r="BI400" i="5"/>
  <c r="BG400" i="5"/>
  <c r="BK400" i="5"/>
  <c r="BE400" i="5"/>
  <c r="BD400" i="5"/>
  <c r="AZ400" i="5"/>
  <c r="BA400" i="5"/>
  <c r="AY400" i="5"/>
  <c r="AU400" i="5"/>
  <c r="AV400" i="5"/>
  <c r="CH528" i="5"/>
  <c r="CI528" i="5"/>
  <c r="CG528" i="5"/>
  <c r="CK528" i="5"/>
  <c r="CD528" i="5"/>
  <c r="CF528" i="5"/>
  <c r="CJ528" i="5"/>
  <c r="CE528" i="5"/>
  <c r="CC528" i="5"/>
  <c r="CA528" i="5"/>
  <c r="BX528" i="5"/>
  <c r="BW528" i="5"/>
  <c r="BZ528" i="5"/>
  <c r="BY528" i="5"/>
  <c r="BT528" i="5"/>
  <c r="BR528" i="5"/>
  <c r="BS528" i="5"/>
  <c r="BQ528" i="5"/>
  <c r="BU528" i="5"/>
  <c r="BL528" i="5"/>
  <c r="BV528" i="5"/>
  <c r="BH528" i="5"/>
  <c r="BM528" i="5"/>
  <c r="BJ528" i="5"/>
  <c r="BI528" i="5"/>
  <c r="BG528" i="5"/>
  <c r="BK528" i="5"/>
  <c r="BF528" i="5"/>
  <c r="BE528" i="5"/>
  <c r="BD528" i="5"/>
  <c r="AZ528" i="5"/>
  <c r="BA528" i="5"/>
  <c r="BP528" i="5" s="1"/>
  <c r="AY528" i="5"/>
  <c r="AU528" i="5"/>
  <c r="BN528" i="5" s="1"/>
  <c r="AV528" i="5"/>
  <c r="BC528" i="5" s="1"/>
  <c r="BP81" i="5"/>
  <c r="CB81" i="5" s="1"/>
  <c r="BP89" i="5"/>
  <c r="CB89" i="5" s="1"/>
  <c r="BP97" i="5"/>
  <c r="CK377" i="5"/>
  <c r="CF377" i="5"/>
  <c r="CI377" i="5"/>
  <c r="CE377" i="5"/>
  <c r="CD377" i="5"/>
  <c r="CC377" i="5"/>
  <c r="BY377" i="5"/>
  <c r="CA377" i="5"/>
  <c r="BW377" i="5"/>
  <c r="BV377" i="5"/>
  <c r="BU377" i="5"/>
  <c r="BM377" i="5"/>
  <c r="BT377" i="5"/>
  <c r="BS377" i="5"/>
  <c r="BQ377" i="5"/>
  <c r="BR377" i="5"/>
  <c r="BI377" i="5"/>
  <c r="BK377" i="5"/>
  <c r="BJ377" i="5"/>
  <c r="BH377" i="5"/>
  <c r="BG377" i="5"/>
  <c r="BE377" i="5"/>
  <c r="BF377" i="5"/>
  <c r="BD377" i="5"/>
  <c r="BA377" i="5"/>
  <c r="BP377" i="5" s="1"/>
  <c r="AZ377" i="5"/>
  <c r="AY377" i="5"/>
  <c r="AU377" i="5"/>
  <c r="BN377" i="5" s="1"/>
  <c r="AV377" i="5"/>
  <c r="BO377" i="5" s="1"/>
  <c r="CK409" i="5"/>
  <c r="CF409" i="5"/>
  <c r="CI409" i="5"/>
  <c r="CE409" i="5"/>
  <c r="CC409" i="5"/>
  <c r="BY409" i="5"/>
  <c r="CA409" i="5"/>
  <c r="BW409" i="5"/>
  <c r="CD409" i="5"/>
  <c r="BV409" i="5"/>
  <c r="BM409" i="5"/>
  <c r="BT409" i="5"/>
  <c r="BS409" i="5"/>
  <c r="BU409" i="5"/>
  <c r="BQ409" i="5"/>
  <c r="BR409" i="5"/>
  <c r="BJ409" i="5"/>
  <c r="BI409" i="5"/>
  <c r="BK409" i="5"/>
  <c r="BG409" i="5"/>
  <c r="BF409" i="5"/>
  <c r="BE409" i="5"/>
  <c r="BH409" i="5"/>
  <c r="BD409" i="5"/>
  <c r="BA409" i="5"/>
  <c r="BP409" i="5" s="1"/>
  <c r="AZ409" i="5"/>
  <c r="AY409" i="5"/>
  <c r="AU409" i="5"/>
  <c r="BN409" i="5" s="1"/>
  <c r="AV409" i="5"/>
  <c r="BO409" i="5" s="1"/>
  <c r="CF441" i="5"/>
  <c r="CK441" i="5"/>
  <c r="CI441" i="5"/>
  <c r="CE441" i="5"/>
  <c r="CC441" i="5"/>
  <c r="BY441" i="5"/>
  <c r="CD441" i="5"/>
  <c r="BW441" i="5"/>
  <c r="CA441" i="5"/>
  <c r="BV441" i="5"/>
  <c r="BU441" i="5"/>
  <c r="BM441" i="5"/>
  <c r="BT441" i="5"/>
  <c r="BS441" i="5"/>
  <c r="BQ441" i="5"/>
  <c r="BR441" i="5"/>
  <c r="BK441" i="5"/>
  <c r="BJ441" i="5"/>
  <c r="BI441" i="5"/>
  <c r="BH441" i="5"/>
  <c r="BG441" i="5"/>
  <c r="BF441" i="5"/>
  <c r="BE441" i="5"/>
  <c r="BD441" i="5"/>
  <c r="BA441" i="5"/>
  <c r="BP441" i="5" s="1"/>
  <c r="AZ441" i="5"/>
  <c r="AY441" i="5"/>
  <c r="AU441" i="5"/>
  <c r="BB441" i="5" s="1"/>
  <c r="AV441" i="5"/>
  <c r="BO441" i="5" s="1"/>
  <c r="CK473" i="5"/>
  <c r="CF473" i="5"/>
  <c r="CH473" i="5"/>
  <c r="CI473" i="5"/>
  <c r="CJ473" i="5"/>
  <c r="CG473" i="5"/>
  <c r="CC473" i="5"/>
  <c r="BZ473" i="5"/>
  <c r="BY473" i="5"/>
  <c r="CD473" i="5"/>
  <c r="CE473" i="5"/>
  <c r="BW473" i="5"/>
  <c r="CA473" i="5"/>
  <c r="BX473" i="5"/>
  <c r="BU473" i="5"/>
  <c r="BM473" i="5"/>
  <c r="BT473" i="5"/>
  <c r="BS473" i="5"/>
  <c r="BV473" i="5"/>
  <c r="BQ473" i="5"/>
  <c r="BR473" i="5"/>
  <c r="BK473" i="5"/>
  <c r="BI473" i="5"/>
  <c r="BJ473" i="5"/>
  <c r="BL473" i="5"/>
  <c r="BH473" i="5"/>
  <c r="BG473" i="5"/>
  <c r="BF473" i="5"/>
  <c r="BD473" i="5"/>
  <c r="BE473" i="5"/>
  <c r="BA473" i="5"/>
  <c r="BP473" i="5" s="1"/>
  <c r="AZ473" i="5"/>
  <c r="AY473" i="5"/>
  <c r="AU473" i="5"/>
  <c r="BB473" i="5" s="1"/>
  <c r="AV473" i="5"/>
  <c r="BO473" i="5" s="1"/>
  <c r="CF505" i="5"/>
  <c r="CK505" i="5"/>
  <c r="CI505" i="5"/>
  <c r="CE505" i="5"/>
  <c r="CD505" i="5"/>
  <c r="CC505" i="5"/>
  <c r="BY505" i="5"/>
  <c r="CA505" i="5"/>
  <c r="BW505" i="5"/>
  <c r="BV505" i="5"/>
  <c r="BM505" i="5"/>
  <c r="BT505" i="5"/>
  <c r="BS505" i="5"/>
  <c r="BU505" i="5"/>
  <c r="BQ505" i="5"/>
  <c r="BR505" i="5"/>
  <c r="BI505" i="5"/>
  <c r="BK505" i="5"/>
  <c r="BJ505" i="5"/>
  <c r="BH505" i="5"/>
  <c r="BF505" i="5"/>
  <c r="BG505" i="5"/>
  <c r="BD505" i="5"/>
  <c r="BA505" i="5"/>
  <c r="BP505" i="5" s="1"/>
  <c r="BE505" i="5"/>
  <c r="AZ505" i="5"/>
  <c r="AY505" i="5"/>
  <c r="AU505" i="5"/>
  <c r="BN505" i="5" s="1"/>
  <c r="AV505" i="5"/>
  <c r="BO505" i="5" s="1"/>
  <c r="CK537" i="5"/>
  <c r="CF537" i="5"/>
  <c r="CI537" i="5"/>
  <c r="CE537" i="5"/>
  <c r="CC537" i="5"/>
  <c r="BY537" i="5"/>
  <c r="CD537" i="5"/>
  <c r="BW537" i="5"/>
  <c r="CA537" i="5"/>
  <c r="BV537" i="5"/>
  <c r="BM537" i="5"/>
  <c r="BU537" i="5"/>
  <c r="BT537" i="5"/>
  <c r="BQ537" i="5"/>
  <c r="BS537" i="5"/>
  <c r="BR537" i="5"/>
  <c r="BJ537" i="5"/>
  <c r="BI537" i="5"/>
  <c r="BK537" i="5"/>
  <c r="BG537" i="5"/>
  <c r="BF537" i="5"/>
  <c r="BH537" i="5"/>
  <c r="BD537" i="5"/>
  <c r="BA537" i="5"/>
  <c r="BP537" i="5" s="1"/>
  <c r="BE537" i="5"/>
  <c r="AZ537" i="5"/>
  <c r="AY537" i="5"/>
  <c r="AV537" i="5"/>
  <c r="BO537" i="5" s="1"/>
  <c r="AU537" i="5"/>
  <c r="BB537" i="5" s="1"/>
  <c r="CB218" i="5"/>
  <c r="CI41" i="5"/>
  <c r="CK41" i="5"/>
  <c r="CF41" i="5"/>
  <c r="CE41" i="5"/>
  <c r="CD41" i="5"/>
  <c r="CC41" i="5"/>
  <c r="CA41" i="5"/>
  <c r="BY41" i="5"/>
  <c r="BW41" i="5"/>
  <c r="BV41" i="5"/>
  <c r="BU41" i="5"/>
  <c r="BM41" i="5"/>
  <c r="BS41" i="5"/>
  <c r="BQ41" i="5"/>
  <c r="BT41" i="5"/>
  <c r="BI41" i="5"/>
  <c r="BR41" i="5"/>
  <c r="BK41" i="5"/>
  <c r="BJ41" i="5"/>
  <c r="BH41" i="5"/>
  <c r="BG41" i="5"/>
  <c r="BF41" i="5"/>
  <c r="BE41" i="5"/>
  <c r="BD41" i="5"/>
  <c r="BA41" i="5"/>
  <c r="BP41" i="5" s="1"/>
  <c r="AY41" i="5"/>
  <c r="AZ41" i="5"/>
  <c r="AU41" i="5"/>
  <c r="BN41" i="5" s="1"/>
  <c r="AV41" i="5"/>
  <c r="BO41" i="5" s="1"/>
  <c r="CK297" i="5"/>
  <c r="CF297" i="5"/>
  <c r="CI297" i="5"/>
  <c r="CE297" i="5"/>
  <c r="CD297" i="5"/>
  <c r="BY297" i="5"/>
  <c r="CC297" i="5"/>
  <c r="CA297" i="5"/>
  <c r="BW297" i="5"/>
  <c r="BV297" i="5"/>
  <c r="BU297" i="5"/>
  <c r="BT297" i="5"/>
  <c r="BS297" i="5"/>
  <c r="BQ297" i="5"/>
  <c r="BM297" i="5"/>
  <c r="BR297" i="5"/>
  <c r="BK297" i="5"/>
  <c r="BJ297" i="5"/>
  <c r="BI297" i="5"/>
  <c r="BH297" i="5"/>
  <c r="BG297" i="5"/>
  <c r="BF297" i="5"/>
  <c r="BE297" i="5"/>
  <c r="BD297" i="5"/>
  <c r="BA297" i="5"/>
  <c r="BP297" i="5" s="1"/>
  <c r="AZ297" i="5"/>
  <c r="AY297" i="5"/>
  <c r="AU297" i="5"/>
  <c r="BN297" i="5" s="1"/>
  <c r="AV297" i="5"/>
  <c r="BC297" i="5" s="1"/>
  <c r="BB18" i="5"/>
  <c r="BN34" i="5"/>
  <c r="BZ34" i="5" s="1"/>
  <c r="BM74" i="5"/>
  <c r="BN106" i="5"/>
  <c r="BZ106" i="5" s="1"/>
  <c r="BL122" i="5"/>
  <c r="BX130" i="5"/>
  <c r="BB178" i="5"/>
  <c r="BZ178" i="5" s="1"/>
  <c r="BB194" i="5"/>
  <c r="BN202" i="5"/>
  <c r="BZ202" i="5" s="1"/>
  <c r="BL234" i="5"/>
  <c r="BC242" i="5"/>
  <c r="BB322" i="5"/>
  <c r="BZ322" i="5" s="1"/>
  <c r="BB330" i="5"/>
  <c r="BZ330" i="5" s="1"/>
  <c r="BN354" i="5"/>
  <c r="BZ354" i="5" s="1"/>
  <c r="BX378" i="5"/>
  <c r="CB394" i="5"/>
  <c r="CB402" i="5"/>
  <c r="BL450" i="5"/>
  <c r="BB458" i="5"/>
  <c r="BZ458" i="5" s="1"/>
  <c r="BL506" i="5"/>
  <c r="CB506" i="5"/>
  <c r="BN506" i="5"/>
  <c r="BZ506" i="5" s="1"/>
  <c r="BN538" i="5"/>
  <c r="BZ538" i="5" s="1"/>
  <c r="CI101" i="5"/>
  <c r="CK101" i="5"/>
  <c r="CF101" i="5"/>
  <c r="CE101" i="5"/>
  <c r="CA101" i="5"/>
  <c r="CC101" i="5"/>
  <c r="BT101" i="5"/>
  <c r="CD101" i="5"/>
  <c r="BW101" i="5"/>
  <c r="BY101" i="5"/>
  <c r="BV101" i="5"/>
  <c r="BU101" i="5"/>
  <c r="BS101" i="5"/>
  <c r="BR101" i="5"/>
  <c r="BM101" i="5"/>
  <c r="BQ101" i="5"/>
  <c r="BJ101" i="5"/>
  <c r="BK101" i="5"/>
  <c r="BI101" i="5"/>
  <c r="BF101" i="5"/>
  <c r="BH101" i="5"/>
  <c r="BG101" i="5"/>
  <c r="BA101" i="5"/>
  <c r="BP101" i="5" s="1"/>
  <c r="BE101" i="5"/>
  <c r="BD101" i="5"/>
  <c r="AY101" i="5"/>
  <c r="AZ101" i="5"/>
  <c r="AU101" i="5"/>
  <c r="BB101" i="5" s="1"/>
  <c r="AV101" i="5"/>
  <c r="BC101" i="5" s="1"/>
  <c r="CI229" i="5"/>
  <c r="CJ229" i="5"/>
  <c r="CH229" i="5"/>
  <c r="CG229" i="5"/>
  <c r="CK229" i="5"/>
  <c r="CF229" i="5"/>
  <c r="CE229" i="5"/>
  <c r="CA229" i="5"/>
  <c r="CC229" i="5"/>
  <c r="CD229" i="5"/>
  <c r="BT229" i="5"/>
  <c r="BZ229" i="5"/>
  <c r="BW229" i="5"/>
  <c r="BY229" i="5"/>
  <c r="BX229" i="5"/>
  <c r="BV229" i="5"/>
  <c r="BU229" i="5"/>
  <c r="BL229" i="5"/>
  <c r="BS229" i="5"/>
  <c r="BR229" i="5"/>
  <c r="BM229" i="5"/>
  <c r="BQ229" i="5"/>
  <c r="BJ229" i="5"/>
  <c r="BK229" i="5"/>
  <c r="BI229" i="5"/>
  <c r="BF229" i="5"/>
  <c r="BH229" i="5"/>
  <c r="BG229" i="5"/>
  <c r="BA229" i="5"/>
  <c r="BP229" i="5" s="1"/>
  <c r="BE229" i="5"/>
  <c r="BD229" i="5"/>
  <c r="AY229" i="5"/>
  <c r="AZ229" i="5"/>
  <c r="AU229" i="5"/>
  <c r="BB229" i="5" s="1"/>
  <c r="AV229" i="5"/>
  <c r="BC229" i="5" s="1"/>
  <c r="CK325" i="5"/>
  <c r="CI325" i="5"/>
  <c r="CF325" i="5"/>
  <c r="CE325" i="5"/>
  <c r="CD325" i="5"/>
  <c r="CA325" i="5"/>
  <c r="CC325" i="5"/>
  <c r="BY325" i="5"/>
  <c r="BW325" i="5"/>
  <c r="BV325" i="5"/>
  <c r="BU325" i="5"/>
  <c r="BT325" i="5"/>
  <c r="BS325" i="5"/>
  <c r="BR325" i="5"/>
  <c r="BM325" i="5"/>
  <c r="BQ325" i="5"/>
  <c r="BJ325" i="5"/>
  <c r="BK325" i="5"/>
  <c r="BI325" i="5"/>
  <c r="BF325" i="5"/>
  <c r="BH325" i="5"/>
  <c r="BG325" i="5"/>
  <c r="BE325" i="5"/>
  <c r="BA325" i="5"/>
  <c r="BP325" i="5" s="1"/>
  <c r="BD325" i="5"/>
  <c r="AZ325" i="5"/>
  <c r="AY325" i="5"/>
  <c r="AU325" i="5"/>
  <c r="BB325" i="5" s="1"/>
  <c r="AV325" i="5"/>
  <c r="BO325" i="5" s="1"/>
  <c r="CI14" i="5"/>
  <c r="CK14" i="5"/>
  <c r="CF14" i="5"/>
  <c r="CE14" i="5"/>
  <c r="CD14" i="5"/>
  <c r="BY14" i="5"/>
  <c r="BW14" i="5"/>
  <c r="BU14" i="5"/>
  <c r="CC14" i="5"/>
  <c r="CA14" i="5"/>
  <c r="BV14" i="5"/>
  <c r="BT14" i="5"/>
  <c r="BJ14" i="5"/>
  <c r="BS14" i="5"/>
  <c r="BQ14" i="5"/>
  <c r="BK14" i="5"/>
  <c r="BI14" i="5"/>
  <c r="BR14" i="5"/>
  <c r="BM14" i="5"/>
  <c r="BD14" i="5"/>
  <c r="BE14" i="5"/>
  <c r="BA14" i="5"/>
  <c r="BP14" i="5" s="1"/>
  <c r="BH14" i="5"/>
  <c r="BG14" i="5"/>
  <c r="BF14" i="5"/>
  <c r="AV14" i="5"/>
  <c r="BO14" i="5" s="1"/>
  <c r="AY14" i="5"/>
  <c r="AZ14" i="5"/>
  <c r="AU14" i="5"/>
  <c r="BB14" i="5" s="1"/>
  <c r="CK102" i="5"/>
  <c r="CF102" i="5"/>
  <c r="CI102" i="5"/>
  <c r="CE102" i="5"/>
  <c r="CD102" i="5"/>
  <c r="BY102" i="5"/>
  <c r="BW102" i="5"/>
  <c r="BU102" i="5"/>
  <c r="CA102" i="5"/>
  <c r="CC102" i="5"/>
  <c r="BV102" i="5"/>
  <c r="BT102" i="5"/>
  <c r="BR102" i="5"/>
  <c r="BJ102" i="5"/>
  <c r="BS102" i="5"/>
  <c r="BK102" i="5"/>
  <c r="BQ102" i="5"/>
  <c r="BM102" i="5"/>
  <c r="BD102" i="5"/>
  <c r="BI102" i="5"/>
  <c r="BG102" i="5"/>
  <c r="BE102" i="5"/>
  <c r="BA102" i="5"/>
  <c r="BP102" i="5" s="1"/>
  <c r="BH102" i="5"/>
  <c r="BF102" i="5"/>
  <c r="AZ102" i="5"/>
  <c r="AY102" i="5"/>
  <c r="AV102" i="5"/>
  <c r="AU102" i="5"/>
  <c r="BN102" i="5" s="1"/>
  <c r="CK190" i="5"/>
  <c r="CI190" i="5"/>
  <c r="CF190" i="5"/>
  <c r="CE190" i="5"/>
  <c r="BY190" i="5"/>
  <c r="BW190" i="5"/>
  <c r="BU190" i="5"/>
  <c r="CD190" i="5"/>
  <c r="CC190" i="5"/>
  <c r="CA190" i="5"/>
  <c r="BV190" i="5"/>
  <c r="BS190" i="5"/>
  <c r="BQ190" i="5"/>
  <c r="BJ190" i="5"/>
  <c r="BT190" i="5"/>
  <c r="BK190" i="5"/>
  <c r="BR190" i="5"/>
  <c r="BM190" i="5"/>
  <c r="BD190" i="5"/>
  <c r="BI190" i="5"/>
  <c r="BE190" i="5"/>
  <c r="BA190" i="5"/>
  <c r="BP190" i="5" s="1"/>
  <c r="BH190" i="5"/>
  <c r="BG190" i="5"/>
  <c r="BF190" i="5"/>
  <c r="AV190" i="5"/>
  <c r="BC190" i="5" s="1"/>
  <c r="AU190" i="5"/>
  <c r="BB190" i="5" s="1"/>
  <c r="AZ190" i="5"/>
  <c r="AY190" i="5"/>
  <c r="CJ270" i="5"/>
  <c r="CH270" i="5"/>
  <c r="CG270" i="5"/>
  <c r="CF270" i="5"/>
  <c r="CK270" i="5"/>
  <c r="CI270" i="5"/>
  <c r="BZ270" i="5"/>
  <c r="BY270" i="5"/>
  <c r="CE270" i="5"/>
  <c r="CC270" i="5"/>
  <c r="BW270" i="5"/>
  <c r="BU270" i="5"/>
  <c r="CD270" i="5"/>
  <c r="CA270" i="5"/>
  <c r="BV270" i="5"/>
  <c r="BX270" i="5"/>
  <c r="BL270" i="5"/>
  <c r="BJ270" i="5"/>
  <c r="BT270" i="5"/>
  <c r="BS270" i="5"/>
  <c r="BQ270" i="5"/>
  <c r="BK270" i="5"/>
  <c r="BR270" i="5"/>
  <c r="BI270" i="5"/>
  <c r="BD270" i="5"/>
  <c r="BM270" i="5"/>
  <c r="BE270" i="5"/>
  <c r="BH270" i="5"/>
  <c r="BG270" i="5"/>
  <c r="BF270" i="5"/>
  <c r="BA270" i="5"/>
  <c r="BP270" i="5" s="1"/>
  <c r="AV270" i="5"/>
  <c r="BC270" i="5" s="1"/>
  <c r="AY270" i="5"/>
  <c r="AZ270" i="5"/>
  <c r="AU270" i="5"/>
  <c r="BN270" i="5" s="1"/>
  <c r="CK342" i="5"/>
  <c r="CJ342" i="5"/>
  <c r="CF342" i="5"/>
  <c r="CH342" i="5"/>
  <c r="CG342" i="5"/>
  <c r="CE342" i="5"/>
  <c r="CI342" i="5"/>
  <c r="BZ342" i="5"/>
  <c r="BY342" i="5"/>
  <c r="BW342" i="5"/>
  <c r="BU342" i="5"/>
  <c r="CC342" i="5"/>
  <c r="CA342" i="5"/>
  <c r="CD342" i="5"/>
  <c r="BX342" i="5"/>
  <c r="BV342" i="5"/>
  <c r="BT342" i="5"/>
  <c r="BS342" i="5"/>
  <c r="BJ342" i="5"/>
  <c r="BR342" i="5"/>
  <c r="BL342" i="5"/>
  <c r="BK342" i="5"/>
  <c r="BQ342" i="5"/>
  <c r="BM342" i="5"/>
  <c r="BI342" i="5"/>
  <c r="BG342" i="5"/>
  <c r="BD342" i="5"/>
  <c r="BE342" i="5"/>
  <c r="BH342" i="5"/>
  <c r="BF342" i="5"/>
  <c r="BA342" i="5"/>
  <c r="BP342" i="5" s="1"/>
  <c r="AY342" i="5"/>
  <c r="AV342" i="5"/>
  <c r="BO342" i="5" s="1"/>
  <c r="AZ342" i="5"/>
  <c r="AU342" i="5"/>
  <c r="BB342" i="5" s="1"/>
  <c r="CK422" i="5"/>
  <c r="CJ422" i="5"/>
  <c r="CF422" i="5"/>
  <c r="CH422" i="5"/>
  <c r="CD422" i="5"/>
  <c r="CG422" i="5"/>
  <c r="CI422" i="5"/>
  <c r="BZ422" i="5"/>
  <c r="BY422" i="5"/>
  <c r="CE422" i="5"/>
  <c r="BW422" i="5"/>
  <c r="BU422" i="5"/>
  <c r="CA422" i="5"/>
  <c r="CC422" i="5"/>
  <c r="BX422" i="5"/>
  <c r="BV422" i="5"/>
  <c r="BJ422" i="5"/>
  <c r="BT422" i="5"/>
  <c r="BS422" i="5"/>
  <c r="BK422" i="5"/>
  <c r="BR422" i="5"/>
  <c r="BQ422" i="5"/>
  <c r="BM422" i="5"/>
  <c r="BL422" i="5"/>
  <c r="BD422" i="5"/>
  <c r="BI422" i="5"/>
  <c r="BG422" i="5"/>
  <c r="BE422" i="5"/>
  <c r="BF422" i="5"/>
  <c r="BH422" i="5"/>
  <c r="AY422" i="5"/>
  <c r="AZ422" i="5"/>
  <c r="AV422" i="5"/>
  <c r="BO422" i="5" s="1"/>
  <c r="BA422" i="5"/>
  <c r="BP422" i="5" s="1"/>
  <c r="AU422" i="5"/>
  <c r="BB422" i="5" s="1"/>
  <c r="BM4" i="5"/>
  <c r="CB56" i="5"/>
  <c r="CB107" i="5"/>
  <c r="CB235" i="5"/>
  <c r="CB351" i="5"/>
  <c r="BL363" i="5"/>
  <c r="CB491" i="5"/>
  <c r="CK32" i="5"/>
  <c r="CF32" i="5"/>
  <c r="CD32" i="5"/>
  <c r="CI32" i="5"/>
  <c r="CC32" i="5"/>
  <c r="CE32" i="5"/>
  <c r="CA32" i="5"/>
  <c r="BT32" i="5"/>
  <c r="BY32" i="5"/>
  <c r="BW32" i="5"/>
  <c r="BV32" i="5"/>
  <c r="BR32" i="5"/>
  <c r="BS32" i="5"/>
  <c r="BQ32" i="5"/>
  <c r="BU32" i="5"/>
  <c r="BJ32" i="5"/>
  <c r="BH32" i="5"/>
  <c r="BF32" i="5"/>
  <c r="BG32" i="5"/>
  <c r="BM32" i="5"/>
  <c r="BK32" i="5"/>
  <c r="BI32" i="5"/>
  <c r="BE32" i="5"/>
  <c r="BA32" i="5"/>
  <c r="BP32" i="5" s="1"/>
  <c r="BD32" i="5"/>
  <c r="AZ32" i="5"/>
  <c r="AY32" i="5"/>
  <c r="AU32" i="5"/>
  <c r="BB32" i="5" s="1"/>
  <c r="AV32" i="5"/>
  <c r="BC32" i="5" s="1"/>
  <c r="CK160" i="5"/>
  <c r="CF160" i="5"/>
  <c r="CD160" i="5"/>
  <c r="CI160" i="5"/>
  <c r="CE160" i="5"/>
  <c r="CC160" i="5"/>
  <c r="CA160" i="5"/>
  <c r="BY160" i="5"/>
  <c r="BV160" i="5"/>
  <c r="BR160" i="5"/>
  <c r="BW160" i="5"/>
  <c r="BT160" i="5"/>
  <c r="BS160" i="5"/>
  <c r="BQ160" i="5"/>
  <c r="BU160" i="5"/>
  <c r="BM160" i="5"/>
  <c r="BJ160" i="5"/>
  <c r="BH160" i="5"/>
  <c r="BF160" i="5"/>
  <c r="BI160" i="5"/>
  <c r="BG160" i="5"/>
  <c r="BK160" i="5"/>
  <c r="BE160" i="5"/>
  <c r="BA160" i="5"/>
  <c r="BP160" i="5" s="1"/>
  <c r="BD160" i="5"/>
  <c r="AZ160" i="5"/>
  <c r="AY160" i="5"/>
  <c r="AU160" i="5"/>
  <c r="BB160" i="5" s="1"/>
  <c r="AV160" i="5"/>
  <c r="BC160" i="5" s="1"/>
  <c r="CJ288" i="5"/>
  <c r="CK288" i="5"/>
  <c r="CI288" i="5"/>
  <c r="CH288" i="5"/>
  <c r="CF288" i="5"/>
  <c r="CD288" i="5"/>
  <c r="CG288" i="5"/>
  <c r="CC288" i="5"/>
  <c r="CE288" i="5"/>
  <c r="CA288" i="5"/>
  <c r="BZ288" i="5"/>
  <c r="BY288" i="5"/>
  <c r="BT288" i="5"/>
  <c r="BR288" i="5"/>
  <c r="BX288" i="5"/>
  <c r="BW288" i="5"/>
  <c r="BV288" i="5"/>
  <c r="BS288" i="5"/>
  <c r="BQ288" i="5"/>
  <c r="BU288" i="5"/>
  <c r="BM288" i="5"/>
  <c r="BJ288" i="5"/>
  <c r="BH288" i="5"/>
  <c r="BF288" i="5"/>
  <c r="BL288" i="5"/>
  <c r="BI288" i="5"/>
  <c r="BG288" i="5"/>
  <c r="BK288" i="5"/>
  <c r="BE288" i="5"/>
  <c r="BA288" i="5"/>
  <c r="BP288" i="5" s="1"/>
  <c r="BD288" i="5"/>
  <c r="AZ288" i="5"/>
  <c r="AY288" i="5"/>
  <c r="AU288" i="5"/>
  <c r="BN288" i="5" s="1"/>
  <c r="AV288" i="5"/>
  <c r="BO288" i="5" s="1"/>
  <c r="CK416" i="5"/>
  <c r="CF416" i="5"/>
  <c r="CD416" i="5"/>
  <c r="CI416" i="5"/>
  <c r="CC416" i="5"/>
  <c r="CA416" i="5"/>
  <c r="CE416" i="5"/>
  <c r="BY416" i="5"/>
  <c r="BW416" i="5"/>
  <c r="BT416" i="5"/>
  <c r="BR416" i="5"/>
  <c r="BS416" i="5"/>
  <c r="BQ416" i="5"/>
  <c r="BU416" i="5"/>
  <c r="BV416" i="5"/>
  <c r="BM416" i="5"/>
  <c r="BJ416" i="5"/>
  <c r="BH416" i="5"/>
  <c r="BF416" i="5"/>
  <c r="BI416" i="5"/>
  <c r="BG416" i="5"/>
  <c r="BK416" i="5"/>
  <c r="BE416" i="5"/>
  <c r="BD416" i="5"/>
  <c r="BA416" i="5"/>
  <c r="BP416" i="5" s="1"/>
  <c r="AZ416" i="5"/>
  <c r="AY416" i="5"/>
  <c r="AU416" i="5"/>
  <c r="BN416" i="5" s="1"/>
  <c r="AV416" i="5"/>
  <c r="BO416" i="5" s="1"/>
  <c r="CK544" i="5"/>
  <c r="CI544" i="5"/>
  <c r="CD544" i="5"/>
  <c r="CF544" i="5"/>
  <c r="CC544" i="5"/>
  <c r="CA544" i="5"/>
  <c r="CE544" i="5"/>
  <c r="BY544" i="5"/>
  <c r="BW544" i="5"/>
  <c r="BT544" i="5"/>
  <c r="BR544" i="5"/>
  <c r="BS544" i="5"/>
  <c r="BQ544" i="5"/>
  <c r="BV544" i="5"/>
  <c r="BU544" i="5"/>
  <c r="BM544" i="5"/>
  <c r="BJ544" i="5"/>
  <c r="BH544" i="5"/>
  <c r="BI544" i="5"/>
  <c r="BG544" i="5"/>
  <c r="BK544" i="5"/>
  <c r="BF544" i="5"/>
  <c r="BE544" i="5"/>
  <c r="BD544" i="5"/>
  <c r="BA544" i="5"/>
  <c r="BP544" i="5" s="1"/>
  <c r="AZ544" i="5"/>
  <c r="AY544" i="5"/>
  <c r="AU544" i="5"/>
  <c r="BB544" i="5" s="1"/>
  <c r="AV544" i="5"/>
  <c r="BC544" i="5" s="1"/>
  <c r="CK47" i="5"/>
  <c r="CJ47" i="5"/>
  <c r="CG47" i="5"/>
  <c r="CI47" i="5"/>
  <c r="CF47" i="5"/>
  <c r="CH47" i="5"/>
  <c r="CC47" i="5"/>
  <c r="CE47" i="5"/>
  <c r="CD47" i="5"/>
  <c r="BV47" i="5"/>
  <c r="BT47" i="5"/>
  <c r="BZ47" i="5"/>
  <c r="BY47" i="5"/>
  <c r="BW47" i="5"/>
  <c r="CA47" i="5"/>
  <c r="BX47" i="5"/>
  <c r="BM47" i="5"/>
  <c r="BU47" i="5"/>
  <c r="BS47" i="5"/>
  <c r="BR47" i="5"/>
  <c r="BL47" i="5"/>
  <c r="BQ47" i="5"/>
  <c r="BI47" i="5"/>
  <c r="BK47" i="5"/>
  <c r="BJ47" i="5"/>
  <c r="BF47" i="5"/>
  <c r="AY47" i="5"/>
  <c r="BH47" i="5"/>
  <c r="BG47" i="5"/>
  <c r="BE47" i="5"/>
  <c r="BD47" i="5"/>
  <c r="AZ47" i="5"/>
  <c r="BA47" i="5"/>
  <c r="BP47" i="5" s="1"/>
  <c r="AV47" i="5"/>
  <c r="BO47" i="5" s="1"/>
  <c r="AU47" i="5"/>
  <c r="BN47" i="5" s="1"/>
  <c r="CK175" i="5"/>
  <c r="CF175" i="5"/>
  <c r="CC175" i="5"/>
  <c r="CI175" i="5"/>
  <c r="BV175" i="5"/>
  <c r="CE175" i="5"/>
  <c r="CD175" i="5"/>
  <c r="BW175" i="5"/>
  <c r="CA175" i="5"/>
  <c r="BY175" i="5"/>
  <c r="BU175" i="5"/>
  <c r="BS175" i="5"/>
  <c r="BT175" i="5"/>
  <c r="BR175" i="5"/>
  <c r="BQ175" i="5"/>
  <c r="BM175" i="5"/>
  <c r="BK175" i="5"/>
  <c r="BJ175" i="5"/>
  <c r="BI175" i="5"/>
  <c r="BF175" i="5"/>
  <c r="AY175" i="5"/>
  <c r="BH175" i="5"/>
  <c r="BG175" i="5"/>
  <c r="BE175" i="5"/>
  <c r="BD175" i="5"/>
  <c r="AZ175" i="5"/>
  <c r="BA175" i="5"/>
  <c r="BP175" i="5" s="1"/>
  <c r="AV175" i="5"/>
  <c r="BO175" i="5" s="1"/>
  <c r="AU175" i="5"/>
  <c r="BN175" i="5" s="1"/>
  <c r="CJ404" i="5"/>
  <c r="CK404" i="5"/>
  <c r="CG404" i="5"/>
  <c r="CE404" i="5"/>
  <c r="CC404" i="5"/>
  <c r="CI404" i="5"/>
  <c r="CF404" i="5"/>
  <c r="CH404" i="5"/>
  <c r="BX404" i="5"/>
  <c r="CD404" i="5"/>
  <c r="BZ404" i="5"/>
  <c r="BW404" i="5"/>
  <c r="CA404" i="5"/>
  <c r="BY404" i="5"/>
  <c r="BU404" i="5"/>
  <c r="BS404" i="5"/>
  <c r="BQ404" i="5"/>
  <c r="BT404" i="5"/>
  <c r="BR404" i="5"/>
  <c r="BV404" i="5"/>
  <c r="BL404" i="5"/>
  <c r="BI404" i="5"/>
  <c r="BG404" i="5"/>
  <c r="BH404" i="5"/>
  <c r="BF404" i="5"/>
  <c r="BM404" i="5"/>
  <c r="BK404" i="5"/>
  <c r="BJ404" i="5"/>
  <c r="BE404" i="5"/>
  <c r="BD404" i="5"/>
  <c r="BA404" i="5"/>
  <c r="BP404" i="5" s="1"/>
  <c r="AZ404" i="5"/>
  <c r="AY404" i="5"/>
  <c r="AV404" i="5"/>
  <c r="BC404" i="5" s="1"/>
  <c r="AU404" i="5"/>
  <c r="BN404" i="5" s="1"/>
  <c r="CI520" i="5"/>
  <c r="CK520" i="5"/>
  <c r="CD520" i="5"/>
  <c r="CF520" i="5"/>
  <c r="CE520" i="5"/>
  <c r="CC520" i="5"/>
  <c r="CA520" i="5"/>
  <c r="BV520" i="5"/>
  <c r="BW520" i="5"/>
  <c r="BT520" i="5"/>
  <c r="BR520" i="5"/>
  <c r="BY520" i="5"/>
  <c r="BS520" i="5"/>
  <c r="BQ520" i="5"/>
  <c r="BU520" i="5"/>
  <c r="BH520" i="5"/>
  <c r="BI520" i="5"/>
  <c r="BG520" i="5"/>
  <c r="BM520" i="5"/>
  <c r="BK520" i="5"/>
  <c r="BJ520" i="5"/>
  <c r="BF520" i="5"/>
  <c r="BE520" i="5"/>
  <c r="BD520" i="5"/>
  <c r="BA520" i="5"/>
  <c r="BP520" i="5" s="1"/>
  <c r="AZ520" i="5"/>
  <c r="AY520" i="5"/>
  <c r="AU520" i="5"/>
  <c r="BN520" i="5" s="1"/>
  <c r="AV520" i="5"/>
  <c r="BO520" i="5" s="1"/>
  <c r="CK112" i="5"/>
  <c r="CI112" i="5"/>
  <c r="CD112" i="5"/>
  <c r="CE112" i="5"/>
  <c r="CF112" i="5"/>
  <c r="CA112" i="5"/>
  <c r="CC112" i="5"/>
  <c r="BY112" i="5"/>
  <c r="BW112" i="5"/>
  <c r="BT112" i="5"/>
  <c r="BR112" i="5"/>
  <c r="BV112" i="5"/>
  <c r="BU112" i="5"/>
  <c r="BS112" i="5"/>
  <c r="BQ112" i="5"/>
  <c r="BH112" i="5"/>
  <c r="BF112" i="5"/>
  <c r="BM112" i="5"/>
  <c r="BJ112" i="5"/>
  <c r="BI112" i="5"/>
  <c r="BG112" i="5"/>
  <c r="BK112" i="5"/>
  <c r="BA112" i="5"/>
  <c r="BP112" i="5" s="1"/>
  <c r="BE112" i="5"/>
  <c r="BD112" i="5"/>
  <c r="AZ112" i="5"/>
  <c r="AY112" i="5"/>
  <c r="AU112" i="5"/>
  <c r="BB112" i="5" s="1"/>
  <c r="AV112" i="5"/>
  <c r="BO112" i="5" s="1"/>
  <c r="CK240" i="5"/>
  <c r="CI240" i="5"/>
  <c r="CD240" i="5"/>
  <c r="CF240" i="5"/>
  <c r="CE240" i="5"/>
  <c r="CA240" i="5"/>
  <c r="CC240" i="5"/>
  <c r="BW240" i="5"/>
  <c r="BV240" i="5"/>
  <c r="BT240" i="5"/>
  <c r="BR240" i="5"/>
  <c r="BY240" i="5"/>
  <c r="BU240" i="5"/>
  <c r="BS240" i="5"/>
  <c r="BQ240" i="5"/>
  <c r="BH240" i="5"/>
  <c r="BF240" i="5"/>
  <c r="BM240" i="5"/>
  <c r="BJ240" i="5"/>
  <c r="BI240" i="5"/>
  <c r="BG240" i="5"/>
  <c r="BK240" i="5"/>
  <c r="BA240" i="5"/>
  <c r="BP240" i="5" s="1"/>
  <c r="BE240" i="5"/>
  <c r="BD240" i="5"/>
  <c r="AZ240" i="5"/>
  <c r="AY240" i="5"/>
  <c r="AU240" i="5"/>
  <c r="BN240" i="5" s="1"/>
  <c r="AV240" i="5"/>
  <c r="BO240" i="5" s="1"/>
  <c r="CJ368" i="5"/>
  <c r="CK368" i="5"/>
  <c r="CH368" i="5"/>
  <c r="CD368" i="5"/>
  <c r="CF368" i="5"/>
  <c r="CG368" i="5"/>
  <c r="CI368" i="5"/>
  <c r="CE368" i="5"/>
  <c r="BX368" i="5"/>
  <c r="CA368" i="5"/>
  <c r="CC368" i="5"/>
  <c r="BZ368" i="5"/>
  <c r="BV368" i="5"/>
  <c r="BT368" i="5"/>
  <c r="BR368" i="5"/>
  <c r="BY368" i="5"/>
  <c r="BW368" i="5"/>
  <c r="BU368" i="5"/>
  <c r="BS368" i="5"/>
  <c r="BQ368" i="5"/>
  <c r="BH368" i="5"/>
  <c r="BF368" i="5"/>
  <c r="BM368" i="5"/>
  <c r="BJ368" i="5"/>
  <c r="BI368" i="5"/>
  <c r="BG368" i="5"/>
  <c r="BK368" i="5"/>
  <c r="BL368" i="5"/>
  <c r="BE368" i="5"/>
  <c r="BA368" i="5"/>
  <c r="BP368" i="5" s="1"/>
  <c r="BD368" i="5"/>
  <c r="AZ368" i="5"/>
  <c r="AY368" i="5"/>
  <c r="AU368" i="5"/>
  <c r="BN368" i="5" s="1"/>
  <c r="AV368" i="5"/>
  <c r="BO368" i="5" s="1"/>
  <c r="CK496" i="5"/>
  <c r="CI496" i="5"/>
  <c r="CD496" i="5"/>
  <c r="CF496" i="5"/>
  <c r="CE496" i="5"/>
  <c r="CA496" i="5"/>
  <c r="CC496" i="5"/>
  <c r="BY496" i="5"/>
  <c r="BT496" i="5"/>
  <c r="BR496" i="5"/>
  <c r="BW496" i="5"/>
  <c r="BU496" i="5"/>
  <c r="BS496" i="5"/>
  <c r="BQ496" i="5"/>
  <c r="BV496" i="5"/>
  <c r="BH496" i="5"/>
  <c r="BM496" i="5"/>
  <c r="BJ496" i="5"/>
  <c r="BI496" i="5"/>
  <c r="BG496" i="5"/>
  <c r="BK496" i="5"/>
  <c r="BF496" i="5"/>
  <c r="BE496" i="5"/>
  <c r="BD496" i="5"/>
  <c r="BA496" i="5"/>
  <c r="BP496" i="5" s="1"/>
  <c r="AZ496" i="5"/>
  <c r="AY496" i="5"/>
  <c r="AU496" i="5"/>
  <c r="BN496" i="5" s="1"/>
  <c r="AV496" i="5"/>
  <c r="BO496" i="5" s="1"/>
  <c r="BX121" i="5"/>
  <c r="BO161" i="5"/>
  <c r="CK63" i="5"/>
  <c r="CI63" i="5"/>
  <c r="CC63" i="5"/>
  <c r="CE63" i="5"/>
  <c r="CF63" i="5"/>
  <c r="CD63" i="5"/>
  <c r="BV63" i="5"/>
  <c r="BY63" i="5"/>
  <c r="BW63" i="5"/>
  <c r="CA63" i="5"/>
  <c r="BU63" i="5"/>
  <c r="BT63" i="5"/>
  <c r="BS63" i="5"/>
  <c r="BR63" i="5"/>
  <c r="BM63" i="5"/>
  <c r="BQ63" i="5"/>
  <c r="BI63" i="5"/>
  <c r="BF63" i="5"/>
  <c r="BK63" i="5"/>
  <c r="BJ63" i="5"/>
  <c r="BE63" i="5"/>
  <c r="BD63" i="5"/>
  <c r="AY63" i="5"/>
  <c r="BH63" i="5"/>
  <c r="BG63" i="5"/>
  <c r="AZ63" i="5"/>
  <c r="BA63" i="5"/>
  <c r="BP63" i="5" s="1"/>
  <c r="AV63" i="5"/>
  <c r="BO63" i="5" s="1"/>
  <c r="AU63" i="5"/>
  <c r="BN63" i="5" s="1"/>
  <c r="CK191" i="5"/>
  <c r="CC191" i="5"/>
  <c r="CI191" i="5"/>
  <c r="CD191" i="5"/>
  <c r="BV191" i="5"/>
  <c r="CE191" i="5"/>
  <c r="CF191" i="5"/>
  <c r="CA191" i="5"/>
  <c r="BW191" i="5"/>
  <c r="BU191" i="5"/>
  <c r="BY191" i="5"/>
  <c r="BT191" i="5"/>
  <c r="BS191" i="5"/>
  <c r="BR191" i="5"/>
  <c r="BQ191" i="5"/>
  <c r="BI191" i="5"/>
  <c r="BM191" i="5"/>
  <c r="BF191" i="5"/>
  <c r="BK191" i="5"/>
  <c r="BJ191" i="5"/>
  <c r="BE191" i="5"/>
  <c r="BD191" i="5"/>
  <c r="AY191" i="5"/>
  <c r="BH191" i="5"/>
  <c r="BG191" i="5"/>
  <c r="AZ191" i="5"/>
  <c r="BA191" i="5"/>
  <c r="BP191" i="5" s="1"/>
  <c r="AV191" i="5"/>
  <c r="BO191" i="5" s="1"/>
  <c r="AU191" i="5"/>
  <c r="BB191" i="5" s="1"/>
  <c r="CK319" i="5"/>
  <c r="CI319" i="5"/>
  <c r="CE319" i="5"/>
  <c r="CC319" i="5"/>
  <c r="CF319" i="5"/>
  <c r="CD319" i="5"/>
  <c r="BV319" i="5"/>
  <c r="BW319" i="5"/>
  <c r="CA319" i="5"/>
  <c r="BU319" i="5"/>
  <c r="BY319" i="5"/>
  <c r="BT319" i="5"/>
  <c r="BS319" i="5"/>
  <c r="BR319" i="5"/>
  <c r="BQ319" i="5"/>
  <c r="BI319" i="5"/>
  <c r="BM319" i="5"/>
  <c r="BF319" i="5"/>
  <c r="BK319" i="5"/>
  <c r="BJ319" i="5"/>
  <c r="BE319" i="5"/>
  <c r="BD319" i="5"/>
  <c r="BA319" i="5"/>
  <c r="BP319" i="5" s="1"/>
  <c r="AY319" i="5"/>
  <c r="BH319" i="5"/>
  <c r="BG319" i="5"/>
  <c r="AZ319" i="5"/>
  <c r="AV319" i="5"/>
  <c r="BO319" i="5" s="1"/>
  <c r="AU319" i="5"/>
  <c r="BB319" i="5" s="1"/>
  <c r="CJ548" i="5"/>
  <c r="CG548" i="5"/>
  <c r="CF548" i="5"/>
  <c r="CE548" i="5"/>
  <c r="CC548" i="5"/>
  <c r="CK548" i="5"/>
  <c r="CI548" i="5"/>
  <c r="CH548" i="5"/>
  <c r="CD548" i="5"/>
  <c r="CA548" i="5"/>
  <c r="BZ548" i="5"/>
  <c r="BW548" i="5"/>
  <c r="BX548" i="5"/>
  <c r="BY548" i="5"/>
  <c r="BV548" i="5"/>
  <c r="BS548" i="5"/>
  <c r="BQ548" i="5"/>
  <c r="BT548" i="5"/>
  <c r="BR548" i="5"/>
  <c r="BU548" i="5"/>
  <c r="BL548" i="5"/>
  <c r="BI548" i="5"/>
  <c r="BG548" i="5"/>
  <c r="BH548" i="5"/>
  <c r="BM548" i="5"/>
  <c r="BK548" i="5"/>
  <c r="BJ548" i="5"/>
  <c r="BF548" i="5"/>
  <c r="BD548" i="5"/>
  <c r="BA548" i="5"/>
  <c r="BP548" i="5" s="1"/>
  <c r="BE548" i="5"/>
  <c r="AZ548" i="5"/>
  <c r="AY548" i="5"/>
  <c r="AV548" i="5"/>
  <c r="BO548" i="5" s="1"/>
  <c r="AU548" i="5"/>
  <c r="BB548" i="5" s="1"/>
  <c r="BC45" i="5"/>
  <c r="BX117" i="5"/>
  <c r="BL141" i="5"/>
  <c r="BP141" i="5"/>
  <c r="CB141" i="5" s="1"/>
  <c r="BC205" i="5"/>
  <c r="BD277" i="5"/>
  <c r="CB277" i="5" s="1"/>
  <c r="CK373" i="5"/>
  <c r="CF373" i="5"/>
  <c r="CI373" i="5"/>
  <c r="CD373" i="5"/>
  <c r="CC373" i="5"/>
  <c r="CA373" i="5"/>
  <c r="CE373" i="5"/>
  <c r="BY373" i="5"/>
  <c r="BW373" i="5"/>
  <c r="BV373" i="5"/>
  <c r="BT373" i="5"/>
  <c r="BS373" i="5"/>
  <c r="BR373" i="5"/>
  <c r="BU373" i="5"/>
  <c r="BM373" i="5"/>
  <c r="BQ373" i="5"/>
  <c r="BJ373" i="5"/>
  <c r="BI373" i="5"/>
  <c r="BK373" i="5"/>
  <c r="BF373" i="5"/>
  <c r="BH373" i="5"/>
  <c r="BE373" i="5"/>
  <c r="BG373" i="5"/>
  <c r="BA373" i="5"/>
  <c r="BP373" i="5" s="1"/>
  <c r="BD373" i="5"/>
  <c r="AZ373" i="5"/>
  <c r="AY373" i="5"/>
  <c r="AU373" i="5"/>
  <c r="BB373" i="5" s="1"/>
  <c r="AV373" i="5"/>
  <c r="BC373" i="5" s="1"/>
  <c r="CI405" i="5"/>
  <c r="CK405" i="5"/>
  <c r="CD405" i="5"/>
  <c r="CF405" i="5"/>
  <c r="CE405" i="5"/>
  <c r="CC405" i="5"/>
  <c r="CA405" i="5"/>
  <c r="BV405" i="5"/>
  <c r="BY405" i="5"/>
  <c r="BW405" i="5"/>
  <c r="BT405" i="5"/>
  <c r="BS405" i="5"/>
  <c r="BR405" i="5"/>
  <c r="BU405" i="5"/>
  <c r="BM405" i="5"/>
  <c r="BJ405" i="5"/>
  <c r="BQ405" i="5"/>
  <c r="BI405" i="5"/>
  <c r="BF405" i="5"/>
  <c r="BK405" i="5"/>
  <c r="BE405" i="5"/>
  <c r="BH405" i="5"/>
  <c r="BG405" i="5"/>
  <c r="BD405" i="5"/>
  <c r="BA405" i="5"/>
  <c r="BP405" i="5" s="1"/>
  <c r="AZ405" i="5"/>
  <c r="AY405" i="5"/>
  <c r="AU405" i="5"/>
  <c r="BN405" i="5" s="1"/>
  <c r="AV405" i="5"/>
  <c r="CK437" i="5"/>
  <c r="CI437" i="5"/>
  <c r="CD437" i="5"/>
  <c r="CC437" i="5"/>
  <c r="CE437" i="5"/>
  <c r="CF437" i="5"/>
  <c r="CA437" i="5"/>
  <c r="BY437" i="5"/>
  <c r="BW437" i="5"/>
  <c r="BT437" i="5"/>
  <c r="BU437" i="5"/>
  <c r="BS437" i="5"/>
  <c r="BR437" i="5"/>
  <c r="BV437" i="5"/>
  <c r="BM437" i="5"/>
  <c r="BJ437" i="5"/>
  <c r="BQ437" i="5"/>
  <c r="BF437" i="5"/>
  <c r="BK437" i="5"/>
  <c r="BG437" i="5"/>
  <c r="BE437" i="5"/>
  <c r="BI437" i="5"/>
  <c r="BH437" i="5"/>
  <c r="BD437" i="5"/>
  <c r="AZ437" i="5"/>
  <c r="AY437" i="5"/>
  <c r="BA437" i="5"/>
  <c r="BP437" i="5" s="1"/>
  <c r="AU437" i="5"/>
  <c r="BN437" i="5" s="1"/>
  <c r="AV437" i="5"/>
  <c r="BC437" i="5" s="1"/>
  <c r="CK469" i="5"/>
  <c r="CI469" i="5"/>
  <c r="CF469" i="5"/>
  <c r="CD469" i="5"/>
  <c r="CC469" i="5"/>
  <c r="CE469" i="5"/>
  <c r="CA469" i="5"/>
  <c r="BW469" i="5"/>
  <c r="BY469" i="5"/>
  <c r="BV469" i="5"/>
  <c r="BT469" i="5"/>
  <c r="BS469" i="5"/>
  <c r="BR469" i="5"/>
  <c r="BU469" i="5"/>
  <c r="BM469" i="5"/>
  <c r="BQ469" i="5"/>
  <c r="BJ469" i="5"/>
  <c r="BK469" i="5"/>
  <c r="BF469" i="5"/>
  <c r="BI469" i="5"/>
  <c r="BH469" i="5"/>
  <c r="BG469" i="5"/>
  <c r="BE469" i="5"/>
  <c r="BD469" i="5"/>
  <c r="AZ469" i="5"/>
  <c r="AY469" i="5"/>
  <c r="BA469" i="5"/>
  <c r="BP469" i="5" s="1"/>
  <c r="AU469" i="5"/>
  <c r="AV469" i="5"/>
  <c r="BC469" i="5" s="1"/>
  <c r="CK501" i="5"/>
  <c r="CI501" i="5"/>
  <c r="CF501" i="5"/>
  <c r="CD501" i="5"/>
  <c r="CC501" i="5"/>
  <c r="CA501" i="5"/>
  <c r="CE501" i="5"/>
  <c r="BY501" i="5"/>
  <c r="BW501" i="5"/>
  <c r="BT501" i="5"/>
  <c r="BV501" i="5"/>
  <c r="BS501" i="5"/>
  <c r="BR501" i="5"/>
  <c r="BU501" i="5"/>
  <c r="BM501" i="5"/>
  <c r="BQ501" i="5"/>
  <c r="BJ501" i="5"/>
  <c r="BK501" i="5"/>
  <c r="BI501" i="5"/>
  <c r="BF501" i="5"/>
  <c r="BH501" i="5"/>
  <c r="BE501" i="5"/>
  <c r="BG501" i="5"/>
  <c r="BD501" i="5"/>
  <c r="BA501" i="5"/>
  <c r="BP501" i="5" s="1"/>
  <c r="AZ501" i="5"/>
  <c r="AY501" i="5"/>
  <c r="AU501" i="5"/>
  <c r="BB501" i="5" s="1"/>
  <c r="AV501" i="5"/>
  <c r="BO501" i="5" s="1"/>
  <c r="CI533" i="5"/>
  <c r="CK533" i="5"/>
  <c r="CF533" i="5"/>
  <c r="CD533" i="5"/>
  <c r="CE533" i="5"/>
  <c r="CC533" i="5"/>
  <c r="CA533" i="5"/>
  <c r="BY533" i="5"/>
  <c r="BV533" i="5"/>
  <c r="BW533" i="5"/>
  <c r="BT533" i="5"/>
  <c r="BU533" i="5"/>
  <c r="BS533" i="5"/>
  <c r="BR533" i="5"/>
  <c r="BM533" i="5"/>
  <c r="BJ533" i="5"/>
  <c r="BQ533" i="5"/>
  <c r="BK533" i="5"/>
  <c r="BF533" i="5"/>
  <c r="BE533" i="5"/>
  <c r="BI533" i="5"/>
  <c r="BH533" i="5"/>
  <c r="BG533" i="5"/>
  <c r="BD533" i="5"/>
  <c r="BA533" i="5"/>
  <c r="BP533" i="5" s="1"/>
  <c r="AZ533" i="5"/>
  <c r="AY533" i="5"/>
  <c r="AV533" i="5"/>
  <c r="BO533" i="5" s="1"/>
  <c r="AU533" i="5"/>
  <c r="BN533" i="5" s="1"/>
  <c r="BP54" i="5"/>
  <c r="BD118" i="5"/>
  <c r="CB118" i="5" s="1"/>
  <c r="BX118" i="5"/>
  <c r="BB414" i="5"/>
  <c r="BZ414" i="5" s="1"/>
  <c r="BX209" i="5"/>
  <c r="BC76" i="5"/>
  <c r="CA76" i="5" s="1"/>
  <c r="CK231" i="5"/>
  <c r="CI231" i="5"/>
  <c r="CF231" i="5"/>
  <c r="CE231" i="5"/>
  <c r="CC231" i="5"/>
  <c r="CD231" i="5"/>
  <c r="BV231" i="5"/>
  <c r="CA231" i="5"/>
  <c r="BU231" i="5"/>
  <c r="BY231" i="5"/>
  <c r="BW231" i="5"/>
  <c r="BS231" i="5"/>
  <c r="BT231" i="5"/>
  <c r="BR231" i="5"/>
  <c r="BQ231" i="5"/>
  <c r="BK231" i="5"/>
  <c r="BM231" i="5"/>
  <c r="BJ231" i="5"/>
  <c r="BI231" i="5"/>
  <c r="BH231" i="5"/>
  <c r="AY231" i="5"/>
  <c r="BG231" i="5"/>
  <c r="BF231" i="5"/>
  <c r="AZ231" i="5"/>
  <c r="BD231" i="5"/>
  <c r="BE231" i="5"/>
  <c r="BA231" i="5"/>
  <c r="BP231" i="5" s="1"/>
  <c r="AV231" i="5"/>
  <c r="AU231" i="5"/>
  <c r="BB231" i="5" s="1"/>
  <c r="CK359" i="5"/>
  <c r="CI359" i="5"/>
  <c r="CG359" i="5"/>
  <c r="CF359" i="5"/>
  <c r="CH359" i="5"/>
  <c r="CE359" i="5"/>
  <c r="CC359" i="5"/>
  <c r="CJ359" i="5"/>
  <c r="CD359" i="5"/>
  <c r="BX359" i="5"/>
  <c r="BV359" i="5"/>
  <c r="BZ359" i="5"/>
  <c r="BU359" i="5"/>
  <c r="BY359" i="5"/>
  <c r="CA359" i="5"/>
  <c r="BW359" i="5"/>
  <c r="BS359" i="5"/>
  <c r="BT359" i="5"/>
  <c r="BR359" i="5"/>
  <c r="BQ359" i="5"/>
  <c r="BK359" i="5"/>
  <c r="BM359" i="5"/>
  <c r="BJ359" i="5"/>
  <c r="BL359" i="5"/>
  <c r="BI359" i="5"/>
  <c r="BH359" i="5"/>
  <c r="BA359" i="5"/>
  <c r="BP359" i="5" s="1"/>
  <c r="AY359" i="5"/>
  <c r="BG359" i="5"/>
  <c r="BF359" i="5"/>
  <c r="AZ359" i="5"/>
  <c r="BD359" i="5"/>
  <c r="BE359" i="5"/>
  <c r="AV359" i="5"/>
  <c r="BO359" i="5" s="1"/>
  <c r="AU359" i="5"/>
  <c r="BN359" i="5" s="1"/>
  <c r="CK487" i="5"/>
  <c r="CI487" i="5"/>
  <c r="CE487" i="5"/>
  <c r="CC487" i="5"/>
  <c r="CF487" i="5"/>
  <c r="BV487" i="5"/>
  <c r="CD487" i="5"/>
  <c r="BU487" i="5"/>
  <c r="CA487" i="5"/>
  <c r="BY487" i="5"/>
  <c r="BW487" i="5"/>
  <c r="BS487" i="5"/>
  <c r="BT487" i="5"/>
  <c r="BR487" i="5"/>
  <c r="BQ487" i="5"/>
  <c r="BK487" i="5"/>
  <c r="BM487" i="5"/>
  <c r="BJ487" i="5"/>
  <c r="BH487" i="5"/>
  <c r="BI487" i="5"/>
  <c r="BA487" i="5"/>
  <c r="BP487" i="5" s="1"/>
  <c r="AY487" i="5"/>
  <c r="BG487" i="5"/>
  <c r="BF487" i="5"/>
  <c r="AZ487" i="5"/>
  <c r="BE487" i="5"/>
  <c r="BD487" i="5"/>
  <c r="AV487" i="5"/>
  <c r="BO487" i="5" s="1"/>
  <c r="AU487" i="5"/>
  <c r="BB487" i="5" s="1"/>
  <c r="BO22" i="5"/>
  <c r="CK539" i="5"/>
  <c r="CJ539" i="5"/>
  <c r="CG539" i="5"/>
  <c r="CI539" i="5"/>
  <c r="CD539" i="5"/>
  <c r="CH539" i="5"/>
  <c r="BW539" i="5"/>
  <c r="BU539" i="5"/>
  <c r="CE539" i="5"/>
  <c r="BX539" i="5"/>
  <c r="CA539" i="5"/>
  <c r="CF539" i="5"/>
  <c r="CC539" i="5"/>
  <c r="BZ539" i="5"/>
  <c r="BY539" i="5"/>
  <c r="BV539" i="5"/>
  <c r="BT539" i="5"/>
  <c r="BS539" i="5"/>
  <c r="BL539" i="5"/>
  <c r="BQ539" i="5"/>
  <c r="BR539" i="5"/>
  <c r="BM539" i="5"/>
  <c r="BJ539" i="5"/>
  <c r="BK539" i="5"/>
  <c r="BG539" i="5"/>
  <c r="BI539" i="5"/>
  <c r="BH539" i="5"/>
  <c r="AZ539" i="5"/>
  <c r="BF539" i="5"/>
  <c r="BE539" i="5"/>
  <c r="BA539" i="5"/>
  <c r="BP539" i="5" s="1"/>
  <c r="AY539" i="5"/>
  <c r="BD539" i="5"/>
  <c r="AU539" i="5"/>
  <c r="BB539" i="5" s="1"/>
  <c r="AV539" i="5"/>
  <c r="BX177" i="5"/>
  <c r="BX180" i="5"/>
  <c r="BL219" i="5"/>
  <c r="BL296" i="5"/>
  <c r="CK308" i="5"/>
  <c r="CE308" i="5"/>
  <c r="CC308" i="5"/>
  <c r="CF308" i="5"/>
  <c r="CI308" i="5"/>
  <c r="CD308" i="5"/>
  <c r="BW308" i="5"/>
  <c r="CA308" i="5"/>
  <c r="BY308" i="5"/>
  <c r="BS308" i="5"/>
  <c r="BQ308" i="5"/>
  <c r="BV308" i="5"/>
  <c r="BT308" i="5"/>
  <c r="BR308" i="5"/>
  <c r="BU308" i="5"/>
  <c r="BI308" i="5"/>
  <c r="BG308" i="5"/>
  <c r="BH308" i="5"/>
  <c r="BF308" i="5"/>
  <c r="BM308" i="5"/>
  <c r="BK308" i="5"/>
  <c r="BJ308" i="5"/>
  <c r="BE308" i="5"/>
  <c r="BD308" i="5"/>
  <c r="BA308" i="5"/>
  <c r="BP308" i="5" s="1"/>
  <c r="AY308" i="5"/>
  <c r="AZ308" i="5"/>
  <c r="AV308" i="5"/>
  <c r="BO308" i="5" s="1"/>
  <c r="AU308" i="5"/>
  <c r="BN308" i="5" s="1"/>
  <c r="CK411" i="5"/>
  <c r="CJ411" i="5"/>
  <c r="CI411" i="5"/>
  <c r="CH411" i="5"/>
  <c r="CG411" i="5"/>
  <c r="CD411" i="5"/>
  <c r="CF411" i="5"/>
  <c r="BW411" i="5"/>
  <c r="BU411" i="5"/>
  <c r="CE411" i="5"/>
  <c r="CA411" i="5"/>
  <c r="CC411" i="5"/>
  <c r="BZ411" i="5"/>
  <c r="BX411" i="5"/>
  <c r="BY411" i="5"/>
  <c r="BV411" i="5"/>
  <c r="BT411" i="5"/>
  <c r="BS411" i="5"/>
  <c r="BQ411" i="5"/>
  <c r="BR411" i="5"/>
  <c r="BM411" i="5"/>
  <c r="BJ411" i="5"/>
  <c r="BK411" i="5"/>
  <c r="BI411" i="5"/>
  <c r="BL411" i="5"/>
  <c r="BG411" i="5"/>
  <c r="BH411" i="5"/>
  <c r="BF411" i="5"/>
  <c r="AZ411" i="5"/>
  <c r="BE411" i="5"/>
  <c r="BA411" i="5"/>
  <c r="BP411" i="5" s="1"/>
  <c r="AY411" i="5"/>
  <c r="BD411" i="5"/>
  <c r="AU411" i="5"/>
  <c r="BB411" i="5" s="1"/>
  <c r="AV411" i="5"/>
  <c r="BC411" i="5" s="1"/>
  <c r="BO289" i="5"/>
  <c r="CK28" i="5"/>
  <c r="CI28" i="5"/>
  <c r="CC28" i="5"/>
  <c r="CE28" i="5"/>
  <c r="CD28" i="5"/>
  <c r="CF28" i="5"/>
  <c r="CA28" i="5"/>
  <c r="BU28" i="5"/>
  <c r="BV28" i="5"/>
  <c r="BY28" i="5"/>
  <c r="BS28" i="5"/>
  <c r="BQ28" i="5"/>
  <c r="BW28" i="5"/>
  <c r="BR28" i="5"/>
  <c r="BT28" i="5"/>
  <c r="BM28" i="5"/>
  <c r="BG28" i="5"/>
  <c r="BK28" i="5"/>
  <c r="BH28" i="5"/>
  <c r="BF28" i="5"/>
  <c r="BJ28" i="5"/>
  <c r="BI28" i="5"/>
  <c r="BE28" i="5"/>
  <c r="BD28" i="5"/>
  <c r="BA28" i="5"/>
  <c r="BP28" i="5" s="1"/>
  <c r="AZ28" i="5"/>
  <c r="AY28" i="5"/>
  <c r="AU28" i="5"/>
  <c r="BN28" i="5" s="1"/>
  <c r="AV28" i="5"/>
  <c r="BO28" i="5" s="1"/>
  <c r="CK156" i="5"/>
  <c r="CI156" i="5"/>
  <c r="CC156" i="5"/>
  <c r="CE156" i="5"/>
  <c r="CF156" i="5"/>
  <c r="CD156" i="5"/>
  <c r="CA156" i="5"/>
  <c r="BU156" i="5"/>
  <c r="BY156" i="5"/>
  <c r="BV156" i="5"/>
  <c r="BS156" i="5"/>
  <c r="BQ156" i="5"/>
  <c r="BW156" i="5"/>
  <c r="BR156" i="5"/>
  <c r="BT156" i="5"/>
  <c r="BI156" i="5"/>
  <c r="BG156" i="5"/>
  <c r="BK156" i="5"/>
  <c r="BH156" i="5"/>
  <c r="BF156" i="5"/>
  <c r="BJ156" i="5"/>
  <c r="BM156" i="5"/>
  <c r="BD156" i="5"/>
  <c r="BA156" i="5"/>
  <c r="BP156" i="5" s="1"/>
  <c r="AZ156" i="5"/>
  <c r="BE156" i="5"/>
  <c r="AY156" i="5"/>
  <c r="AU156" i="5"/>
  <c r="AV156" i="5"/>
  <c r="BC156" i="5" s="1"/>
  <c r="CK284" i="5"/>
  <c r="CE284" i="5"/>
  <c r="CC284" i="5"/>
  <c r="CI284" i="5"/>
  <c r="CG284" i="5"/>
  <c r="CD284" i="5"/>
  <c r="CH284" i="5"/>
  <c r="CJ284" i="5"/>
  <c r="CF284" i="5"/>
  <c r="BX284" i="5"/>
  <c r="BZ284" i="5"/>
  <c r="CA284" i="5"/>
  <c r="BU284" i="5"/>
  <c r="BY284" i="5"/>
  <c r="BV284" i="5"/>
  <c r="BW284" i="5"/>
  <c r="BS284" i="5"/>
  <c r="BQ284" i="5"/>
  <c r="BT284" i="5"/>
  <c r="BR284" i="5"/>
  <c r="BL284" i="5"/>
  <c r="BI284" i="5"/>
  <c r="BG284" i="5"/>
  <c r="BK284" i="5"/>
  <c r="BH284" i="5"/>
  <c r="BF284" i="5"/>
  <c r="BJ284" i="5"/>
  <c r="BM284" i="5"/>
  <c r="BD284" i="5"/>
  <c r="BA284" i="5"/>
  <c r="BP284" i="5" s="1"/>
  <c r="BE284" i="5"/>
  <c r="AY284" i="5"/>
  <c r="AZ284" i="5"/>
  <c r="AU284" i="5"/>
  <c r="BN284" i="5" s="1"/>
  <c r="AV284" i="5"/>
  <c r="BC284" i="5" s="1"/>
  <c r="CK412" i="5"/>
  <c r="CE412" i="5"/>
  <c r="CC412" i="5"/>
  <c r="CF412" i="5"/>
  <c r="CI412" i="5"/>
  <c r="CD412" i="5"/>
  <c r="CA412" i="5"/>
  <c r="BU412" i="5"/>
  <c r="BY412" i="5"/>
  <c r="BW412" i="5"/>
  <c r="BS412" i="5"/>
  <c r="BQ412" i="5"/>
  <c r="BV412" i="5"/>
  <c r="BT412" i="5"/>
  <c r="BR412" i="5"/>
  <c r="BI412" i="5"/>
  <c r="BG412" i="5"/>
  <c r="BK412" i="5"/>
  <c r="BH412" i="5"/>
  <c r="BF412" i="5"/>
  <c r="BJ412" i="5"/>
  <c r="BM412" i="5"/>
  <c r="BD412" i="5"/>
  <c r="BE412" i="5"/>
  <c r="AY412" i="5"/>
  <c r="BA412" i="5"/>
  <c r="BP412" i="5" s="1"/>
  <c r="AZ412" i="5"/>
  <c r="AU412" i="5"/>
  <c r="BN412" i="5" s="1"/>
  <c r="AV412" i="5"/>
  <c r="BC412" i="5" s="1"/>
  <c r="CK540" i="5"/>
  <c r="CE540" i="5"/>
  <c r="CC540" i="5"/>
  <c r="CI540" i="5"/>
  <c r="CD540" i="5"/>
  <c r="CF540" i="5"/>
  <c r="CA540" i="5"/>
  <c r="BU540" i="5"/>
  <c r="BY540" i="5"/>
  <c r="BS540" i="5"/>
  <c r="BQ540" i="5"/>
  <c r="BW540" i="5"/>
  <c r="BV540" i="5"/>
  <c r="BT540" i="5"/>
  <c r="BR540" i="5"/>
  <c r="BI540" i="5"/>
  <c r="BG540" i="5"/>
  <c r="BK540" i="5"/>
  <c r="BH540" i="5"/>
  <c r="BJ540" i="5"/>
  <c r="BM540" i="5"/>
  <c r="BF540" i="5"/>
  <c r="BD540" i="5"/>
  <c r="BE540" i="5"/>
  <c r="AY540" i="5"/>
  <c r="BA540" i="5"/>
  <c r="BP540" i="5" s="1"/>
  <c r="AZ540" i="5"/>
  <c r="AU540" i="5"/>
  <c r="BB540" i="5" s="1"/>
  <c r="AV540" i="5"/>
  <c r="BO540" i="5" s="1"/>
  <c r="BL66" i="5"/>
  <c r="CB98" i="5"/>
  <c r="BN250" i="5"/>
  <c r="BZ250" i="5" s="1"/>
  <c r="BB274" i="5"/>
  <c r="BB362" i="5"/>
  <c r="BZ362" i="5" s="1"/>
  <c r="BN370" i="5"/>
  <c r="BZ370" i="5" s="1"/>
  <c r="BN378" i="5"/>
  <c r="BZ378" i="5" s="1"/>
  <c r="BN386" i="5"/>
  <c r="BZ386" i="5" s="1"/>
  <c r="BB394" i="5"/>
  <c r="BZ394" i="5" s="1"/>
  <c r="BB410" i="5"/>
  <c r="BN434" i="5"/>
  <c r="BZ434" i="5" s="1"/>
  <c r="BN442" i="5"/>
  <c r="BZ442" i="5" s="1"/>
  <c r="BB490" i="5"/>
  <c r="BX554" i="5"/>
  <c r="CK125" i="5"/>
  <c r="CI125" i="5"/>
  <c r="CF125" i="5"/>
  <c r="CD125" i="5"/>
  <c r="CA125" i="5"/>
  <c r="CE125" i="5"/>
  <c r="CC125" i="5"/>
  <c r="BV125" i="5"/>
  <c r="BT125" i="5"/>
  <c r="BY125" i="5"/>
  <c r="BW125" i="5"/>
  <c r="BS125" i="5"/>
  <c r="BU125" i="5"/>
  <c r="BM125" i="5"/>
  <c r="BR125" i="5"/>
  <c r="BQ125" i="5"/>
  <c r="BJ125" i="5"/>
  <c r="BI125" i="5"/>
  <c r="BK125" i="5"/>
  <c r="BH125" i="5"/>
  <c r="BG125" i="5"/>
  <c r="BF125" i="5"/>
  <c r="BA125" i="5"/>
  <c r="BP125" i="5" s="1"/>
  <c r="BE125" i="5"/>
  <c r="BD125" i="5"/>
  <c r="AZ125" i="5"/>
  <c r="AY125" i="5"/>
  <c r="AU125" i="5"/>
  <c r="AV125" i="5"/>
  <c r="BC125" i="5" s="1"/>
  <c r="CI253" i="5"/>
  <c r="CK253" i="5"/>
  <c r="CF253" i="5"/>
  <c r="CD253" i="5"/>
  <c r="CE253" i="5"/>
  <c r="CA253" i="5"/>
  <c r="CC253" i="5"/>
  <c r="BV253" i="5"/>
  <c r="BT253" i="5"/>
  <c r="BY253" i="5"/>
  <c r="BW253" i="5"/>
  <c r="BS253" i="5"/>
  <c r="BU253" i="5"/>
  <c r="BM253" i="5"/>
  <c r="BR253" i="5"/>
  <c r="BQ253" i="5"/>
  <c r="BJ253" i="5"/>
  <c r="BI253" i="5"/>
  <c r="BK253" i="5"/>
  <c r="BH253" i="5"/>
  <c r="BG253" i="5"/>
  <c r="BF253" i="5"/>
  <c r="BA253" i="5"/>
  <c r="BP253" i="5" s="1"/>
  <c r="BE253" i="5"/>
  <c r="BD253" i="5"/>
  <c r="AZ253" i="5"/>
  <c r="AY253" i="5"/>
  <c r="AU253" i="5"/>
  <c r="AV253" i="5"/>
  <c r="BC253" i="5" s="1"/>
  <c r="CK333" i="5"/>
  <c r="CI333" i="5"/>
  <c r="CF333" i="5"/>
  <c r="CE333" i="5"/>
  <c r="CA333" i="5"/>
  <c r="CC333" i="5"/>
  <c r="CD333" i="5"/>
  <c r="BV333" i="5"/>
  <c r="BW333" i="5"/>
  <c r="BU333" i="5"/>
  <c r="BY333" i="5"/>
  <c r="BT333" i="5"/>
  <c r="BS333" i="5"/>
  <c r="BM333" i="5"/>
  <c r="BR333" i="5"/>
  <c r="BQ333" i="5"/>
  <c r="BI333" i="5"/>
  <c r="BH333" i="5"/>
  <c r="BK333" i="5"/>
  <c r="BJ333" i="5"/>
  <c r="BG333" i="5"/>
  <c r="BF333" i="5"/>
  <c r="BE333" i="5"/>
  <c r="BA333" i="5"/>
  <c r="BP333" i="5" s="1"/>
  <c r="AZ333" i="5"/>
  <c r="BD333" i="5"/>
  <c r="AY333" i="5"/>
  <c r="AU333" i="5"/>
  <c r="BB333" i="5" s="1"/>
  <c r="AV333" i="5"/>
  <c r="BO333" i="5" s="1"/>
  <c r="CI30" i="5"/>
  <c r="CF30" i="5"/>
  <c r="CK30" i="5"/>
  <c r="CE30" i="5"/>
  <c r="BY30" i="5"/>
  <c r="BW30" i="5"/>
  <c r="BU30" i="5"/>
  <c r="CA30" i="5"/>
  <c r="CC30" i="5"/>
  <c r="CD30" i="5"/>
  <c r="BV30" i="5"/>
  <c r="BT30" i="5"/>
  <c r="BS30" i="5"/>
  <c r="BQ30" i="5"/>
  <c r="BJ30" i="5"/>
  <c r="BK30" i="5"/>
  <c r="BI30" i="5"/>
  <c r="BR30" i="5"/>
  <c r="BM30" i="5"/>
  <c r="BD30" i="5"/>
  <c r="BE30" i="5"/>
  <c r="BA30" i="5"/>
  <c r="BP30" i="5" s="1"/>
  <c r="BH30" i="5"/>
  <c r="BG30" i="5"/>
  <c r="BF30" i="5"/>
  <c r="AV30" i="5"/>
  <c r="BO30" i="5" s="1"/>
  <c r="AZ30" i="5"/>
  <c r="AY30" i="5"/>
  <c r="AU30" i="5"/>
  <c r="CK110" i="5"/>
  <c r="CF110" i="5"/>
  <c r="CE110" i="5"/>
  <c r="BY110" i="5"/>
  <c r="CD110" i="5"/>
  <c r="CI110" i="5"/>
  <c r="CC110" i="5"/>
  <c r="BW110" i="5"/>
  <c r="BU110" i="5"/>
  <c r="CA110" i="5"/>
  <c r="BV110" i="5"/>
  <c r="BT110" i="5"/>
  <c r="BJ110" i="5"/>
  <c r="BS110" i="5"/>
  <c r="BQ110" i="5"/>
  <c r="BK110" i="5"/>
  <c r="BR110" i="5"/>
  <c r="BI110" i="5"/>
  <c r="BD110" i="5"/>
  <c r="BM110" i="5"/>
  <c r="BE110" i="5"/>
  <c r="BA110" i="5"/>
  <c r="BP110" i="5" s="1"/>
  <c r="BG110" i="5"/>
  <c r="BF110" i="5"/>
  <c r="BH110" i="5"/>
  <c r="AZ110" i="5"/>
  <c r="AY110" i="5"/>
  <c r="AV110" i="5"/>
  <c r="BO110" i="5" s="1"/>
  <c r="AU110" i="5"/>
  <c r="BN110" i="5" s="1"/>
  <c r="CK198" i="5"/>
  <c r="CF198" i="5"/>
  <c r="CI198" i="5"/>
  <c r="CE198" i="5"/>
  <c r="CD198" i="5"/>
  <c r="BY198" i="5"/>
  <c r="BW198" i="5"/>
  <c r="BU198" i="5"/>
  <c r="CA198" i="5"/>
  <c r="CC198" i="5"/>
  <c r="BV198" i="5"/>
  <c r="BT198" i="5"/>
  <c r="BR198" i="5"/>
  <c r="BJ198" i="5"/>
  <c r="BS198" i="5"/>
  <c r="BK198" i="5"/>
  <c r="BQ198" i="5"/>
  <c r="BM198" i="5"/>
  <c r="BD198" i="5"/>
  <c r="BI198" i="5"/>
  <c r="BG198" i="5"/>
  <c r="BE198" i="5"/>
  <c r="BA198" i="5"/>
  <c r="BP198" i="5" s="1"/>
  <c r="BH198" i="5"/>
  <c r="BF198" i="5"/>
  <c r="AZ198" i="5"/>
  <c r="AY198" i="5"/>
  <c r="AV198" i="5"/>
  <c r="BO198" i="5" s="1"/>
  <c r="AU198" i="5"/>
  <c r="BN198" i="5" s="1"/>
  <c r="CK286" i="5"/>
  <c r="CF286" i="5"/>
  <c r="CI286" i="5"/>
  <c r="CE286" i="5"/>
  <c r="BY286" i="5"/>
  <c r="BW286" i="5"/>
  <c r="BU286" i="5"/>
  <c r="CD286" i="5"/>
  <c r="CC286" i="5"/>
  <c r="CA286" i="5"/>
  <c r="BT286" i="5"/>
  <c r="BS286" i="5"/>
  <c r="BQ286" i="5"/>
  <c r="BJ286" i="5"/>
  <c r="BV286" i="5"/>
  <c r="BK286" i="5"/>
  <c r="BR286" i="5"/>
  <c r="BM286" i="5"/>
  <c r="BD286" i="5"/>
  <c r="BI286" i="5"/>
  <c r="BE286" i="5"/>
  <c r="BH286" i="5"/>
  <c r="BG286" i="5"/>
  <c r="BF286" i="5"/>
  <c r="BA286" i="5"/>
  <c r="BP286" i="5" s="1"/>
  <c r="AV286" i="5"/>
  <c r="BC286" i="5" s="1"/>
  <c r="AZ286" i="5"/>
  <c r="AY286" i="5"/>
  <c r="AU286" i="5"/>
  <c r="BB286" i="5" s="1"/>
  <c r="CG350" i="5"/>
  <c r="CF350" i="5"/>
  <c r="CI350" i="5"/>
  <c r="CK350" i="5"/>
  <c r="CH350" i="5"/>
  <c r="CJ350" i="5"/>
  <c r="CE350" i="5"/>
  <c r="BZ350" i="5"/>
  <c r="BY350" i="5"/>
  <c r="BW350" i="5"/>
  <c r="BU350" i="5"/>
  <c r="CD350" i="5"/>
  <c r="CA350" i="5"/>
  <c r="CC350" i="5"/>
  <c r="BX350" i="5"/>
  <c r="BV350" i="5"/>
  <c r="BT350" i="5"/>
  <c r="BS350" i="5"/>
  <c r="BQ350" i="5"/>
  <c r="BJ350" i="5"/>
  <c r="BK350" i="5"/>
  <c r="BR350" i="5"/>
  <c r="BL350" i="5"/>
  <c r="BD350" i="5"/>
  <c r="BM350" i="5"/>
  <c r="BI350" i="5"/>
  <c r="BE350" i="5"/>
  <c r="BF350" i="5"/>
  <c r="BH350" i="5"/>
  <c r="BG350" i="5"/>
  <c r="BA350" i="5"/>
  <c r="BP350" i="5" s="1"/>
  <c r="AY350" i="5"/>
  <c r="AV350" i="5"/>
  <c r="BC350" i="5" s="1"/>
  <c r="AU350" i="5"/>
  <c r="AZ350" i="5"/>
  <c r="CK430" i="5"/>
  <c r="CF430" i="5"/>
  <c r="CI430" i="5"/>
  <c r="BY430" i="5"/>
  <c r="CC430" i="5"/>
  <c r="BW430" i="5"/>
  <c r="BU430" i="5"/>
  <c r="CD430" i="5"/>
  <c r="CA430" i="5"/>
  <c r="CE430" i="5"/>
  <c r="BJ430" i="5"/>
  <c r="BV430" i="5"/>
  <c r="BT430" i="5"/>
  <c r="BS430" i="5"/>
  <c r="BQ430" i="5"/>
  <c r="BK430" i="5"/>
  <c r="BR430" i="5"/>
  <c r="BM430" i="5"/>
  <c r="BI430" i="5"/>
  <c r="BD430" i="5"/>
  <c r="BE430" i="5"/>
  <c r="BH430" i="5"/>
  <c r="BG430" i="5"/>
  <c r="BF430" i="5"/>
  <c r="BA430" i="5"/>
  <c r="BP430" i="5" s="1"/>
  <c r="AV430" i="5"/>
  <c r="BC430" i="5" s="1"/>
  <c r="AZ430" i="5"/>
  <c r="AY430" i="5"/>
  <c r="AU430" i="5"/>
  <c r="BB430" i="5" s="1"/>
  <c r="BC132" i="5"/>
  <c r="CB184" i="5"/>
  <c r="BX260" i="5"/>
  <c r="BX287" i="5"/>
  <c r="BC324" i="5"/>
  <c r="CB376" i="5"/>
  <c r="BL452" i="5"/>
  <c r="BL17" i="5"/>
  <c r="BD33" i="5"/>
  <c r="CB33" i="5" s="1"/>
  <c r="BL241" i="5"/>
  <c r="CK44" i="5"/>
  <c r="CI44" i="5"/>
  <c r="CC44" i="5"/>
  <c r="CF44" i="5"/>
  <c r="CD44" i="5"/>
  <c r="CE44" i="5"/>
  <c r="BU44" i="5"/>
  <c r="BW44" i="5"/>
  <c r="CA44" i="5"/>
  <c r="BY44" i="5"/>
  <c r="BV44" i="5"/>
  <c r="BS44" i="5"/>
  <c r="BQ44" i="5"/>
  <c r="BR44" i="5"/>
  <c r="BT44" i="5"/>
  <c r="BK44" i="5"/>
  <c r="BG44" i="5"/>
  <c r="BM44" i="5"/>
  <c r="BH44" i="5"/>
  <c r="BF44" i="5"/>
  <c r="BJ44" i="5"/>
  <c r="BI44" i="5"/>
  <c r="BE44" i="5"/>
  <c r="BD44" i="5"/>
  <c r="AZ44" i="5"/>
  <c r="BA44" i="5"/>
  <c r="BP44" i="5" s="1"/>
  <c r="AY44" i="5"/>
  <c r="AU44" i="5"/>
  <c r="AV44" i="5"/>
  <c r="BO44" i="5" s="1"/>
  <c r="CK172" i="5"/>
  <c r="CI172" i="5"/>
  <c r="CC172" i="5"/>
  <c r="CF172" i="5"/>
  <c r="CE172" i="5"/>
  <c r="CD172" i="5"/>
  <c r="BY172" i="5"/>
  <c r="BU172" i="5"/>
  <c r="BW172" i="5"/>
  <c r="CA172" i="5"/>
  <c r="BS172" i="5"/>
  <c r="BQ172" i="5"/>
  <c r="BV172" i="5"/>
  <c r="BR172" i="5"/>
  <c r="BT172" i="5"/>
  <c r="BK172" i="5"/>
  <c r="BI172" i="5"/>
  <c r="BG172" i="5"/>
  <c r="BH172" i="5"/>
  <c r="BF172" i="5"/>
  <c r="BM172" i="5"/>
  <c r="BJ172" i="5"/>
  <c r="BD172" i="5"/>
  <c r="AZ172" i="5"/>
  <c r="BA172" i="5"/>
  <c r="BP172" i="5" s="1"/>
  <c r="AY172" i="5"/>
  <c r="BE172" i="5"/>
  <c r="AU172" i="5"/>
  <c r="BN172" i="5" s="1"/>
  <c r="AV172" i="5"/>
  <c r="BC172" i="5" s="1"/>
  <c r="CK300" i="5"/>
  <c r="CE300" i="5"/>
  <c r="CC300" i="5"/>
  <c r="CI300" i="5"/>
  <c r="CF300" i="5"/>
  <c r="CD300" i="5"/>
  <c r="BY300" i="5"/>
  <c r="BU300" i="5"/>
  <c r="BW300" i="5"/>
  <c r="CA300" i="5"/>
  <c r="BS300" i="5"/>
  <c r="BQ300" i="5"/>
  <c r="BV300" i="5"/>
  <c r="BT300" i="5"/>
  <c r="BR300" i="5"/>
  <c r="BK300" i="5"/>
  <c r="BI300" i="5"/>
  <c r="BG300" i="5"/>
  <c r="BH300" i="5"/>
  <c r="BF300" i="5"/>
  <c r="BM300" i="5"/>
  <c r="BJ300" i="5"/>
  <c r="BD300" i="5"/>
  <c r="BA300" i="5"/>
  <c r="BP300" i="5" s="1"/>
  <c r="AY300" i="5"/>
  <c r="BE300" i="5"/>
  <c r="AZ300" i="5"/>
  <c r="AU300" i="5"/>
  <c r="BN300" i="5" s="1"/>
  <c r="AV300" i="5"/>
  <c r="BO300" i="5" s="1"/>
  <c r="CK428" i="5"/>
  <c r="CE428" i="5"/>
  <c r="CC428" i="5"/>
  <c r="CF428" i="5"/>
  <c r="CI428" i="5"/>
  <c r="CD428" i="5"/>
  <c r="BY428" i="5"/>
  <c r="BU428" i="5"/>
  <c r="CA428" i="5"/>
  <c r="BW428" i="5"/>
  <c r="BS428" i="5"/>
  <c r="BQ428" i="5"/>
  <c r="BT428" i="5"/>
  <c r="BR428" i="5"/>
  <c r="BV428" i="5"/>
  <c r="BK428" i="5"/>
  <c r="BI428" i="5"/>
  <c r="BG428" i="5"/>
  <c r="BH428" i="5"/>
  <c r="BF428" i="5"/>
  <c r="BM428" i="5"/>
  <c r="BJ428" i="5"/>
  <c r="BD428" i="5"/>
  <c r="AY428" i="5"/>
  <c r="BE428" i="5"/>
  <c r="AZ428" i="5"/>
  <c r="BA428" i="5"/>
  <c r="BP428" i="5" s="1"/>
  <c r="AU428" i="5"/>
  <c r="BN428" i="5" s="1"/>
  <c r="AV428" i="5"/>
  <c r="BC428" i="5" s="1"/>
  <c r="CK556" i="5"/>
  <c r="CE556" i="5"/>
  <c r="CC556" i="5"/>
  <c r="CF556" i="5"/>
  <c r="CI556" i="5"/>
  <c r="CD556" i="5"/>
  <c r="BY556" i="5"/>
  <c r="BU556" i="5"/>
  <c r="CA556" i="5"/>
  <c r="BW556" i="5"/>
  <c r="BS556" i="5"/>
  <c r="BQ556" i="5"/>
  <c r="BT556" i="5"/>
  <c r="BR556" i="5"/>
  <c r="BV556" i="5"/>
  <c r="BK556" i="5"/>
  <c r="BI556" i="5"/>
  <c r="BG556" i="5"/>
  <c r="BH556" i="5"/>
  <c r="BM556" i="5"/>
  <c r="BJ556" i="5"/>
  <c r="BF556" i="5"/>
  <c r="BE556" i="5"/>
  <c r="BD556" i="5"/>
  <c r="AY556" i="5"/>
  <c r="AZ556" i="5"/>
  <c r="BA556" i="5"/>
  <c r="BP556" i="5" s="1"/>
  <c r="AV556" i="5"/>
  <c r="BO556" i="5" s="1"/>
  <c r="AU556" i="5"/>
  <c r="BB556" i="5" s="1"/>
  <c r="CK59" i="5"/>
  <c r="CJ59" i="5"/>
  <c r="CI59" i="5"/>
  <c r="CD59" i="5"/>
  <c r="CF59" i="5"/>
  <c r="BY59" i="5"/>
  <c r="BW59" i="5"/>
  <c r="BU59" i="5"/>
  <c r="CH59" i="5"/>
  <c r="CE59" i="5"/>
  <c r="CG59" i="5"/>
  <c r="CA59" i="5"/>
  <c r="CC59" i="5"/>
  <c r="BX59" i="5"/>
  <c r="BZ59" i="5"/>
  <c r="BT59" i="5"/>
  <c r="BV59" i="5"/>
  <c r="BR59" i="5"/>
  <c r="BS59" i="5"/>
  <c r="BQ59" i="5"/>
  <c r="BM59" i="5"/>
  <c r="BJ59" i="5"/>
  <c r="BK59" i="5"/>
  <c r="BL59" i="5"/>
  <c r="BI59" i="5"/>
  <c r="BG59" i="5"/>
  <c r="BH59" i="5"/>
  <c r="BA59" i="5"/>
  <c r="BP59" i="5" s="1"/>
  <c r="AZ59" i="5"/>
  <c r="BF59" i="5"/>
  <c r="BE59" i="5"/>
  <c r="AY59" i="5"/>
  <c r="BD59" i="5"/>
  <c r="AU59" i="5"/>
  <c r="BB59" i="5" s="1"/>
  <c r="AV59" i="5"/>
  <c r="BO59" i="5" s="1"/>
  <c r="CK187" i="5"/>
  <c r="CD187" i="5"/>
  <c r="CE187" i="5"/>
  <c r="BW187" i="5"/>
  <c r="BU187" i="5"/>
  <c r="CF187" i="5"/>
  <c r="CI187" i="5"/>
  <c r="CA187" i="5"/>
  <c r="CC187" i="5"/>
  <c r="BY187" i="5"/>
  <c r="BT187" i="5"/>
  <c r="BV187" i="5"/>
  <c r="BR187" i="5"/>
  <c r="BS187" i="5"/>
  <c r="BQ187" i="5"/>
  <c r="BM187" i="5"/>
  <c r="BJ187" i="5"/>
  <c r="BK187" i="5"/>
  <c r="BI187" i="5"/>
  <c r="BG187" i="5"/>
  <c r="BH187" i="5"/>
  <c r="BA187" i="5"/>
  <c r="BP187" i="5" s="1"/>
  <c r="AZ187" i="5"/>
  <c r="BF187" i="5"/>
  <c r="BE187" i="5"/>
  <c r="AY187" i="5"/>
  <c r="BD187" i="5"/>
  <c r="AU187" i="5"/>
  <c r="BN187" i="5" s="1"/>
  <c r="AV187" i="5"/>
  <c r="BC187" i="5" s="1"/>
  <c r="CK303" i="5"/>
  <c r="CI303" i="5"/>
  <c r="CF303" i="5"/>
  <c r="CE303" i="5"/>
  <c r="CC303" i="5"/>
  <c r="BV303" i="5"/>
  <c r="CD303" i="5"/>
  <c r="BW303" i="5"/>
  <c r="CA303" i="5"/>
  <c r="BY303" i="5"/>
  <c r="BU303" i="5"/>
  <c r="BT303" i="5"/>
  <c r="BS303" i="5"/>
  <c r="BR303" i="5"/>
  <c r="BQ303" i="5"/>
  <c r="BM303" i="5"/>
  <c r="BK303" i="5"/>
  <c r="BJ303" i="5"/>
  <c r="BI303" i="5"/>
  <c r="BF303" i="5"/>
  <c r="BA303" i="5"/>
  <c r="BP303" i="5" s="1"/>
  <c r="AY303" i="5"/>
  <c r="BH303" i="5"/>
  <c r="BG303" i="5"/>
  <c r="BE303" i="5"/>
  <c r="BD303" i="5"/>
  <c r="AZ303" i="5"/>
  <c r="AV303" i="5"/>
  <c r="BC303" i="5" s="1"/>
  <c r="AU303" i="5"/>
  <c r="BB303" i="5" s="1"/>
  <c r="CI532" i="5"/>
  <c r="CE532" i="5"/>
  <c r="CC532" i="5"/>
  <c r="CK532" i="5"/>
  <c r="CF532" i="5"/>
  <c r="CD532" i="5"/>
  <c r="CA532" i="5"/>
  <c r="BW532" i="5"/>
  <c r="BY532" i="5"/>
  <c r="BU532" i="5"/>
  <c r="BS532" i="5"/>
  <c r="BQ532" i="5"/>
  <c r="BT532" i="5"/>
  <c r="BR532" i="5"/>
  <c r="BV532" i="5"/>
  <c r="BI532" i="5"/>
  <c r="BG532" i="5"/>
  <c r="BH532" i="5"/>
  <c r="BM532" i="5"/>
  <c r="BK532" i="5"/>
  <c r="BJ532" i="5"/>
  <c r="BF532" i="5"/>
  <c r="BD532" i="5"/>
  <c r="BE532" i="5"/>
  <c r="BA532" i="5"/>
  <c r="BP532" i="5" s="1"/>
  <c r="AZ532" i="5"/>
  <c r="AY532" i="5"/>
  <c r="AV532" i="5"/>
  <c r="BO532" i="5" s="1"/>
  <c r="AU532" i="5"/>
  <c r="BB532" i="5" s="1"/>
  <c r="CK124" i="5"/>
  <c r="CI124" i="5"/>
  <c r="CC124" i="5"/>
  <c r="CE124" i="5"/>
  <c r="CD124" i="5"/>
  <c r="CF124" i="5"/>
  <c r="BU124" i="5"/>
  <c r="BY124" i="5"/>
  <c r="CA124" i="5"/>
  <c r="BV124" i="5"/>
  <c r="BS124" i="5"/>
  <c r="BQ124" i="5"/>
  <c r="BW124" i="5"/>
  <c r="BR124" i="5"/>
  <c r="BT124" i="5"/>
  <c r="BI124" i="5"/>
  <c r="BG124" i="5"/>
  <c r="BK124" i="5"/>
  <c r="BH124" i="5"/>
  <c r="BF124" i="5"/>
  <c r="BM124" i="5"/>
  <c r="BJ124" i="5"/>
  <c r="BA124" i="5"/>
  <c r="BP124" i="5" s="1"/>
  <c r="BE124" i="5"/>
  <c r="BD124" i="5"/>
  <c r="AZ124" i="5"/>
  <c r="AY124" i="5"/>
  <c r="AU124" i="5"/>
  <c r="BN124" i="5" s="1"/>
  <c r="AV124" i="5"/>
  <c r="CK252" i="5"/>
  <c r="CI252" i="5"/>
  <c r="CC252" i="5"/>
  <c r="CE252" i="5"/>
  <c r="CF252" i="5"/>
  <c r="CD252" i="5"/>
  <c r="BU252" i="5"/>
  <c r="BY252" i="5"/>
  <c r="CA252" i="5"/>
  <c r="BV252" i="5"/>
  <c r="BS252" i="5"/>
  <c r="BQ252" i="5"/>
  <c r="BW252" i="5"/>
  <c r="BR252" i="5"/>
  <c r="BT252" i="5"/>
  <c r="BI252" i="5"/>
  <c r="BG252" i="5"/>
  <c r="BK252" i="5"/>
  <c r="BH252" i="5"/>
  <c r="BF252" i="5"/>
  <c r="BM252" i="5"/>
  <c r="BJ252" i="5"/>
  <c r="BA252" i="5"/>
  <c r="BP252" i="5" s="1"/>
  <c r="BE252" i="5"/>
  <c r="BD252" i="5"/>
  <c r="AZ252" i="5"/>
  <c r="AY252" i="5"/>
  <c r="AU252" i="5"/>
  <c r="BN252" i="5" s="1"/>
  <c r="AV252" i="5"/>
  <c r="BC252" i="5" s="1"/>
  <c r="CK380" i="5"/>
  <c r="CE380" i="5"/>
  <c r="CC380" i="5"/>
  <c r="CD380" i="5"/>
  <c r="CI380" i="5"/>
  <c r="CF380" i="5"/>
  <c r="BU380" i="5"/>
  <c r="BY380" i="5"/>
  <c r="CA380" i="5"/>
  <c r="BW380" i="5"/>
  <c r="BS380" i="5"/>
  <c r="BQ380" i="5"/>
  <c r="BT380" i="5"/>
  <c r="BR380" i="5"/>
  <c r="BV380" i="5"/>
  <c r="BI380" i="5"/>
  <c r="BG380" i="5"/>
  <c r="BK380" i="5"/>
  <c r="BH380" i="5"/>
  <c r="BF380" i="5"/>
  <c r="BM380" i="5"/>
  <c r="BJ380" i="5"/>
  <c r="BE380" i="5"/>
  <c r="BD380" i="5"/>
  <c r="AY380" i="5"/>
  <c r="AZ380" i="5"/>
  <c r="BA380" i="5"/>
  <c r="BP380" i="5" s="1"/>
  <c r="AU380" i="5"/>
  <c r="BN380" i="5" s="1"/>
  <c r="AV380" i="5"/>
  <c r="BC380" i="5" s="1"/>
  <c r="CK508" i="5"/>
  <c r="CE508" i="5"/>
  <c r="CC508" i="5"/>
  <c r="CI508" i="5"/>
  <c r="CD508" i="5"/>
  <c r="CF508" i="5"/>
  <c r="BU508" i="5"/>
  <c r="BY508" i="5"/>
  <c r="CA508" i="5"/>
  <c r="BW508" i="5"/>
  <c r="BS508" i="5"/>
  <c r="BQ508" i="5"/>
  <c r="BT508" i="5"/>
  <c r="BR508" i="5"/>
  <c r="BV508" i="5"/>
  <c r="BI508" i="5"/>
  <c r="BG508" i="5"/>
  <c r="BK508" i="5"/>
  <c r="BH508" i="5"/>
  <c r="BM508" i="5"/>
  <c r="BJ508" i="5"/>
  <c r="BF508" i="5"/>
  <c r="BE508" i="5"/>
  <c r="BD508" i="5"/>
  <c r="AY508" i="5"/>
  <c r="AZ508" i="5"/>
  <c r="BA508" i="5"/>
  <c r="BP508" i="5" s="1"/>
  <c r="AU508" i="5"/>
  <c r="BN508" i="5" s="1"/>
  <c r="AV508" i="5"/>
  <c r="BO508" i="5" s="1"/>
  <c r="BD113" i="5"/>
  <c r="CB113" i="5" s="1"/>
  <c r="CK75" i="5"/>
  <c r="CF75" i="5"/>
  <c r="CI75" i="5"/>
  <c r="CD75" i="5"/>
  <c r="CE75" i="5"/>
  <c r="BW75" i="5"/>
  <c r="BU75" i="5"/>
  <c r="CA75" i="5"/>
  <c r="CC75" i="5"/>
  <c r="BY75" i="5"/>
  <c r="BV75" i="5"/>
  <c r="BT75" i="5"/>
  <c r="BS75" i="5"/>
  <c r="BR75" i="5"/>
  <c r="BM75" i="5"/>
  <c r="BQ75" i="5"/>
  <c r="BJ75" i="5"/>
  <c r="BI75" i="5"/>
  <c r="BK75" i="5"/>
  <c r="BG75" i="5"/>
  <c r="BE75" i="5"/>
  <c r="AZ75" i="5"/>
  <c r="BH75" i="5"/>
  <c r="BF75" i="5"/>
  <c r="BA75" i="5"/>
  <c r="BP75" i="5" s="1"/>
  <c r="AY75" i="5"/>
  <c r="BD75" i="5"/>
  <c r="AU75" i="5"/>
  <c r="BB75" i="5" s="1"/>
  <c r="AV75" i="5"/>
  <c r="BO75" i="5" s="1"/>
  <c r="CK203" i="5"/>
  <c r="CF203" i="5"/>
  <c r="CD203" i="5"/>
  <c r="CI203" i="5"/>
  <c r="CE203" i="5"/>
  <c r="BW203" i="5"/>
  <c r="BU203" i="5"/>
  <c r="CA203" i="5"/>
  <c r="CC203" i="5"/>
  <c r="BY203" i="5"/>
  <c r="BV203" i="5"/>
  <c r="BT203" i="5"/>
  <c r="BS203" i="5"/>
  <c r="BR203" i="5"/>
  <c r="BQ203" i="5"/>
  <c r="BM203" i="5"/>
  <c r="BJ203" i="5"/>
  <c r="BI203" i="5"/>
  <c r="BK203" i="5"/>
  <c r="BG203" i="5"/>
  <c r="BE203" i="5"/>
  <c r="AZ203" i="5"/>
  <c r="BH203" i="5"/>
  <c r="BF203" i="5"/>
  <c r="BA203" i="5"/>
  <c r="BP203" i="5" s="1"/>
  <c r="AY203" i="5"/>
  <c r="BD203" i="5"/>
  <c r="AU203" i="5"/>
  <c r="AV203" i="5"/>
  <c r="BO203" i="5" s="1"/>
  <c r="CK331" i="5"/>
  <c r="CF331" i="5"/>
  <c r="CD331" i="5"/>
  <c r="CI331" i="5"/>
  <c r="CE331" i="5"/>
  <c r="BW331" i="5"/>
  <c r="BU331" i="5"/>
  <c r="CA331" i="5"/>
  <c r="CC331" i="5"/>
  <c r="BY331" i="5"/>
  <c r="BV331" i="5"/>
  <c r="BT331" i="5"/>
  <c r="BS331" i="5"/>
  <c r="BR331" i="5"/>
  <c r="BQ331" i="5"/>
  <c r="BM331" i="5"/>
  <c r="BJ331" i="5"/>
  <c r="BI331" i="5"/>
  <c r="BK331" i="5"/>
  <c r="BG331" i="5"/>
  <c r="BE331" i="5"/>
  <c r="AZ331" i="5"/>
  <c r="BH331" i="5"/>
  <c r="BF331" i="5"/>
  <c r="BA331" i="5"/>
  <c r="BP331" i="5" s="1"/>
  <c r="AY331" i="5"/>
  <c r="BD331" i="5"/>
  <c r="AU331" i="5"/>
  <c r="BN331" i="5" s="1"/>
  <c r="AV331" i="5"/>
  <c r="BC331" i="5" s="1"/>
  <c r="CK447" i="5"/>
  <c r="CI447" i="5"/>
  <c r="CE447" i="5"/>
  <c r="CC447" i="5"/>
  <c r="CD447" i="5"/>
  <c r="BV447" i="5"/>
  <c r="CF447" i="5"/>
  <c r="BW447" i="5"/>
  <c r="CA447" i="5"/>
  <c r="BU447" i="5"/>
  <c r="BY447" i="5"/>
  <c r="BT447" i="5"/>
  <c r="BS447" i="5"/>
  <c r="BR447" i="5"/>
  <c r="BQ447" i="5"/>
  <c r="BM447" i="5"/>
  <c r="BF447" i="5"/>
  <c r="BK447" i="5"/>
  <c r="BJ447" i="5"/>
  <c r="BE447" i="5"/>
  <c r="BD447" i="5"/>
  <c r="BA447" i="5"/>
  <c r="BP447" i="5" s="1"/>
  <c r="AY447" i="5"/>
  <c r="BI447" i="5"/>
  <c r="BH447" i="5"/>
  <c r="BG447" i="5"/>
  <c r="AZ447" i="5"/>
  <c r="AV447" i="5"/>
  <c r="BO447" i="5" s="1"/>
  <c r="AU447" i="5"/>
  <c r="BN447" i="5" s="1"/>
  <c r="BO109" i="5"/>
  <c r="BD117" i="5"/>
  <c r="CB117" i="5" s="1"/>
  <c r="BO237" i="5"/>
  <c r="BD245" i="5"/>
  <c r="CB245" i="5" s="1"/>
  <c r="BC269" i="5"/>
  <c r="BP182" i="5"/>
  <c r="CB182" i="5" s="1"/>
  <c r="BX278" i="5"/>
  <c r="BO398" i="5"/>
  <c r="BC209" i="5"/>
  <c r="BP225" i="5"/>
  <c r="CB225" i="5" s="1"/>
  <c r="CK103" i="5"/>
  <c r="CF103" i="5"/>
  <c r="CE103" i="5"/>
  <c r="CC103" i="5"/>
  <c r="CI103" i="5"/>
  <c r="CD103" i="5"/>
  <c r="BV103" i="5"/>
  <c r="BU103" i="5"/>
  <c r="BY103" i="5"/>
  <c r="CA103" i="5"/>
  <c r="BW103" i="5"/>
  <c r="BS103" i="5"/>
  <c r="BT103" i="5"/>
  <c r="BR103" i="5"/>
  <c r="BQ103" i="5"/>
  <c r="BK103" i="5"/>
  <c r="BM103" i="5"/>
  <c r="BJ103" i="5"/>
  <c r="BI103" i="5"/>
  <c r="BH103" i="5"/>
  <c r="AY103" i="5"/>
  <c r="BG103" i="5"/>
  <c r="BF103" i="5"/>
  <c r="AZ103" i="5"/>
  <c r="BD103" i="5"/>
  <c r="BE103" i="5"/>
  <c r="BA103" i="5"/>
  <c r="BP103" i="5" s="1"/>
  <c r="AV103" i="5"/>
  <c r="BO103" i="5" s="1"/>
  <c r="AU103" i="5"/>
  <c r="BN103" i="5" s="1"/>
  <c r="CK243" i="5"/>
  <c r="CI243" i="5"/>
  <c r="CF243" i="5"/>
  <c r="CD243" i="5"/>
  <c r="CE243" i="5"/>
  <c r="BW243" i="5"/>
  <c r="BU243" i="5"/>
  <c r="CC243" i="5"/>
  <c r="BV243" i="5"/>
  <c r="CA243" i="5"/>
  <c r="BY243" i="5"/>
  <c r="BS243" i="5"/>
  <c r="BQ243" i="5"/>
  <c r="BT243" i="5"/>
  <c r="BR243" i="5"/>
  <c r="BM243" i="5"/>
  <c r="BK243" i="5"/>
  <c r="BJ243" i="5"/>
  <c r="BI243" i="5"/>
  <c r="BH243" i="5"/>
  <c r="BG243" i="5"/>
  <c r="AZ243" i="5"/>
  <c r="BF243" i="5"/>
  <c r="AY243" i="5"/>
  <c r="BE243" i="5"/>
  <c r="BD243" i="5"/>
  <c r="BA243" i="5"/>
  <c r="BP243" i="5" s="1"/>
  <c r="AU243" i="5"/>
  <c r="BB243" i="5" s="1"/>
  <c r="AV243" i="5"/>
  <c r="BO243" i="5" s="1"/>
  <c r="CK371" i="5"/>
  <c r="CF371" i="5"/>
  <c r="CD371" i="5"/>
  <c r="CI371" i="5"/>
  <c r="CE371" i="5"/>
  <c r="BW371" i="5"/>
  <c r="BU371" i="5"/>
  <c r="CC371" i="5"/>
  <c r="BV371" i="5"/>
  <c r="CA371" i="5"/>
  <c r="BY371" i="5"/>
  <c r="BT371" i="5"/>
  <c r="BS371" i="5"/>
  <c r="BQ371" i="5"/>
  <c r="BR371" i="5"/>
  <c r="BM371" i="5"/>
  <c r="BK371" i="5"/>
  <c r="BJ371" i="5"/>
  <c r="BI371" i="5"/>
  <c r="BH371" i="5"/>
  <c r="BG371" i="5"/>
  <c r="AZ371" i="5"/>
  <c r="BF371" i="5"/>
  <c r="BA371" i="5"/>
  <c r="BP371" i="5" s="1"/>
  <c r="AY371" i="5"/>
  <c r="BE371" i="5"/>
  <c r="BD371" i="5"/>
  <c r="AU371" i="5"/>
  <c r="BB371" i="5" s="1"/>
  <c r="AV371" i="5"/>
  <c r="BO371" i="5" s="1"/>
  <c r="CK499" i="5"/>
  <c r="CF499" i="5"/>
  <c r="CD499" i="5"/>
  <c r="CI499" i="5"/>
  <c r="CE499" i="5"/>
  <c r="BW499" i="5"/>
  <c r="BU499" i="5"/>
  <c r="CC499" i="5"/>
  <c r="BV499" i="5"/>
  <c r="CA499" i="5"/>
  <c r="BY499" i="5"/>
  <c r="BT499" i="5"/>
  <c r="BS499" i="5"/>
  <c r="BQ499" i="5"/>
  <c r="BR499" i="5"/>
  <c r="BM499" i="5"/>
  <c r="BK499" i="5"/>
  <c r="BJ499" i="5"/>
  <c r="BI499" i="5"/>
  <c r="BF499" i="5"/>
  <c r="BH499" i="5"/>
  <c r="BG499" i="5"/>
  <c r="AZ499" i="5"/>
  <c r="BA499" i="5"/>
  <c r="BP499" i="5" s="1"/>
  <c r="AY499" i="5"/>
  <c r="BE499" i="5"/>
  <c r="BD499" i="5"/>
  <c r="AU499" i="5"/>
  <c r="BN499" i="5" s="1"/>
  <c r="AV499" i="5"/>
  <c r="BO499" i="5" s="1"/>
  <c r="CF462" i="5"/>
  <c r="CK462" i="5"/>
  <c r="CI462" i="5"/>
  <c r="CE462" i="5"/>
  <c r="CD462" i="5"/>
  <c r="BY462" i="5"/>
  <c r="CC462" i="5"/>
  <c r="BW462" i="5"/>
  <c r="BU462" i="5"/>
  <c r="CA462" i="5"/>
  <c r="BV462" i="5"/>
  <c r="BJ462" i="5"/>
  <c r="BT462" i="5"/>
  <c r="BS462" i="5"/>
  <c r="BQ462" i="5"/>
  <c r="BK462" i="5"/>
  <c r="BR462" i="5"/>
  <c r="BM462" i="5"/>
  <c r="BI462" i="5"/>
  <c r="BD462" i="5"/>
  <c r="BE462" i="5"/>
  <c r="BH462" i="5"/>
  <c r="BG462" i="5"/>
  <c r="BF462" i="5"/>
  <c r="BA462" i="5"/>
  <c r="BP462" i="5" s="1"/>
  <c r="AV462" i="5"/>
  <c r="BC462" i="5" s="1"/>
  <c r="AU462" i="5"/>
  <c r="BN462" i="5" s="1"/>
  <c r="AZ462" i="5"/>
  <c r="AY462" i="5"/>
  <c r="CJ494" i="5"/>
  <c r="CK494" i="5"/>
  <c r="CG494" i="5"/>
  <c r="CH494" i="5"/>
  <c r="CI494" i="5"/>
  <c r="CF494" i="5"/>
  <c r="BZ494" i="5"/>
  <c r="BY494" i="5"/>
  <c r="CE494" i="5"/>
  <c r="CC494" i="5"/>
  <c r="BW494" i="5"/>
  <c r="BU494" i="5"/>
  <c r="CD494" i="5"/>
  <c r="CA494" i="5"/>
  <c r="BX494" i="5"/>
  <c r="BJ494" i="5"/>
  <c r="BT494" i="5"/>
  <c r="BS494" i="5"/>
  <c r="BV494" i="5"/>
  <c r="BQ494" i="5"/>
  <c r="BK494" i="5"/>
  <c r="BR494" i="5"/>
  <c r="BL494" i="5"/>
  <c r="BI494" i="5"/>
  <c r="BF494" i="5"/>
  <c r="BD494" i="5"/>
  <c r="BM494" i="5"/>
  <c r="BE494" i="5"/>
  <c r="BG494" i="5"/>
  <c r="BH494" i="5"/>
  <c r="BA494" i="5"/>
  <c r="BP494" i="5" s="1"/>
  <c r="AZ494" i="5"/>
  <c r="AY494" i="5"/>
  <c r="AV494" i="5"/>
  <c r="BO494" i="5" s="1"/>
  <c r="AU494" i="5"/>
  <c r="BN494" i="5" s="1"/>
  <c r="AT560" i="5"/>
  <c r="AT561" i="5" s="1"/>
  <c r="AS560" i="5"/>
  <c r="AS561" i="5" s="1"/>
  <c r="CK2" i="5"/>
  <c r="CH2" i="5"/>
  <c r="CJ2" i="5"/>
  <c r="CI2" i="5"/>
  <c r="CG2" i="5"/>
  <c r="BZ2" i="5"/>
  <c r="BY2" i="5"/>
  <c r="CF2" i="5"/>
  <c r="CC2" i="5"/>
  <c r="BW2" i="5"/>
  <c r="BU2" i="5"/>
  <c r="CD2" i="5"/>
  <c r="CE2" i="5"/>
  <c r="CA2" i="5"/>
  <c r="BX2" i="5"/>
  <c r="BV2" i="5"/>
  <c r="BL2" i="5"/>
  <c r="BJ2" i="5"/>
  <c r="BT2" i="5"/>
  <c r="BQ2" i="5"/>
  <c r="BK2" i="5"/>
  <c r="BS2" i="5"/>
  <c r="BR2" i="5"/>
  <c r="BM2" i="5"/>
  <c r="BI2" i="5"/>
  <c r="BF2" i="5"/>
  <c r="BD2" i="5"/>
  <c r="BE2" i="5"/>
  <c r="BH2" i="5"/>
  <c r="BG2" i="5"/>
  <c r="BA2" i="5"/>
  <c r="AU2" i="5"/>
  <c r="BN2" i="5" s="1"/>
  <c r="AZ2" i="5"/>
  <c r="AY2" i="5"/>
  <c r="AV2" i="5"/>
  <c r="BO2" i="5" s="1"/>
  <c r="CK552" i="5"/>
  <c r="CI552" i="5"/>
  <c r="CD552" i="5"/>
  <c r="CF552" i="5"/>
  <c r="CE552" i="5"/>
  <c r="CC552" i="5"/>
  <c r="CA552" i="5"/>
  <c r="BV552" i="5"/>
  <c r="BY552" i="5"/>
  <c r="BT552" i="5"/>
  <c r="BR552" i="5"/>
  <c r="BW552" i="5"/>
  <c r="BS552" i="5"/>
  <c r="BQ552" i="5"/>
  <c r="BU552" i="5"/>
  <c r="BH552" i="5"/>
  <c r="BI552" i="5"/>
  <c r="BG552" i="5"/>
  <c r="BJ552" i="5"/>
  <c r="BM552" i="5"/>
  <c r="BK552" i="5"/>
  <c r="BF552" i="5"/>
  <c r="BE552" i="5"/>
  <c r="BA552" i="5"/>
  <c r="BP552" i="5" s="1"/>
  <c r="BD552" i="5"/>
  <c r="AZ552" i="5"/>
  <c r="AY552" i="5"/>
  <c r="AV552" i="5"/>
  <c r="BC552" i="5" s="1"/>
  <c r="AU552" i="5"/>
  <c r="BC27" i="5"/>
  <c r="BC104" i="5"/>
  <c r="BX219" i="5"/>
  <c r="BN296" i="5"/>
  <c r="BZ296" i="5" s="1"/>
  <c r="CK335" i="5"/>
  <c r="CJ335" i="5"/>
  <c r="CI335" i="5"/>
  <c r="CG335" i="5"/>
  <c r="CF335" i="5"/>
  <c r="CH335" i="5"/>
  <c r="CE335" i="5"/>
  <c r="CC335" i="5"/>
  <c r="BV335" i="5"/>
  <c r="CD335" i="5"/>
  <c r="CA335" i="5"/>
  <c r="BX335" i="5"/>
  <c r="BW335" i="5"/>
  <c r="BZ335" i="5"/>
  <c r="BY335" i="5"/>
  <c r="BT335" i="5"/>
  <c r="BU335" i="5"/>
  <c r="BS335" i="5"/>
  <c r="BR335" i="5"/>
  <c r="BQ335" i="5"/>
  <c r="BL335" i="5"/>
  <c r="BM335" i="5"/>
  <c r="BI335" i="5"/>
  <c r="BK335" i="5"/>
  <c r="BJ335" i="5"/>
  <c r="BF335" i="5"/>
  <c r="BA335" i="5"/>
  <c r="AY335" i="5"/>
  <c r="BH335" i="5"/>
  <c r="BE335" i="5"/>
  <c r="BG335" i="5"/>
  <c r="BD335" i="5"/>
  <c r="AZ335" i="5"/>
  <c r="AV335" i="5"/>
  <c r="AU335" i="5"/>
  <c r="CK424" i="5"/>
  <c r="CI424" i="5"/>
  <c r="CF424" i="5"/>
  <c r="CD424" i="5"/>
  <c r="CE424" i="5"/>
  <c r="CC424" i="5"/>
  <c r="BV424" i="5"/>
  <c r="BY424" i="5"/>
  <c r="CA424" i="5"/>
  <c r="BT424" i="5"/>
  <c r="BR424" i="5"/>
  <c r="BW424" i="5"/>
  <c r="BS424" i="5"/>
  <c r="BQ424" i="5"/>
  <c r="BU424" i="5"/>
  <c r="BH424" i="5"/>
  <c r="BF424" i="5"/>
  <c r="BI424" i="5"/>
  <c r="BG424" i="5"/>
  <c r="BJ424" i="5"/>
  <c r="BM424" i="5"/>
  <c r="BK424" i="5"/>
  <c r="BE424" i="5"/>
  <c r="BA424" i="5"/>
  <c r="BP424" i="5" s="1"/>
  <c r="BD424" i="5"/>
  <c r="AZ424" i="5"/>
  <c r="AY424" i="5"/>
  <c r="AU424" i="5"/>
  <c r="AV424" i="5"/>
  <c r="BC424" i="5" s="1"/>
  <c r="BD57" i="5"/>
  <c r="BL57" i="5" s="1"/>
  <c r="BC273" i="5"/>
  <c r="CK55" i="5"/>
  <c r="CC55" i="5"/>
  <c r="CI55" i="5"/>
  <c r="CE55" i="5"/>
  <c r="CF55" i="5"/>
  <c r="BV55" i="5"/>
  <c r="CD55" i="5"/>
  <c r="BU55" i="5"/>
  <c r="CA55" i="5"/>
  <c r="BY55" i="5"/>
  <c r="BW55" i="5"/>
  <c r="BT55" i="5"/>
  <c r="BS55" i="5"/>
  <c r="BQ55" i="5"/>
  <c r="BR55" i="5"/>
  <c r="BK55" i="5"/>
  <c r="BJ55" i="5"/>
  <c r="BM55" i="5"/>
  <c r="BI55" i="5"/>
  <c r="BH55" i="5"/>
  <c r="BG55" i="5"/>
  <c r="BF55" i="5"/>
  <c r="AY55" i="5"/>
  <c r="BE55" i="5"/>
  <c r="AZ55" i="5"/>
  <c r="BA55" i="5"/>
  <c r="BP55" i="5" s="1"/>
  <c r="BD55" i="5"/>
  <c r="AV55" i="5"/>
  <c r="AU55" i="5"/>
  <c r="BN55" i="5" s="1"/>
  <c r="CK183" i="5"/>
  <c r="CJ183" i="5"/>
  <c r="CG183" i="5"/>
  <c r="CI183" i="5"/>
  <c r="CC183" i="5"/>
  <c r="CH183" i="5"/>
  <c r="CF183" i="5"/>
  <c r="CE183" i="5"/>
  <c r="BX183" i="5"/>
  <c r="BV183" i="5"/>
  <c r="CD183" i="5"/>
  <c r="BY183" i="5"/>
  <c r="CA183" i="5"/>
  <c r="BU183" i="5"/>
  <c r="BZ183" i="5"/>
  <c r="BW183" i="5"/>
  <c r="BT183" i="5"/>
  <c r="BS183" i="5"/>
  <c r="BQ183" i="5"/>
  <c r="BR183" i="5"/>
  <c r="BK183" i="5"/>
  <c r="BJ183" i="5"/>
  <c r="BI183" i="5"/>
  <c r="BH183" i="5"/>
  <c r="BL183" i="5"/>
  <c r="BM183" i="5"/>
  <c r="BG183" i="5"/>
  <c r="BF183" i="5"/>
  <c r="AY183" i="5"/>
  <c r="AZ183" i="5"/>
  <c r="BE183" i="5"/>
  <c r="BA183" i="5"/>
  <c r="BP183" i="5" s="1"/>
  <c r="BD183" i="5"/>
  <c r="AV183" i="5"/>
  <c r="BO183" i="5" s="1"/>
  <c r="AU183" i="5"/>
  <c r="BB183" i="5" s="1"/>
  <c r="CK311" i="5"/>
  <c r="CI311" i="5"/>
  <c r="CE311" i="5"/>
  <c r="CC311" i="5"/>
  <c r="CF311" i="5"/>
  <c r="BV311" i="5"/>
  <c r="CD311" i="5"/>
  <c r="BY311" i="5"/>
  <c r="BU311" i="5"/>
  <c r="CA311" i="5"/>
  <c r="BW311" i="5"/>
  <c r="BT311" i="5"/>
  <c r="BS311" i="5"/>
  <c r="BQ311" i="5"/>
  <c r="BR311" i="5"/>
  <c r="BK311" i="5"/>
  <c r="BJ311" i="5"/>
  <c r="BI311" i="5"/>
  <c r="BH311" i="5"/>
  <c r="BM311" i="5"/>
  <c r="BG311" i="5"/>
  <c r="BF311" i="5"/>
  <c r="BA311" i="5"/>
  <c r="BP311" i="5" s="1"/>
  <c r="AY311" i="5"/>
  <c r="AZ311" i="5"/>
  <c r="BE311" i="5"/>
  <c r="BD311" i="5"/>
  <c r="AV311" i="5"/>
  <c r="AU311" i="5"/>
  <c r="BN311" i="5" s="1"/>
  <c r="CK439" i="5"/>
  <c r="CI439" i="5"/>
  <c r="CE439" i="5"/>
  <c r="CC439" i="5"/>
  <c r="CF439" i="5"/>
  <c r="BV439" i="5"/>
  <c r="CD439" i="5"/>
  <c r="CA439" i="5"/>
  <c r="BY439" i="5"/>
  <c r="BU439" i="5"/>
  <c r="BW439" i="5"/>
  <c r="BT439" i="5"/>
  <c r="BS439" i="5"/>
  <c r="BQ439" i="5"/>
  <c r="BK439" i="5"/>
  <c r="BR439" i="5"/>
  <c r="BJ439" i="5"/>
  <c r="BH439" i="5"/>
  <c r="BM439" i="5"/>
  <c r="BI439" i="5"/>
  <c r="BG439" i="5"/>
  <c r="BF439" i="5"/>
  <c r="BA439" i="5"/>
  <c r="BP439" i="5" s="1"/>
  <c r="AY439" i="5"/>
  <c r="AZ439" i="5"/>
  <c r="BE439" i="5"/>
  <c r="BD439" i="5"/>
  <c r="AV439" i="5"/>
  <c r="AU439" i="5"/>
  <c r="BN439" i="5" s="1"/>
  <c r="CK353" i="5"/>
  <c r="CF353" i="5"/>
  <c r="CI353" i="5"/>
  <c r="CE353" i="5"/>
  <c r="CD353" i="5"/>
  <c r="BY353" i="5"/>
  <c r="CC353" i="5"/>
  <c r="CG353" i="5"/>
  <c r="CA353" i="5"/>
  <c r="BU353" i="5"/>
  <c r="BW353" i="5"/>
  <c r="BV353" i="5"/>
  <c r="BT353" i="5"/>
  <c r="BS353" i="5"/>
  <c r="BM353" i="5"/>
  <c r="BR353" i="5"/>
  <c r="BK353" i="5"/>
  <c r="BQ353" i="5"/>
  <c r="BJ353" i="5"/>
  <c r="BI353" i="5"/>
  <c r="BG353" i="5"/>
  <c r="BH353" i="5"/>
  <c r="BF353" i="5"/>
  <c r="BE353" i="5"/>
  <c r="BA353" i="5"/>
  <c r="BP353" i="5" s="1"/>
  <c r="AY353" i="5"/>
  <c r="BD353" i="5"/>
  <c r="AZ353" i="5"/>
  <c r="AV353" i="5"/>
  <c r="AU353" i="5"/>
  <c r="BB353" i="5" s="1"/>
  <c r="CK385" i="5"/>
  <c r="CF385" i="5"/>
  <c r="CI385" i="5"/>
  <c r="CG385" i="5"/>
  <c r="CE385" i="5"/>
  <c r="BY385" i="5"/>
  <c r="CC385" i="5"/>
  <c r="BU385" i="5"/>
  <c r="CA385" i="5"/>
  <c r="BW385" i="5"/>
  <c r="CD385" i="5"/>
  <c r="BV385" i="5"/>
  <c r="BT385" i="5"/>
  <c r="BS385" i="5"/>
  <c r="BM385" i="5"/>
  <c r="BR385" i="5"/>
  <c r="BQ385" i="5"/>
  <c r="BK385" i="5"/>
  <c r="BI385" i="5"/>
  <c r="BJ385" i="5"/>
  <c r="BG385" i="5"/>
  <c r="BH385" i="5"/>
  <c r="BF385" i="5"/>
  <c r="BD385" i="5"/>
  <c r="AY385" i="5"/>
  <c r="BE385" i="5"/>
  <c r="AZ385" i="5"/>
  <c r="BA385" i="5"/>
  <c r="BP385" i="5" s="1"/>
  <c r="AV385" i="5"/>
  <c r="AU385" i="5"/>
  <c r="BN385" i="5" s="1"/>
  <c r="CK417" i="5"/>
  <c r="CH417" i="5"/>
  <c r="CG417" i="5"/>
  <c r="CF417" i="5"/>
  <c r="CJ417" i="5"/>
  <c r="CI417" i="5"/>
  <c r="CE417" i="5"/>
  <c r="BZ417" i="5"/>
  <c r="BY417" i="5"/>
  <c r="CD417" i="5"/>
  <c r="CC417" i="5"/>
  <c r="BX417" i="5"/>
  <c r="BU417" i="5"/>
  <c r="CA417" i="5"/>
  <c r="BW417" i="5"/>
  <c r="BT417" i="5"/>
  <c r="BS417" i="5"/>
  <c r="BM417" i="5"/>
  <c r="BL417" i="5"/>
  <c r="BV417" i="5"/>
  <c r="BR417" i="5"/>
  <c r="BQ417" i="5"/>
  <c r="BK417" i="5"/>
  <c r="BI417" i="5"/>
  <c r="BG417" i="5"/>
  <c r="BJ417" i="5"/>
  <c r="BH417" i="5"/>
  <c r="BF417" i="5"/>
  <c r="BE417" i="5"/>
  <c r="BD417" i="5"/>
  <c r="AY417" i="5"/>
  <c r="BA417" i="5"/>
  <c r="BP417" i="5" s="1"/>
  <c r="AZ417" i="5"/>
  <c r="AV417" i="5"/>
  <c r="BO417" i="5" s="1"/>
  <c r="AU417" i="5"/>
  <c r="BB417" i="5" s="1"/>
  <c r="CK449" i="5"/>
  <c r="CF449" i="5"/>
  <c r="CE449" i="5"/>
  <c r="CD449" i="5"/>
  <c r="BY449" i="5"/>
  <c r="CC449" i="5"/>
  <c r="CA449" i="5"/>
  <c r="BU449" i="5"/>
  <c r="CI449" i="5"/>
  <c r="BW449" i="5"/>
  <c r="BT449" i="5"/>
  <c r="BS449" i="5"/>
  <c r="BM449" i="5"/>
  <c r="BV449" i="5"/>
  <c r="BK449" i="5"/>
  <c r="BR449" i="5"/>
  <c r="BQ449" i="5"/>
  <c r="BG449" i="5"/>
  <c r="BJ449" i="5"/>
  <c r="BI449" i="5"/>
  <c r="BH449" i="5"/>
  <c r="BF449" i="5"/>
  <c r="AY449" i="5"/>
  <c r="BE449" i="5"/>
  <c r="BD449" i="5"/>
  <c r="BA449" i="5"/>
  <c r="BP449" i="5" s="1"/>
  <c r="AZ449" i="5"/>
  <c r="AV449" i="5"/>
  <c r="BO449" i="5" s="1"/>
  <c r="AU449" i="5"/>
  <c r="BN449" i="5" s="1"/>
  <c r="CK481" i="5"/>
  <c r="CI481" i="5"/>
  <c r="CE481" i="5"/>
  <c r="BY481" i="5"/>
  <c r="CD481" i="5"/>
  <c r="CC481" i="5"/>
  <c r="CF481" i="5"/>
  <c r="BU481" i="5"/>
  <c r="CA481" i="5"/>
  <c r="BW481" i="5"/>
  <c r="BV481" i="5"/>
  <c r="BT481" i="5"/>
  <c r="BS481" i="5"/>
  <c r="BM481" i="5"/>
  <c r="BK481" i="5"/>
  <c r="BR481" i="5"/>
  <c r="BQ481" i="5"/>
  <c r="BJ481" i="5"/>
  <c r="BG481" i="5"/>
  <c r="BH481" i="5"/>
  <c r="BF481" i="5"/>
  <c r="BI481" i="5"/>
  <c r="AY481" i="5"/>
  <c r="BE481" i="5"/>
  <c r="BD481" i="5"/>
  <c r="AZ481" i="5"/>
  <c r="BA481" i="5"/>
  <c r="BP481" i="5" s="1"/>
  <c r="AV481" i="5"/>
  <c r="AU481" i="5"/>
  <c r="BN481" i="5" s="1"/>
  <c r="CK513" i="5"/>
  <c r="CF513" i="5"/>
  <c r="CI513" i="5"/>
  <c r="CE513" i="5"/>
  <c r="BY513" i="5"/>
  <c r="CD513" i="5"/>
  <c r="CC513" i="5"/>
  <c r="BU513" i="5"/>
  <c r="CA513" i="5"/>
  <c r="BW513" i="5"/>
  <c r="BT513" i="5"/>
  <c r="BS513" i="5"/>
  <c r="BM513" i="5"/>
  <c r="BV513" i="5"/>
  <c r="BR513" i="5"/>
  <c r="BQ513" i="5"/>
  <c r="BK513" i="5"/>
  <c r="BJ513" i="5"/>
  <c r="BG513" i="5"/>
  <c r="BI513" i="5"/>
  <c r="BH513" i="5"/>
  <c r="BF513" i="5"/>
  <c r="BE513" i="5"/>
  <c r="BD513" i="5"/>
  <c r="AY513" i="5"/>
  <c r="AZ513" i="5"/>
  <c r="BA513" i="5"/>
  <c r="BP513" i="5" s="1"/>
  <c r="AV513" i="5"/>
  <c r="BO513" i="5" s="1"/>
  <c r="AU513" i="5"/>
  <c r="BB513" i="5" s="1"/>
  <c r="CK545" i="5"/>
  <c r="CI545" i="5"/>
  <c r="CE545" i="5"/>
  <c r="CF545" i="5"/>
  <c r="BY545" i="5"/>
  <c r="CC545" i="5"/>
  <c r="CD545" i="5"/>
  <c r="BU545" i="5"/>
  <c r="CA545" i="5"/>
  <c r="BW545" i="5"/>
  <c r="BT545" i="5"/>
  <c r="BS545" i="5"/>
  <c r="BM545" i="5"/>
  <c r="BV545" i="5"/>
  <c r="BR545" i="5"/>
  <c r="BQ545" i="5"/>
  <c r="BK545" i="5"/>
  <c r="BG545" i="5"/>
  <c r="BJ545" i="5"/>
  <c r="BI545" i="5"/>
  <c r="BF545" i="5"/>
  <c r="BH545" i="5"/>
  <c r="BE545" i="5"/>
  <c r="BD545" i="5"/>
  <c r="AY545" i="5"/>
  <c r="BA545" i="5"/>
  <c r="BP545" i="5" s="1"/>
  <c r="AZ545" i="5"/>
  <c r="AV545" i="5"/>
  <c r="AU545" i="5"/>
  <c r="BB545" i="5" s="1"/>
  <c r="CI201" i="5"/>
  <c r="CK201" i="5"/>
  <c r="CF201" i="5"/>
  <c r="CE201" i="5"/>
  <c r="BY201" i="5"/>
  <c r="CD201" i="5"/>
  <c r="CC201" i="5"/>
  <c r="BW201" i="5"/>
  <c r="BT201" i="5"/>
  <c r="CA201" i="5"/>
  <c r="BV201" i="5"/>
  <c r="BS201" i="5"/>
  <c r="BQ201" i="5"/>
  <c r="BM201" i="5"/>
  <c r="BU201" i="5"/>
  <c r="BR201" i="5"/>
  <c r="BK201" i="5"/>
  <c r="BJ201" i="5"/>
  <c r="BI201" i="5"/>
  <c r="BH201" i="5"/>
  <c r="BE201" i="5"/>
  <c r="BG201" i="5"/>
  <c r="BD201" i="5"/>
  <c r="BF201" i="5"/>
  <c r="BA201" i="5"/>
  <c r="BP201" i="5" s="1"/>
  <c r="AZ201" i="5"/>
  <c r="AY201" i="5"/>
  <c r="AU201" i="5"/>
  <c r="BB201" i="5" s="1"/>
  <c r="AV201" i="5"/>
  <c r="BC201" i="5" s="1"/>
  <c r="CK337" i="5"/>
  <c r="CF337" i="5"/>
  <c r="CD337" i="5"/>
  <c r="CI337" i="5"/>
  <c r="CE337" i="5"/>
  <c r="BY337" i="5"/>
  <c r="CC337" i="5"/>
  <c r="BU337" i="5"/>
  <c r="CA337" i="5"/>
  <c r="BW337" i="5"/>
  <c r="BV337" i="5"/>
  <c r="BR337" i="5"/>
  <c r="BM337" i="5"/>
  <c r="BT337" i="5"/>
  <c r="BS337" i="5"/>
  <c r="BQ337" i="5"/>
  <c r="BK337" i="5"/>
  <c r="BI337" i="5"/>
  <c r="BJ337" i="5"/>
  <c r="BG337" i="5"/>
  <c r="BF337" i="5"/>
  <c r="BH337" i="5"/>
  <c r="BE337" i="5"/>
  <c r="BA337" i="5"/>
  <c r="BD337" i="5"/>
  <c r="AY337" i="5"/>
  <c r="AZ337" i="5"/>
  <c r="AV337" i="5"/>
  <c r="AU337" i="5"/>
  <c r="CI73" i="5"/>
  <c r="CF73" i="5"/>
  <c r="CK73" i="5"/>
  <c r="CE73" i="5"/>
  <c r="CG73" i="5"/>
  <c r="CD73" i="5"/>
  <c r="CC73" i="5"/>
  <c r="BY73" i="5"/>
  <c r="BW73" i="5"/>
  <c r="BT73" i="5"/>
  <c r="CA73" i="5"/>
  <c r="BV73" i="5"/>
  <c r="BM73" i="5"/>
  <c r="BU73" i="5"/>
  <c r="BS73" i="5"/>
  <c r="BQ73" i="5"/>
  <c r="BR73" i="5"/>
  <c r="BK73" i="5"/>
  <c r="BJ73" i="5"/>
  <c r="BI73" i="5"/>
  <c r="BH73" i="5"/>
  <c r="BE73" i="5"/>
  <c r="BG73" i="5"/>
  <c r="BD73" i="5"/>
  <c r="BF73" i="5"/>
  <c r="BA73" i="5"/>
  <c r="BP73" i="5" s="1"/>
  <c r="AZ73" i="5"/>
  <c r="AY73" i="5"/>
  <c r="AU73" i="5"/>
  <c r="BB73" i="5" s="1"/>
  <c r="AV73" i="5"/>
  <c r="CK305" i="5"/>
  <c r="CI305" i="5"/>
  <c r="CF305" i="5"/>
  <c r="CD305" i="5"/>
  <c r="CE305" i="5"/>
  <c r="BY305" i="5"/>
  <c r="CC305" i="5"/>
  <c r="CA305" i="5"/>
  <c r="BU305" i="5"/>
  <c r="BV305" i="5"/>
  <c r="BW305" i="5"/>
  <c r="BR305" i="5"/>
  <c r="BM305" i="5"/>
  <c r="BT305" i="5"/>
  <c r="BS305" i="5"/>
  <c r="BQ305" i="5"/>
  <c r="BK305" i="5"/>
  <c r="BJ305" i="5"/>
  <c r="BI305" i="5"/>
  <c r="BG305" i="5"/>
  <c r="BH305" i="5"/>
  <c r="BF305" i="5"/>
  <c r="BD305" i="5"/>
  <c r="BA305" i="5"/>
  <c r="BP305" i="5" s="1"/>
  <c r="BE305" i="5"/>
  <c r="AY305" i="5"/>
  <c r="AZ305" i="5"/>
  <c r="AV305" i="5"/>
  <c r="BC305" i="5" s="1"/>
  <c r="AU305" i="5"/>
  <c r="BN305" i="5" s="1"/>
  <c r="BX10" i="5"/>
  <c r="BB58" i="5"/>
  <c r="BZ58" i="5" s="1"/>
  <c r="CB58" i="5"/>
  <c r="BX58" i="5"/>
  <c r="CB74" i="5"/>
  <c r="BL186" i="5"/>
  <c r="BB242" i="5"/>
  <c r="BZ242" i="5" s="1"/>
  <c r="CB242" i="5"/>
  <c r="BL306" i="5"/>
  <c r="BL314" i="5"/>
  <c r="CB378" i="5"/>
  <c r="BO386" i="5"/>
  <c r="BL434" i="5"/>
  <c r="BB450" i="5"/>
  <c r="BZ450" i="5" s="1"/>
  <c r="BX522" i="5"/>
  <c r="BB546" i="5"/>
  <c r="CK5" i="5"/>
  <c r="CI5" i="5"/>
  <c r="CG5" i="5"/>
  <c r="CH5" i="5"/>
  <c r="CE5" i="5"/>
  <c r="CF5" i="5"/>
  <c r="CC5" i="5"/>
  <c r="CJ5" i="5"/>
  <c r="CD5" i="5"/>
  <c r="CA5" i="5"/>
  <c r="BT5" i="5"/>
  <c r="BZ5" i="5"/>
  <c r="BV5" i="5"/>
  <c r="BU5" i="5"/>
  <c r="BM5" i="5"/>
  <c r="BY5" i="5"/>
  <c r="BX5" i="5"/>
  <c r="BW5" i="5"/>
  <c r="BS5" i="5"/>
  <c r="BR5" i="5"/>
  <c r="BQ5" i="5"/>
  <c r="BL5" i="5"/>
  <c r="BJ5" i="5"/>
  <c r="BK5" i="5"/>
  <c r="BI5" i="5"/>
  <c r="BF5" i="5"/>
  <c r="BA5" i="5"/>
  <c r="BP5" i="5" s="1"/>
  <c r="BH5" i="5"/>
  <c r="BG5" i="5"/>
  <c r="BE5" i="5"/>
  <c r="BD5" i="5"/>
  <c r="AZ5" i="5"/>
  <c r="AY5" i="5"/>
  <c r="AU5" i="5"/>
  <c r="BB5" i="5" s="1"/>
  <c r="AV5" i="5"/>
  <c r="BC5" i="5" s="1"/>
  <c r="CI133" i="5"/>
  <c r="CK133" i="5"/>
  <c r="CE133" i="5"/>
  <c r="CF133" i="5"/>
  <c r="CA133" i="5"/>
  <c r="CC133" i="5"/>
  <c r="CD133" i="5"/>
  <c r="BT133" i="5"/>
  <c r="BW133" i="5"/>
  <c r="BU133" i="5"/>
  <c r="BV133" i="5"/>
  <c r="BY133" i="5"/>
  <c r="BS133" i="5"/>
  <c r="BR133" i="5"/>
  <c r="BM133" i="5"/>
  <c r="BQ133" i="5"/>
  <c r="BJ133" i="5"/>
  <c r="BK133" i="5"/>
  <c r="BI133" i="5"/>
  <c r="BF133" i="5"/>
  <c r="BA133" i="5"/>
  <c r="BP133" i="5" s="1"/>
  <c r="BH133" i="5"/>
  <c r="BG133" i="5"/>
  <c r="BE133" i="5"/>
  <c r="BD133" i="5"/>
  <c r="AZ133" i="5"/>
  <c r="AY133" i="5"/>
  <c r="AU133" i="5"/>
  <c r="BN133" i="5" s="1"/>
  <c r="AV133" i="5"/>
  <c r="BC133" i="5" s="1"/>
  <c r="CK261" i="5"/>
  <c r="CI261" i="5"/>
  <c r="CF261" i="5"/>
  <c r="CE261" i="5"/>
  <c r="CA261" i="5"/>
  <c r="CC261" i="5"/>
  <c r="CD261" i="5"/>
  <c r="BT261" i="5"/>
  <c r="BW261" i="5"/>
  <c r="BY261" i="5"/>
  <c r="BU261" i="5"/>
  <c r="BV261" i="5"/>
  <c r="BS261" i="5"/>
  <c r="BR261" i="5"/>
  <c r="BM261" i="5"/>
  <c r="BQ261" i="5"/>
  <c r="BJ261" i="5"/>
  <c r="BK261" i="5"/>
  <c r="BI261" i="5"/>
  <c r="BF261" i="5"/>
  <c r="BA261" i="5"/>
  <c r="BP261" i="5" s="1"/>
  <c r="BH261" i="5"/>
  <c r="BG261" i="5"/>
  <c r="BE261" i="5"/>
  <c r="BD261" i="5"/>
  <c r="AZ261" i="5"/>
  <c r="AY261" i="5"/>
  <c r="AU261" i="5"/>
  <c r="BN261" i="5" s="1"/>
  <c r="AV261" i="5"/>
  <c r="BO261" i="5" s="1"/>
  <c r="CK341" i="5"/>
  <c r="CI341" i="5"/>
  <c r="CD341" i="5"/>
  <c r="CF341" i="5"/>
  <c r="CC341" i="5"/>
  <c r="CE341" i="5"/>
  <c r="CA341" i="5"/>
  <c r="BV341" i="5"/>
  <c r="BY341" i="5"/>
  <c r="BW341" i="5"/>
  <c r="BU341" i="5"/>
  <c r="BT341" i="5"/>
  <c r="BS341" i="5"/>
  <c r="BR341" i="5"/>
  <c r="BM341" i="5"/>
  <c r="BQ341" i="5"/>
  <c r="BJ341" i="5"/>
  <c r="BI341" i="5"/>
  <c r="BK341" i="5"/>
  <c r="BF341" i="5"/>
  <c r="BH341" i="5"/>
  <c r="BG341" i="5"/>
  <c r="BE341" i="5"/>
  <c r="BD341" i="5"/>
  <c r="BA341" i="5"/>
  <c r="BP341" i="5" s="1"/>
  <c r="AZ341" i="5"/>
  <c r="AY341" i="5"/>
  <c r="AU341" i="5"/>
  <c r="AV341" i="5"/>
  <c r="BO341" i="5" s="1"/>
  <c r="CK38" i="5"/>
  <c r="CF38" i="5"/>
  <c r="CE38" i="5"/>
  <c r="CI38" i="5"/>
  <c r="CD38" i="5"/>
  <c r="BY38" i="5"/>
  <c r="BW38" i="5"/>
  <c r="BU38" i="5"/>
  <c r="CA38" i="5"/>
  <c r="CC38" i="5"/>
  <c r="BV38" i="5"/>
  <c r="BR38" i="5"/>
  <c r="BJ38" i="5"/>
  <c r="BT38" i="5"/>
  <c r="BS38" i="5"/>
  <c r="BK38" i="5"/>
  <c r="BI38" i="5"/>
  <c r="BM38" i="5"/>
  <c r="BQ38" i="5"/>
  <c r="BD38" i="5"/>
  <c r="BG38" i="5"/>
  <c r="BE38" i="5"/>
  <c r="BA38" i="5"/>
  <c r="BP38" i="5" s="1"/>
  <c r="BF38" i="5"/>
  <c r="BH38" i="5"/>
  <c r="AZ38" i="5"/>
  <c r="AY38" i="5"/>
  <c r="AV38" i="5"/>
  <c r="BO38" i="5" s="1"/>
  <c r="AU38" i="5"/>
  <c r="BN38" i="5" s="1"/>
  <c r="CK126" i="5"/>
  <c r="CI126" i="5"/>
  <c r="CF126" i="5"/>
  <c r="CE126" i="5"/>
  <c r="BY126" i="5"/>
  <c r="CD126" i="5"/>
  <c r="BW126" i="5"/>
  <c r="BU126" i="5"/>
  <c r="CC126" i="5"/>
  <c r="CA126" i="5"/>
  <c r="BV126" i="5"/>
  <c r="BS126" i="5"/>
  <c r="BT126" i="5"/>
  <c r="BQ126" i="5"/>
  <c r="BJ126" i="5"/>
  <c r="BK126" i="5"/>
  <c r="BR126" i="5"/>
  <c r="BD126" i="5"/>
  <c r="BM126" i="5"/>
  <c r="BI126" i="5"/>
  <c r="BE126" i="5"/>
  <c r="BA126" i="5"/>
  <c r="BP126" i="5" s="1"/>
  <c r="BH126" i="5"/>
  <c r="BG126" i="5"/>
  <c r="BF126" i="5"/>
  <c r="AV126" i="5"/>
  <c r="BO126" i="5" s="1"/>
  <c r="AY126" i="5"/>
  <c r="AU126" i="5"/>
  <c r="BB126" i="5" s="1"/>
  <c r="AZ126" i="5"/>
  <c r="CK206" i="5"/>
  <c r="CI206" i="5"/>
  <c r="CF206" i="5"/>
  <c r="CE206" i="5"/>
  <c r="CD206" i="5"/>
  <c r="BY206" i="5"/>
  <c r="CC206" i="5"/>
  <c r="BW206" i="5"/>
  <c r="BU206" i="5"/>
  <c r="CA206" i="5"/>
  <c r="BV206" i="5"/>
  <c r="BT206" i="5"/>
  <c r="BJ206" i="5"/>
  <c r="BS206" i="5"/>
  <c r="BQ206" i="5"/>
  <c r="BK206" i="5"/>
  <c r="BR206" i="5"/>
  <c r="BM206" i="5"/>
  <c r="BI206" i="5"/>
  <c r="BD206" i="5"/>
  <c r="BE206" i="5"/>
  <c r="BA206" i="5"/>
  <c r="BP206" i="5" s="1"/>
  <c r="BH206" i="5"/>
  <c r="BG206" i="5"/>
  <c r="BF206" i="5"/>
  <c r="AV206" i="5"/>
  <c r="BO206" i="5" s="1"/>
  <c r="AZ206" i="5"/>
  <c r="AU206" i="5"/>
  <c r="AY206" i="5"/>
  <c r="CK294" i="5"/>
  <c r="CF294" i="5"/>
  <c r="CI294" i="5"/>
  <c r="CD294" i="5"/>
  <c r="BY294" i="5"/>
  <c r="CE294" i="5"/>
  <c r="CG294" i="5"/>
  <c r="BW294" i="5"/>
  <c r="BU294" i="5"/>
  <c r="CA294" i="5"/>
  <c r="CC294" i="5"/>
  <c r="BR294" i="5"/>
  <c r="BJ294" i="5"/>
  <c r="BV294" i="5"/>
  <c r="BT294" i="5"/>
  <c r="BS294" i="5"/>
  <c r="BK294" i="5"/>
  <c r="BQ294" i="5"/>
  <c r="BM294" i="5"/>
  <c r="BD294" i="5"/>
  <c r="BI294" i="5"/>
  <c r="BG294" i="5"/>
  <c r="BE294" i="5"/>
  <c r="BF294" i="5"/>
  <c r="BH294" i="5"/>
  <c r="BA294" i="5"/>
  <c r="BP294" i="5" s="1"/>
  <c r="AY294" i="5"/>
  <c r="AZ294" i="5"/>
  <c r="AV294" i="5"/>
  <c r="AU294" i="5"/>
  <c r="BN294" i="5" s="1"/>
  <c r="CK358" i="5"/>
  <c r="CF358" i="5"/>
  <c r="CI358" i="5"/>
  <c r="CD358" i="5"/>
  <c r="BY358" i="5"/>
  <c r="BW358" i="5"/>
  <c r="BU358" i="5"/>
  <c r="CA358" i="5"/>
  <c r="CC358" i="5"/>
  <c r="CE358" i="5"/>
  <c r="BV358" i="5"/>
  <c r="BR358" i="5"/>
  <c r="BJ358" i="5"/>
  <c r="BT358" i="5"/>
  <c r="BS358" i="5"/>
  <c r="BK358" i="5"/>
  <c r="BQ358" i="5"/>
  <c r="BM358" i="5"/>
  <c r="BD358" i="5"/>
  <c r="BI358" i="5"/>
  <c r="BG358" i="5"/>
  <c r="BE358" i="5"/>
  <c r="BH358" i="5"/>
  <c r="BF358" i="5"/>
  <c r="BA358" i="5"/>
  <c r="AY358" i="5"/>
  <c r="AV358" i="5"/>
  <c r="AZ358" i="5"/>
  <c r="AU358" i="5"/>
  <c r="BY4" i="5"/>
  <c r="CB43" i="5"/>
  <c r="BL132" i="5"/>
  <c r="CB171" i="5"/>
  <c r="BX223" i="5"/>
  <c r="BL287" i="5"/>
  <c r="BB351" i="5"/>
  <c r="BZ351" i="5" s="1"/>
  <c r="BO351" i="5"/>
  <c r="BO388" i="5"/>
  <c r="BB415" i="5"/>
  <c r="CB415" i="5"/>
  <c r="CK71" i="5"/>
  <c r="CI71" i="5"/>
  <c r="CE71" i="5"/>
  <c r="CC71" i="5"/>
  <c r="CF71" i="5"/>
  <c r="BV71" i="5"/>
  <c r="CD71" i="5"/>
  <c r="CA71" i="5"/>
  <c r="BU71" i="5"/>
  <c r="BY71" i="5"/>
  <c r="BW71" i="5"/>
  <c r="BS71" i="5"/>
  <c r="BT71" i="5"/>
  <c r="BQ71" i="5"/>
  <c r="BM71" i="5"/>
  <c r="BR71" i="5"/>
  <c r="BK71" i="5"/>
  <c r="BJ71" i="5"/>
  <c r="BI71" i="5"/>
  <c r="BH71" i="5"/>
  <c r="BE71" i="5"/>
  <c r="BG71" i="5"/>
  <c r="BF71" i="5"/>
  <c r="AY71" i="5"/>
  <c r="AZ71" i="5"/>
  <c r="BD71" i="5"/>
  <c r="BA71" i="5"/>
  <c r="BP71" i="5" s="1"/>
  <c r="AV71" i="5"/>
  <c r="AU71" i="5"/>
  <c r="BB71" i="5" s="1"/>
  <c r="CK199" i="5"/>
  <c r="CI199" i="5"/>
  <c r="CE199" i="5"/>
  <c r="CC199" i="5"/>
  <c r="BV199" i="5"/>
  <c r="CF199" i="5"/>
  <c r="CA199" i="5"/>
  <c r="BU199" i="5"/>
  <c r="BY199" i="5"/>
  <c r="CD199" i="5"/>
  <c r="BW199" i="5"/>
  <c r="BS199" i="5"/>
  <c r="BT199" i="5"/>
  <c r="BQ199" i="5"/>
  <c r="BR199" i="5"/>
  <c r="BK199" i="5"/>
  <c r="BJ199" i="5"/>
  <c r="BI199" i="5"/>
  <c r="BM199" i="5"/>
  <c r="BH199" i="5"/>
  <c r="BG199" i="5"/>
  <c r="BF199" i="5"/>
  <c r="AY199" i="5"/>
  <c r="AZ199" i="5"/>
  <c r="BD199" i="5"/>
  <c r="BA199" i="5"/>
  <c r="BP199" i="5" s="1"/>
  <c r="BE199" i="5"/>
  <c r="AV199" i="5"/>
  <c r="AU199" i="5"/>
  <c r="BB199" i="5" s="1"/>
  <c r="CK327" i="5"/>
  <c r="CI327" i="5"/>
  <c r="CE327" i="5"/>
  <c r="CC327" i="5"/>
  <c r="CF327" i="5"/>
  <c r="BV327" i="5"/>
  <c r="CD327" i="5"/>
  <c r="CA327" i="5"/>
  <c r="BU327" i="5"/>
  <c r="BY327" i="5"/>
  <c r="BW327" i="5"/>
  <c r="BS327" i="5"/>
  <c r="BT327" i="5"/>
  <c r="BQ327" i="5"/>
  <c r="BR327" i="5"/>
  <c r="BK327" i="5"/>
  <c r="BJ327" i="5"/>
  <c r="BI327" i="5"/>
  <c r="BM327" i="5"/>
  <c r="BH327" i="5"/>
  <c r="BG327" i="5"/>
  <c r="BF327" i="5"/>
  <c r="BA327" i="5"/>
  <c r="BP327" i="5" s="1"/>
  <c r="AY327" i="5"/>
  <c r="AZ327" i="5"/>
  <c r="BD327" i="5"/>
  <c r="BE327" i="5"/>
  <c r="AV327" i="5"/>
  <c r="AU327" i="5"/>
  <c r="BB327" i="5" s="1"/>
  <c r="CK455" i="5"/>
  <c r="CE455" i="5"/>
  <c r="CC455" i="5"/>
  <c r="CI455" i="5"/>
  <c r="CF455" i="5"/>
  <c r="BV455" i="5"/>
  <c r="CD455" i="5"/>
  <c r="CA455" i="5"/>
  <c r="BU455" i="5"/>
  <c r="BY455" i="5"/>
  <c r="BW455" i="5"/>
  <c r="BS455" i="5"/>
  <c r="BT455" i="5"/>
  <c r="BR455" i="5"/>
  <c r="BQ455" i="5"/>
  <c r="BK455" i="5"/>
  <c r="BJ455" i="5"/>
  <c r="BM455" i="5"/>
  <c r="BH455" i="5"/>
  <c r="BI455" i="5"/>
  <c r="BG455" i="5"/>
  <c r="BF455" i="5"/>
  <c r="BA455" i="5"/>
  <c r="BP455" i="5" s="1"/>
  <c r="AY455" i="5"/>
  <c r="AZ455" i="5"/>
  <c r="BD455" i="5"/>
  <c r="BE455" i="5"/>
  <c r="AV455" i="5"/>
  <c r="AU455" i="5"/>
  <c r="BN455" i="5" s="1"/>
  <c r="CK72" i="5"/>
  <c r="CI72" i="5"/>
  <c r="CF72" i="5"/>
  <c r="CD72" i="5"/>
  <c r="CE72" i="5"/>
  <c r="CC72" i="5"/>
  <c r="BV72" i="5"/>
  <c r="BW72" i="5"/>
  <c r="CA72" i="5"/>
  <c r="BY72" i="5"/>
  <c r="BR72" i="5"/>
  <c r="BS72" i="5"/>
  <c r="BQ72" i="5"/>
  <c r="BT72" i="5"/>
  <c r="BU72" i="5"/>
  <c r="BH72" i="5"/>
  <c r="BF72" i="5"/>
  <c r="BM72" i="5"/>
  <c r="BI72" i="5"/>
  <c r="BG72" i="5"/>
  <c r="BK72" i="5"/>
  <c r="BJ72" i="5"/>
  <c r="BE72" i="5"/>
  <c r="BD72" i="5"/>
  <c r="BA72" i="5"/>
  <c r="BP72" i="5" s="1"/>
  <c r="AZ72" i="5"/>
  <c r="AY72" i="5"/>
  <c r="AU72" i="5"/>
  <c r="BN72" i="5" s="1"/>
  <c r="AV72" i="5"/>
  <c r="BC72" i="5" s="1"/>
  <c r="CK200" i="5"/>
  <c r="CI200" i="5"/>
  <c r="CF200" i="5"/>
  <c r="CD200" i="5"/>
  <c r="CE200" i="5"/>
  <c r="CC200" i="5"/>
  <c r="BV200" i="5"/>
  <c r="CA200" i="5"/>
  <c r="BW200" i="5"/>
  <c r="BY200" i="5"/>
  <c r="BR200" i="5"/>
  <c r="BS200" i="5"/>
  <c r="BQ200" i="5"/>
  <c r="BU200" i="5"/>
  <c r="BT200" i="5"/>
  <c r="BH200" i="5"/>
  <c r="BF200" i="5"/>
  <c r="BI200" i="5"/>
  <c r="BG200" i="5"/>
  <c r="BM200" i="5"/>
  <c r="BK200" i="5"/>
  <c r="BJ200" i="5"/>
  <c r="BE200" i="5"/>
  <c r="BD200" i="5"/>
  <c r="BA200" i="5"/>
  <c r="BP200" i="5" s="1"/>
  <c r="AZ200" i="5"/>
  <c r="AY200" i="5"/>
  <c r="AU200" i="5"/>
  <c r="BN200" i="5" s="1"/>
  <c r="AV200" i="5"/>
  <c r="BC200" i="5" s="1"/>
  <c r="CK315" i="5"/>
  <c r="CD315" i="5"/>
  <c r="CI315" i="5"/>
  <c r="CF315" i="5"/>
  <c r="BW315" i="5"/>
  <c r="BU315" i="5"/>
  <c r="CA315" i="5"/>
  <c r="CC315" i="5"/>
  <c r="CE315" i="5"/>
  <c r="BY315" i="5"/>
  <c r="BR315" i="5"/>
  <c r="BT315" i="5"/>
  <c r="BV315" i="5"/>
  <c r="BS315" i="5"/>
  <c r="BQ315" i="5"/>
  <c r="BM315" i="5"/>
  <c r="BJ315" i="5"/>
  <c r="BK315" i="5"/>
  <c r="BI315" i="5"/>
  <c r="BG315" i="5"/>
  <c r="BH315" i="5"/>
  <c r="AZ315" i="5"/>
  <c r="BF315" i="5"/>
  <c r="BE315" i="5"/>
  <c r="BA315" i="5"/>
  <c r="BP315" i="5" s="1"/>
  <c r="AY315" i="5"/>
  <c r="BD315" i="5"/>
  <c r="AU315" i="5"/>
  <c r="AV315" i="5"/>
  <c r="BO315" i="5" s="1"/>
  <c r="CK431" i="5"/>
  <c r="CJ431" i="5"/>
  <c r="CH431" i="5"/>
  <c r="CG431" i="5"/>
  <c r="CF431" i="5"/>
  <c r="CE431" i="5"/>
  <c r="CC431" i="5"/>
  <c r="BX431" i="5"/>
  <c r="BV431" i="5"/>
  <c r="CI431" i="5"/>
  <c r="CD431" i="5"/>
  <c r="BZ431" i="5"/>
  <c r="BW431" i="5"/>
  <c r="CA431" i="5"/>
  <c r="BY431" i="5"/>
  <c r="BT431" i="5"/>
  <c r="BS431" i="5"/>
  <c r="BU431" i="5"/>
  <c r="BR431" i="5"/>
  <c r="BQ431" i="5"/>
  <c r="BM431" i="5"/>
  <c r="BL431" i="5"/>
  <c r="BK431" i="5"/>
  <c r="BJ431" i="5"/>
  <c r="BI431" i="5"/>
  <c r="BF431" i="5"/>
  <c r="BA431" i="5"/>
  <c r="AY431" i="5"/>
  <c r="BH431" i="5"/>
  <c r="BG431" i="5"/>
  <c r="BE431" i="5"/>
  <c r="BD431" i="5"/>
  <c r="AZ431" i="5"/>
  <c r="AV431" i="5"/>
  <c r="AU431" i="5"/>
  <c r="CK23" i="5"/>
  <c r="CF23" i="5"/>
  <c r="CC23" i="5"/>
  <c r="CI23" i="5"/>
  <c r="CE23" i="5"/>
  <c r="BV23" i="5"/>
  <c r="BT23" i="5"/>
  <c r="CD23" i="5"/>
  <c r="CA23" i="5"/>
  <c r="BU23" i="5"/>
  <c r="BY23" i="5"/>
  <c r="BW23" i="5"/>
  <c r="BS23" i="5"/>
  <c r="BM23" i="5"/>
  <c r="BK23" i="5"/>
  <c r="BR23" i="5"/>
  <c r="BQ23" i="5"/>
  <c r="BH23" i="5"/>
  <c r="BJ23" i="5"/>
  <c r="BI23" i="5"/>
  <c r="BF23" i="5"/>
  <c r="AY23" i="5"/>
  <c r="BE23" i="5"/>
  <c r="BG23" i="5"/>
  <c r="AZ23" i="5"/>
  <c r="BD23" i="5"/>
  <c r="BA23" i="5"/>
  <c r="BP23" i="5" s="1"/>
  <c r="AV23" i="5"/>
  <c r="BO23" i="5" s="1"/>
  <c r="AU23" i="5"/>
  <c r="CK151" i="5"/>
  <c r="CI151" i="5"/>
  <c r="CF151" i="5"/>
  <c r="CC151" i="5"/>
  <c r="CE151" i="5"/>
  <c r="BV151" i="5"/>
  <c r="CD151" i="5"/>
  <c r="CA151" i="5"/>
  <c r="BY151" i="5"/>
  <c r="BU151" i="5"/>
  <c r="BW151" i="5"/>
  <c r="BT151" i="5"/>
  <c r="BS151" i="5"/>
  <c r="BK151" i="5"/>
  <c r="BR151" i="5"/>
  <c r="BQ151" i="5"/>
  <c r="BI151" i="5"/>
  <c r="BH151" i="5"/>
  <c r="BM151" i="5"/>
  <c r="BJ151" i="5"/>
  <c r="BF151" i="5"/>
  <c r="AY151" i="5"/>
  <c r="BG151" i="5"/>
  <c r="AZ151" i="5"/>
  <c r="BE151" i="5"/>
  <c r="BD151" i="5"/>
  <c r="BA151" i="5"/>
  <c r="BP151" i="5" s="1"/>
  <c r="AV151" i="5"/>
  <c r="BO151" i="5" s="1"/>
  <c r="AU151" i="5"/>
  <c r="CK279" i="5"/>
  <c r="CI279" i="5"/>
  <c r="CF279" i="5"/>
  <c r="CE279" i="5"/>
  <c r="CC279" i="5"/>
  <c r="BV279" i="5"/>
  <c r="CD279" i="5"/>
  <c r="CA279" i="5"/>
  <c r="BY279" i="5"/>
  <c r="BU279" i="5"/>
  <c r="BW279" i="5"/>
  <c r="BT279" i="5"/>
  <c r="BS279" i="5"/>
  <c r="BK279" i="5"/>
  <c r="BR279" i="5"/>
  <c r="BQ279" i="5"/>
  <c r="BI279" i="5"/>
  <c r="BH279" i="5"/>
  <c r="BM279" i="5"/>
  <c r="BJ279" i="5"/>
  <c r="BF279" i="5"/>
  <c r="BA279" i="5"/>
  <c r="BP279" i="5" s="1"/>
  <c r="AY279" i="5"/>
  <c r="BG279" i="5"/>
  <c r="AZ279" i="5"/>
  <c r="BE279" i="5"/>
  <c r="BD279" i="5"/>
  <c r="AV279" i="5"/>
  <c r="BO279" i="5" s="1"/>
  <c r="AU279" i="5"/>
  <c r="BN279" i="5" s="1"/>
  <c r="CK407" i="5"/>
  <c r="CI407" i="5"/>
  <c r="CF407" i="5"/>
  <c r="CE407" i="5"/>
  <c r="CC407" i="5"/>
  <c r="BV407" i="5"/>
  <c r="CD407" i="5"/>
  <c r="CA407" i="5"/>
  <c r="BY407" i="5"/>
  <c r="BU407" i="5"/>
  <c r="BW407" i="5"/>
  <c r="BT407" i="5"/>
  <c r="BS407" i="5"/>
  <c r="BK407" i="5"/>
  <c r="BR407" i="5"/>
  <c r="BQ407" i="5"/>
  <c r="BI407" i="5"/>
  <c r="BH407" i="5"/>
  <c r="BM407" i="5"/>
  <c r="BJ407" i="5"/>
  <c r="BF407" i="5"/>
  <c r="BA407" i="5"/>
  <c r="BP407" i="5" s="1"/>
  <c r="AY407" i="5"/>
  <c r="BG407" i="5"/>
  <c r="AZ407" i="5"/>
  <c r="BE407" i="5"/>
  <c r="BD407" i="5"/>
  <c r="AV407" i="5"/>
  <c r="AU407" i="5"/>
  <c r="CK535" i="5"/>
  <c r="CE535" i="5"/>
  <c r="CC535" i="5"/>
  <c r="CF535" i="5"/>
  <c r="BV535" i="5"/>
  <c r="CI535" i="5"/>
  <c r="CA535" i="5"/>
  <c r="BY535" i="5"/>
  <c r="CD535" i="5"/>
  <c r="BU535" i="5"/>
  <c r="BW535" i="5"/>
  <c r="BT535" i="5"/>
  <c r="BS535" i="5"/>
  <c r="BK535" i="5"/>
  <c r="BR535" i="5"/>
  <c r="BQ535" i="5"/>
  <c r="BH535" i="5"/>
  <c r="BM535" i="5"/>
  <c r="BJ535" i="5"/>
  <c r="BF535" i="5"/>
  <c r="BA535" i="5"/>
  <c r="BP535" i="5" s="1"/>
  <c r="AY535" i="5"/>
  <c r="BI535" i="5"/>
  <c r="BG535" i="5"/>
  <c r="AZ535" i="5"/>
  <c r="BE535" i="5"/>
  <c r="BD535" i="5"/>
  <c r="AV535" i="5"/>
  <c r="BC535" i="5" s="1"/>
  <c r="AU535" i="5"/>
  <c r="BB535" i="5" s="1"/>
  <c r="BD121" i="5"/>
  <c r="CK88" i="5"/>
  <c r="CI88" i="5"/>
  <c r="CF88" i="5"/>
  <c r="CE88" i="5"/>
  <c r="CD88" i="5"/>
  <c r="CC88" i="5"/>
  <c r="CA88" i="5"/>
  <c r="BV88" i="5"/>
  <c r="BY88" i="5"/>
  <c r="BW88" i="5"/>
  <c r="BR88" i="5"/>
  <c r="BS88" i="5"/>
  <c r="BQ88" i="5"/>
  <c r="BU88" i="5"/>
  <c r="BT88" i="5"/>
  <c r="BH88" i="5"/>
  <c r="BF88" i="5"/>
  <c r="BI88" i="5"/>
  <c r="BG88" i="5"/>
  <c r="BK88" i="5"/>
  <c r="BM88" i="5"/>
  <c r="BJ88" i="5"/>
  <c r="BD88" i="5"/>
  <c r="AZ88" i="5"/>
  <c r="BA88" i="5"/>
  <c r="BP88" i="5" s="1"/>
  <c r="BE88" i="5"/>
  <c r="AY88" i="5"/>
  <c r="AU88" i="5"/>
  <c r="AV88" i="5"/>
  <c r="BO88" i="5" s="1"/>
  <c r="CK216" i="5"/>
  <c r="CF216" i="5"/>
  <c r="CE216" i="5"/>
  <c r="CD216" i="5"/>
  <c r="CI216" i="5"/>
  <c r="CC216" i="5"/>
  <c r="BV216" i="5"/>
  <c r="CA216" i="5"/>
  <c r="BY216" i="5"/>
  <c r="BR216" i="5"/>
  <c r="BW216" i="5"/>
  <c r="BS216" i="5"/>
  <c r="BQ216" i="5"/>
  <c r="BU216" i="5"/>
  <c r="BT216" i="5"/>
  <c r="BH216" i="5"/>
  <c r="BF216" i="5"/>
  <c r="BI216" i="5"/>
  <c r="BG216" i="5"/>
  <c r="BM216" i="5"/>
  <c r="BK216" i="5"/>
  <c r="BJ216" i="5"/>
  <c r="BD216" i="5"/>
  <c r="AZ216" i="5"/>
  <c r="BA216" i="5"/>
  <c r="BP216" i="5" s="1"/>
  <c r="BE216" i="5"/>
  <c r="AY216" i="5"/>
  <c r="AU216" i="5"/>
  <c r="BB216" i="5" s="1"/>
  <c r="AV216" i="5"/>
  <c r="BC216" i="5" s="1"/>
  <c r="CK344" i="5"/>
  <c r="CI344" i="5"/>
  <c r="CF344" i="5"/>
  <c r="CD344" i="5"/>
  <c r="CE344" i="5"/>
  <c r="CC344" i="5"/>
  <c r="CA344" i="5"/>
  <c r="BV344" i="5"/>
  <c r="BY344" i="5"/>
  <c r="BT344" i="5"/>
  <c r="BR344" i="5"/>
  <c r="BW344" i="5"/>
  <c r="BS344" i="5"/>
  <c r="BQ344" i="5"/>
  <c r="BU344" i="5"/>
  <c r="BH344" i="5"/>
  <c r="BF344" i="5"/>
  <c r="BI344" i="5"/>
  <c r="BG344" i="5"/>
  <c r="BM344" i="5"/>
  <c r="BK344" i="5"/>
  <c r="BJ344" i="5"/>
  <c r="BD344" i="5"/>
  <c r="BA344" i="5"/>
  <c r="BP344" i="5" s="1"/>
  <c r="AZ344" i="5"/>
  <c r="BE344" i="5"/>
  <c r="AY344" i="5"/>
  <c r="AU344" i="5"/>
  <c r="BB344" i="5" s="1"/>
  <c r="AV344" i="5"/>
  <c r="BC344" i="5" s="1"/>
  <c r="CK459" i="5"/>
  <c r="CF459" i="5"/>
  <c r="CI459" i="5"/>
  <c r="CD459" i="5"/>
  <c r="CE459" i="5"/>
  <c r="BW459" i="5"/>
  <c r="BU459" i="5"/>
  <c r="CA459" i="5"/>
  <c r="CC459" i="5"/>
  <c r="BY459" i="5"/>
  <c r="BV459" i="5"/>
  <c r="BT459" i="5"/>
  <c r="BS459" i="5"/>
  <c r="BR459" i="5"/>
  <c r="BQ459" i="5"/>
  <c r="BM459" i="5"/>
  <c r="BJ459" i="5"/>
  <c r="BK459" i="5"/>
  <c r="BG459" i="5"/>
  <c r="BI459" i="5"/>
  <c r="BE459" i="5"/>
  <c r="AZ459" i="5"/>
  <c r="BH459" i="5"/>
  <c r="BF459" i="5"/>
  <c r="BA459" i="5"/>
  <c r="BP459" i="5" s="1"/>
  <c r="AY459" i="5"/>
  <c r="BD459" i="5"/>
  <c r="AU459" i="5"/>
  <c r="BN459" i="5" s="1"/>
  <c r="AV459" i="5"/>
  <c r="BO459" i="5" s="1"/>
  <c r="BC77" i="5"/>
  <c r="BL77" i="5"/>
  <c r="BL562" i="5" s="1"/>
  <c r="BL563" i="5" s="1"/>
  <c r="BX77" i="5"/>
  <c r="BB141" i="5"/>
  <c r="BZ141" i="5" s="1"/>
  <c r="BC149" i="5"/>
  <c r="CJ349" i="5"/>
  <c r="CF349" i="5"/>
  <c r="CI349" i="5"/>
  <c r="CG349" i="5"/>
  <c r="CK349" i="5"/>
  <c r="CE349" i="5"/>
  <c r="CH349" i="5"/>
  <c r="CD349" i="5"/>
  <c r="CA349" i="5"/>
  <c r="CC349" i="5"/>
  <c r="BV349" i="5"/>
  <c r="BX349" i="5"/>
  <c r="BZ349" i="5"/>
  <c r="BW349" i="5"/>
  <c r="BY349" i="5"/>
  <c r="BS349" i="5"/>
  <c r="BU349" i="5"/>
  <c r="BT349" i="5"/>
  <c r="BM349" i="5"/>
  <c r="BQ349" i="5"/>
  <c r="BR349" i="5"/>
  <c r="BL349" i="5"/>
  <c r="BK349" i="5"/>
  <c r="BJ349" i="5"/>
  <c r="BI349" i="5"/>
  <c r="BH349" i="5"/>
  <c r="BG349" i="5"/>
  <c r="BF349" i="5"/>
  <c r="BE349" i="5"/>
  <c r="BD349" i="5"/>
  <c r="BA349" i="5"/>
  <c r="BP349" i="5" s="1"/>
  <c r="AZ349" i="5"/>
  <c r="AY349" i="5"/>
  <c r="AU349" i="5"/>
  <c r="BB349" i="5" s="1"/>
  <c r="AV349" i="5"/>
  <c r="CK381" i="5"/>
  <c r="CF381" i="5"/>
  <c r="CI381" i="5"/>
  <c r="CE381" i="5"/>
  <c r="CA381" i="5"/>
  <c r="CD381" i="5"/>
  <c r="CC381" i="5"/>
  <c r="BV381" i="5"/>
  <c r="BY381" i="5"/>
  <c r="BW381" i="5"/>
  <c r="BS381" i="5"/>
  <c r="BU381" i="5"/>
  <c r="BT381" i="5"/>
  <c r="BM381" i="5"/>
  <c r="BR381" i="5"/>
  <c r="BQ381" i="5"/>
  <c r="BJ381" i="5"/>
  <c r="BI381" i="5"/>
  <c r="BK381" i="5"/>
  <c r="BH381" i="5"/>
  <c r="BG381" i="5"/>
  <c r="BF381" i="5"/>
  <c r="BE381" i="5"/>
  <c r="BA381" i="5"/>
  <c r="BP381" i="5" s="1"/>
  <c r="BD381" i="5"/>
  <c r="AZ381" i="5"/>
  <c r="AY381" i="5"/>
  <c r="AU381" i="5"/>
  <c r="BB381" i="5" s="1"/>
  <c r="AV381" i="5"/>
  <c r="BC381" i="5" s="1"/>
  <c r="CI413" i="5"/>
  <c r="CF413" i="5"/>
  <c r="CK413" i="5"/>
  <c r="CE413" i="5"/>
  <c r="CA413" i="5"/>
  <c r="CC413" i="5"/>
  <c r="CD413" i="5"/>
  <c r="BV413" i="5"/>
  <c r="BW413" i="5"/>
  <c r="BY413" i="5"/>
  <c r="BS413" i="5"/>
  <c r="BU413" i="5"/>
  <c r="BT413" i="5"/>
  <c r="BM413" i="5"/>
  <c r="BR413" i="5"/>
  <c r="BQ413" i="5"/>
  <c r="BK413" i="5"/>
  <c r="BJ413" i="5"/>
  <c r="BI413" i="5"/>
  <c r="BH413" i="5"/>
  <c r="BG413" i="5"/>
  <c r="BF413" i="5"/>
  <c r="BE413" i="5"/>
  <c r="BD413" i="5"/>
  <c r="BA413" i="5"/>
  <c r="BP413" i="5" s="1"/>
  <c r="AZ413" i="5"/>
  <c r="AY413" i="5"/>
  <c r="AU413" i="5"/>
  <c r="BN413" i="5" s="1"/>
  <c r="AV413" i="5"/>
  <c r="BO413" i="5" s="1"/>
  <c r="CK445" i="5"/>
  <c r="CI445" i="5"/>
  <c r="CF445" i="5"/>
  <c r="CE445" i="5"/>
  <c r="CA445" i="5"/>
  <c r="CD445" i="5"/>
  <c r="BV445" i="5"/>
  <c r="CC445" i="5"/>
  <c r="BY445" i="5"/>
  <c r="BW445" i="5"/>
  <c r="BS445" i="5"/>
  <c r="BU445" i="5"/>
  <c r="BT445" i="5"/>
  <c r="BM445" i="5"/>
  <c r="BR445" i="5"/>
  <c r="BQ445" i="5"/>
  <c r="BK445" i="5"/>
  <c r="BJ445" i="5"/>
  <c r="BH445" i="5"/>
  <c r="BI445" i="5"/>
  <c r="BG445" i="5"/>
  <c r="BF445" i="5"/>
  <c r="BD445" i="5"/>
  <c r="BE445" i="5"/>
  <c r="BA445" i="5"/>
  <c r="BP445" i="5" s="1"/>
  <c r="AZ445" i="5"/>
  <c r="AY445" i="5"/>
  <c r="AU445" i="5"/>
  <c r="BN445" i="5" s="1"/>
  <c r="AV445" i="5"/>
  <c r="BO445" i="5" s="1"/>
  <c r="CI477" i="5"/>
  <c r="CK477" i="5"/>
  <c r="CF477" i="5"/>
  <c r="CE477" i="5"/>
  <c r="CD477" i="5"/>
  <c r="CA477" i="5"/>
  <c r="CC477" i="5"/>
  <c r="BV477" i="5"/>
  <c r="BW477" i="5"/>
  <c r="BY477" i="5"/>
  <c r="BS477" i="5"/>
  <c r="BU477" i="5"/>
  <c r="BT477" i="5"/>
  <c r="BM477" i="5"/>
  <c r="BR477" i="5"/>
  <c r="BQ477" i="5"/>
  <c r="BK477" i="5"/>
  <c r="BJ477" i="5"/>
  <c r="BH477" i="5"/>
  <c r="BF477" i="5"/>
  <c r="BI477" i="5"/>
  <c r="BG477" i="5"/>
  <c r="BE477" i="5"/>
  <c r="BD477" i="5"/>
  <c r="BA477" i="5"/>
  <c r="BP477" i="5" s="1"/>
  <c r="AZ477" i="5"/>
  <c r="AY477" i="5"/>
  <c r="AU477" i="5"/>
  <c r="BN477" i="5" s="1"/>
  <c r="AV477" i="5"/>
  <c r="BC477" i="5" s="1"/>
  <c r="CK509" i="5"/>
  <c r="CI509" i="5"/>
  <c r="CF509" i="5"/>
  <c r="CE509" i="5"/>
  <c r="CA509" i="5"/>
  <c r="CC509" i="5"/>
  <c r="BV509" i="5"/>
  <c r="CD509" i="5"/>
  <c r="BY509" i="5"/>
  <c r="BW509" i="5"/>
  <c r="BU509" i="5"/>
  <c r="BS509" i="5"/>
  <c r="BT509" i="5"/>
  <c r="BM509" i="5"/>
  <c r="BR509" i="5"/>
  <c r="BQ509" i="5"/>
  <c r="BJ509" i="5"/>
  <c r="BK509" i="5"/>
  <c r="BH509" i="5"/>
  <c r="BG509" i="5"/>
  <c r="BF509" i="5"/>
  <c r="BI509" i="5"/>
  <c r="BE509" i="5"/>
  <c r="BA509" i="5"/>
  <c r="BP509" i="5" s="1"/>
  <c r="BD509" i="5"/>
  <c r="AZ509" i="5"/>
  <c r="AY509" i="5"/>
  <c r="AU509" i="5"/>
  <c r="BB509" i="5" s="1"/>
  <c r="AV509" i="5"/>
  <c r="CI541" i="5"/>
  <c r="CK541" i="5"/>
  <c r="CF541" i="5"/>
  <c r="CE541" i="5"/>
  <c r="CA541" i="5"/>
  <c r="CC541" i="5"/>
  <c r="CD541" i="5"/>
  <c r="BV541" i="5"/>
  <c r="BW541" i="5"/>
  <c r="BY541" i="5"/>
  <c r="BS541" i="5"/>
  <c r="BU541" i="5"/>
  <c r="BT541" i="5"/>
  <c r="BM541" i="5"/>
  <c r="BR541" i="5"/>
  <c r="BQ541" i="5"/>
  <c r="BK541" i="5"/>
  <c r="BJ541" i="5"/>
  <c r="BH541" i="5"/>
  <c r="BF541" i="5"/>
  <c r="BI541" i="5"/>
  <c r="BG541" i="5"/>
  <c r="BE541" i="5"/>
  <c r="BD541" i="5"/>
  <c r="BA541" i="5"/>
  <c r="BP541" i="5" s="1"/>
  <c r="AZ541" i="5"/>
  <c r="AY541" i="5"/>
  <c r="AU541" i="5"/>
  <c r="AV541" i="5"/>
  <c r="BO541" i="5" s="1"/>
  <c r="CK39" i="5"/>
  <c r="CI39" i="5"/>
  <c r="CE39" i="5"/>
  <c r="CC39" i="5"/>
  <c r="BV39" i="5"/>
  <c r="BT39" i="5"/>
  <c r="CF39" i="5"/>
  <c r="CD39" i="5"/>
  <c r="BU39" i="5"/>
  <c r="CA39" i="5"/>
  <c r="BY39" i="5"/>
  <c r="BW39" i="5"/>
  <c r="BS39" i="5"/>
  <c r="BR39" i="5"/>
  <c r="BQ39" i="5"/>
  <c r="BK39" i="5"/>
  <c r="BI39" i="5"/>
  <c r="BM39" i="5"/>
  <c r="BJ39" i="5"/>
  <c r="BH39" i="5"/>
  <c r="BG39" i="5"/>
  <c r="BE39" i="5"/>
  <c r="BF39" i="5"/>
  <c r="AY39" i="5"/>
  <c r="AZ39" i="5"/>
  <c r="BA39" i="5"/>
  <c r="BP39" i="5" s="1"/>
  <c r="BD39" i="5"/>
  <c r="AV39" i="5"/>
  <c r="AU39" i="5"/>
  <c r="CK128" i="5"/>
  <c r="CD128" i="5"/>
  <c r="CF128" i="5"/>
  <c r="CE128" i="5"/>
  <c r="CC128" i="5"/>
  <c r="CA128" i="5"/>
  <c r="CI128" i="5"/>
  <c r="BV128" i="5"/>
  <c r="BW128" i="5"/>
  <c r="BR128" i="5"/>
  <c r="BY128" i="5"/>
  <c r="BT128" i="5"/>
  <c r="BS128" i="5"/>
  <c r="BQ128" i="5"/>
  <c r="BU128" i="5"/>
  <c r="BM128" i="5"/>
  <c r="BJ128" i="5"/>
  <c r="BH128" i="5"/>
  <c r="BF128" i="5"/>
  <c r="BI128" i="5"/>
  <c r="BG128" i="5"/>
  <c r="BK128" i="5"/>
  <c r="BE128" i="5"/>
  <c r="BA128" i="5"/>
  <c r="BP128" i="5" s="1"/>
  <c r="BD128" i="5"/>
  <c r="AY128" i="5"/>
  <c r="AZ128" i="5"/>
  <c r="AU128" i="5"/>
  <c r="BN128" i="5" s="1"/>
  <c r="AV128" i="5"/>
  <c r="BC128" i="5" s="1"/>
  <c r="CK256" i="5"/>
  <c r="CD256" i="5"/>
  <c r="CE256" i="5"/>
  <c r="CC256" i="5"/>
  <c r="CI256" i="5"/>
  <c r="CA256" i="5"/>
  <c r="CF256" i="5"/>
  <c r="BV256" i="5"/>
  <c r="BY256" i="5"/>
  <c r="BR256" i="5"/>
  <c r="BW256" i="5"/>
  <c r="BT256" i="5"/>
  <c r="BS256" i="5"/>
  <c r="BQ256" i="5"/>
  <c r="BU256" i="5"/>
  <c r="BM256" i="5"/>
  <c r="BJ256" i="5"/>
  <c r="BH256" i="5"/>
  <c r="BF256" i="5"/>
  <c r="BI256" i="5"/>
  <c r="BG256" i="5"/>
  <c r="BK256" i="5"/>
  <c r="BE256" i="5"/>
  <c r="BA256" i="5"/>
  <c r="BP256" i="5" s="1"/>
  <c r="BD256" i="5"/>
  <c r="AY256" i="5"/>
  <c r="AZ256" i="5"/>
  <c r="AU256" i="5"/>
  <c r="BB256" i="5" s="1"/>
  <c r="AV256" i="5"/>
  <c r="BC256" i="5" s="1"/>
  <c r="CI384" i="5"/>
  <c r="CK384" i="5"/>
  <c r="CD384" i="5"/>
  <c r="CF384" i="5"/>
  <c r="CC384" i="5"/>
  <c r="CE384" i="5"/>
  <c r="CA384" i="5"/>
  <c r="BV384" i="5"/>
  <c r="BY384" i="5"/>
  <c r="BT384" i="5"/>
  <c r="BR384" i="5"/>
  <c r="BW384" i="5"/>
  <c r="BS384" i="5"/>
  <c r="BQ384" i="5"/>
  <c r="BU384" i="5"/>
  <c r="BM384" i="5"/>
  <c r="BJ384" i="5"/>
  <c r="BH384" i="5"/>
  <c r="BF384" i="5"/>
  <c r="BI384" i="5"/>
  <c r="BG384" i="5"/>
  <c r="BK384" i="5"/>
  <c r="BE384" i="5"/>
  <c r="BD384" i="5"/>
  <c r="AZ384" i="5"/>
  <c r="AY384" i="5"/>
  <c r="BA384" i="5"/>
  <c r="BP384" i="5" s="1"/>
  <c r="AU384" i="5"/>
  <c r="BB384" i="5" s="1"/>
  <c r="AV384" i="5"/>
  <c r="BC384" i="5" s="1"/>
  <c r="CI512" i="5"/>
  <c r="CK512" i="5"/>
  <c r="CD512" i="5"/>
  <c r="CF512" i="5"/>
  <c r="CC512" i="5"/>
  <c r="CE512" i="5"/>
  <c r="CA512" i="5"/>
  <c r="BY512" i="5"/>
  <c r="BW512" i="5"/>
  <c r="BT512" i="5"/>
  <c r="BR512" i="5"/>
  <c r="BV512" i="5"/>
  <c r="BS512" i="5"/>
  <c r="BQ512" i="5"/>
  <c r="BU512" i="5"/>
  <c r="BM512" i="5"/>
  <c r="BJ512" i="5"/>
  <c r="BH512" i="5"/>
  <c r="BI512" i="5"/>
  <c r="BG512" i="5"/>
  <c r="BK512" i="5"/>
  <c r="BF512" i="5"/>
  <c r="BE512" i="5"/>
  <c r="BD512" i="5"/>
  <c r="AZ512" i="5"/>
  <c r="AY512" i="5"/>
  <c r="BA512" i="5"/>
  <c r="BP512" i="5" s="1"/>
  <c r="AU512" i="5"/>
  <c r="BB512" i="5" s="1"/>
  <c r="AV512" i="5"/>
  <c r="BX246" i="5"/>
  <c r="CK526" i="5"/>
  <c r="CF526" i="5"/>
  <c r="BY526" i="5"/>
  <c r="CI526" i="5"/>
  <c r="CE526" i="5"/>
  <c r="CC526" i="5"/>
  <c r="BW526" i="5"/>
  <c r="BU526" i="5"/>
  <c r="CD526" i="5"/>
  <c r="CA526" i="5"/>
  <c r="BV526" i="5"/>
  <c r="BJ526" i="5"/>
  <c r="BT526" i="5"/>
  <c r="BS526" i="5"/>
  <c r="BQ526" i="5"/>
  <c r="BK526" i="5"/>
  <c r="BR526" i="5"/>
  <c r="BI526" i="5"/>
  <c r="BF526" i="5"/>
  <c r="BD526" i="5"/>
  <c r="BM526" i="5"/>
  <c r="BE526" i="5"/>
  <c r="BH526" i="5"/>
  <c r="BG526" i="5"/>
  <c r="BA526" i="5"/>
  <c r="BP526" i="5" s="1"/>
  <c r="AV526" i="5"/>
  <c r="BO526" i="5" s="1"/>
  <c r="AZ526" i="5"/>
  <c r="AY526" i="5"/>
  <c r="AU526" i="5"/>
  <c r="AX560" i="5"/>
  <c r="AX561" i="5" s="1"/>
  <c r="BL177" i="5"/>
  <c r="BO177" i="5"/>
  <c r="BO193" i="5"/>
  <c r="BL27" i="5"/>
  <c r="BL52" i="5"/>
  <c r="BL155" i="5"/>
  <c r="BB232" i="5"/>
  <c r="CK436" i="5"/>
  <c r="CI436" i="5"/>
  <c r="CE436" i="5"/>
  <c r="CC436" i="5"/>
  <c r="CF436" i="5"/>
  <c r="CD436" i="5"/>
  <c r="BW436" i="5"/>
  <c r="CA436" i="5"/>
  <c r="BY436" i="5"/>
  <c r="BS436" i="5"/>
  <c r="BQ436" i="5"/>
  <c r="BT436" i="5"/>
  <c r="BR436" i="5"/>
  <c r="BU436" i="5"/>
  <c r="BV436" i="5"/>
  <c r="BI436" i="5"/>
  <c r="BG436" i="5"/>
  <c r="BH436" i="5"/>
  <c r="BF436" i="5"/>
  <c r="BM436" i="5"/>
  <c r="BK436" i="5"/>
  <c r="BJ436" i="5"/>
  <c r="BE436" i="5"/>
  <c r="BD436" i="5"/>
  <c r="BA436" i="5"/>
  <c r="AY436" i="5"/>
  <c r="AZ436" i="5"/>
  <c r="AV436" i="5"/>
  <c r="AU436" i="5"/>
  <c r="CK67" i="5"/>
  <c r="CI67" i="5"/>
  <c r="CE67" i="5"/>
  <c r="CD67" i="5"/>
  <c r="CF67" i="5"/>
  <c r="BY67" i="5"/>
  <c r="BW67" i="5"/>
  <c r="BU67" i="5"/>
  <c r="CC67" i="5"/>
  <c r="BV67" i="5"/>
  <c r="CA67" i="5"/>
  <c r="BT67" i="5"/>
  <c r="BS67" i="5"/>
  <c r="BQ67" i="5"/>
  <c r="BR67" i="5"/>
  <c r="BI67" i="5"/>
  <c r="BM67" i="5"/>
  <c r="BK67" i="5"/>
  <c r="BJ67" i="5"/>
  <c r="BG67" i="5"/>
  <c r="BF67" i="5"/>
  <c r="AZ67" i="5"/>
  <c r="BE67" i="5"/>
  <c r="BH67" i="5"/>
  <c r="AY67" i="5"/>
  <c r="BA67" i="5"/>
  <c r="BP67" i="5" s="1"/>
  <c r="BD67" i="5"/>
  <c r="AU67" i="5"/>
  <c r="BB67" i="5" s="1"/>
  <c r="AV67" i="5"/>
  <c r="CK195" i="5"/>
  <c r="CE195" i="5"/>
  <c r="CD195" i="5"/>
  <c r="CF195" i="5"/>
  <c r="CI195" i="5"/>
  <c r="BW195" i="5"/>
  <c r="BU195" i="5"/>
  <c r="CC195" i="5"/>
  <c r="BV195" i="5"/>
  <c r="BY195" i="5"/>
  <c r="CA195" i="5"/>
  <c r="BT195" i="5"/>
  <c r="BS195" i="5"/>
  <c r="BQ195" i="5"/>
  <c r="BR195" i="5"/>
  <c r="BI195" i="5"/>
  <c r="BM195" i="5"/>
  <c r="BK195" i="5"/>
  <c r="BJ195" i="5"/>
  <c r="BG195" i="5"/>
  <c r="BF195" i="5"/>
  <c r="AZ195" i="5"/>
  <c r="BH195" i="5"/>
  <c r="AY195" i="5"/>
  <c r="BA195" i="5"/>
  <c r="BP195" i="5" s="1"/>
  <c r="BE195" i="5"/>
  <c r="BD195" i="5"/>
  <c r="AU195" i="5"/>
  <c r="BN195" i="5" s="1"/>
  <c r="AV195" i="5"/>
  <c r="BC195" i="5" s="1"/>
  <c r="CK323" i="5"/>
  <c r="CJ323" i="5"/>
  <c r="CH323" i="5"/>
  <c r="CI323" i="5"/>
  <c r="CG323" i="5"/>
  <c r="CD323" i="5"/>
  <c r="BW323" i="5"/>
  <c r="BU323" i="5"/>
  <c r="CE323" i="5"/>
  <c r="CF323" i="5"/>
  <c r="CC323" i="5"/>
  <c r="BV323" i="5"/>
  <c r="CA323" i="5"/>
  <c r="BZ323" i="5"/>
  <c r="BY323" i="5"/>
  <c r="BX323" i="5"/>
  <c r="BL323" i="5"/>
  <c r="BT323" i="5"/>
  <c r="BS323" i="5"/>
  <c r="BQ323" i="5"/>
  <c r="BR323" i="5"/>
  <c r="BI323" i="5"/>
  <c r="BM323" i="5"/>
  <c r="BK323" i="5"/>
  <c r="BJ323" i="5"/>
  <c r="BG323" i="5"/>
  <c r="BF323" i="5"/>
  <c r="AZ323" i="5"/>
  <c r="BH323" i="5"/>
  <c r="BA323" i="5"/>
  <c r="BP323" i="5" s="1"/>
  <c r="AY323" i="5"/>
  <c r="BE323" i="5"/>
  <c r="BD323" i="5"/>
  <c r="AU323" i="5"/>
  <c r="BB323" i="5" s="1"/>
  <c r="AV323" i="5"/>
  <c r="BC323" i="5" s="1"/>
  <c r="CK451" i="5"/>
  <c r="CG451" i="5"/>
  <c r="CJ451" i="5"/>
  <c r="CD451" i="5"/>
  <c r="CF451" i="5"/>
  <c r="CI451" i="5"/>
  <c r="CH451" i="5"/>
  <c r="BW451" i="5"/>
  <c r="BU451" i="5"/>
  <c r="CE451" i="5"/>
  <c r="CC451" i="5"/>
  <c r="BX451" i="5"/>
  <c r="BV451" i="5"/>
  <c r="BZ451" i="5"/>
  <c r="CA451" i="5"/>
  <c r="BY451" i="5"/>
  <c r="BT451" i="5"/>
  <c r="BS451" i="5"/>
  <c r="BQ451" i="5"/>
  <c r="BR451" i="5"/>
  <c r="BL451" i="5"/>
  <c r="BI451" i="5"/>
  <c r="BM451" i="5"/>
  <c r="BK451" i="5"/>
  <c r="BJ451" i="5"/>
  <c r="BG451" i="5"/>
  <c r="BF451" i="5"/>
  <c r="AZ451" i="5"/>
  <c r="BH451" i="5"/>
  <c r="BA451" i="5"/>
  <c r="BP451" i="5" s="1"/>
  <c r="AY451" i="5"/>
  <c r="BE451" i="5"/>
  <c r="BD451" i="5"/>
  <c r="AU451" i="5"/>
  <c r="BB451" i="5" s="1"/>
  <c r="AV451" i="5"/>
  <c r="BC451" i="5" s="1"/>
  <c r="BC81" i="5"/>
  <c r="BL89" i="5"/>
  <c r="CK105" i="5"/>
  <c r="CI105" i="5"/>
  <c r="CF105" i="5"/>
  <c r="CE105" i="5"/>
  <c r="BY105" i="5"/>
  <c r="CD105" i="5"/>
  <c r="CC105" i="5"/>
  <c r="BW105" i="5"/>
  <c r="BT105" i="5"/>
  <c r="CA105" i="5"/>
  <c r="BV105" i="5"/>
  <c r="BU105" i="5"/>
  <c r="BS105" i="5"/>
  <c r="BQ105" i="5"/>
  <c r="BM105" i="5"/>
  <c r="BR105" i="5"/>
  <c r="BK105" i="5"/>
  <c r="BJ105" i="5"/>
  <c r="BI105" i="5"/>
  <c r="BE105" i="5"/>
  <c r="BD105" i="5"/>
  <c r="BH105" i="5"/>
  <c r="BG105" i="5"/>
  <c r="BF105" i="5"/>
  <c r="BA105" i="5"/>
  <c r="BP105" i="5" s="1"/>
  <c r="AZ105" i="5"/>
  <c r="AY105" i="5"/>
  <c r="AU105" i="5"/>
  <c r="AV105" i="5"/>
  <c r="BO105" i="5" s="1"/>
  <c r="CJ313" i="5"/>
  <c r="CF313" i="5"/>
  <c r="CK313" i="5"/>
  <c r="CG313" i="5"/>
  <c r="CH313" i="5"/>
  <c r="CI313" i="5"/>
  <c r="CE313" i="5"/>
  <c r="CC313" i="5"/>
  <c r="BZ313" i="5"/>
  <c r="BY313" i="5"/>
  <c r="CD313" i="5"/>
  <c r="BW313" i="5"/>
  <c r="BV313" i="5"/>
  <c r="CA313" i="5"/>
  <c r="BX313" i="5"/>
  <c r="BM313" i="5"/>
  <c r="BT313" i="5"/>
  <c r="BU313" i="5"/>
  <c r="BS313" i="5"/>
  <c r="BQ313" i="5"/>
  <c r="BL313" i="5"/>
  <c r="BR313" i="5"/>
  <c r="BK313" i="5"/>
  <c r="BJ313" i="5"/>
  <c r="BI313" i="5"/>
  <c r="BH313" i="5"/>
  <c r="BG313" i="5"/>
  <c r="BF313" i="5"/>
  <c r="BE313" i="5"/>
  <c r="BD313" i="5"/>
  <c r="BA313" i="5"/>
  <c r="BP313" i="5" s="1"/>
  <c r="AZ313" i="5"/>
  <c r="AY313" i="5"/>
  <c r="AU313" i="5"/>
  <c r="AV313" i="5"/>
  <c r="CJ137" i="5"/>
  <c r="CI137" i="5"/>
  <c r="CK137" i="5"/>
  <c r="CH137" i="5"/>
  <c r="CF137" i="5"/>
  <c r="CE137" i="5"/>
  <c r="CG137" i="5"/>
  <c r="BX137" i="5"/>
  <c r="CD137" i="5"/>
  <c r="BZ137" i="5"/>
  <c r="BY137" i="5"/>
  <c r="CC137" i="5"/>
  <c r="BW137" i="5"/>
  <c r="BT137" i="5"/>
  <c r="CA137" i="5"/>
  <c r="BV137" i="5"/>
  <c r="BS137" i="5"/>
  <c r="BU137" i="5"/>
  <c r="BQ137" i="5"/>
  <c r="BM137" i="5"/>
  <c r="BR137" i="5"/>
  <c r="BL137" i="5"/>
  <c r="BK137" i="5"/>
  <c r="BJ137" i="5"/>
  <c r="BI137" i="5"/>
  <c r="BF137" i="5"/>
  <c r="BE137" i="5"/>
  <c r="BD137" i="5"/>
  <c r="BH137" i="5"/>
  <c r="BG137" i="5"/>
  <c r="BA137" i="5"/>
  <c r="BP137" i="5" s="1"/>
  <c r="AY137" i="5"/>
  <c r="AZ137" i="5"/>
  <c r="AU137" i="5"/>
  <c r="BB137" i="5" s="1"/>
  <c r="AV137" i="5"/>
  <c r="BO137" i="5" s="1"/>
  <c r="CK321" i="5"/>
  <c r="CF321" i="5"/>
  <c r="CE321" i="5"/>
  <c r="CD321" i="5"/>
  <c r="CI321" i="5"/>
  <c r="BY321" i="5"/>
  <c r="CC321" i="5"/>
  <c r="CA321" i="5"/>
  <c r="BU321" i="5"/>
  <c r="BW321" i="5"/>
  <c r="BV321" i="5"/>
  <c r="BT321" i="5"/>
  <c r="BS321" i="5"/>
  <c r="BM321" i="5"/>
  <c r="BR321" i="5"/>
  <c r="BK321" i="5"/>
  <c r="BQ321" i="5"/>
  <c r="BI321" i="5"/>
  <c r="BG321" i="5"/>
  <c r="BJ321" i="5"/>
  <c r="BH321" i="5"/>
  <c r="BF321" i="5"/>
  <c r="BA321" i="5"/>
  <c r="BP321" i="5" s="1"/>
  <c r="AY321" i="5"/>
  <c r="BE321" i="5"/>
  <c r="BD321" i="5"/>
  <c r="AZ321" i="5"/>
  <c r="AV321" i="5"/>
  <c r="AU321" i="5"/>
  <c r="BB321" i="5" s="1"/>
  <c r="BX34" i="5"/>
  <c r="BY74" i="5"/>
  <c r="BB90" i="5"/>
  <c r="BZ90" i="5" s="1"/>
  <c r="BL106" i="5"/>
  <c r="BB146" i="5"/>
  <c r="BL154" i="5"/>
  <c r="BL178" i="5"/>
  <c r="BL202" i="5"/>
  <c r="BX202" i="5"/>
  <c r="CB250" i="5"/>
  <c r="BL290" i="5"/>
  <c r="BL338" i="5"/>
  <c r="BL346" i="5"/>
  <c r="BX362" i="5"/>
  <c r="BX474" i="5"/>
  <c r="CK29" i="5"/>
  <c r="CI29" i="5"/>
  <c r="CF29" i="5"/>
  <c r="CE29" i="5"/>
  <c r="CD29" i="5"/>
  <c r="CA29" i="5"/>
  <c r="CC29" i="5"/>
  <c r="BV29" i="5"/>
  <c r="BW29" i="5"/>
  <c r="BY29" i="5"/>
  <c r="BM29" i="5"/>
  <c r="BT29" i="5"/>
  <c r="BS29" i="5"/>
  <c r="BU29" i="5"/>
  <c r="BQ29" i="5"/>
  <c r="BR29" i="5"/>
  <c r="BK29" i="5"/>
  <c r="BJ29" i="5"/>
  <c r="BI29" i="5"/>
  <c r="BH29" i="5"/>
  <c r="BE29" i="5"/>
  <c r="BG29" i="5"/>
  <c r="BF29" i="5"/>
  <c r="BD29" i="5"/>
  <c r="BA29" i="5"/>
  <c r="BP29" i="5" s="1"/>
  <c r="AZ29" i="5"/>
  <c r="AY29" i="5"/>
  <c r="AU29" i="5"/>
  <c r="BB29" i="5" s="1"/>
  <c r="AV29" i="5"/>
  <c r="BO29" i="5" s="1"/>
  <c r="CK157" i="5"/>
  <c r="CI157" i="5"/>
  <c r="CF157" i="5"/>
  <c r="CE157" i="5"/>
  <c r="CA157" i="5"/>
  <c r="CC157" i="5"/>
  <c r="CD157" i="5"/>
  <c r="BV157" i="5"/>
  <c r="BT157" i="5"/>
  <c r="BW157" i="5"/>
  <c r="BY157" i="5"/>
  <c r="BS157" i="5"/>
  <c r="BU157" i="5"/>
  <c r="BM157" i="5"/>
  <c r="BQ157" i="5"/>
  <c r="BR157" i="5"/>
  <c r="BK157" i="5"/>
  <c r="BJ157" i="5"/>
  <c r="BI157" i="5"/>
  <c r="BH157" i="5"/>
  <c r="BG157" i="5"/>
  <c r="BF157" i="5"/>
  <c r="BE157" i="5"/>
  <c r="BD157" i="5"/>
  <c r="BA157" i="5"/>
  <c r="BP157" i="5" s="1"/>
  <c r="AZ157" i="5"/>
  <c r="AY157" i="5"/>
  <c r="AU157" i="5"/>
  <c r="AV157" i="5"/>
  <c r="CK285" i="5"/>
  <c r="CF285" i="5"/>
  <c r="CI285" i="5"/>
  <c r="CE285" i="5"/>
  <c r="CA285" i="5"/>
  <c r="CC285" i="5"/>
  <c r="CD285" i="5"/>
  <c r="BV285" i="5"/>
  <c r="BW285" i="5"/>
  <c r="BY285" i="5"/>
  <c r="BS285" i="5"/>
  <c r="BU285" i="5"/>
  <c r="BT285" i="5"/>
  <c r="BM285" i="5"/>
  <c r="BQ285" i="5"/>
  <c r="BR285" i="5"/>
  <c r="BK285" i="5"/>
  <c r="BJ285" i="5"/>
  <c r="BI285" i="5"/>
  <c r="BH285" i="5"/>
  <c r="BG285" i="5"/>
  <c r="BF285" i="5"/>
  <c r="BE285" i="5"/>
  <c r="BD285" i="5"/>
  <c r="BA285" i="5"/>
  <c r="BP285" i="5" s="1"/>
  <c r="AZ285" i="5"/>
  <c r="AY285" i="5"/>
  <c r="AU285" i="5"/>
  <c r="BB285" i="5" s="1"/>
  <c r="AV285" i="5"/>
  <c r="BO285" i="5" s="1"/>
  <c r="CI46" i="5"/>
  <c r="CF46" i="5"/>
  <c r="CK46" i="5"/>
  <c r="CE46" i="5"/>
  <c r="CD46" i="5"/>
  <c r="CC46" i="5"/>
  <c r="BY46" i="5"/>
  <c r="BW46" i="5"/>
  <c r="BU46" i="5"/>
  <c r="CA46" i="5"/>
  <c r="BV46" i="5"/>
  <c r="BT46" i="5"/>
  <c r="BJ46" i="5"/>
  <c r="BS46" i="5"/>
  <c r="BQ46" i="5"/>
  <c r="BK46" i="5"/>
  <c r="BI46" i="5"/>
  <c r="BR46" i="5"/>
  <c r="BD46" i="5"/>
  <c r="BM46" i="5"/>
  <c r="BE46" i="5"/>
  <c r="BA46" i="5"/>
  <c r="BP46" i="5" s="1"/>
  <c r="BH46" i="5"/>
  <c r="BG46" i="5"/>
  <c r="BF46" i="5"/>
  <c r="AZ46" i="5"/>
  <c r="AV46" i="5"/>
  <c r="BO46" i="5" s="1"/>
  <c r="AY46" i="5"/>
  <c r="AU46" i="5"/>
  <c r="BN46" i="5" s="1"/>
  <c r="CK134" i="5"/>
  <c r="CF134" i="5"/>
  <c r="CI134" i="5"/>
  <c r="CE134" i="5"/>
  <c r="CD134" i="5"/>
  <c r="BY134" i="5"/>
  <c r="BW134" i="5"/>
  <c r="BU134" i="5"/>
  <c r="CA134" i="5"/>
  <c r="CC134" i="5"/>
  <c r="BV134" i="5"/>
  <c r="BT134" i="5"/>
  <c r="BR134" i="5"/>
  <c r="BJ134" i="5"/>
  <c r="BS134" i="5"/>
  <c r="BK134" i="5"/>
  <c r="BQ134" i="5"/>
  <c r="BM134" i="5"/>
  <c r="BD134" i="5"/>
  <c r="BI134" i="5"/>
  <c r="BG134" i="5"/>
  <c r="BE134" i="5"/>
  <c r="BA134" i="5"/>
  <c r="BP134" i="5" s="1"/>
  <c r="BH134" i="5"/>
  <c r="BF134" i="5"/>
  <c r="AZ134" i="5"/>
  <c r="AY134" i="5"/>
  <c r="AV134" i="5"/>
  <c r="BC134" i="5" s="1"/>
  <c r="AU134" i="5"/>
  <c r="BN134" i="5" s="1"/>
  <c r="CK222" i="5"/>
  <c r="CI222" i="5"/>
  <c r="CF222" i="5"/>
  <c r="CE222" i="5"/>
  <c r="BY222" i="5"/>
  <c r="BW222" i="5"/>
  <c r="BU222" i="5"/>
  <c r="CD222" i="5"/>
  <c r="CC222" i="5"/>
  <c r="CA222" i="5"/>
  <c r="BV222" i="5"/>
  <c r="BT222" i="5"/>
  <c r="BS222" i="5"/>
  <c r="BQ222" i="5"/>
  <c r="BJ222" i="5"/>
  <c r="BK222" i="5"/>
  <c r="BR222" i="5"/>
  <c r="BD222" i="5"/>
  <c r="BM222" i="5"/>
  <c r="BI222" i="5"/>
  <c r="BE222" i="5"/>
  <c r="BA222" i="5"/>
  <c r="BP222" i="5" s="1"/>
  <c r="BF222" i="5"/>
  <c r="BH222" i="5"/>
  <c r="BG222" i="5"/>
  <c r="AY222" i="5"/>
  <c r="AV222" i="5"/>
  <c r="BC222" i="5" s="1"/>
  <c r="AZ222" i="5"/>
  <c r="AU222" i="5"/>
  <c r="BN222" i="5" s="1"/>
  <c r="CK302" i="5"/>
  <c r="CH302" i="5"/>
  <c r="CF302" i="5"/>
  <c r="CJ302" i="5"/>
  <c r="CD302" i="5"/>
  <c r="BZ302" i="5"/>
  <c r="BY302" i="5"/>
  <c r="CI302" i="5"/>
  <c r="CG302" i="5"/>
  <c r="CC302" i="5"/>
  <c r="BW302" i="5"/>
  <c r="BU302" i="5"/>
  <c r="CE302" i="5"/>
  <c r="CA302" i="5"/>
  <c r="BV302" i="5"/>
  <c r="BX302" i="5"/>
  <c r="BL302" i="5"/>
  <c r="BJ302" i="5"/>
  <c r="BT302" i="5"/>
  <c r="BS302" i="5"/>
  <c r="BQ302" i="5"/>
  <c r="BK302" i="5"/>
  <c r="BR302" i="5"/>
  <c r="BM302" i="5"/>
  <c r="BI302" i="5"/>
  <c r="BD302" i="5"/>
  <c r="BE302" i="5"/>
  <c r="BH302" i="5"/>
  <c r="BG302" i="5"/>
  <c r="BF302" i="5"/>
  <c r="BA302" i="5"/>
  <c r="BP302" i="5" s="1"/>
  <c r="AV302" i="5"/>
  <c r="AZ302" i="5"/>
  <c r="AY302" i="5"/>
  <c r="AU302" i="5"/>
  <c r="BB302" i="5" s="1"/>
  <c r="CK366" i="5"/>
  <c r="CF366" i="5"/>
  <c r="CI366" i="5"/>
  <c r="BY366" i="5"/>
  <c r="CE366" i="5"/>
  <c r="CD366" i="5"/>
  <c r="CC366" i="5"/>
  <c r="BW366" i="5"/>
  <c r="BU366" i="5"/>
  <c r="CA366" i="5"/>
  <c r="BV366" i="5"/>
  <c r="BJ366" i="5"/>
  <c r="BT366" i="5"/>
  <c r="BS366" i="5"/>
  <c r="BQ366" i="5"/>
  <c r="BK366" i="5"/>
  <c r="BR366" i="5"/>
  <c r="BI366" i="5"/>
  <c r="BD366" i="5"/>
  <c r="BM366" i="5"/>
  <c r="BE366" i="5"/>
  <c r="BG366" i="5"/>
  <c r="BF366" i="5"/>
  <c r="BH366" i="5"/>
  <c r="BA366" i="5"/>
  <c r="BP366" i="5" s="1"/>
  <c r="AZ366" i="5"/>
  <c r="AY366" i="5"/>
  <c r="AV366" i="5"/>
  <c r="BC366" i="5" s="1"/>
  <c r="AU366" i="5"/>
  <c r="BN366" i="5" s="1"/>
  <c r="BX159" i="5"/>
  <c r="BC427" i="5"/>
  <c r="BX452" i="5"/>
  <c r="BX479" i="5"/>
  <c r="BL491" i="5"/>
  <c r="CK543" i="5"/>
  <c r="CI543" i="5"/>
  <c r="CH543" i="5"/>
  <c r="CE543" i="5"/>
  <c r="CC543" i="5"/>
  <c r="CJ543" i="5"/>
  <c r="CF543" i="5"/>
  <c r="CD543" i="5"/>
  <c r="BV543" i="5"/>
  <c r="CG543" i="5"/>
  <c r="BZ543" i="5"/>
  <c r="BX543" i="5"/>
  <c r="BW543" i="5"/>
  <c r="CA543" i="5"/>
  <c r="BY543" i="5"/>
  <c r="BT543" i="5"/>
  <c r="BS543" i="5"/>
  <c r="BR543" i="5"/>
  <c r="BU543" i="5"/>
  <c r="BQ543" i="5"/>
  <c r="BL543" i="5"/>
  <c r="BM543" i="5"/>
  <c r="BK543" i="5"/>
  <c r="BJ543" i="5"/>
  <c r="BF543" i="5"/>
  <c r="BI543" i="5"/>
  <c r="BH543" i="5"/>
  <c r="BD543" i="5"/>
  <c r="BA543" i="5"/>
  <c r="BP543" i="5" s="1"/>
  <c r="AY543" i="5"/>
  <c r="BG543" i="5"/>
  <c r="AZ543" i="5"/>
  <c r="BE543" i="5"/>
  <c r="AV543" i="5"/>
  <c r="BO543" i="5" s="1"/>
  <c r="AU543" i="5"/>
  <c r="CI83" i="5"/>
  <c r="CF83" i="5"/>
  <c r="CG83" i="5"/>
  <c r="CJ83" i="5"/>
  <c r="CD83" i="5"/>
  <c r="BW83" i="5"/>
  <c r="BU83" i="5"/>
  <c r="CE83" i="5"/>
  <c r="BX83" i="5"/>
  <c r="BZ83" i="5"/>
  <c r="BV83" i="5"/>
  <c r="CC83" i="5"/>
  <c r="BS83" i="5"/>
  <c r="BT83" i="5"/>
  <c r="BQ83" i="5"/>
  <c r="BL83" i="5"/>
  <c r="BR83" i="5"/>
  <c r="BJ83" i="5"/>
  <c r="BK83" i="5"/>
  <c r="BI83" i="5"/>
  <c r="BH83" i="5"/>
  <c r="BG83" i="5"/>
  <c r="BF83" i="5"/>
  <c r="AZ83" i="5"/>
  <c r="AY83" i="5"/>
  <c r="BA83" i="5"/>
  <c r="BP83" i="5" s="1"/>
  <c r="BE83" i="5"/>
  <c r="BD83" i="5"/>
  <c r="AU83" i="5"/>
  <c r="BB83" i="5" s="1"/>
  <c r="AV83" i="5"/>
  <c r="BO83" i="5" s="1"/>
  <c r="CK211" i="5"/>
  <c r="CJ211" i="5"/>
  <c r="CI211" i="5"/>
  <c r="CF211" i="5"/>
  <c r="CD211" i="5"/>
  <c r="CH211" i="5"/>
  <c r="CG211" i="5"/>
  <c r="BW211" i="5"/>
  <c r="BU211" i="5"/>
  <c r="CE211" i="5"/>
  <c r="CC211" i="5"/>
  <c r="CA211" i="5"/>
  <c r="BV211" i="5"/>
  <c r="BZ211" i="5"/>
  <c r="BY211" i="5"/>
  <c r="BX211" i="5"/>
  <c r="BS211" i="5"/>
  <c r="BT211" i="5"/>
  <c r="BQ211" i="5"/>
  <c r="BL211" i="5"/>
  <c r="BR211" i="5"/>
  <c r="BJ211" i="5"/>
  <c r="BM211" i="5"/>
  <c r="BK211" i="5"/>
  <c r="BI211" i="5"/>
  <c r="BH211" i="5"/>
  <c r="BG211" i="5"/>
  <c r="BF211" i="5"/>
  <c r="AZ211" i="5"/>
  <c r="AY211" i="5"/>
  <c r="BA211" i="5"/>
  <c r="BP211" i="5" s="1"/>
  <c r="BE211" i="5"/>
  <c r="BD211" i="5"/>
  <c r="AU211" i="5"/>
  <c r="BB211" i="5" s="1"/>
  <c r="AV211" i="5"/>
  <c r="BO211" i="5" s="1"/>
  <c r="CK339" i="5"/>
  <c r="CJ339" i="5"/>
  <c r="CH339" i="5"/>
  <c r="CF339" i="5"/>
  <c r="CD339" i="5"/>
  <c r="CI339" i="5"/>
  <c r="CG339" i="5"/>
  <c r="BX339" i="5"/>
  <c r="BW339" i="5"/>
  <c r="BU339" i="5"/>
  <c r="CE339" i="5"/>
  <c r="CC339" i="5"/>
  <c r="BV339" i="5"/>
  <c r="BY339" i="5"/>
  <c r="CA339" i="5"/>
  <c r="BZ339" i="5"/>
  <c r="BT339" i="5"/>
  <c r="BS339" i="5"/>
  <c r="BQ339" i="5"/>
  <c r="BR339" i="5"/>
  <c r="BJ339" i="5"/>
  <c r="BL339" i="5"/>
  <c r="BM339" i="5"/>
  <c r="BK339" i="5"/>
  <c r="BI339" i="5"/>
  <c r="BH339" i="5"/>
  <c r="BG339" i="5"/>
  <c r="BF339" i="5"/>
  <c r="AZ339" i="5"/>
  <c r="BA339" i="5"/>
  <c r="BP339" i="5" s="1"/>
  <c r="AY339" i="5"/>
  <c r="BE339" i="5"/>
  <c r="BD339" i="5"/>
  <c r="AU339" i="5"/>
  <c r="BN339" i="5" s="1"/>
  <c r="AV339" i="5"/>
  <c r="BC339" i="5" s="1"/>
  <c r="CK467" i="5"/>
  <c r="CF467" i="5"/>
  <c r="CI467" i="5"/>
  <c r="CD467" i="5"/>
  <c r="BW467" i="5"/>
  <c r="BU467" i="5"/>
  <c r="CE467" i="5"/>
  <c r="CC467" i="5"/>
  <c r="BV467" i="5"/>
  <c r="CA467" i="5"/>
  <c r="BY467" i="5"/>
  <c r="BT467" i="5"/>
  <c r="BS467" i="5"/>
  <c r="BQ467" i="5"/>
  <c r="BR467" i="5"/>
  <c r="BJ467" i="5"/>
  <c r="BM467" i="5"/>
  <c r="BK467" i="5"/>
  <c r="BI467" i="5"/>
  <c r="BH467" i="5"/>
  <c r="BG467" i="5"/>
  <c r="BF467" i="5"/>
  <c r="AZ467" i="5"/>
  <c r="BA467" i="5"/>
  <c r="BP467" i="5" s="1"/>
  <c r="AY467" i="5"/>
  <c r="BE467" i="5"/>
  <c r="BD467" i="5"/>
  <c r="AU467" i="5"/>
  <c r="BB467" i="5" s="1"/>
  <c r="AV467" i="5"/>
  <c r="CK84" i="5"/>
  <c r="CJ84" i="5"/>
  <c r="CG84" i="5"/>
  <c r="CI84" i="5"/>
  <c r="CC84" i="5"/>
  <c r="CH84" i="5"/>
  <c r="CF84" i="5"/>
  <c r="CE84" i="5"/>
  <c r="CD84" i="5"/>
  <c r="BZ84" i="5"/>
  <c r="CA84" i="5"/>
  <c r="BW84" i="5"/>
  <c r="BX84" i="5"/>
  <c r="BV84" i="5"/>
  <c r="BY84" i="5"/>
  <c r="BS84" i="5"/>
  <c r="BQ84" i="5"/>
  <c r="BU84" i="5"/>
  <c r="BR84" i="5"/>
  <c r="BT84" i="5"/>
  <c r="BI84" i="5"/>
  <c r="BG84" i="5"/>
  <c r="BL84" i="5"/>
  <c r="BH84" i="5"/>
  <c r="BF84" i="5"/>
  <c r="BK84" i="5"/>
  <c r="BJ84" i="5"/>
  <c r="BM84" i="5"/>
  <c r="BE84" i="5"/>
  <c r="BD84" i="5"/>
  <c r="BA84" i="5"/>
  <c r="BP84" i="5" s="1"/>
  <c r="AY84" i="5"/>
  <c r="AZ84" i="5"/>
  <c r="AV84" i="5"/>
  <c r="BO84" i="5" s="1"/>
  <c r="AU84" i="5"/>
  <c r="BB84" i="5" s="1"/>
  <c r="CK212" i="5"/>
  <c r="CC212" i="5"/>
  <c r="CF212" i="5"/>
  <c r="CI212" i="5"/>
  <c r="CE212" i="5"/>
  <c r="CD212" i="5"/>
  <c r="CA212" i="5"/>
  <c r="BW212" i="5"/>
  <c r="BS212" i="5"/>
  <c r="BQ212" i="5"/>
  <c r="BY212" i="5"/>
  <c r="BV212" i="5"/>
  <c r="BU212" i="5"/>
  <c r="BR212" i="5"/>
  <c r="BT212" i="5"/>
  <c r="BI212" i="5"/>
  <c r="BG212" i="5"/>
  <c r="BH212" i="5"/>
  <c r="BF212" i="5"/>
  <c r="BK212" i="5"/>
  <c r="BJ212" i="5"/>
  <c r="BM212" i="5"/>
  <c r="BE212" i="5"/>
  <c r="BD212" i="5"/>
  <c r="BA212" i="5"/>
  <c r="BP212" i="5" s="1"/>
  <c r="AY212" i="5"/>
  <c r="AZ212" i="5"/>
  <c r="AV212" i="5"/>
  <c r="BO212" i="5" s="1"/>
  <c r="AU212" i="5"/>
  <c r="CK328" i="5"/>
  <c r="CI328" i="5"/>
  <c r="CF328" i="5"/>
  <c r="CD328" i="5"/>
  <c r="CE328" i="5"/>
  <c r="CC328" i="5"/>
  <c r="BV328" i="5"/>
  <c r="CA328" i="5"/>
  <c r="BW328" i="5"/>
  <c r="BY328" i="5"/>
  <c r="BT328" i="5"/>
  <c r="BR328" i="5"/>
  <c r="BS328" i="5"/>
  <c r="BQ328" i="5"/>
  <c r="BU328" i="5"/>
  <c r="BH328" i="5"/>
  <c r="BF328" i="5"/>
  <c r="BI328" i="5"/>
  <c r="BG328" i="5"/>
  <c r="BM328" i="5"/>
  <c r="BK328" i="5"/>
  <c r="BJ328" i="5"/>
  <c r="BE328" i="5"/>
  <c r="BD328" i="5"/>
  <c r="BA328" i="5"/>
  <c r="BP328" i="5" s="1"/>
  <c r="AZ328" i="5"/>
  <c r="AY328" i="5"/>
  <c r="AU328" i="5"/>
  <c r="BN328" i="5" s="1"/>
  <c r="AV328" i="5"/>
  <c r="BO328" i="5" s="1"/>
  <c r="CK443" i="5"/>
  <c r="CI443" i="5"/>
  <c r="CD443" i="5"/>
  <c r="CF443" i="5"/>
  <c r="BW443" i="5"/>
  <c r="BU443" i="5"/>
  <c r="CA443" i="5"/>
  <c r="CC443" i="5"/>
  <c r="CE443" i="5"/>
  <c r="BY443" i="5"/>
  <c r="BV443" i="5"/>
  <c r="BT443" i="5"/>
  <c r="BS443" i="5"/>
  <c r="BR443" i="5"/>
  <c r="BQ443" i="5"/>
  <c r="BM443" i="5"/>
  <c r="BJ443" i="5"/>
  <c r="BK443" i="5"/>
  <c r="BG443" i="5"/>
  <c r="BI443" i="5"/>
  <c r="BH443" i="5"/>
  <c r="AZ443" i="5"/>
  <c r="BF443" i="5"/>
  <c r="BE443" i="5"/>
  <c r="BA443" i="5"/>
  <c r="BP443" i="5" s="1"/>
  <c r="AY443" i="5"/>
  <c r="BD443" i="5"/>
  <c r="AU443" i="5"/>
  <c r="BB443" i="5" s="1"/>
  <c r="AV443" i="5"/>
  <c r="CK35" i="5"/>
  <c r="CI35" i="5"/>
  <c r="CE35" i="5"/>
  <c r="CD35" i="5"/>
  <c r="BY35" i="5"/>
  <c r="BW35" i="5"/>
  <c r="BU35" i="5"/>
  <c r="CF35" i="5"/>
  <c r="CC35" i="5"/>
  <c r="BV35" i="5"/>
  <c r="CA35" i="5"/>
  <c r="BT35" i="5"/>
  <c r="BS35" i="5"/>
  <c r="BQ35" i="5"/>
  <c r="BR35" i="5"/>
  <c r="BM35" i="5"/>
  <c r="BK35" i="5"/>
  <c r="BJ35" i="5"/>
  <c r="BI35" i="5"/>
  <c r="AZ35" i="5"/>
  <c r="BH35" i="5"/>
  <c r="BE35" i="5"/>
  <c r="BG35" i="5"/>
  <c r="BF35" i="5"/>
  <c r="AY35" i="5"/>
  <c r="BD35" i="5"/>
  <c r="BA35" i="5"/>
  <c r="BP35" i="5" s="1"/>
  <c r="AU35" i="5"/>
  <c r="BN35" i="5" s="1"/>
  <c r="AV35" i="5"/>
  <c r="BO35" i="5" s="1"/>
  <c r="CK163" i="5"/>
  <c r="CE163" i="5"/>
  <c r="CI163" i="5"/>
  <c r="CD163" i="5"/>
  <c r="CF163" i="5"/>
  <c r="BW163" i="5"/>
  <c r="BU163" i="5"/>
  <c r="CC163" i="5"/>
  <c r="CA163" i="5"/>
  <c r="BV163" i="5"/>
  <c r="BY163" i="5"/>
  <c r="BT163" i="5"/>
  <c r="BS163" i="5"/>
  <c r="BQ163" i="5"/>
  <c r="BR163" i="5"/>
  <c r="BM163" i="5"/>
  <c r="BI163" i="5"/>
  <c r="BK163" i="5"/>
  <c r="BJ163" i="5"/>
  <c r="AZ163" i="5"/>
  <c r="BH163" i="5"/>
  <c r="BG163" i="5"/>
  <c r="BF163" i="5"/>
  <c r="AY163" i="5"/>
  <c r="BE163" i="5"/>
  <c r="BD163" i="5"/>
  <c r="BA163" i="5"/>
  <c r="BP163" i="5" s="1"/>
  <c r="AU163" i="5"/>
  <c r="BB163" i="5" s="1"/>
  <c r="AV163" i="5"/>
  <c r="BC163" i="5" s="1"/>
  <c r="CK291" i="5"/>
  <c r="CI291" i="5"/>
  <c r="CD291" i="5"/>
  <c r="CF291" i="5"/>
  <c r="CE291" i="5"/>
  <c r="BW291" i="5"/>
  <c r="BU291" i="5"/>
  <c r="CC291" i="5"/>
  <c r="BV291" i="5"/>
  <c r="CA291" i="5"/>
  <c r="BY291" i="5"/>
  <c r="BT291" i="5"/>
  <c r="BS291" i="5"/>
  <c r="BQ291" i="5"/>
  <c r="BR291" i="5"/>
  <c r="BM291" i="5"/>
  <c r="BI291" i="5"/>
  <c r="BK291" i="5"/>
  <c r="BJ291" i="5"/>
  <c r="AZ291" i="5"/>
  <c r="BH291" i="5"/>
  <c r="BG291" i="5"/>
  <c r="BF291" i="5"/>
  <c r="BA291" i="5"/>
  <c r="BP291" i="5" s="1"/>
  <c r="AY291" i="5"/>
  <c r="BE291" i="5"/>
  <c r="BD291" i="5"/>
  <c r="AU291" i="5"/>
  <c r="BB291" i="5" s="1"/>
  <c r="AV291" i="5"/>
  <c r="BC291" i="5" s="1"/>
  <c r="CK419" i="5"/>
  <c r="CD419" i="5"/>
  <c r="CF419" i="5"/>
  <c r="CE419" i="5"/>
  <c r="BW419" i="5"/>
  <c r="BU419" i="5"/>
  <c r="CI419" i="5"/>
  <c r="CC419" i="5"/>
  <c r="CA419" i="5"/>
  <c r="BV419" i="5"/>
  <c r="BY419" i="5"/>
  <c r="BT419" i="5"/>
  <c r="BS419" i="5"/>
  <c r="BQ419" i="5"/>
  <c r="BR419" i="5"/>
  <c r="BM419" i="5"/>
  <c r="BI419" i="5"/>
  <c r="BK419" i="5"/>
  <c r="BJ419" i="5"/>
  <c r="AZ419" i="5"/>
  <c r="BH419" i="5"/>
  <c r="BG419" i="5"/>
  <c r="BF419" i="5"/>
  <c r="BA419" i="5"/>
  <c r="BP419" i="5" s="1"/>
  <c r="AY419" i="5"/>
  <c r="BE419" i="5"/>
  <c r="BD419" i="5"/>
  <c r="AU419" i="5"/>
  <c r="BB419" i="5" s="1"/>
  <c r="AV419" i="5"/>
  <c r="BO419" i="5" s="1"/>
  <c r="CK547" i="5"/>
  <c r="CD547" i="5"/>
  <c r="CI547" i="5"/>
  <c r="CF547" i="5"/>
  <c r="CE547" i="5"/>
  <c r="BW547" i="5"/>
  <c r="BU547" i="5"/>
  <c r="CC547" i="5"/>
  <c r="BV547" i="5"/>
  <c r="CA547" i="5"/>
  <c r="BY547" i="5"/>
  <c r="BT547" i="5"/>
  <c r="BQ547" i="5"/>
  <c r="BR547" i="5"/>
  <c r="BS547" i="5"/>
  <c r="BM547" i="5"/>
  <c r="BI547" i="5"/>
  <c r="BK547" i="5"/>
  <c r="BJ547" i="5"/>
  <c r="AZ547" i="5"/>
  <c r="BF547" i="5"/>
  <c r="BH547" i="5"/>
  <c r="BG547" i="5"/>
  <c r="BA547" i="5"/>
  <c r="BP547" i="5" s="1"/>
  <c r="AY547" i="5"/>
  <c r="BE547" i="5"/>
  <c r="BD547" i="5"/>
  <c r="AU547" i="5"/>
  <c r="BN547" i="5" s="1"/>
  <c r="AV547" i="5"/>
  <c r="BC547" i="5" s="1"/>
  <c r="BX113" i="5"/>
  <c r="BD129" i="5"/>
  <c r="BX153" i="5"/>
  <c r="CK100" i="5"/>
  <c r="CI100" i="5"/>
  <c r="CF100" i="5"/>
  <c r="CC100" i="5"/>
  <c r="CE100" i="5"/>
  <c r="CD100" i="5"/>
  <c r="BW100" i="5"/>
  <c r="CA100" i="5"/>
  <c r="BV100" i="5"/>
  <c r="BY100" i="5"/>
  <c r="BS100" i="5"/>
  <c r="BQ100" i="5"/>
  <c r="BR100" i="5"/>
  <c r="BU100" i="5"/>
  <c r="BT100" i="5"/>
  <c r="BI100" i="5"/>
  <c r="BG100" i="5"/>
  <c r="BH100" i="5"/>
  <c r="BF100" i="5"/>
  <c r="BM100" i="5"/>
  <c r="BK100" i="5"/>
  <c r="BJ100" i="5"/>
  <c r="BE100" i="5"/>
  <c r="BD100" i="5"/>
  <c r="BA100" i="5"/>
  <c r="BP100" i="5" s="1"/>
  <c r="AY100" i="5"/>
  <c r="AZ100" i="5"/>
  <c r="AV100" i="5"/>
  <c r="BC100" i="5" s="1"/>
  <c r="AU100" i="5"/>
  <c r="BB100" i="5" s="1"/>
  <c r="CF228" i="5"/>
  <c r="CK228" i="5"/>
  <c r="CC228" i="5"/>
  <c r="CI228" i="5"/>
  <c r="CG228" i="5"/>
  <c r="CE228" i="5"/>
  <c r="CD228" i="5"/>
  <c r="BW228" i="5"/>
  <c r="CA228" i="5"/>
  <c r="BV228" i="5"/>
  <c r="BY228" i="5"/>
  <c r="BS228" i="5"/>
  <c r="BQ228" i="5"/>
  <c r="BR228" i="5"/>
  <c r="BU228" i="5"/>
  <c r="BT228" i="5"/>
  <c r="BI228" i="5"/>
  <c r="BG228" i="5"/>
  <c r="BH228" i="5"/>
  <c r="BF228" i="5"/>
  <c r="BM228" i="5"/>
  <c r="BK228" i="5"/>
  <c r="BJ228" i="5"/>
  <c r="BE228" i="5"/>
  <c r="BD228" i="5"/>
  <c r="BA228" i="5"/>
  <c r="BP228" i="5" s="1"/>
  <c r="AY228" i="5"/>
  <c r="AZ228" i="5"/>
  <c r="AV228" i="5"/>
  <c r="BC228" i="5" s="1"/>
  <c r="AU228" i="5"/>
  <c r="BN228" i="5" s="1"/>
  <c r="CK356" i="5"/>
  <c r="CI356" i="5"/>
  <c r="CH356" i="5"/>
  <c r="CF356" i="5"/>
  <c r="CG356" i="5"/>
  <c r="CE356" i="5"/>
  <c r="CC356" i="5"/>
  <c r="CD356" i="5"/>
  <c r="CJ356" i="5"/>
  <c r="BW356" i="5"/>
  <c r="CA356" i="5"/>
  <c r="BV356" i="5"/>
  <c r="BZ356" i="5"/>
  <c r="BX356" i="5"/>
  <c r="BS356" i="5"/>
  <c r="BQ356" i="5"/>
  <c r="BY356" i="5"/>
  <c r="BT356" i="5"/>
  <c r="BR356" i="5"/>
  <c r="BL356" i="5"/>
  <c r="BU356" i="5"/>
  <c r="BI356" i="5"/>
  <c r="BG356" i="5"/>
  <c r="BH356" i="5"/>
  <c r="BF356" i="5"/>
  <c r="BM356" i="5"/>
  <c r="BK356" i="5"/>
  <c r="BJ356" i="5"/>
  <c r="BE356" i="5"/>
  <c r="BD356" i="5"/>
  <c r="BA356" i="5"/>
  <c r="BP356" i="5" s="1"/>
  <c r="AZ356" i="5"/>
  <c r="AY356" i="5"/>
  <c r="AV356" i="5"/>
  <c r="BO356" i="5" s="1"/>
  <c r="AU356" i="5"/>
  <c r="BN356" i="5" s="1"/>
  <c r="CI472" i="5"/>
  <c r="CF472" i="5"/>
  <c r="CD472" i="5"/>
  <c r="CK472" i="5"/>
  <c r="CE472" i="5"/>
  <c r="CC472" i="5"/>
  <c r="BV472" i="5"/>
  <c r="CA472" i="5"/>
  <c r="BY472" i="5"/>
  <c r="BW472" i="5"/>
  <c r="BT472" i="5"/>
  <c r="BR472" i="5"/>
  <c r="BS472" i="5"/>
  <c r="BQ472" i="5"/>
  <c r="BU472" i="5"/>
  <c r="BH472" i="5"/>
  <c r="BF472" i="5"/>
  <c r="BI472" i="5"/>
  <c r="BG472" i="5"/>
  <c r="BM472" i="5"/>
  <c r="BK472" i="5"/>
  <c r="BJ472" i="5"/>
  <c r="BE472" i="5"/>
  <c r="BD472" i="5"/>
  <c r="BA472" i="5"/>
  <c r="BP472" i="5" s="1"/>
  <c r="AZ472" i="5"/>
  <c r="AY472" i="5"/>
  <c r="AU472" i="5"/>
  <c r="BN472" i="5" s="1"/>
  <c r="AV472" i="5"/>
  <c r="BO472" i="5" s="1"/>
  <c r="BL13" i="5"/>
  <c r="BL21" i="5"/>
  <c r="BD149" i="5"/>
  <c r="CB149" i="5" s="1"/>
  <c r="BX149" i="5"/>
  <c r="BX181" i="5"/>
  <c r="BL278" i="5"/>
  <c r="BL209" i="5"/>
  <c r="CK140" i="5"/>
  <c r="CI140" i="5"/>
  <c r="CC140" i="5"/>
  <c r="CF140" i="5"/>
  <c r="CE140" i="5"/>
  <c r="CD140" i="5"/>
  <c r="BY140" i="5"/>
  <c r="BU140" i="5"/>
  <c r="CA140" i="5"/>
  <c r="BV140" i="5"/>
  <c r="BS140" i="5"/>
  <c r="BQ140" i="5"/>
  <c r="BW140" i="5"/>
  <c r="BR140" i="5"/>
  <c r="BT140" i="5"/>
  <c r="BK140" i="5"/>
  <c r="BI140" i="5"/>
  <c r="BG140" i="5"/>
  <c r="BH140" i="5"/>
  <c r="BF140" i="5"/>
  <c r="BJ140" i="5"/>
  <c r="BM140" i="5"/>
  <c r="BE140" i="5"/>
  <c r="BA140" i="5"/>
  <c r="BP140" i="5" s="1"/>
  <c r="AZ140" i="5"/>
  <c r="AY140" i="5"/>
  <c r="BD140" i="5"/>
  <c r="AU140" i="5"/>
  <c r="BN140" i="5" s="1"/>
  <c r="AV140" i="5"/>
  <c r="BC140" i="5" s="1"/>
  <c r="CK268" i="5"/>
  <c r="CI268" i="5"/>
  <c r="CE268" i="5"/>
  <c r="CC268" i="5"/>
  <c r="CF268" i="5"/>
  <c r="CD268" i="5"/>
  <c r="CA268" i="5"/>
  <c r="BY268" i="5"/>
  <c r="BU268" i="5"/>
  <c r="BS268" i="5"/>
  <c r="BQ268" i="5"/>
  <c r="BW268" i="5"/>
  <c r="BV268" i="5"/>
  <c r="BR268" i="5"/>
  <c r="BT268" i="5"/>
  <c r="BK268" i="5"/>
  <c r="BI268" i="5"/>
  <c r="BG268" i="5"/>
  <c r="BH268" i="5"/>
  <c r="BF268" i="5"/>
  <c r="BJ268" i="5"/>
  <c r="BM268" i="5"/>
  <c r="BE268" i="5"/>
  <c r="BA268" i="5"/>
  <c r="BP268" i="5" s="1"/>
  <c r="AZ268" i="5"/>
  <c r="AY268" i="5"/>
  <c r="BD268" i="5"/>
  <c r="AU268" i="5"/>
  <c r="BN268" i="5" s="1"/>
  <c r="AV268" i="5"/>
  <c r="BC268" i="5" s="1"/>
  <c r="CK396" i="5"/>
  <c r="CI396" i="5"/>
  <c r="CE396" i="5"/>
  <c r="CC396" i="5"/>
  <c r="CF396" i="5"/>
  <c r="CD396" i="5"/>
  <c r="BY396" i="5"/>
  <c r="BU396" i="5"/>
  <c r="CA396" i="5"/>
  <c r="BW396" i="5"/>
  <c r="BS396" i="5"/>
  <c r="BQ396" i="5"/>
  <c r="BT396" i="5"/>
  <c r="BR396" i="5"/>
  <c r="BV396" i="5"/>
  <c r="BK396" i="5"/>
  <c r="BI396" i="5"/>
  <c r="BG396" i="5"/>
  <c r="BH396" i="5"/>
  <c r="BF396" i="5"/>
  <c r="BJ396" i="5"/>
  <c r="BM396" i="5"/>
  <c r="BE396" i="5"/>
  <c r="AY396" i="5"/>
  <c r="BD396" i="5"/>
  <c r="AZ396" i="5"/>
  <c r="BA396" i="5"/>
  <c r="BP396" i="5" s="1"/>
  <c r="AU396" i="5"/>
  <c r="BB396" i="5" s="1"/>
  <c r="AV396" i="5"/>
  <c r="BC396" i="5" s="1"/>
  <c r="CK524" i="5"/>
  <c r="CI524" i="5"/>
  <c r="CE524" i="5"/>
  <c r="CC524" i="5"/>
  <c r="CF524" i="5"/>
  <c r="CD524" i="5"/>
  <c r="BY524" i="5"/>
  <c r="CA524" i="5"/>
  <c r="BU524" i="5"/>
  <c r="BW524" i="5"/>
  <c r="BS524" i="5"/>
  <c r="BQ524" i="5"/>
  <c r="BT524" i="5"/>
  <c r="BR524" i="5"/>
  <c r="BV524" i="5"/>
  <c r="BK524" i="5"/>
  <c r="BI524" i="5"/>
  <c r="BG524" i="5"/>
  <c r="BH524" i="5"/>
  <c r="BJ524" i="5"/>
  <c r="BM524" i="5"/>
  <c r="BF524" i="5"/>
  <c r="AY524" i="5"/>
  <c r="BE524" i="5"/>
  <c r="BD524" i="5"/>
  <c r="AZ524" i="5"/>
  <c r="BA524" i="5"/>
  <c r="BP524" i="5" s="1"/>
  <c r="AU524" i="5"/>
  <c r="BN524" i="5" s="1"/>
  <c r="AV524" i="5"/>
  <c r="BC524" i="5" s="1"/>
  <c r="CK438" i="5"/>
  <c r="CF438" i="5"/>
  <c r="CI438" i="5"/>
  <c r="CE438" i="5"/>
  <c r="BY438" i="5"/>
  <c r="BW438" i="5"/>
  <c r="BU438" i="5"/>
  <c r="CA438" i="5"/>
  <c r="CD438" i="5"/>
  <c r="CC438" i="5"/>
  <c r="BV438" i="5"/>
  <c r="BT438" i="5"/>
  <c r="BS438" i="5"/>
  <c r="BJ438" i="5"/>
  <c r="BK438" i="5"/>
  <c r="BM438" i="5"/>
  <c r="BR438" i="5"/>
  <c r="BQ438" i="5"/>
  <c r="BG438" i="5"/>
  <c r="BD438" i="5"/>
  <c r="BE438" i="5"/>
  <c r="BH438" i="5"/>
  <c r="BF438" i="5"/>
  <c r="BI438" i="5"/>
  <c r="AY438" i="5"/>
  <c r="AZ438" i="5"/>
  <c r="AV438" i="5"/>
  <c r="BC438" i="5" s="1"/>
  <c r="BA438" i="5"/>
  <c r="BP438" i="5" s="1"/>
  <c r="AU438" i="5"/>
  <c r="BN438" i="5" s="1"/>
  <c r="CK470" i="5"/>
  <c r="CF470" i="5"/>
  <c r="CE470" i="5"/>
  <c r="BY470" i="5"/>
  <c r="CI470" i="5"/>
  <c r="BW470" i="5"/>
  <c r="BU470" i="5"/>
  <c r="CC470" i="5"/>
  <c r="CA470" i="5"/>
  <c r="CD470" i="5"/>
  <c r="BT470" i="5"/>
  <c r="BS470" i="5"/>
  <c r="BJ470" i="5"/>
  <c r="BV470" i="5"/>
  <c r="BK470" i="5"/>
  <c r="BR470" i="5"/>
  <c r="BQ470" i="5"/>
  <c r="BM470" i="5"/>
  <c r="BG470" i="5"/>
  <c r="BD470" i="5"/>
  <c r="BE470" i="5"/>
  <c r="BI470" i="5"/>
  <c r="BH470" i="5"/>
  <c r="BF470" i="5"/>
  <c r="AY470" i="5"/>
  <c r="AV470" i="5"/>
  <c r="BO470" i="5" s="1"/>
  <c r="AZ470" i="5"/>
  <c r="AU470" i="5"/>
  <c r="BB470" i="5" s="1"/>
  <c r="BA470" i="5"/>
  <c r="BP470" i="5" s="1"/>
  <c r="CK502" i="5"/>
  <c r="CI502" i="5"/>
  <c r="CE502" i="5"/>
  <c r="BY502" i="5"/>
  <c r="CF502" i="5"/>
  <c r="BW502" i="5"/>
  <c r="BU502" i="5"/>
  <c r="CA502" i="5"/>
  <c r="CD502" i="5"/>
  <c r="CC502" i="5"/>
  <c r="BT502" i="5"/>
  <c r="BV502" i="5"/>
  <c r="BS502" i="5"/>
  <c r="BJ502" i="5"/>
  <c r="BK502" i="5"/>
  <c r="BR502" i="5"/>
  <c r="BQ502" i="5"/>
  <c r="BM502" i="5"/>
  <c r="BG502" i="5"/>
  <c r="BF502" i="5"/>
  <c r="BD502" i="5"/>
  <c r="BE502" i="5"/>
  <c r="BI502" i="5"/>
  <c r="BH502" i="5"/>
  <c r="AY502" i="5"/>
  <c r="AV502" i="5"/>
  <c r="BC502" i="5" s="1"/>
  <c r="BA502" i="5"/>
  <c r="BP502" i="5" s="1"/>
  <c r="AZ502" i="5"/>
  <c r="AU502" i="5"/>
  <c r="BN502" i="5" s="1"/>
  <c r="CK534" i="5"/>
  <c r="CJ534" i="5"/>
  <c r="CG534" i="5"/>
  <c r="CF534" i="5"/>
  <c r="CH534" i="5"/>
  <c r="CI534" i="5"/>
  <c r="CE534" i="5"/>
  <c r="CD534" i="5"/>
  <c r="BZ534" i="5"/>
  <c r="BY534" i="5"/>
  <c r="BX534" i="5"/>
  <c r="BW534" i="5"/>
  <c r="BU534" i="5"/>
  <c r="CA534" i="5"/>
  <c r="CC534" i="5"/>
  <c r="BV534" i="5"/>
  <c r="BT534" i="5"/>
  <c r="BS534" i="5"/>
  <c r="BJ534" i="5"/>
  <c r="BK534" i="5"/>
  <c r="BM534" i="5"/>
  <c r="BR534" i="5"/>
  <c r="BQ534" i="5"/>
  <c r="BL534" i="5"/>
  <c r="BG534" i="5"/>
  <c r="BF534" i="5"/>
  <c r="BD534" i="5"/>
  <c r="BE534" i="5"/>
  <c r="BI534" i="5"/>
  <c r="BH534" i="5"/>
  <c r="AY534" i="5"/>
  <c r="AV534" i="5"/>
  <c r="BO534" i="5" s="1"/>
  <c r="AU534" i="5"/>
  <c r="BN534" i="5" s="1"/>
  <c r="BA534" i="5"/>
  <c r="BP534" i="5" s="1"/>
  <c r="AZ534" i="5"/>
  <c r="CK463" i="5"/>
  <c r="CF463" i="5"/>
  <c r="CE463" i="5"/>
  <c r="CC463" i="5"/>
  <c r="CI463" i="5"/>
  <c r="BV463" i="5"/>
  <c r="CD463" i="5"/>
  <c r="CA463" i="5"/>
  <c r="BW463" i="5"/>
  <c r="BY463" i="5"/>
  <c r="BU463" i="5"/>
  <c r="BT463" i="5"/>
  <c r="BS463" i="5"/>
  <c r="BR463" i="5"/>
  <c r="BQ463" i="5"/>
  <c r="BM463" i="5"/>
  <c r="BK463" i="5"/>
  <c r="BJ463" i="5"/>
  <c r="BF463" i="5"/>
  <c r="BA463" i="5"/>
  <c r="BP463" i="5" s="1"/>
  <c r="AY463" i="5"/>
  <c r="BI463" i="5"/>
  <c r="BH463" i="5"/>
  <c r="BG463" i="5"/>
  <c r="BD463" i="5"/>
  <c r="AZ463" i="5"/>
  <c r="BE463" i="5"/>
  <c r="AV463" i="5"/>
  <c r="BO463" i="5" s="1"/>
  <c r="AU463" i="5"/>
  <c r="BN463" i="5" s="1"/>
  <c r="BX185" i="5"/>
  <c r="BX116" i="5"/>
  <c r="CK207" i="5"/>
  <c r="CF207" i="5"/>
  <c r="CI207" i="5"/>
  <c r="CC207" i="5"/>
  <c r="CE207" i="5"/>
  <c r="BV207" i="5"/>
  <c r="CD207" i="5"/>
  <c r="CA207" i="5"/>
  <c r="BW207" i="5"/>
  <c r="BY207" i="5"/>
  <c r="BU207" i="5"/>
  <c r="BT207" i="5"/>
  <c r="BS207" i="5"/>
  <c r="BR207" i="5"/>
  <c r="BQ207" i="5"/>
  <c r="BM207" i="5"/>
  <c r="BI207" i="5"/>
  <c r="BK207" i="5"/>
  <c r="BJ207" i="5"/>
  <c r="BF207" i="5"/>
  <c r="AY207" i="5"/>
  <c r="BH207" i="5"/>
  <c r="BE207" i="5"/>
  <c r="BG207" i="5"/>
  <c r="BD207" i="5"/>
  <c r="AZ207" i="5"/>
  <c r="BA207" i="5"/>
  <c r="BP207" i="5" s="1"/>
  <c r="AV207" i="5"/>
  <c r="BC207" i="5" s="1"/>
  <c r="AU207" i="5"/>
  <c r="BN207" i="5" s="1"/>
  <c r="BD273" i="5"/>
  <c r="BL289" i="5"/>
  <c r="CK80" i="5"/>
  <c r="CD80" i="5"/>
  <c r="CF80" i="5"/>
  <c r="CE80" i="5"/>
  <c r="CI80" i="5"/>
  <c r="BY80" i="5"/>
  <c r="CC80" i="5"/>
  <c r="CA80" i="5"/>
  <c r="BW80" i="5"/>
  <c r="BT80" i="5"/>
  <c r="BR80" i="5"/>
  <c r="BV80" i="5"/>
  <c r="BS80" i="5"/>
  <c r="BQ80" i="5"/>
  <c r="BU80" i="5"/>
  <c r="BM80" i="5"/>
  <c r="BH80" i="5"/>
  <c r="BF80" i="5"/>
  <c r="BJ80" i="5"/>
  <c r="BI80" i="5"/>
  <c r="BG80" i="5"/>
  <c r="BK80" i="5"/>
  <c r="BA80" i="5"/>
  <c r="BP80" i="5" s="1"/>
  <c r="BE80" i="5"/>
  <c r="BD80" i="5"/>
  <c r="AY80" i="5"/>
  <c r="AZ80" i="5"/>
  <c r="AU80" i="5"/>
  <c r="BB80" i="5" s="1"/>
  <c r="AV80" i="5"/>
  <c r="BO80" i="5" s="1"/>
  <c r="CK208" i="5"/>
  <c r="CG208" i="5"/>
  <c r="CH208" i="5"/>
  <c r="CD208" i="5"/>
  <c r="CF208" i="5"/>
  <c r="CJ208" i="5"/>
  <c r="CI208" i="5"/>
  <c r="CE208" i="5"/>
  <c r="CC208" i="5"/>
  <c r="CA208" i="5"/>
  <c r="BX208" i="5"/>
  <c r="BY208" i="5"/>
  <c r="BZ208" i="5"/>
  <c r="BW208" i="5"/>
  <c r="BT208" i="5"/>
  <c r="BR208" i="5"/>
  <c r="BV208" i="5"/>
  <c r="BS208" i="5"/>
  <c r="BQ208" i="5"/>
  <c r="BU208" i="5"/>
  <c r="BL208" i="5"/>
  <c r="BH208" i="5"/>
  <c r="BF208" i="5"/>
  <c r="BM208" i="5"/>
  <c r="BJ208" i="5"/>
  <c r="BI208" i="5"/>
  <c r="BG208" i="5"/>
  <c r="BK208" i="5"/>
  <c r="BA208" i="5"/>
  <c r="BP208" i="5" s="1"/>
  <c r="BE208" i="5"/>
  <c r="BD208" i="5"/>
  <c r="AY208" i="5"/>
  <c r="AZ208" i="5"/>
  <c r="AU208" i="5"/>
  <c r="BN208" i="5" s="1"/>
  <c r="AV208" i="5"/>
  <c r="BO208" i="5" s="1"/>
  <c r="CK336" i="5"/>
  <c r="CI336" i="5"/>
  <c r="CD336" i="5"/>
  <c r="CF336" i="5"/>
  <c r="CE336" i="5"/>
  <c r="CC336" i="5"/>
  <c r="CA336" i="5"/>
  <c r="BW336" i="5"/>
  <c r="BV336" i="5"/>
  <c r="BT336" i="5"/>
  <c r="BR336" i="5"/>
  <c r="BY336" i="5"/>
  <c r="BS336" i="5"/>
  <c r="BQ336" i="5"/>
  <c r="BU336" i="5"/>
  <c r="BH336" i="5"/>
  <c r="BF336" i="5"/>
  <c r="BM336" i="5"/>
  <c r="BJ336" i="5"/>
  <c r="BI336" i="5"/>
  <c r="BG336" i="5"/>
  <c r="BK336" i="5"/>
  <c r="BE336" i="5"/>
  <c r="BA336" i="5"/>
  <c r="BP336" i="5" s="1"/>
  <c r="BD336" i="5"/>
  <c r="AY336" i="5"/>
  <c r="AZ336" i="5"/>
  <c r="AU336" i="5"/>
  <c r="BN336" i="5" s="1"/>
  <c r="AV336" i="5"/>
  <c r="BC336" i="5" s="1"/>
  <c r="CI464" i="5"/>
  <c r="CK464" i="5"/>
  <c r="CD464" i="5"/>
  <c r="CF464" i="5"/>
  <c r="CE464" i="5"/>
  <c r="CC464" i="5"/>
  <c r="CA464" i="5"/>
  <c r="BW464" i="5"/>
  <c r="BT464" i="5"/>
  <c r="BR464" i="5"/>
  <c r="BY464" i="5"/>
  <c r="BS464" i="5"/>
  <c r="BQ464" i="5"/>
  <c r="BV464" i="5"/>
  <c r="BU464" i="5"/>
  <c r="BH464" i="5"/>
  <c r="BF464" i="5"/>
  <c r="BM464" i="5"/>
  <c r="BJ464" i="5"/>
  <c r="BI464" i="5"/>
  <c r="BG464" i="5"/>
  <c r="BK464" i="5"/>
  <c r="BE464" i="5"/>
  <c r="BD464" i="5"/>
  <c r="AY464" i="5"/>
  <c r="BA464" i="5"/>
  <c r="BP464" i="5" s="1"/>
  <c r="AZ464" i="5"/>
  <c r="AU464" i="5"/>
  <c r="BN464" i="5" s="1"/>
  <c r="AV464" i="5"/>
  <c r="BO464" i="5" s="1"/>
  <c r="CJ361" i="5"/>
  <c r="CF361" i="5"/>
  <c r="CI361" i="5"/>
  <c r="CG361" i="5"/>
  <c r="CK361" i="5"/>
  <c r="CE361" i="5"/>
  <c r="CH361" i="5"/>
  <c r="BZ361" i="5"/>
  <c r="BY361" i="5"/>
  <c r="CD361" i="5"/>
  <c r="CC361" i="5"/>
  <c r="CA361" i="5"/>
  <c r="BX361" i="5"/>
  <c r="BW361" i="5"/>
  <c r="BU361" i="5"/>
  <c r="BT361" i="5"/>
  <c r="BS361" i="5"/>
  <c r="BQ361" i="5"/>
  <c r="BM361" i="5"/>
  <c r="BV361" i="5"/>
  <c r="BR361" i="5"/>
  <c r="BL361" i="5"/>
  <c r="BK361" i="5"/>
  <c r="BJ361" i="5"/>
  <c r="BI361" i="5"/>
  <c r="BE361" i="5"/>
  <c r="BD361" i="5"/>
  <c r="BH361" i="5"/>
  <c r="BG361" i="5"/>
  <c r="BF361" i="5"/>
  <c r="BA361" i="5"/>
  <c r="BP361" i="5" s="1"/>
  <c r="AZ361" i="5"/>
  <c r="AY361" i="5"/>
  <c r="AU361" i="5"/>
  <c r="BN361" i="5" s="1"/>
  <c r="AV361" i="5"/>
  <c r="BC361" i="5" s="1"/>
  <c r="CI393" i="5"/>
  <c r="CF393" i="5"/>
  <c r="CK393" i="5"/>
  <c r="CE393" i="5"/>
  <c r="BY393" i="5"/>
  <c r="CC393" i="5"/>
  <c r="CD393" i="5"/>
  <c r="BW393" i="5"/>
  <c r="CA393" i="5"/>
  <c r="BV393" i="5"/>
  <c r="BT393" i="5"/>
  <c r="BS393" i="5"/>
  <c r="BQ393" i="5"/>
  <c r="BM393" i="5"/>
  <c r="BU393" i="5"/>
  <c r="BR393" i="5"/>
  <c r="BK393" i="5"/>
  <c r="BJ393" i="5"/>
  <c r="BI393" i="5"/>
  <c r="BF393" i="5"/>
  <c r="BE393" i="5"/>
  <c r="BD393" i="5"/>
  <c r="BH393" i="5"/>
  <c r="BG393" i="5"/>
  <c r="BA393" i="5"/>
  <c r="BP393" i="5" s="1"/>
  <c r="AY393" i="5"/>
  <c r="AZ393" i="5"/>
  <c r="AU393" i="5"/>
  <c r="BB393" i="5" s="1"/>
  <c r="AV393" i="5"/>
  <c r="BO393" i="5" s="1"/>
  <c r="CK425" i="5"/>
  <c r="CF425" i="5"/>
  <c r="CI425" i="5"/>
  <c r="CE425" i="5"/>
  <c r="CD425" i="5"/>
  <c r="BY425" i="5"/>
  <c r="CA425" i="5"/>
  <c r="BW425" i="5"/>
  <c r="CC425" i="5"/>
  <c r="BU425" i="5"/>
  <c r="BT425" i="5"/>
  <c r="BS425" i="5"/>
  <c r="BV425" i="5"/>
  <c r="BQ425" i="5"/>
  <c r="BM425" i="5"/>
  <c r="BR425" i="5"/>
  <c r="BK425" i="5"/>
  <c r="BJ425" i="5"/>
  <c r="BI425" i="5"/>
  <c r="BH425" i="5"/>
  <c r="BG425" i="5"/>
  <c r="BF425" i="5"/>
  <c r="BE425" i="5"/>
  <c r="BD425" i="5"/>
  <c r="BA425" i="5"/>
  <c r="BP425" i="5" s="1"/>
  <c r="AZ425" i="5"/>
  <c r="AY425" i="5"/>
  <c r="AU425" i="5"/>
  <c r="BN425" i="5" s="1"/>
  <c r="AV425" i="5"/>
  <c r="BC425" i="5" s="1"/>
  <c r="CF457" i="5"/>
  <c r="CK457" i="5"/>
  <c r="CI457" i="5"/>
  <c r="CE457" i="5"/>
  <c r="BY457" i="5"/>
  <c r="CD457" i="5"/>
  <c r="CC457" i="5"/>
  <c r="CA457" i="5"/>
  <c r="BW457" i="5"/>
  <c r="BT457" i="5"/>
  <c r="BS457" i="5"/>
  <c r="BU457" i="5"/>
  <c r="BQ457" i="5"/>
  <c r="BM457" i="5"/>
  <c r="BV457" i="5"/>
  <c r="BR457" i="5"/>
  <c r="BK457" i="5"/>
  <c r="BJ457" i="5"/>
  <c r="BI457" i="5"/>
  <c r="BH457" i="5"/>
  <c r="BG457" i="5"/>
  <c r="BD457" i="5"/>
  <c r="BF457" i="5"/>
  <c r="BE457" i="5"/>
  <c r="BA457" i="5"/>
  <c r="BP457" i="5" s="1"/>
  <c r="AZ457" i="5"/>
  <c r="AY457" i="5"/>
  <c r="AU457" i="5"/>
  <c r="BN457" i="5" s="1"/>
  <c r="AV457" i="5"/>
  <c r="BO457" i="5" s="1"/>
  <c r="CK489" i="5"/>
  <c r="CI489" i="5"/>
  <c r="CE489" i="5"/>
  <c r="CF489" i="5"/>
  <c r="BY489" i="5"/>
  <c r="CD489" i="5"/>
  <c r="CC489" i="5"/>
  <c r="BW489" i="5"/>
  <c r="CA489" i="5"/>
  <c r="BU489" i="5"/>
  <c r="BT489" i="5"/>
  <c r="BS489" i="5"/>
  <c r="BQ489" i="5"/>
  <c r="BM489" i="5"/>
  <c r="BV489" i="5"/>
  <c r="BR489" i="5"/>
  <c r="BK489" i="5"/>
  <c r="BJ489" i="5"/>
  <c r="BI489" i="5"/>
  <c r="BF489" i="5"/>
  <c r="BD489" i="5"/>
  <c r="BH489" i="5"/>
  <c r="BG489" i="5"/>
  <c r="BE489" i="5"/>
  <c r="BA489" i="5"/>
  <c r="BP489" i="5" s="1"/>
  <c r="AZ489" i="5"/>
  <c r="AY489" i="5"/>
  <c r="AU489" i="5"/>
  <c r="BN489" i="5" s="1"/>
  <c r="AV489" i="5"/>
  <c r="BC489" i="5" s="1"/>
  <c r="CJ521" i="5"/>
  <c r="CI521" i="5"/>
  <c r="CF521" i="5"/>
  <c r="CG521" i="5"/>
  <c r="CH521" i="5"/>
  <c r="CE521" i="5"/>
  <c r="CK521" i="5"/>
  <c r="BZ521" i="5"/>
  <c r="BY521" i="5"/>
  <c r="CD521" i="5"/>
  <c r="CC521" i="5"/>
  <c r="BW521" i="5"/>
  <c r="CA521" i="5"/>
  <c r="BX521" i="5"/>
  <c r="BT521" i="5"/>
  <c r="BS521" i="5"/>
  <c r="BV521" i="5"/>
  <c r="BQ521" i="5"/>
  <c r="BM521" i="5"/>
  <c r="BU521" i="5"/>
  <c r="BR521" i="5"/>
  <c r="BL521" i="5"/>
  <c r="BK521" i="5"/>
  <c r="BJ521" i="5"/>
  <c r="BI521" i="5"/>
  <c r="BF521" i="5"/>
  <c r="BD521" i="5"/>
  <c r="BH521" i="5"/>
  <c r="BG521" i="5"/>
  <c r="BE521" i="5"/>
  <c r="BA521" i="5"/>
  <c r="BP521" i="5" s="1"/>
  <c r="AY521" i="5"/>
  <c r="AV521" i="5"/>
  <c r="BC521" i="5" s="1"/>
  <c r="AZ521" i="5"/>
  <c r="AU521" i="5"/>
  <c r="BB521" i="5" s="1"/>
  <c r="CK553" i="5"/>
  <c r="CI553" i="5"/>
  <c r="CF553" i="5"/>
  <c r="CE553" i="5"/>
  <c r="CD553" i="5"/>
  <c r="BY553" i="5"/>
  <c r="CC553" i="5"/>
  <c r="CA553" i="5"/>
  <c r="BW553" i="5"/>
  <c r="BU553" i="5"/>
  <c r="BV553" i="5"/>
  <c r="BT553" i="5"/>
  <c r="BQ553" i="5"/>
  <c r="BM553" i="5"/>
  <c r="BS553" i="5"/>
  <c r="BR553" i="5"/>
  <c r="BK553" i="5"/>
  <c r="BJ553" i="5"/>
  <c r="BI553" i="5"/>
  <c r="BH553" i="5"/>
  <c r="BG553" i="5"/>
  <c r="BF553" i="5"/>
  <c r="BD553" i="5"/>
  <c r="BE553" i="5"/>
  <c r="BA553" i="5"/>
  <c r="BP553" i="5" s="1"/>
  <c r="AZ553" i="5"/>
  <c r="AY553" i="5"/>
  <c r="AV553" i="5"/>
  <c r="BC553" i="5" s="1"/>
  <c r="AU553" i="5"/>
  <c r="BB553" i="5" s="1"/>
  <c r="CK169" i="5"/>
  <c r="CI169" i="5"/>
  <c r="CF169" i="5"/>
  <c r="CE169" i="5"/>
  <c r="CD169" i="5"/>
  <c r="BY169" i="5"/>
  <c r="CC169" i="5"/>
  <c r="CA169" i="5"/>
  <c r="BW169" i="5"/>
  <c r="BT169" i="5"/>
  <c r="BV169" i="5"/>
  <c r="BU169" i="5"/>
  <c r="BS169" i="5"/>
  <c r="BQ169" i="5"/>
  <c r="BM169" i="5"/>
  <c r="BR169" i="5"/>
  <c r="BK169" i="5"/>
  <c r="BJ169" i="5"/>
  <c r="BI169" i="5"/>
  <c r="BH169" i="5"/>
  <c r="BG169" i="5"/>
  <c r="BF169" i="5"/>
  <c r="BE169" i="5"/>
  <c r="BD169" i="5"/>
  <c r="BA169" i="5"/>
  <c r="BP169" i="5" s="1"/>
  <c r="AY169" i="5"/>
  <c r="AZ169" i="5"/>
  <c r="AU169" i="5"/>
  <c r="BN169" i="5" s="1"/>
  <c r="AV169" i="5"/>
  <c r="BC169" i="5" s="1"/>
  <c r="CI329" i="5"/>
  <c r="CF329" i="5"/>
  <c r="CK329" i="5"/>
  <c r="CE329" i="5"/>
  <c r="BY329" i="5"/>
  <c r="CC329" i="5"/>
  <c r="CD329" i="5"/>
  <c r="BW329" i="5"/>
  <c r="CA329" i="5"/>
  <c r="BV329" i="5"/>
  <c r="BT329" i="5"/>
  <c r="BS329" i="5"/>
  <c r="BQ329" i="5"/>
  <c r="BM329" i="5"/>
  <c r="BU329" i="5"/>
  <c r="BR329" i="5"/>
  <c r="BK329" i="5"/>
  <c r="BJ329" i="5"/>
  <c r="BI329" i="5"/>
  <c r="BH329" i="5"/>
  <c r="BE329" i="5"/>
  <c r="BG329" i="5"/>
  <c r="BD329" i="5"/>
  <c r="BF329" i="5"/>
  <c r="BA329" i="5"/>
  <c r="BP329" i="5" s="1"/>
  <c r="AZ329" i="5"/>
  <c r="AY329" i="5"/>
  <c r="AU329" i="5"/>
  <c r="BB329" i="5" s="1"/>
  <c r="AV329" i="5"/>
  <c r="BO329" i="5" s="1"/>
  <c r="BB26" i="5"/>
  <c r="BB98" i="5"/>
  <c r="BZ98" i="5" s="1"/>
  <c r="BX98" i="5"/>
  <c r="BL130" i="5"/>
  <c r="BB218" i="5"/>
  <c r="BX242" i="5"/>
  <c r="BL298" i="5"/>
  <c r="BX370" i="5"/>
  <c r="BX402" i="5"/>
  <c r="BL418" i="5"/>
  <c r="BX434" i="5"/>
  <c r="BX458" i="5"/>
  <c r="CK37" i="5"/>
  <c r="CI37" i="5"/>
  <c r="CJ37" i="5"/>
  <c r="CG37" i="5"/>
  <c r="CF37" i="5"/>
  <c r="CH37" i="5"/>
  <c r="CE37" i="5"/>
  <c r="CD37" i="5"/>
  <c r="CA37" i="5"/>
  <c r="CC37" i="5"/>
  <c r="BT37" i="5"/>
  <c r="BX37" i="5"/>
  <c r="BY37" i="5"/>
  <c r="BZ37" i="5"/>
  <c r="BW37" i="5"/>
  <c r="BM37" i="5"/>
  <c r="BV37" i="5"/>
  <c r="BU37" i="5"/>
  <c r="BS37" i="5"/>
  <c r="BR37" i="5"/>
  <c r="BQ37" i="5"/>
  <c r="BJ37" i="5"/>
  <c r="BL37" i="5"/>
  <c r="BK37" i="5"/>
  <c r="BI37" i="5"/>
  <c r="BF37" i="5"/>
  <c r="BA37" i="5"/>
  <c r="BP37" i="5" s="1"/>
  <c r="BH37" i="5"/>
  <c r="BG37" i="5"/>
  <c r="BE37" i="5"/>
  <c r="BD37" i="5"/>
  <c r="AY37" i="5"/>
  <c r="AZ37" i="5"/>
  <c r="AU37" i="5"/>
  <c r="BB37" i="5" s="1"/>
  <c r="AV37" i="5"/>
  <c r="BO37" i="5" s="1"/>
  <c r="CI165" i="5"/>
  <c r="CK165" i="5"/>
  <c r="CF165" i="5"/>
  <c r="CE165" i="5"/>
  <c r="CD165" i="5"/>
  <c r="CA165" i="5"/>
  <c r="CC165" i="5"/>
  <c r="BT165" i="5"/>
  <c r="BY165" i="5"/>
  <c r="BW165" i="5"/>
  <c r="BV165" i="5"/>
  <c r="BS165" i="5"/>
  <c r="BU165" i="5"/>
  <c r="BR165" i="5"/>
  <c r="BM165" i="5"/>
  <c r="BQ165" i="5"/>
  <c r="BJ165" i="5"/>
  <c r="BI165" i="5"/>
  <c r="BK165" i="5"/>
  <c r="BF165" i="5"/>
  <c r="BA165" i="5"/>
  <c r="BP165" i="5" s="1"/>
  <c r="BH165" i="5"/>
  <c r="BG165" i="5"/>
  <c r="BE165" i="5"/>
  <c r="BD165" i="5"/>
  <c r="AY165" i="5"/>
  <c r="AZ165" i="5"/>
  <c r="AU165" i="5"/>
  <c r="BN165" i="5" s="1"/>
  <c r="AV165" i="5"/>
  <c r="BC165" i="5" s="1"/>
  <c r="CK293" i="5"/>
  <c r="CF293" i="5"/>
  <c r="CI293" i="5"/>
  <c r="CE293" i="5"/>
  <c r="CA293" i="5"/>
  <c r="CD293" i="5"/>
  <c r="CC293" i="5"/>
  <c r="BW293" i="5"/>
  <c r="BV293" i="5"/>
  <c r="BY293" i="5"/>
  <c r="BU293" i="5"/>
  <c r="BT293" i="5"/>
  <c r="BS293" i="5"/>
  <c r="BR293" i="5"/>
  <c r="BM293" i="5"/>
  <c r="BQ293" i="5"/>
  <c r="BJ293" i="5"/>
  <c r="BI293" i="5"/>
  <c r="BK293" i="5"/>
  <c r="BF293" i="5"/>
  <c r="BH293" i="5"/>
  <c r="BG293" i="5"/>
  <c r="BE293" i="5"/>
  <c r="BA293" i="5"/>
  <c r="BP293" i="5" s="1"/>
  <c r="BD293" i="5"/>
  <c r="AY293" i="5"/>
  <c r="AZ293" i="5"/>
  <c r="AU293" i="5"/>
  <c r="BB293" i="5" s="1"/>
  <c r="AV293" i="5"/>
  <c r="BO293" i="5" s="1"/>
  <c r="CI62" i="5"/>
  <c r="CF62" i="5"/>
  <c r="CG62" i="5"/>
  <c r="CE62" i="5"/>
  <c r="CJ62" i="5"/>
  <c r="CH62" i="5"/>
  <c r="CK62" i="5"/>
  <c r="CD62" i="5"/>
  <c r="BZ62" i="5"/>
  <c r="BY62" i="5"/>
  <c r="BW62" i="5"/>
  <c r="BU62" i="5"/>
  <c r="CC62" i="5"/>
  <c r="CA62" i="5"/>
  <c r="BV62" i="5"/>
  <c r="BX62" i="5"/>
  <c r="BS62" i="5"/>
  <c r="BQ62" i="5"/>
  <c r="BJ62" i="5"/>
  <c r="BT62" i="5"/>
  <c r="BK62" i="5"/>
  <c r="BL62" i="5"/>
  <c r="BR62" i="5"/>
  <c r="BD62" i="5"/>
  <c r="BM62" i="5"/>
  <c r="BI62" i="5"/>
  <c r="BE62" i="5"/>
  <c r="BA62" i="5"/>
  <c r="BP62" i="5" s="1"/>
  <c r="BH62" i="5"/>
  <c r="BG62" i="5"/>
  <c r="BF62" i="5"/>
  <c r="AV62" i="5"/>
  <c r="BC62" i="5" s="1"/>
  <c r="AU62" i="5"/>
  <c r="BB62" i="5" s="1"/>
  <c r="AZ62" i="5"/>
  <c r="AY62" i="5"/>
  <c r="CK142" i="5"/>
  <c r="CF142" i="5"/>
  <c r="CE142" i="5"/>
  <c r="CI142" i="5"/>
  <c r="BY142" i="5"/>
  <c r="CC142" i="5"/>
  <c r="BW142" i="5"/>
  <c r="BU142" i="5"/>
  <c r="CD142" i="5"/>
  <c r="CA142" i="5"/>
  <c r="BV142" i="5"/>
  <c r="BJ142" i="5"/>
  <c r="BT142" i="5"/>
  <c r="BS142" i="5"/>
  <c r="BQ142" i="5"/>
  <c r="BK142" i="5"/>
  <c r="BR142" i="5"/>
  <c r="BI142" i="5"/>
  <c r="BD142" i="5"/>
  <c r="BM142" i="5"/>
  <c r="BE142" i="5"/>
  <c r="BA142" i="5"/>
  <c r="BP142" i="5" s="1"/>
  <c r="BH142" i="5"/>
  <c r="BG142" i="5"/>
  <c r="BF142" i="5"/>
  <c r="AV142" i="5"/>
  <c r="BO142" i="5" s="1"/>
  <c r="AY142" i="5"/>
  <c r="AZ142" i="5"/>
  <c r="AU142" i="5"/>
  <c r="BB142" i="5" s="1"/>
  <c r="CK230" i="5"/>
  <c r="CI230" i="5"/>
  <c r="CF230" i="5"/>
  <c r="CE230" i="5"/>
  <c r="CD230" i="5"/>
  <c r="BY230" i="5"/>
  <c r="BW230" i="5"/>
  <c r="BU230" i="5"/>
  <c r="CA230" i="5"/>
  <c r="CC230" i="5"/>
  <c r="BT230" i="5"/>
  <c r="BV230" i="5"/>
  <c r="BR230" i="5"/>
  <c r="BJ230" i="5"/>
  <c r="BS230" i="5"/>
  <c r="BK230" i="5"/>
  <c r="BQ230" i="5"/>
  <c r="BM230" i="5"/>
  <c r="BD230" i="5"/>
  <c r="BI230" i="5"/>
  <c r="BG230" i="5"/>
  <c r="BE230" i="5"/>
  <c r="BA230" i="5"/>
  <c r="BP230" i="5" s="1"/>
  <c r="BH230" i="5"/>
  <c r="BF230" i="5"/>
  <c r="AZ230" i="5"/>
  <c r="AY230" i="5"/>
  <c r="AV230" i="5"/>
  <c r="BC230" i="5" s="1"/>
  <c r="AU230" i="5"/>
  <c r="BN230" i="5" s="1"/>
  <c r="CK310" i="5"/>
  <c r="CJ310" i="5"/>
  <c r="CI310" i="5"/>
  <c r="CF310" i="5"/>
  <c r="CH310" i="5"/>
  <c r="CG310" i="5"/>
  <c r="CE310" i="5"/>
  <c r="BZ310" i="5"/>
  <c r="BY310" i="5"/>
  <c r="CD310" i="5"/>
  <c r="BW310" i="5"/>
  <c r="BU310" i="5"/>
  <c r="CA310" i="5"/>
  <c r="CC310" i="5"/>
  <c r="BX310" i="5"/>
  <c r="BV310" i="5"/>
  <c r="BT310" i="5"/>
  <c r="BS310" i="5"/>
  <c r="BJ310" i="5"/>
  <c r="BR310" i="5"/>
  <c r="BK310" i="5"/>
  <c r="BM310" i="5"/>
  <c r="BQ310" i="5"/>
  <c r="BI310" i="5"/>
  <c r="BG310" i="5"/>
  <c r="BD310" i="5"/>
  <c r="BL310" i="5"/>
  <c r="BE310" i="5"/>
  <c r="BH310" i="5"/>
  <c r="BF310" i="5"/>
  <c r="BA310" i="5"/>
  <c r="BP310" i="5" s="1"/>
  <c r="AY310" i="5"/>
  <c r="AZ310" i="5"/>
  <c r="AV310" i="5"/>
  <c r="BC310" i="5" s="1"/>
  <c r="AU310" i="5"/>
  <c r="BB310" i="5" s="1"/>
  <c r="CK374" i="5"/>
  <c r="CI374" i="5"/>
  <c r="CF374" i="5"/>
  <c r="CE374" i="5"/>
  <c r="CD374" i="5"/>
  <c r="BY374" i="5"/>
  <c r="BW374" i="5"/>
  <c r="BU374" i="5"/>
  <c r="CA374" i="5"/>
  <c r="CC374" i="5"/>
  <c r="BV374" i="5"/>
  <c r="BT374" i="5"/>
  <c r="BS374" i="5"/>
  <c r="BJ374" i="5"/>
  <c r="BK374" i="5"/>
  <c r="BR374" i="5"/>
  <c r="BQ374" i="5"/>
  <c r="BM374" i="5"/>
  <c r="BI374" i="5"/>
  <c r="BG374" i="5"/>
  <c r="BD374" i="5"/>
  <c r="BE374" i="5"/>
  <c r="BH374" i="5"/>
  <c r="BF374" i="5"/>
  <c r="AY374" i="5"/>
  <c r="AV374" i="5"/>
  <c r="BC374" i="5" s="1"/>
  <c r="BA374" i="5"/>
  <c r="BP374" i="5" s="1"/>
  <c r="AZ374" i="5"/>
  <c r="AU374" i="5"/>
  <c r="BN374" i="5" s="1"/>
  <c r="CB4" i="5"/>
  <c r="BC43" i="5"/>
  <c r="BL324" i="5"/>
  <c r="BL427" i="5"/>
  <c r="BL249" i="5"/>
  <c r="BX249" i="5"/>
  <c r="CK96" i="5"/>
  <c r="CJ96" i="5"/>
  <c r="CI96" i="5"/>
  <c r="CH96" i="5"/>
  <c r="CD96" i="5"/>
  <c r="CG96" i="5"/>
  <c r="CC96" i="5"/>
  <c r="CF96" i="5"/>
  <c r="CA96" i="5"/>
  <c r="CE96" i="5"/>
  <c r="BZ96" i="5"/>
  <c r="BY96" i="5"/>
  <c r="BX96" i="5"/>
  <c r="BW96" i="5"/>
  <c r="BR96" i="5"/>
  <c r="BV96" i="5"/>
  <c r="BT96" i="5"/>
  <c r="BS96" i="5"/>
  <c r="BQ96" i="5"/>
  <c r="BU96" i="5"/>
  <c r="BM96" i="5"/>
  <c r="BJ96" i="5"/>
  <c r="BH96" i="5"/>
  <c r="BF96" i="5"/>
  <c r="BI96" i="5"/>
  <c r="BG96" i="5"/>
  <c r="BL96" i="5"/>
  <c r="BK96" i="5"/>
  <c r="BE96" i="5"/>
  <c r="BA96" i="5"/>
  <c r="BP96" i="5" s="1"/>
  <c r="BD96" i="5"/>
  <c r="AY96" i="5"/>
  <c r="AZ96" i="5"/>
  <c r="AU96" i="5"/>
  <c r="BN96" i="5" s="1"/>
  <c r="AV96" i="5"/>
  <c r="BO96" i="5" s="1"/>
  <c r="CJ224" i="5"/>
  <c r="CK224" i="5"/>
  <c r="CG224" i="5"/>
  <c r="CH224" i="5"/>
  <c r="CD224" i="5"/>
  <c r="CI224" i="5"/>
  <c r="CF224" i="5"/>
  <c r="CE224" i="5"/>
  <c r="CC224" i="5"/>
  <c r="BX224" i="5"/>
  <c r="CA224" i="5"/>
  <c r="BZ224" i="5"/>
  <c r="BY224" i="5"/>
  <c r="BW224" i="5"/>
  <c r="BR224" i="5"/>
  <c r="BV224" i="5"/>
  <c r="BT224" i="5"/>
  <c r="BS224" i="5"/>
  <c r="BQ224" i="5"/>
  <c r="BU224" i="5"/>
  <c r="BM224" i="5"/>
  <c r="BJ224" i="5"/>
  <c r="BH224" i="5"/>
  <c r="BF224" i="5"/>
  <c r="BI224" i="5"/>
  <c r="BG224" i="5"/>
  <c r="BL224" i="5"/>
  <c r="BK224" i="5"/>
  <c r="BE224" i="5"/>
  <c r="BA224" i="5"/>
  <c r="BP224" i="5" s="1"/>
  <c r="BD224" i="5"/>
  <c r="AY224" i="5"/>
  <c r="AZ224" i="5"/>
  <c r="AU224" i="5"/>
  <c r="BN224" i="5" s="1"/>
  <c r="AV224" i="5"/>
  <c r="BO224" i="5" s="1"/>
  <c r="CK352" i="5"/>
  <c r="CD352" i="5"/>
  <c r="CI352" i="5"/>
  <c r="CC352" i="5"/>
  <c r="CF352" i="5"/>
  <c r="CE352" i="5"/>
  <c r="CA352" i="5"/>
  <c r="BY352" i="5"/>
  <c r="BT352" i="5"/>
  <c r="BR352" i="5"/>
  <c r="BW352" i="5"/>
  <c r="BS352" i="5"/>
  <c r="BQ352" i="5"/>
  <c r="BV352" i="5"/>
  <c r="BU352" i="5"/>
  <c r="BM352" i="5"/>
  <c r="BJ352" i="5"/>
  <c r="BH352" i="5"/>
  <c r="BF352" i="5"/>
  <c r="BI352" i="5"/>
  <c r="BG352" i="5"/>
  <c r="BK352" i="5"/>
  <c r="BE352" i="5"/>
  <c r="BA352" i="5"/>
  <c r="BP352" i="5" s="1"/>
  <c r="BD352" i="5"/>
  <c r="AZ352" i="5"/>
  <c r="AY352" i="5"/>
  <c r="AU352" i="5"/>
  <c r="BN352" i="5" s="1"/>
  <c r="AV352" i="5"/>
  <c r="BO352" i="5" s="1"/>
  <c r="CJ480" i="5"/>
  <c r="CK480" i="5"/>
  <c r="CI480" i="5"/>
  <c r="CH480" i="5"/>
  <c r="CD480" i="5"/>
  <c r="CF480" i="5"/>
  <c r="CC480" i="5"/>
  <c r="CG480" i="5"/>
  <c r="CE480" i="5"/>
  <c r="CA480" i="5"/>
  <c r="BY480" i="5"/>
  <c r="BZ480" i="5"/>
  <c r="BX480" i="5"/>
  <c r="BT480" i="5"/>
  <c r="BR480" i="5"/>
  <c r="BW480" i="5"/>
  <c r="BS480" i="5"/>
  <c r="BQ480" i="5"/>
  <c r="BV480" i="5"/>
  <c r="BU480" i="5"/>
  <c r="BM480" i="5"/>
  <c r="BJ480" i="5"/>
  <c r="BH480" i="5"/>
  <c r="BI480" i="5"/>
  <c r="BG480" i="5"/>
  <c r="BL480" i="5"/>
  <c r="BK480" i="5"/>
  <c r="BF480" i="5"/>
  <c r="BE480" i="5"/>
  <c r="BD480" i="5"/>
  <c r="AZ480" i="5"/>
  <c r="AY480" i="5"/>
  <c r="BA480" i="5"/>
  <c r="BP480" i="5" s="1"/>
  <c r="AU480" i="5"/>
  <c r="BB480" i="5" s="1"/>
  <c r="AV480" i="5"/>
  <c r="BC480" i="5" s="1"/>
  <c r="CK111" i="5"/>
  <c r="CF111" i="5"/>
  <c r="CI111" i="5"/>
  <c r="CC111" i="5"/>
  <c r="BV111" i="5"/>
  <c r="CE111" i="5"/>
  <c r="CD111" i="5"/>
  <c r="BW111" i="5"/>
  <c r="BY111" i="5"/>
  <c r="CA111" i="5"/>
  <c r="BU111" i="5"/>
  <c r="BT111" i="5"/>
  <c r="BS111" i="5"/>
  <c r="BR111" i="5"/>
  <c r="BQ111" i="5"/>
  <c r="BJ111" i="5"/>
  <c r="BI111" i="5"/>
  <c r="BM111" i="5"/>
  <c r="BK111" i="5"/>
  <c r="BF111" i="5"/>
  <c r="BH111" i="5"/>
  <c r="BG111" i="5"/>
  <c r="AY111" i="5"/>
  <c r="BE111" i="5"/>
  <c r="BD111" i="5"/>
  <c r="AZ111" i="5"/>
  <c r="BA111" i="5"/>
  <c r="BP111" i="5" s="1"/>
  <c r="AV111" i="5"/>
  <c r="BC111" i="5" s="1"/>
  <c r="AU111" i="5"/>
  <c r="BB111" i="5" s="1"/>
  <c r="CK239" i="5"/>
  <c r="CF239" i="5"/>
  <c r="CC239" i="5"/>
  <c r="CI239" i="5"/>
  <c r="BV239" i="5"/>
  <c r="CD239" i="5"/>
  <c r="CE239" i="5"/>
  <c r="CA239" i="5"/>
  <c r="BW239" i="5"/>
  <c r="BY239" i="5"/>
  <c r="BT239" i="5"/>
  <c r="BU239" i="5"/>
  <c r="BS239" i="5"/>
  <c r="BR239" i="5"/>
  <c r="BQ239" i="5"/>
  <c r="BJ239" i="5"/>
  <c r="BI239" i="5"/>
  <c r="BM239" i="5"/>
  <c r="BK239" i="5"/>
  <c r="BF239" i="5"/>
  <c r="BH239" i="5"/>
  <c r="BG239" i="5"/>
  <c r="AY239" i="5"/>
  <c r="BE239" i="5"/>
  <c r="BD239" i="5"/>
  <c r="AZ239" i="5"/>
  <c r="BA239" i="5"/>
  <c r="BP239" i="5" s="1"/>
  <c r="AV239" i="5"/>
  <c r="BC239" i="5" s="1"/>
  <c r="AU239" i="5"/>
  <c r="BN239" i="5" s="1"/>
  <c r="CK340" i="5"/>
  <c r="CI340" i="5"/>
  <c r="CE340" i="5"/>
  <c r="CC340" i="5"/>
  <c r="CF340" i="5"/>
  <c r="CD340" i="5"/>
  <c r="CA340" i="5"/>
  <c r="BW340" i="5"/>
  <c r="BY340" i="5"/>
  <c r="BS340" i="5"/>
  <c r="BQ340" i="5"/>
  <c r="BV340" i="5"/>
  <c r="BU340" i="5"/>
  <c r="BT340" i="5"/>
  <c r="BR340" i="5"/>
  <c r="BI340" i="5"/>
  <c r="BG340" i="5"/>
  <c r="BH340" i="5"/>
  <c r="BF340" i="5"/>
  <c r="BK340" i="5"/>
  <c r="BJ340" i="5"/>
  <c r="BM340" i="5"/>
  <c r="BE340" i="5"/>
  <c r="BD340" i="5"/>
  <c r="BA340" i="5"/>
  <c r="BP340" i="5" s="1"/>
  <c r="AZ340" i="5"/>
  <c r="AY340" i="5"/>
  <c r="AV340" i="5"/>
  <c r="BC340" i="5" s="1"/>
  <c r="AU340" i="5"/>
  <c r="BN340" i="5" s="1"/>
  <c r="CK456" i="5"/>
  <c r="CI456" i="5"/>
  <c r="CF456" i="5"/>
  <c r="CD456" i="5"/>
  <c r="CE456" i="5"/>
  <c r="CC456" i="5"/>
  <c r="BV456" i="5"/>
  <c r="CA456" i="5"/>
  <c r="BW456" i="5"/>
  <c r="BY456" i="5"/>
  <c r="BT456" i="5"/>
  <c r="BR456" i="5"/>
  <c r="BS456" i="5"/>
  <c r="BQ456" i="5"/>
  <c r="BU456" i="5"/>
  <c r="BH456" i="5"/>
  <c r="BF456" i="5"/>
  <c r="BI456" i="5"/>
  <c r="BG456" i="5"/>
  <c r="BM456" i="5"/>
  <c r="BK456" i="5"/>
  <c r="BJ456" i="5"/>
  <c r="BE456" i="5"/>
  <c r="BD456" i="5"/>
  <c r="BA456" i="5"/>
  <c r="BP456" i="5" s="1"/>
  <c r="AZ456" i="5"/>
  <c r="AY456" i="5"/>
  <c r="AU456" i="5"/>
  <c r="BB456" i="5" s="1"/>
  <c r="AV456" i="5"/>
  <c r="BC456" i="5" s="1"/>
  <c r="CK48" i="5"/>
  <c r="CI48" i="5"/>
  <c r="CD48" i="5"/>
  <c r="CE48" i="5"/>
  <c r="CF48" i="5"/>
  <c r="CA48" i="5"/>
  <c r="BT48" i="5"/>
  <c r="CC48" i="5"/>
  <c r="BV48" i="5"/>
  <c r="BU48" i="5"/>
  <c r="BR48" i="5"/>
  <c r="BY48" i="5"/>
  <c r="BW48" i="5"/>
  <c r="BS48" i="5"/>
  <c r="BQ48" i="5"/>
  <c r="BH48" i="5"/>
  <c r="BF48" i="5"/>
  <c r="BJ48" i="5"/>
  <c r="BG48" i="5"/>
  <c r="BM48" i="5"/>
  <c r="BK48" i="5"/>
  <c r="BI48" i="5"/>
  <c r="BA48" i="5"/>
  <c r="BP48" i="5" s="1"/>
  <c r="BE48" i="5"/>
  <c r="BD48" i="5"/>
  <c r="AZ48" i="5"/>
  <c r="AY48" i="5"/>
  <c r="AU48" i="5"/>
  <c r="BN48" i="5" s="1"/>
  <c r="AV48" i="5"/>
  <c r="BO48" i="5" s="1"/>
  <c r="CK176" i="5"/>
  <c r="CI176" i="5"/>
  <c r="CD176" i="5"/>
  <c r="CE176" i="5"/>
  <c r="CF176" i="5"/>
  <c r="CA176" i="5"/>
  <c r="CC176" i="5"/>
  <c r="BV176" i="5"/>
  <c r="BY176" i="5"/>
  <c r="BU176" i="5"/>
  <c r="BT176" i="5"/>
  <c r="BR176" i="5"/>
  <c r="BW176" i="5"/>
  <c r="BS176" i="5"/>
  <c r="BQ176" i="5"/>
  <c r="BH176" i="5"/>
  <c r="BF176" i="5"/>
  <c r="BM176" i="5"/>
  <c r="BJ176" i="5"/>
  <c r="BI176" i="5"/>
  <c r="BG176" i="5"/>
  <c r="BK176" i="5"/>
  <c r="BA176" i="5"/>
  <c r="BP176" i="5" s="1"/>
  <c r="BE176" i="5"/>
  <c r="BD176" i="5"/>
  <c r="AZ176" i="5"/>
  <c r="AY176" i="5"/>
  <c r="AU176" i="5"/>
  <c r="BN176" i="5" s="1"/>
  <c r="AV176" i="5"/>
  <c r="BO176" i="5" s="1"/>
  <c r="CH304" i="5"/>
  <c r="CJ304" i="5"/>
  <c r="CI304" i="5"/>
  <c r="CG304" i="5"/>
  <c r="CD304" i="5"/>
  <c r="CK304" i="5"/>
  <c r="CE304" i="5"/>
  <c r="CF304" i="5"/>
  <c r="CA304" i="5"/>
  <c r="CC304" i="5"/>
  <c r="BZ304" i="5"/>
  <c r="BY304" i="5"/>
  <c r="BW304" i="5"/>
  <c r="BU304" i="5"/>
  <c r="BT304" i="5"/>
  <c r="BR304" i="5"/>
  <c r="BX304" i="5"/>
  <c r="BS304" i="5"/>
  <c r="BQ304" i="5"/>
  <c r="BV304" i="5"/>
  <c r="BH304" i="5"/>
  <c r="BF304" i="5"/>
  <c r="BM304" i="5"/>
  <c r="BJ304" i="5"/>
  <c r="BI304" i="5"/>
  <c r="BG304" i="5"/>
  <c r="BL304" i="5"/>
  <c r="BK304" i="5"/>
  <c r="BE304" i="5"/>
  <c r="BD304" i="5"/>
  <c r="BA304" i="5"/>
  <c r="BP304" i="5" s="1"/>
  <c r="AZ304" i="5"/>
  <c r="AY304" i="5"/>
  <c r="AU304" i="5"/>
  <c r="BN304" i="5" s="1"/>
  <c r="AV304" i="5"/>
  <c r="BO304" i="5" s="1"/>
  <c r="CK432" i="5"/>
  <c r="CJ432" i="5"/>
  <c r="CI432" i="5"/>
  <c r="CD432" i="5"/>
  <c r="CF432" i="5"/>
  <c r="CG432" i="5"/>
  <c r="CH432" i="5"/>
  <c r="CE432" i="5"/>
  <c r="CA432" i="5"/>
  <c r="CC432" i="5"/>
  <c r="BX432" i="5"/>
  <c r="BW432" i="5"/>
  <c r="BU432" i="5"/>
  <c r="BT432" i="5"/>
  <c r="BR432" i="5"/>
  <c r="BZ432" i="5"/>
  <c r="BY432" i="5"/>
  <c r="BS432" i="5"/>
  <c r="BQ432" i="5"/>
  <c r="BV432" i="5"/>
  <c r="BL432" i="5"/>
  <c r="BH432" i="5"/>
  <c r="BF432" i="5"/>
  <c r="BM432" i="5"/>
  <c r="BJ432" i="5"/>
  <c r="BI432" i="5"/>
  <c r="BG432" i="5"/>
  <c r="BK432" i="5"/>
  <c r="BE432" i="5"/>
  <c r="BD432" i="5"/>
  <c r="BA432" i="5"/>
  <c r="BP432" i="5" s="1"/>
  <c r="AZ432" i="5"/>
  <c r="AY432" i="5"/>
  <c r="AU432" i="5"/>
  <c r="BN432" i="5" s="1"/>
  <c r="AV432" i="5"/>
  <c r="BO432" i="5" s="1"/>
  <c r="BD153" i="5"/>
  <c r="CK127" i="5"/>
  <c r="CC127" i="5"/>
  <c r="CI127" i="5"/>
  <c r="CF127" i="5"/>
  <c r="CE127" i="5"/>
  <c r="CD127" i="5"/>
  <c r="BV127" i="5"/>
  <c r="CA127" i="5"/>
  <c r="BW127" i="5"/>
  <c r="BY127" i="5"/>
  <c r="BU127" i="5"/>
  <c r="BS127" i="5"/>
  <c r="BR127" i="5"/>
  <c r="BT127" i="5"/>
  <c r="BQ127" i="5"/>
  <c r="BK127" i="5"/>
  <c r="BI127" i="5"/>
  <c r="BJ127" i="5"/>
  <c r="BF127" i="5"/>
  <c r="BM127" i="5"/>
  <c r="BH127" i="5"/>
  <c r="BG127" i="5"/>
  <c r="BE127" i="5"/>
  <c r="BD127" i="5"/>
  <c r="AY127" i="5"/>
  <c r="AZ127" i="5"/>
  <c r="BA127" i="5"/>
  <c r="BP127" i="5" s="1"/>
  <c r="AV127" i="5"/>
  <c r="BC127" i="5" s="1"/>
  <c r="AU127" i="5"/>
  <c r="BN127" i="5" s="1"/>
  <c r="CK255" i="5"/>
  <c r="CI255" i="5"/>
  <c r="CC255" i="5"/>
  <c r="CE255" i="5"/>
  <c r="CD255" i="5"/>
  <c r="CF255" i="5"/>
  <c r="BV255" i="5"/>
  <c r="CA255" i="5"/>
  <c r="BW255" i="5"/>
  <c r="BY255" i="5"/>
  <c r="BU255" i="5"/>
  <c r="BS255" i="5"/>
  <c r="BR255" i="5"/>
  <c r="BT255" i="5"/>
  <c r="BQ255" i="5"/>
  <c r="BK255" i="5"/>
  <c r="BI255" i="5"/>
  <c r="BJ255" i="5"/>
  <c r="BF255" i="5"/>
  <c r="BM255" i="5"/>
  <c r="BH255" i="5"/>
  <c r="BG255" i="5"/>
  <c r="BE255" i="5"/>
  <c r="BD255" i="5"/>
  <c r="AY255" i="5"/>
  <c r="AZ255" i="5"/>
  <c r="BA255" i="5"/>
  <c r="BP255" i="5" s="1"/>
  <c r="AV255" i="5"/>
  <c r="BO255" i="5" s="1"/>
  <c r="AU255" i="5"/>
  <c r="BB255" i="5" s="1"/>
  <c r="CK383" i="5"/>
  <c r="CI383" i="5"/>
  <c r="CE383" i="5"/>
  <c r="CC383" i="5"/>
  <c r="CF383" i="5"/>
  <c r="CD383" i="5"/>
  <c r="BV383" i="5"/>
  <c r="CA383" i="5"/>
  <c r="BW383" i="5"/>
  <c r="BY383" i="5"/>
  <c r="BU383" i="5"/>
  <c r="BT383" i="5"/>
  <c r="BS383" i="5"/>
  <c r="BR383" i="5"/>
  <c r="BQ383" i="5"/>
  <c r="BK383" i="5"/>
  <c r="BI383" i="5"/>
  <c r="BJ383" i="5"/>
  <c r="BF383" i="5"/>
  <c r="BM383" i="5"/>
  <c r="BH383" i="5"/>
  <c r="BG383" i="5"/>
  <c r="BE383" i="5"/>
  <c r="BD383" i="5"/>
  <c r="BA383" i="5"/>
  <c r="BP383" i="5" s="1"/>
  <c r="AY383" i="5"/>
  <c r="AZ383" i="5"/>
  <c r="AV383" i="5"/>
  <c r="BC383" i="5" s="1"/>
  <c r="AU383" i="5"/>
  <c r="BB383" i="5" s="1"/>
  <c r="CF484" i="5"/>
  <c r="CE484" i="5"/>
  <c r="CC484" i="5"/>
  <c r="CK484" i="5"/>
  <c r="CI484" i="5"/>
  <c r="CD484" i="5"/>
  <c r="BW484" i="5"/>
  <c r="CA484" i="5"/>
  <c r="BS484" i="5"/>
  <c r="BQ484" i="5"/>
  <c r="BY484" i="5"/>
  <c r="BV484" i="5"/>
  <c r="BT484" i="5"/>
  <c r="BR484" i="5"/>
  <c r="BU484" i="5"/>
  <c r="BI484" i="5"/>
  <c r="BG484" i="5"/>
  <c r="BH484" i="5"/>
  <c r="BM484" i="5"/>
  <c r="BK484" i="5"/>
  <c r="BJ484" i="5"/>
  <c r="BF484" i="5"/>
  <c r="BD484" i="5"/>
  <c r="BE484" i="5"/>
  <c r="BA484" i="5"/>
  <c r="BP484" i="5" s="1"/>
  <c r="AZ484" i="5"/>
  <c r="AY484" i="5"/>
  <c r="AV484" i="5"/>
  <c r="BO484" i="5" s="1"/>
  <c r="AU484" i="5"/>
  <c r="BN484" i="5" s="1"/>
  <c r="BC141" i="5"/>
  <c r="BX173" i="5"/>
  <c r="BL181" i="5"/>
  <c r="CK357" i="5"/>
  <c r="CI357" i="5"/>
  <c r="CE357" i="5"/>
  <c r="CF357" i="5"/>
  <c r="CA357" i="5"/>
  <c r="CC357" i="5"/>
  <c r="CD357" i="5"/>
  <c r="BW357" i="5"/>
  <c r="BY357" i="5"/>
  <c r="BV357" i="5"/>
  <c r="BU357" i="5"/>
  <c r="BT357" i="5"/>
  <c r="BS357" i="5"/>
  <c r="BR357" i="5"/>
  <c r="BM357" i="5"/>
  <c r="BQ357" i="5"/>
  <c r="BJ357" i="5"/>
  <c r="BK357" i="5"/>
  <c r="BI357" i="5"/>
  <c r="BF357" i="5"/>
  <c r="BH357" i="5"/>
  <c r="BG357" i="5"/>
  <c r="BE357" i="5"/>
  <c r="BD357" i="5"/>
  <c r="BA357" i="5"/>
  <c r="BP357" i="5" s="1"/>
  <c r="AZ357" i="5"/>
  <c r="AY357" i="5"/>
  <c r="AU357" i="5"/>
  <c r="BN357" i="5" s="1"/>
  <c r="AV357" i="5"/>
  <c r="BO357" i="5" s="1"/>
  <c r="CK389" i="5"/>
  <c r="CI389" i="5"/>
  <c r="CE389" i="5"/>
  <c r="CF389" i="5"/>
  <c r="CA389" i="5"/>
  <c r="CD389" i="5"/>
  <c r="CC389" i="5"/>
  <c r="BU389" i="5"/>
  <c r="BY389" i="5"/>
  <c r="BW389" i="5"/>
  <c r="BT389" i="5"/>
  <c r="BS389" i="5"/>
  <c r="BV389" i="5"/>
  <c r="BR389" i="5"/>
  <c r="BM389" i="5"/>
  <c r="BQ389" i="5"/>
  <c r="BJ389" i="5"/>
  <c r="BK389" i="5"/>
  <c r="BI389" i="5"/>
  <c r="BF389" i="5"/>
  <c r="BH389" i="5"/>
  <c r="BG389" i="5"/>
  <c r="BE389" i="5"/>
  <c r="BD389" i="5"/>
  <c r="BA389" i="5"/>
  <c r="BP389" i="5" s="1"/>
  <c r="AZ389" i="5"/>
  <c r="AY389" i="5"/>
  <c r="AU389" i="5"/>
  <c r="BB389" i="5" s="1"/>
  <c r="AV389" i="5"/>
  <c r="BC389" i="5" s="1"/>
  <c r="CK421" i="5"/>
  <c r="CI421" i="5"/>
  <c r="CF421" i="5"/>
  <c r="CE421" i="5"/>
  <c r="CA421" i="5"/>
  <c r="CC421" i="5"/>
  <c r="CD421" i="5"/>
  <c r="BW421" i="5"/>
  <c r="BY421" i="5"/>
  <c r="BV421" i="5"/>
  <c r="BU421" i="5"/>
  <c r="BT421" i="5"/>
  <c r="BS421" i="5"/>
  <c r="BR421" i="5"/>
  <c r="BM421" i="5"/>
  <c r="BQ421" i="5"/>
  <c r="BJ421" i="5"/>
  <c r="BI421" i="5"/>
  <c r="BK421" i="5"/>
  <c r="BF421" i="5"/>
  <c r="BH421" i="5"/>
  <c r="BG421" i="5"/>
  <c r="BE421" i="5"/>
  <c r="BD421" i="5"/>
  <c r="AY421" i="5"/>
  <c r="BA421" i="5"/>
  <c r="BP421" i="5" s="1"/>
  <c r="AZ421" i="5"/>
  <c r="AU421" i="5"/>
  <c r="BB421" i="5" s="1"/>
  <c r="AV421" i="5"/>
  <c r="BC421" i="5" s="1"/>
  <c r="CJ453" i="5"/>
  <c r="CK453" i="5"/>
  <c r="CI453" i="5"/>
  <c r="CG453" i="5"/>
  <c r="CH453" i="5"/>
  <c r="CF453" i="5"/>
  <c r="CE453" i="5"/>
  <c r="CD453" i="5"/>
  <c r="CA453" i="5"/>
  <c r="CC453" i="5"/>
  <c r="BZ453" i="5"/>
  <c r="BY453" i="5"/>
  <c r="BX453" i="5"/>
  <c r="BW453" i="5"/>
  <c r="BU453" i="5"/>
  <c r="BT453" i="5"/>
  <c r="BV453" i="5"/>
  <c r="BS453" i="5"/>
  <c r="BR453" i="5"/>
  <c r="BM453" i="5"/>
  <c r="BQ453" i="5"/>
  <c r="BJ453" i="5"/>
  <c r="BK453" i="5"/>
  <c r="BL453" i="5"/>
  <c r="BF453" i="5"/>
  <c r="BH453" i="5"/>
  <c r="BG453" i="5"/>
  <c r="BI453" i="5"/>
  <c r="BE453" i="5"/>
  <c r="BD453" i="5"/>
  <c r="BA453" i="5"/>
  <c r="BP453" i="5" s="1"/>
  <c r="AZ453" i="5"/>
  <c r="AY453" i="5"/>
  <c r="AU453" i="5"/>
  <c r="BN453" i="5" s="1"/>
  <c r="AV453" i="5"/>
  <c r="BO453" i="5" s="1"/>
  <c r="CI485" i="5"/>
  <c r="CK485" i="5"/>
  <c r="CF485" i="5"/>
  <c r="CE485" i="5"/>
  <c r="CA485" i="5"/>
  <c r="CC485" i="5"/>
  <c r="CD485" i="5"/>
  <c r="BW485" i="5"/>
  <c r="BY485" i="5"/>
  <c r="BV485" i="5"/>
  <c r="BT485" i="5"/>
  <c r="BU485" i="5"/>
  <c r="BS485" i="5"/>
  <c r="BR485" i="5"/>
  <c r="BM485" i="5"/>
  <c r="BQ485" i="5"/>
  <c r="BJ485" i="5"/>
  <c r="BK485" i="5"/>
  <c r="BI485" i="5"/>
  <c r="BH485" i="5"/>
  <c r="BG485" i="5"/>
  <c r="BF485" i="5"/>
  <c r="BE485" i="5"/>
  <c r="BD485" i="5"/>
  <c r="AZ485" i="5"/>
  <c r="BA485" i="5"/>
  <c r="BP485" i="5" s="1"/>
  <c r="AY485" i="5"/>
  <c r="AU485" i="5"/>
  <c r="BN485" i="5" s="1"/>
  <c r="AV485" i="5"/>
  <c r="BO485" i="5" s="1"/>
  <c r="CI517" i="5"/>
  <c r="CK517" i="5"/>
  <c r="CF517" i="5"/>
  <c r="CE517" i="5"/>
  <c r="CA517" i="5"/>
  <c r="CD517" i="5"/>
  <c r="CC517" i="5"/>
  <c r="BY517" i="5"/>
  <c r="BU517" i="5"/>
  <c r="BW517" i="5"/>
  <c r="BV517" i="5"/>
  <c r="BT517" i="5"/>
  <c r="BS517" i="5"/>
  <c r="BR517" i="5"/>
  <c r="BM517" i="5"/>
  <c r="BQ517" i="5"/>
  <c r="BJ517" i="5"/>
  <c r="BK517" i="5"/>
  <c r="BI517" i="5"/>
  <c r="BH517" i="5"/>
  <c r="BG517" i="5"/>
  <c r="BF517" i="5"/>
  <c r="BE517" i="5"/>
  <c r="BD517" i="5"/>
  <c r="BA517" i="5"/>
  <c r="BP517" i="5" s="1"/>
  <c r="AZ517" i="5"/>
  <c r="AY517" i="5"/>
  <c r="AU517" i="5"/>
  <c r="BN517" i="5" s="1"/>
  <c r="AV517" i="5"/>
  <c r="BC517" i="5" s="1"/>
  <c r="CI549" i="5"/>
  <c r="CK549" i="5"/>
  <c r="CF549" i="5"/>
  <c r="CE549" i="5"/>
  <c r="CA549" i="5"/>
  <c r="CD549" i="5"/>
  <c r="CC549" i="5"/>
  <c r="BW549" i="5"/>
  <c r="BY549" i="5"/>
  <c r="BU549" i="5"/>
  <c r="BT549" i="5"/>
  <c r="BV549" i="5"/>
  <c r="BS549" i="5"/>
  <c r="BR549" i="5"/>
  <c r="BM549" i="5"/>
  <c r="BQ549" i="5"/>
  <c r="BJ549" i="5"/>
  <c r="BK549" i="5"/>
  <c r="BI549" i="5"/>
  <c r="BH549" i="5"/>
  <c r="BF549" i="5"/>
  <c r="BG549" i="5"/>
  <c r="BE549" i="5"/>
  <c r="BD549" i="5"/>
  <c r="AY549" i="5"/>
  <c r="BA549" i="5"/>
  <c r="BP549" i="5" s="1"/>
  <c r="AZ549" i="5"/>
  <c r="AV549" i="5"/>
  <c r="BC549" i="5" s="1"/>
  <c r="AU549" i="5"/>
  <c r="BB549" i="5" s="1"/>
  <c r="BL54" i="5"/>
  <c r="BX398" i="5"/>
  <c r="BL217" i="5"/>
  <c r="BX217" i="5"/>
  <c r="BL225" i="5"/>
  <c r="CK167" i="5"/>
  <c r="CE167" i="5"/>
  <c r="CC167" i="5"/>
  <c r="CF167" i="5"/>
  <c r="BV167" i="5"/>
  <c r="CI167" i="5"/>
  <c r="CD167" i="5"/>
  <c r="BU167" i="5"/>
  <c r="BY167" i="5"/>
  <c r="CA167" i="5"/>
  <c r="BW167" i="5"/>
  <c r="BS167" i="5"/>
  <c r="BT167" i="5"/>
  <c r="BR167" i="5"/>
  <c r="BQ167" i="5"/>
  <c r="BK167" i="5"/>
  <c r="BM167" i="5"/>
  <c r="BI167" i="5"/>
  <c r="BJ167" i="5"/>
  <c r="BH167" i="5"/>
  <c r="BG167" i="5"/>
  <c r="BF167" i="5"/>
  <c r="AY167" i="5"/>
  <c r="AZ167" i="5"/>
  <c r="BA167" i="5"/>
  <c r="BP167" i="5" s="1"/>
  <c r="BE167" i="5"/>
  <c r="BD167" i="5"/>
  <c r="AV167" i="5"/>
  <c r="BO167" i="5" s="1"/>
  <c r="AU167" i="5"/>
  <c r="BB167" i="5" s="1"/>
  <c r="CK295" i="5"/>
  <c r="CI295" i="5"/>
  <c r="CE295" i="5"/>
  <c r="CC295" i="5"/>
  <c r="BV295" i="5"/>
  <c r="CD295" i="5"/>
  <c r="CF295" i="5"/>
  <c r="BU295" i="5"/>
  <c r="BY295" i="5"/>
  <c r="CA295" i="5"/>
  <c r="BW295" i="5"/>
  <c r="BS295" i="5"/>
  <c r="BT295" i="5"/>
  <c r="BR295" i="5"/>
  <c r="BQ295" i="5"/>
  <c r="BK295" i="5"/>
  <c r="BM295" i="5"/>
  <c r="BI295" i="5"/>
  <c r="BJ295" i="5"/>
  <c r="BH295" i="5"/>
  <c r="BG295" i="5"/>
  <c r="BF295" i="5"/>
  <c r="BA295" i="5"/>
  <c r="BP295" i="5" s="1"/>
  <c r="AY295" i="5"/>
  <c r="AZ295" i="5"/>
  <c r="BE295" i="5"/>
  <c r="BD295" i="5"/>
  <c r="AV295" i="5"/>
  <c r="BO295" i="5" s="1"/>
  <c r="AU295" i="5"/>
  <c r="BB295" i="5" s="1"/>
  <c r="CK423" i="5"/>
  <c r="CI423" i="5"/>
  <c r="CE423" i="5"/>
  <c r="CC423" i="5"/>
  <c r="CF423" i="5"/>
  <c r="BV423" i="5"/>
  <c r="CD423" i="5"/>
  <c r="BU423" i="5"/>
  <c r="BY423" i="5"/>
  <c r="CA423" i="5"/>
  <c r="BW423" i="5"/>
  <c r="BS423" i="5"/>
  <c r="BT423" i="5"/>
  <c r="BR423" i="5"/>
  <c r="BQ423" i="5"/>
  <c r="BK423" i="5"/>
  <c r="BM423" i="5"/>
  <c r="BI423" i="5"/>
  <c r="BJ423" i="5"/>
  <c r="BH423" i="5"/>
  <c r="BG423" i="5"/>
  <c r="BF423" i="5"/>
  <c r="BA423" i="5"/>
  <c r="BP423" i="5" s="1"/>
  <c r="AY423" i="5"/>
  <c r="AZ423" i="5"/>
  <c r="BE423" i="5"/>
  <c r="BD423" i="5"/>
  <c r="AV423" i="5"/>
  <c r="BO423" i="5" s="1"/>
  <c r="AU423" i="5"/>
  <c r="BB423" i="5" s="1"/>
  <c r="CK551" i="5"/>
  <c r="CE551" i="5"/>
  <c r="CC551" i="5"/>
  <c r="CI551" i="5"/>
  <c r="CF551" i="5"/>
  <c r="BV551" i="5"/>
  <c r="CD551" i="5"/>
  <c r="BU551" i="5"/>
  <c r="BY551" i="5"/>
  <c r="CA551" i="5"/>
  <c r="BW551" i="5"/>
  <c r="BS551" i="5"/>
  <c r="BT551" i="5"/>
  <c r="BR551" i="5"/>
  <c r="BQ551" i="5"/>
  <c r="BK551" i="5"/>
  <c r="BM551" i="5"/>
  <c r="BJ551" i="5"/>
  <c r="BH551" i="5"/>
  <c r="BG551" i="5"/>
  <c r="BA551" i="5"/>
  <c r="BP551" i="5" s="1"/>
  <c r="AY551" i="5"/>
  <c r="BI551" i="5"/>
  <c r="BF551" i="5"/>
  <c r="AZ551" i="5"/>
  <c r="BE551" i="5"/>
  <c r="BD551" i="5"/>
  <c r="AV551" i="5"/>
  <c r="BC551" i="5" s="1"/>
  <c r="AU551" i="5"/>
  <c r="BN551" i="5" s="1"/>
  <c r="BL246" i="5"/>
  <c r="CK475" i="5"/>
  <c r="CI475" i="5"/>
  <c r="CG475" i="5"/>
  <c r="CD475" i="5"/>
  <c r="CJ475" i="5"/>
  <c r="CH475" i="5"/>
  <c r="CE475" i="5"/>
  <c r="BX475" i="5"/>
  <c r="BW475" i="5"/>
  <c r="BU475" i="5"/>
  <c r="CF475" i="5"/>
  <c r="CA475" i="5"/>
  <c r="CC475" i="5"/>
  <c r="BY475" i="5"/>
  <c r="BZ475" i="5"/>
  <c r="BT475" i="5"/>
  <c r="BV475" i="5"/>
  <c r="BS475" i="5"/>
  <c r="BR475" i="5"/>
  <c r="BL475" i="5"/>
  <c r="BQ475" i="5"/>
  <c r="BM475" i="5"/>
  <c r="BJ475" i="5"/>
  <c r="BK475" i="5"/>
  <c r="BG475" i="5"/>
  <c r="AZ475" i="5"/>
  <c r="BI475" i="5"/>
  <c r="BH475" i="5"/>
  <c r="BF475" i="5"/>
  <c r="BE475" i="5"/>
  <c r="BA475" i="5"/>
  <c r="BP475" i="5" s="1"/>
  <c r="AY475" i="5"/>
  <c r="BD475" i="5"/>
  <c r="AU475" i="5"/>
  <c r="BN475" i="5" s="1"/>
  <c r="AV475" i="5"/>
  <c r="BO475" i="5" s="1"/>
  <c r="CK15" i="5"/>
  <c r="CF15" i="5"/>
  <c r="CI15" i="5"/>
  <c r="CC15" i="5"/>
  <c r="CE15" i="5"/>
  <c r="BV15" i="5"/>
  <c r="BT15" i="5"/>
  <c r="CD15" i="5"/>
  <c r="CA15" i="5"/>
  <c r="BY15" i="5"/>
  <c r="BW15" i="5"/>
  <c r="BM15" i="5"/>
  <c r="BS15" i="5"/>
  <c r="BU15" i="5"/>
  <c r="BR15" i="5"/>
  <c r="BQ15" i="5"/>
  <c r="BI15" i="5"/>
  <c r="BK15" i="5"/>
  <c r="BJ15" i="5"/>
  <c r="BF15" i="5"/>
  <c r="BH15" i="5"/>
  <c r="BG15" i="5"/>
  <c r="AY15" i="5"/>
  <c r="BE15" i="5"/>
  <c r="BD15" i="5"/>
  <c r="AZ15" i="5"/>
  <c r="BA15" i="5"/>
  <c r="BP15" i="5" s="1"/>
  <c r="AV15" i="5"/>
  <c r="BC15" i="5" s="1"/>
  <c r="AU15" i="5"/>
  <c r="BB15" i="5" s="1"/>
  <c r="BL91" i="5"/>
  <c r="BX91" i="5"/>
  <c r="BX244" i="5"/>
  <c r="BX49" i="5"/>
  <c r="BX65" i="5"/>
  <c r="BD281" i="5"/>
  <c r="CC92" i="5"/>
  <c r="CK92" i="5"/>
  <c r="CE92" i="5"/>
  <c r="CI92" i="5"/>
  <c r="CD92" i="5"/>
  <c r="CF92" i="5"/>
  <c r="BU92" i="5"/>
  <c r="BY92" i="5"/>
  <c r="CA92" i="5"/>
  <c r="BV92" i="5"/>
  <c r="BW92" i="5"/>
  <c r="BS92" i="5"/>
  <c r="BQ92" i="5"/>
  <c r="BR92" i="5"/>
  <c r="BT92" i="5"/>
  <c r="BM92" i="5"/>
  <c r="BI92" i="5"/>
  <c r="BG92" i="5"/>
  <c r="BK92" i="5"/>
  <c r="BH92" i="5"/>
  <c r="BF92" i="5"/>
  <c r="BJ92" i="5"/>
  <c r="BD92" i="5"/>
  <c r="BA92" i="5"/>
  <c r="BP92" i="5" s="1"/>
  <c r="AZ92" i="5"/>
  <c r="BE92" i="5"/>
  <c r="AY92" i="5"/>
  <c r="AU92" i="5"/>
  <c r="BN92" i="5" s="1"/>
  <c r="AV92" i="5"/>
  <c r="BC92" i="5" s="1"/>
  <c r="CI220" i="5"/>
  <c r="CC220" i="5"/>
  <c r="CE220" i="5"/>
  <c r="CK220" i="5"/>
  <c r="CD220" i="5"/>
  <c r="CF220" i="5"/>
  <c r="BU220" i="5"/>
  <c r="CA220" i="5"/>
  <c r="BY220" i="5"/>
  <c r="BV220" i="5"/>
  <c r="BW220" i="5"/>
  <c r="BS220" i="5"/>
  <c r="BQ220" i="5"/>
  <c r="BR220" i="5"/>
  <c r="BT220" i="5"/>
  <c r="BI220" i="5"/>
  <c r="BG220" i="5"/>
  <c r="BK220" i="5"/>
  <c r="BH220" i="5"/>
  <c r="BF220" i="5"/>
  <c r="BM220" i="5"/>
  <c r="BJ220" i="5"/>
  <c r="BD220" i="5"/>
  <c r="BA220" i="5"/>
  <c r="BP220" i="5" s="1"/>
  <c r="AZ220" i="5"/>
  <c r="BE220" i="5"/>
  <c r="AY220" i="5"/>
  <c r="AU220" i="5"/>
  <c r="BN220" i="5" s="1"/>
  <c r="AV220" i="5"/>
  <c r="BO220" i="5" s="1"/>
  <c r="CJ348" i="5"/>
  <c r="CK348" i="5"/>
  <c r="CI348" i="5"/>
  <c r="CE348" i="5"/>
  <c r="CC348" i="5"/>
  <c r="CH348" i="5"/>
  <c r="CD348" i="5"/>
  <c r="CG348" i="5"/>
  <c r="CF348" i="5"/>
  <c r="BX348" i="5"/>
  <c r="BZ348" i="5"/>
  <c r="BU348" i="5"/>
  <c r="BY348" i="5"/>
  <c r="CA348" i="5"/>
  <c r="BV348" i="5"/>
  <c r="BS348" i="5"/>
  <c r="BQ348" i="5"/>
  <c r="BW348" i="5"/>
  <c r="BT348" i="5"/>
  <c r="BR348" i="5"/>
  <c r="BL348" i="5"/>
  <c r="BI348" i="5"/>
  <c r="BG348" i="5"/>
  <c r="BK348" i="5"/>
  <c r="BH348" i="5"/>
  <c r="BF348" i="5"/>
  <c r="BM348" i="5"/>
  <c r="BJ348" i="5"/>
  <c r="BD348" i="5"/>
  <c r="BA348" i="5"/>
  <c r="BP348" i="5" s="1"/>
  <c r="BE348" i="5"/>
  <c r="AY348" i="5"/>
  <c r="AZ348" i="5"/>
  <c r="AU348" i="5"/>
  <c r="BN348" i="5" s="1"/>
  <c r="AV348" i="5"/>
  <c r="BC348" i="5" s="1"/>
  <c r="CK476" i="5"/>
  <c r="CE476" i="5"/>
  <c r="CC476" i="5"/>
  <c r="CF476" i="5"/>
  <c r="CD476" i="5"/>
  <c r="CI476" i="5"/>
  <c r="CA476" i="5"/>
  <c r="BU476" i="5"/>
  <c r="BY476" i="5"/>
  <c r="BV476" i="5"/>
  <c r="BS476" i="5"/>
  <c r="BQ476" i="5"/>
  <c r="BW476" i="5"/>
  <c r="BT476" i="5"/>
  <c r="BR476" i="5"/>
  <c r="BI476" i="5"/>
  <c r="BG476" i="5"/>
  <c r="BK476" i="5"/>
  <c r="BH476" i="5"/>
  <c r="BM476" i="5"/>
  <c r="BJ476" i="5"/>
  <c r="BF476" i="5"/>
  <c r="BE476" i="5"/>
  <c r="BD476" i="5"/>
  <c r="AY476" i="5"/>
  <c r="BA476" i="5"/>
  <c r="BP476" i="5" s="1"/>
  <c r="AZ476" i="5"/>
  <c r="AU476" i="5"/>
  <c r="BB476" i="5" s="1"/>
  <c r="AV476" i="5"/>
  <c r="BC476" i="5" s="1"/>
  <c r="D14" i="7"/>
  <c r="CB115" i="5" l="1"/>
  <c r="BL10" i="5"/>
  <c r="CB347" i="5"/>
  <c r="BL68" i="5"/>
  <c r="BX330" i="5"/>
  <c r="BL12" i="5"/>
  <c r="AS601" i="5"/>
  <c r="BB550" i="5"/>
  <c r="AU586" i="5"/>
  <c r="AU587" i="5" s="1"/>
  <c r="BL555" i="5"/>
  <c r="BX516" i="5"/>
  <c r="BL196" i="5"/>
  <c r="BL244" i="5"/>
  <c r="BX31" i="5"/>
  <c r="BX155" i="5"/>
  <c r="BX196" i="5"/>
  <c r="BX12" i="5"/>
  <c r="BL210" i="5"/>
  <c r="BL260" i="5"/>
  <c r="BX363" i="5"/>
  <c r="BX43" i="5"/>
  <c r="BL388" i="5"/>
  <c r="BL180" i="5"/>
  <c r="BY76" i="5"/>
  <c r="BM76" i="5"/>
  <c r="BX52" i="5"/>
  <c r="BX555" i="5"/>
  <c r="BX351" i="5"/>
  <c r="BX68" i="5"/>
  <c r="BX354" i="5"/>
  <c r="BL98" i="5"/>
  <c r="BL51" i="5"/>
  <c r="BL370" i="5"/>
  <c r="BL351" i="5"/>
  <c r="BL116" i="5"/>
  <c r="BL235" i="5"/>
  <c r="F12" i="24"/>
  <c r="F40" i="24" s="1"/>
  <c r="D138" i="10"/>
  <c r="BX66" i="5"/>
  <c r="AA11" i="24"/>
  <c r="AB11" i="24"/>
  <c r="AB45" i="24" s="1"/>
  <c r="J11" i="24"/>
  <c r="G39" i="24"/>
  <c r="BP550" i="5"/>
  <c r="BA586" i="5"/>
  <c r="BA587" i="5" s="1"/>
  <c r="D147" i="10"/>
  <c r="F10" i="25"/>
  <c r="BC550" i="5"/>
  <c r="AV586" i="5"/>
  <c r="AV587" i="5" s="1"/>
  <c r="F12" i="25"/>
  <c r="F40" i="25" s="1"/>
  <c r="D149" i="10"/>
  <c r="D150" i="10" s="1"/>
  <c r="D153" i="10" s="1"/>
  <c r="AZ586" i="5"/>
  <c r="AZ587" i="5" s="1"/>
  <c r="BM586" i="5"/>
  <c r="BM587" i="5" s="1"/>
  <c r="CC586" i="5"/>
  <c r="CC587" i="5" s="1"/>
  <c r="AY586" i="5"/>
  <c r="AY587" i="5" s="1"/>
  <c r="AA39" i="25"/>
  <c r="J39" i="25"/>
  <c r="AV599" i="5"/>
  <c r="AY597" i="5"/>
  <c r="AY598" i="5" s="1"/>
  <c r="AV595" i="5"/>
  <c r="AV596" i="5" s="1"/>
  <c r="AV600" i="5"/>
  <c r="AY599" i="5"/>
  <c r="AY595" i="5"/>
  <c r="AY596" i="5" s="1"/>
  <c r="AY600" i="5"/>
  <c r="AV597" i="5"/>
  <c r="AV598" i="5" s="1"/>
  <c r="F10" i="24"/>
  <c r="D136" i="10"/>
  <c r="D139" i="10" s="1"/>
  <c r="D142" i="10" s="1"/>
  <c r="BX562" i="5"/>
  <c r="BX563" i="5" s="1"/>
  <c r="BF586" i="5"/>
  <c r="BF587" i="5" s="1"/>
  <c r="BJ586" i="5"/>
  <c r="BJ587" i="5" s="1"/>
  <c r="CF586" i="5"/>
  <c r="CF587" i="5" s="1"/>
  <c r="BQ586" i="5"/>
  <c r="BQ587" i="5" s="1"/>
  <c r="CA586" i="5"/>
  <c r="CA587" i="5" s="1"/>
  <c r="CK586" i="5"/>
  <c r="CK587" i="5" s="1"/>
  <c r="BH586" i="5"/>
  <c r="BH587" i="5" s="1"/>
  <c r="BR586" i="5"/>
  <c r="BR587" i="5" s="1"/>
  <c r="BU586" i="5"/>
  <c r="BU587" i="5" s="1"/>
  <c r="CI586" i="5"/>
  <c r="CI587" i="5" s="1"/>
  <c r="BI586" i="5"/>
  <c r="BI587" i="5" s="1"/>
  <c r="BK586" i="5"/>
  <c r="BK587" i="5" s="1"/>
  <c r="BW586" i="5"/>
  <c r="BW587" i="5" s="1"/>
  <c r="CB237" i="5"/>
  <c r="CB66" i="5"/>
  <c r="F75" i="25"/>
  <c r="F80" i="25" s="1"/>
  <c r="BE586" i="5"/>
  <c r="BE587" i="5" s="1"/>
  <c r="BS586" i="5"/>
  <c r="BS587" i="5" s="1"/>
  <c r="CE586" i="5"/>
  <c r="CE587" i="5" s="1"/>
  <c r="BG586" i="5"/>
  <c r="BG587" i="5" s="1"/>
  <c r="BV586" i="5"/>
  <c r="BV587" i="5" s="1"/>
  <c r="BY586" i="5"/>
  <c r="BY587" i="5" s="1"/>
  <c r="BX347" i="5"/>
  <c r="BP586" i="5"/>
  <c r="BP587" i="5" s="1"/>
  <c r="BD586" i="5"/>
  <c r="BD587" i="5" s="1"/>
  <c r="BT586" i="5"/>
  <c r="BT587" i="5" s="1"/>
  <c r="CD586" i="5"/>
  <c r="CD587" i="5" s="1"/>
  <c r="BP436" i="5"/>
  <c r="BP584" i="5" s="1"/>
  <c r="BP585" i="5" s="1"/>
  <c r="BA584" i="5"/>
  <c r="BA585" i="5" s="1"/>
  <c r="BG584" i="5"/>
  <c r="BG585" i="5" s="1"/>
  <c r="BY584" i="5"/>
  <c r="BY585" i="5" s="1"/>
  <c r="CK584" i="5"/>
  <c r="CK585" i="5" s="1"/>
  <c r="BD584" i="5"/>
  <c r="BD585" i="5" s="1"/>
  <c r="BI584" i="5"/>
  <c r="BI585" i="5" s="1"/>
  <c r="CA584" i="5"/>
  <c r="CA585" i="5" s="1"/>
  <c r="BE584" i="5"/>
  <c r="BE585" i="5" s="1"/>
  <c r="BV584" i="5"/>
  <c r="BV585" i="5" s="1"/>
  <c r="BW584" i="5"/>
  <c r="BW585" i="5" s="1"/>
  <c r="BJ584" i="5"/>
  <c r="BJ585" i="5" s="1"/>
  <c r="BU584" i="5"/>
  <c r="BU585" i="5" s="1"/>
  <c r="CD584" i="5"/>
  <c r="CD585" i="5" s="1"/>
  <c r="J11" i="23"/>
  <c r="BN436" i="5"/>
  <c r="AU584" i="5"/>
  <c r="AU585" i="5" s="1"/>
  <c r="BK584" i="5"/>
  <c r="BK585" i="5" s="1"/>
  <c r="BR584" i="5"/>
  <c r="BR585" i="5" s="1"/>
  <c r="CF584" i="5"/>
  <c r="CF585" i="5" s="1"/>
  <c r="BO436" i="5"/>
  <c r="AV584" i="5"/>
  <c r="AV585" i="5" s="1"/>
  <c r="BM584" i="5"/>
  <c r="BM585" i="5" s="1"/>
  <c r="BT584" i="5"/>
  <c r="BT585" i="5" s="1"/>
  <c r="CC584" i="5"/>
  <c r="CC585" i="5" s="1"/>
  <c r="AZ584" i="5"/>
  <c r="AZ585" i="5" s="1"/>
  <c r="BF584" i="5"/>
  <c r="BF585" i="5" s="1"/>
  <c r="BQ584" i="5"/>
  <c r="BQ585" i="5" s="1"/>
  <c r="CE584" i="5"/>
  <c r="CE585" i="5" s="1"/>
  <c r="AY584" i="5"/>
  <c r="AY585" i="5" s="1"/>
  <c r="BH584" i="5"/>
  <c r="BH585" i="5" s="1"/>
  <c r="BS584" i="5"/>
  <c r="BS585" i="5" s="1"/>
  <c r="CI584" i="5"/>
  <c r="CI585" i="5" s="1"/>
  <c r="BL223" i="5"/>
  <c r="AA11" i="23"/>
  <c r="G39" i="23"/>
  <c r="J39" i="23" s="1"/>
  <c r="AB11" i="23"/>
  <c r="AB45" i="23" s="1"/>
  <c r="CB116" i="5"/>
  <c r="AY582" i="5"/>
  <c r="AY583" i="5" s="1"/>
  <c r="BB431" i="5"/>
  <c r="AU582" i="5"/>
  <c r="AU583" i="5" s="1"/>
  <c r="BP431" i="5"/>
  <c r="BP582" i="5" s="1"/>
  <c r="BP583" i="5" s="1"/>
  <c r="BA582" i="5"/>
  <c r="BA583" i="5" s="1"/>
  <c r="AV582" i="5"/>
  <c r="AV583" i="5" s="1"/>
  <c r="F10" i="23"/>
  <c r="D125" i="10"/>
  <c r="AZ582" i="5"/>
  <c r="AZ583" i="5" s="1"/>
  <c r="BB115" i="5"/>
  <c r="D127" i="10"/>
  <c r="F12" i="23"/>
  <c r="F40" i="23" s="1"/>
  <c r="BG582" i="5"/>
  <c r="BG583" i="5" s="1"/>
  <c r="CA582" i="5"/>
  <c r="CA583" i="5" s="1"/>
  <c r="CE582" i="5"/>
  <c r="CE583" i="5" s="1"/>
  <c r="BH582" i="5"/>
  <c r="BH583" i="5" s="1"/>
  <c r="BM582" i="5"/>
  <c r="BM583" i="5" s="1"/>
  <c r="BW582" i="5"/>
  <c r="BW583" i="5" s="1"/>
  <c r="CF582" i="5"/>
  <c r="CF583" i="5" s="1"/>
  <c r="BQ582" i="5"/>
  <c r="BQ583" i="5" s="1"/>
  <c r="BZ324" i="5"/>
  <c r="F75" i="23"/>
  <c r="F80" i="23" s="1"/>
  <c r="BR582" i="5"/>
  <c r="BR583" i="5" s="1"/>
  <c r="CD582" i="5"/>
  <c r="CD583" i="5" s="1"/>
  <c r="BF582" i="5"/>
  <c r="BF583" i="5" s="1"/>
  <c r="BU582" i="5"/>
  <c r="BU583" i="5" s="1"/>
  <c r="CI582" i="5"/>
  <c r="CI583" i="5" s="1"/>
  <c r="BX306" i="5"/>
  <c r="BI582" i="5"/>
  <c r="BI583" i="5" s="1"/>
  <c r="BS582" i="5"/>
  <c r="BS583" i="5" s="1"/>
  <c r="BV582" i="5"/>
  <c r="BV583" i="5" s="1"/>
  <c r="CK582" i="5"/>
  <c r="CK583" i="5" s="1"/>
  <c r="BD582" i="5"/>
  <c r="BD583" i="5" s="1"/>
  <c r="BJ582" i="5"/>
  <c r="BJ583" i="5" s="1"/>
  <c r="BT582" i="5"/>
  <c r="BT583" i="5" s="1"/>
  <c r="BE582" i="5"/>
  <c r="BE583" i="5" s="1"/>
  <c r="BK582" i="5"/>
  <c r="BK583" i="5" s="1"/>
  <c r="BY582" i="5"/>
  <c r="BY583" i="5" s="1"/>
  <c r="CC582" i="5"/>
  <c r="CC583" i="5" s="1"/>
  <c r="BO56" i="5"/>
  <c r="BX51" i="5"/>
  <c r="BB104" i="5"/>
  <c r="BZ104" i="5" s="1"/>
  <c r="BL170" i="5"/>
  <c r="CB490" i="5"/>
  <c r="BL34" i="5"/>
  <c r="BN40" i="5"/>
  <c r="CB299" i="5"/>
  <c r="CB114" i="5"/>
  <c r="CB370" i="5"/>
  <c r="CB122" i="5"/>
  <c r="CB51" i="5"/>
  <c r="BN122" i="5"/>
  <c r="BZ122" i="5" s="1"/>
  <c r="BO98" i="5"/>
  <c r="BN51" i="5"/>
  <c r="BZ51" i="5" s="1"/>
  <c r="BO122" i="5"/>
  <c r="BC346" i="5"/>
  <c r="BO394" i="5"/>
  <c r="CB418" i="5"/>
  <c r="BB114" i="5"/>
  <c r="BZ114" i="5" s="1"/>
  <c r="BZ64" i="5"/>
  <c r="BZ312" i="5"/>
  <c r="CB170" i="5"/>
  <c r="CB398" i="5"/>
  <c r="CB427" i="5"/>
  <c r="CB104" i="5"/>
  <c r="BL56" i="5"/>
  <c r="CB64" i="5"/>
  <c r="CB18" i="5"/>
  <c r="CB52" i="5"/>
  <c r="BC299" i="5"/>
  <c r="BB299" i="5"/>
  <c r="BN180" i="5"/>
  <c r="BZ180" i="5" s="1"/>
  <c r="BC170" i="5"/>
  <c r="BB283" i="5"/>
  <c r="BL516" i="5"/>
  <c r="CB324" i="5"/>
  <c r="BX95" i="5"/>
  <c r="BX56" i="5"/>
  <c r="BL442" i="5"/>
  <c r="BL376" i="5"/>
  <c r="BX170" i="5"/>
  <c r="BX394" i="5"/>
  <c r="BX346" i="5"/>
  <c r="BX324" i="5"/>
  <c r="BX122" i="5"/>
  <c r="CB68" i="5"/>
  <c r="BL114" i="5"/>
  <c r="BO107" i="5"/>
  <c r="BO95" i="5"/>
  <c r="CB12" i="5"/>
  <c r="BX418" i="5"/>
  <c r="BL95" i="5"/>
  <c r="BL64" i="5"/>
  <c r="H16" i="10"/>
  <c r="BL237" i="5"/>
  <c r="CB95" i="5"/>
  <c r="BX114" i="5"/>
  <c r="CB257" i="5"/>
  <c r="BX427" i="5"/>
  <c r="BL312" i="5"/>
  <c r="BX376" i="5"/>
  <c r="CB312" i="5"/>
  <c r="BX290" i="5"/>
  <c r="BX64" i="5"/>
  <c r="BC312" i="5"/>
  <c r="BC376" i="5"/>
  <c r="BO290" i="5"/>
  <c r="BO64" i="5"/>
  <c r="BX312" i="5"/>
  <c r="BB95" i="5"/>
  <c r="BZ95" i="5" s="1"/>
  <c r="BC42" i="5"/>
  <c r="AB45" i="17"/>
  <c r="CB249" i="5"/>
  <c r="BC363" i="5"/>
  <c r="CB109" i="5"/>
  <c r="BO40" i="5"/>
  <c r="BB52" i="5"/>
  <c r="BZ52" i="5" s="1"/>
  <c r="BL107" i="5"/>
  <c r="BX104" i="5"/>
  <c r="BC440" i="5"/>
  <c r="CB168" i="5"/>
  <c r="BL104" i="5"/>
  <c r="BO115" i="5"/>
  <c r="BL322" i="5"/>
  <c r="CB296" i="5"/>
  <c r="H60" i="10"/>
  <c r="CB76" i="5"/>
  <c r="BN347" i="5"/>
  <c r="BZ347" i="5" s="1"/>
  <c r="BX296" i="5"/>
  <c r="BC347" i="5"/>
  <c r="CB21" i="5"/>
  <c r="BO296" i="5"/>
  <c r="CB180" i="5"/>
  <c r="BL43" i="5"/>
  <c r="BX141" i="5"/>
  <c r="BN562" i="5"/>
  <c r="BN563" i="5" s="1"/>
  <c r="CB219" i="5"/>
  <c r="BL440" i="5"/>
  <c r="CB440" i="5"/>
  <c r="BC232" i="5"/>
  <c r="BB12" i="5"/>
  <c r="BZ12" i="5" s="1"/>
  <c r="CB173" i="5"/>
  <c r="BL150" i="5"/>
  <c r="CB388" i="5"/>
  <c r="BX440" i="5"/>
  <c r="BL185" i="5"/>
  <c r="BX17" i="5"/>
  <c r="BX414" i="5"/>
  <c r="BN43" i="5"/>
  <c r="BZ43" i="5" s="1"/>
  <c r="CB205" i="5"/>
  <c r="BO260" i="5"/>
  <c r="BL109" i="5"/>
  <c r="BX241" i="5"/>
  <c r="G39" i="16"/>
  <c r="J39" i="16" s="1"/>
  <c r="H115" i="10"/>
  <c r="BX322" i="5"/>
  <c r="BX388" i="5"/>
  <c r="BX107" i="5"/>
  <c r="J11" i="19"/>
  <c r="BC12" i="5"/>
  <c r="CB27" i="5"/>
  <c r="CB322" i="5"/>
  <c r="CB13" i="5"/>
  <c r="CB555" i="5"/>
  <c r="BC506" i="5"/>
  <c r="BD562" i="5"/>
  <c r="BD563" i="5" s="1"/>
  <c r="BO155" i="5"/>
  <c r="BX184" i="5"/>
  <c r="BO297" i="5"/>
  <c r="BC471" i="5"/>
  <c r="BC287" i="5"/>
  <c r="J11" i="16"/>
  <c r="BX506" i="5"/>
  <c r="CB31" i="5"/>
  <c r="BL86" i="5"/>
  <c r="BL184" i="5"/>
  <c r="CB232" i="5"/>
  <c r="BX491" i="5"/>
  <c r="BL31" i="5"/>
  <c r="BL398" i="5"/>
  <c r="CB25" i="5"/>
  <c r="CB260" i="5"/>
  <c r="BO491" i="5"/>
  <c r="CB283" i="5"/>
  <c r="BX168" i="5"/>
  <c r="BL168" i="5"/>
  <c r="BB491" i="5"/>
  <c r="BZ491" i="5" s="1"/>
  <c r="BO74" i="5"/>
  <c r="CA74" i="5" s="1"/>
  <c r="CA560" i="5" s="1"/>
  <c r="CA561" i="5" s="1"/>
  <c r="BC47" i="5"/>
  <c r="BO226" i="5"/>
  <c r="BC226" i="5"/>
  <c r="BO184" i="5"/>
  <c r="BC10" i="5"/>
  <c r="BN155" i="5"/>
  <c r="BZ155" i="5" s="1"/>
  <c r="BX27" i="5"/>
  <c r="BC37" i="5"/>
  <c r="J39" i="19"/>
  <c r="BP400" i="5"/>
  <c r="BP580" i="5" s="1"/>
  <c r="BP581" i="5" s="1"/>
  <c r="BA580" i="5"/>
  <c r="BA581" i="5" s="1"/>
  <c r="F12" i="22"/>
  <c r="F40" i="22" s="1"/>
  <c r="D116" i="10"/>
  <c r="AZ580" i="5"/>
  <c r="AZ581" i="5" s="1"/>
  <c r="BO535" i="5"/>
  <c r="BB35" i="5"/>
  <c r="BZ35" i="5" s="1"/>
  <c r="BO283" i="5"/>
  <c r="H93" i="10"/>
  <c r="BC400" i="5"/>
  <c r="AV580" i="5"/>
  <c r="AV581" i="5" s="1"/>
  <c r="BL205" i="5"/>
  <c r="AA39" i="22"/>
  <c r="J39" i="22"/>
  <c r="BN400" i="5"/>
  <c r="AU580" i="5"/>
  <c r="AU581" i="5" s="1"/>
  <c r="AY580" i="5"/>
  <c r="AY581" i="5" s="1"/>
  <c r="F10" i="22"/>
  <c r="D114" i="10"/>
  <c r="BX182" i="5"/>
  <c r="BJ580" i="5"/>
  <c r="BJ581" i="5" s="1"/>
  <c r="BT580" i="5"/>
  <c r="BT581" i="5" s="1"/>
  <c r="CF580" i="5"/>
  <c r="CF581" i="5" s="1"/>
  <c r="BX89" i="5"/>
  <c r="BF580" i="5"/>
  <c r="BF581" i="5" s="1"/>
  <c r="BV580" i="5"/>
  <c r="BV581" i="5" s="1"/>
  <c r="CK580" i="5"/>
  <c r="CK581" i="5" s="1"/>
  <c r="BM580" i="5"/>
  <c r="BM581" i="5" s="1"/>
  <c r="BR570" i="5"/>
  <c r="BR571" i="5" s="1"/>
  <c r="BD580" i="5"/>
  <c r="BD581" i="5" s="1"/>
  <c r="BH580" i="5"/>
  <c r="BH581" i="5" s="1"/>
  <c r="BW580" i="5"/>
  <c r="BW581" i="5" s="1"/>
  <c r="BJ570" i="5"/>
  <c r="BJ571" i="5" s="1"/>
  <c r="BL45" i="5"/>
  <c r="BE580" i="5"/>
  <c r="BE581" i="5" s="1"/>
  <c r="BU580" i="5"/>
  <c r="BU581" i="5" s="1"/>
  <c r="CA580" i="5"/>
  <c r="CA581" i="5" s="1"/>
  <c r="BY580" i="5"/>
  <c r="BY581" i="5" s="1"/>
  <c r="BK580" i="5"/>
  <c r="BK581" i="5" s="1"/>
  <c r="BQ580" i="5"/>
  <c r="BQ581" i="5" s="1"/>
  <c r="CC580" i="5"/>
  <c r="CC581" i="5" s="1"/>
  <c r="CD580" i="5"/>
  <c r="CD581" i="5" s="1"/>
  <c r="BG580" i="5"/>
  <c r="BG581" i="5" s="1"/>
  <c r="BS580" i="5"/>
  <c r="BS581" i="5" s="1"/>
  <c r="CI580" i="5"/>
  <c r="CI581" i="5" s="1"/>
  <c r="F75" i="22"/>
  <c r="F80" i="22" s="1"/>
  <c r="BE570" i="5"/>
  <c r="BE571" i="5" s="1"/>
  <c r="BI580" i="5"/>
  <c r="BI581" i="5" s="1"/>
  <c r="BR580" i="5"/>
  <c r="BR581" i="5" s="1"/>
  <c r="CE580" i="5"/>
  <c r="CE581" i="5" s="1"/>
  <c r="F12" i="21"/>
  <c r="F40" i="21" s="1"/>
  <c r="D105" i="10"/>
  <c r="BB24" i="5"/>
  <c r="BN27" i="5"/>
  <c r="BZ27" i="5" s="1"/>
  <c r="BI570" i="5"/>
  <c r="BI571" i="5" s="1"/>
  <c r="BN512" i="5"/>
  <c r="BZ512" i="5" s="1"/>
  <c r="BC473" i="5"/>
  <c r="H104" i="10"/>
  <c r="F10" i="21"/>
  <c r="D103" i="10"/>
  <c r="J11" i="21"/>
  <c r="AB11" i="21"/>
  <c r="AB45" i="21" s="1"/>
  <c r="AA11" i="21"/>
  <c r="G39" i="21"/>
  <c r="AB11" i="16"/>
  <c r="AB45" i="16" s="1"/>
  <c r="F75" i="21"/>
  <c r="F80" i="21" s="1"/>
  <c r="AB45" i="19"/>
  <c r="AC45" i="19" s="1"/>
  <c r="AY570" i="5"/>
  <c r="AY571" i="5" s="1"/>
  <c r="G10" i="17" s="1"/>
  <c r="BN535" i="5"/>
  <c r="BZ535" i="5" s="1"/>
  <c r="AZ578" i="5"/>
  <c r="AZ579" i="5" s="1"/>
  <c r="BI578" i="5"/>
  <c r="BI579" i="5" s="1"/>
  <c r="BR578" i="5"/>
  <c r="BR579" i="5" s="1"/>
  <c r="CD578" i="5"/>
  <c r="CD579" i="5" s="1"/>
  <c r="BC358" i="5"/>
  <c r="AV578" i="5"/>
  <c r="AV579" i="5" s="1"/>
  <c r="BD578" i="5"/>
  <c r="BD579" i="5" s="1"/>
  <c r="BV578" i="5"/>
  <c r="BV579" i="5" s="1"/>
  <c r="CI578" i="5"/>
  <c r="CI579" i="5" s="1"/>
  <c r="BB432" i="5"/>
  <c r="AY578" i="5"/>
  <c r="AY579" i="5" s="1"/>
  <c r="BM578" i="5"/>
  <c r="BM579" i="5" s="1"/>
  <c r="CE578" i="5"/>
  <c r="CE579" i="5" s="1"/>
  <c r="CF578" i="5"/>
  <c r="CF579" i="5" s="1"/>
  <c r="BC206" i="5"/>
  <c r="BC505" i="5"/>
  <c r="BB435" i="5"/>
  <c r="BP358" i="5"/>
  <c r="BP578" i="5" s="1"/>
  <c r="BP579" i="5" s="1"/>
  <c r="BA578" i="5"/>
  <c r="BA579" i="5" s="1"/>
  <c r="BQ578" i="5"/>
  <c r="BQ579" i="5" s="1"/>
  <c r="CC578" i="5"/>
  <c r="CC579" i="5" s="1"/>
  <c r="CK578" i="5"/>
  <c r="CK579" i="5" s="1"/>
  <c r="BD570" i="5"/>
  <c r="BD571" i="5" s="1"/>
  <c r="BF578" i="5"/>
  <c r="BF579" i="5" s="1"/>
  <c r="BK578" i="5"/>
  <c r="BK579" i="5" s="1"/>
  <c r="CA578" i="5"/>
  <c r="CA579" i="5" s="1"/>
  <c r="BH578" i="5"/>
  <c r="BH579" i="5" s="1"/>
  <c r="BS578" i="5"/>
  <c r="BS579" i="5" s="1"/>
  <c r="BU578" i="5"/>
  <c r="BU579" i="5" s="1"/>
  <c r="BC448" i="5"/>
  <c r="BN302" i="5"/>
  <c r="BC105" i="5"/>
  <c r="BN349" i="5"/>
  <c r="BE578" i="5"/>
  <c r="BE579" i="5" s="1"/>
  <c r="BT578" i="5"/>
  <c r="BT579" i="5" s="1"/>
  <c r="BW578" i="5"/>
  <c r="BW579" i="5" s="1"/>
  <c r="BO430" i="5"/>
  <c r="BC292" i="5"/>
  <c r="BB461" i="5"/>
  <c r="BZ461" i="5" s="1"/>
  <c r="BO408" i="5"/>
  <c r="BB358" i="5"/>
  <c r="AU578" i="5"/>
  <c r="AU579" i="5" s="1"/>
  <c r="BG578" i="5"/>
  <c r="BG579" i="5" s="1"/>
  <c r="BJ578" i="5"/>
  <c r="BJ579" i="5" s="1"/>
  <c r="BY578" i="5"/>
  <c r="BY579" i="5" s="1"/>
  <c r="BO135" i="5"/>
  <c r="BN100" i="5"/>
  <c r="BZ100" i="5" s="1"/>
  <c r="BC23" i="5"/>
  <c r="BB38" i="5"/>
  <c r="BZ38" i="5" s="1"/>
  <c r="AY576" i="5"/>
  <c r="AY577" i="5" s="1"/>
  <c r="BN335" i="5"/>
  <c r="BN574" i="5" s="1"/>
  <c r="BN575" i="5" s="1"/>
  <c r="AU574" i="5"/>
  <c r="AU575" i="5" s="1"/>
  <c r="BP335" i="5"/>
  <c r="BP574" i="5" s="1"/>
  <c r="BP575" i="5" s="1"/>
  <c r="BA574" i="5"/>
  <c r="BA575" i="5" s="1"/>
  <c r="BC548" i="5"/>
  <c r="BO87" i="5"/>
  <c r="AY572" i="5"/>
  <c r="AY573" i="5" s="1"/>
  <c r="D72" i="10"/>
  <c r="F12" i="18"/>
  <c r="F40" i="18" s="1"/>
  <c r="BC335" i="5"/>
  <c r="BC574" i="5" s="1"/>
  <c r="BC575" i="5" s="1"/>
  <c r="AV574" i="5"/>
  <c r="AV575" i="5" s="1"/>
  <c r="BP337" i="5"/>
  <c r="BP576" i="5" s="1"/>
  <c r="BP577" i="5" s="1"/>
  <c r="BA576" i="5"/>
  <c r="BA577" i="5" s="1"/>
  <c r="AZ574" i="5"/>
  <c r="AZ575" i="5" s="1"/>
  <c r="BC142" i="5"/>
  <c r="BN381" i="5"/>
  <c r="BZ381" i="5" s="1"/>
  <c r="AZ572" i="5"/>
  <c r="AZ573" i="5" s="1"/>
  <c r="H71" i="10"/>
  <c r="BB348" i="5"/>
  <c r="BC453" i="5"/>
  <c r="BB352" i="5"/>
  <c r="BZ352" i="5" s="1"/>
  <c r="BB96" i="5"/>
  <c r="BO374" i="5"/>
  <c r="BB366" i="5"/>
  <c r="BZ366" i="5" s="1"/>
  <c r="BB103" i="5"/>
  <c r="BZ103" i="5" s="1"/>
  <c r="BB428" i="5"/>
  <c r="BZ428" i="5" s="1"/>
  <c r="BO262" i="5"/>
  <c r="AB11" i="18"/>
  <c r="AB45" i="18" s="1"/>
  <c r="G39" i="18"/>
  <c r="AA11" i="18"/>
  <c r="J11" i="18"/>
  <c r="BC48" i="5"/>
  <c r="BC464" i="5"/>
  <c r="BN337" i="5"/>
  <c r="AU576" i="5"/>
  <c r="AU577" i="5" s="1"/>
  <c r="BC183" i="5"/>
  <c r="BN382" i="5"/>
  <c r="BZ382" i="5" s="1"/>
  <c r="J39" i="20"/>
  <c r="AA39" i="20"/>
  <c r="F10" i="20"/>
  <c r="D92" i="10"/>
  <c r="AZ570" i="5"/>
  <c r="AZ571" i="5" s="1"/>
  <c r="E61" i="10" s="1"/>
  <c r="BB328" i="5"/>
  <c r="BZ328" i="5" s="1"/>
  <c r="BC337" i="5"/>
  <c r="AV576" i="5"/>
  <c r="AV577" i="5" s="1"/>
  <c r="BO550" i="5"/>
  <c r="BB6" i="5"/>
  <c r="BZ6" i="5" s="1"/>
  <c r="F10" i="19"/>
  <c r="D81" i="10"/>
  <c r="F12" i="20"/>
  <c r="F40" i="20" s="1"/>
  <c r="D94" i="10"/>
  <c r="BO421" i="5"/>
  <c r="BB279" i="5"/>
  <c r="BZ279" i="5" s="1"/>
  <c r="AZ576" i="5"/>
  <c r="AZ577" i="5" s="1"/>
  <c r="AY574" i="5"/>
  <c r="AY575" i="5" s="1"/>
  <c r="BB172" i="5"/>
  <c r="BZ172" i="5" s="1"/>
  <c r="F10" i="18"/>
  <c r="D70" i="10"/>
  <c r="D83" i="10"/>
  <c r="F12" i="19"/>
  <c r="F40" i="19" s="1"/>
  <c r="BE576" i="5"/>
  <c r="BE577" i="5" s="1"/>
  <c r="BS576" i="5"/>
  <c r="BS577" i="5" s="1"/>
  <c r="CC576" i="5"/>
  <c r="CC577" i="5" s="1"/>
  <c r="BH576" i="5"/>
  <c r="BH577" i="5" s="1"/>
  <c r="BT576" i="5"/>
  <c r="BT577" i="5" s="1"/>
  <c r="BY576" i="5"/>
  <c r="BY577" i="5" s="1"/>
  <c r="BF576" i="5"/>
  <c r="BF577" i="5" s="1"/>
  <c r="BM576" i="5"/>
  <c r="BM577" i="5" s="1"/>
  <c r="CE576" i="5"/>
  <c r="CE577" i="5" s="1"/>
  <c r="BG576" i="5"/>
  <c r="BG577" i="5" s="1"/>
  <c r="BR576" i="5"/>
  <c r="BR577" i="5" s="1"/>
  <c r="CI576" i="5"/>
  <c r="CI577" i="5" s="1"/>
  <c r="BJ576" i="5"/>
  <c r="BJ577" i="5" s="1"/>
  <c r="BV576" i="5"/>
  <c r="BV577" i="5" s="1"/>
  <c r="CD576" i="5"/>
  <c r="CD577" i="5" s="1"/>
  <c r="BI576" i="5"/>
  <c r="BI577" i="5" s="1"/>
  <c r="BW576" i="5"/>
  <c r="BW577" i="5" s="1"/>
  <c r="CF576" i="5"/>
  <c r="CF577" i="5" s="1"/>
  <c r="F75" i="20"/>
  <c r="F80" i="20" s="1"/>
  <c r="BD576" i="5"/>
  <c r="BD577" i="5" s="1"/>
  <c r="BK576" i="5"/>
  <c r="BK577" i="5" s="1"/>
  <c r="CA576" i="5"/>
  <c r="CA577" i="5" s="1"/>
  <c r="CK576" i="5"/>
  <c r="CK577" i="5" s="1"/>
  <c r="BQ576" i="5"/>
  <c r="BQ577" i="5" s="1"/>
  <c r="BU576" i="5"/>
  <c r="BU577" i="5" s="1"/>
  <c r="CE570" i="5"/>
  <c r="CE571" i="5" s="1"/>
  <c r="BG574" i="5"/>
  <c r="BG575" i="5" s="1"/>
  <c r="BI574" i="5"/>
  <c r="BI575" i="5" s="1"/>
  <c r="BY574" i="5"/>
  <c r="BY575" i="5" s="1"/>
  <c r="CE574" i="5"/>
  <c r="CE575" i="5" s="1"/>
  <c r="H38" i="10"/>
  <c r="CC570" i="5"/>
  <c r="CC571" i="5" s="1"/>
  <c r="BE574" i="5"/>
  <c r="BE575" i="5" s="1"/>
  <c r="BM574" i="5"/>
  <c r="BM575" i="5" s="1"/>
  <c r="BV570" i="5"/>
  <c r="BV571" i="5" s="1"/>
  <c r="BH574" i="5"/>
  <c r="BH575" i="5" s="1"/>
  <c r="BW574" i="5"/>
  <c r="BW575" i="5" s="1"/>
  <c r="CF574" i="5"/>
  <c r="CF575" i="5" s="1"/>
  <c r="BQ574" i="5"/>
  <c r="BQ575" i="5" s="1"/>
  <c r="BT570" i="5"/>
  <c r="BT571" i="5" s="1"/>
  <c r="BU570" i="5"/>
  <c r="BU571" i="5" s="1"/>
  <c r="BR574" i="5"/>
  <c r="BR575" i="5" s="1"/>
  <c r="CA574" i="5"/>
  <c r="CA575" i="5" s="1"/>
  <c r="CI574" i="5"/>
  <c r="CI575" i="5" s="1"/>
  <c r="BF574" i="5"/>
  <c r="BF575" i="5" s="1"/>
  <c r="BS574" i="5"/>
  <c r="BS575" i="5" s="1"/>
  <c r="CD574" i="5"/>
  <c r="CD575" i="5" s="1"/>
  <c r="F75" i="19"/>
  <c r="F80" i="19" s="1"/>
  <c r="BJ574" i="5"/>
  <c r="BJ575" i="5" s="1"/>
  <c r="BU574" i="5"/>
  <c r="BU575" i="5" s="1"/>
  <c r="BV574" i="5"/>
  <c r="BV575" i="5" s="1"/>
  <c r="CK574" i="5"/>
  <c r="CK575" i="5" s="1"/>
  <c r="BD574" i="5"/>
  <c r="BD575" i="5" s="1"/>
  <c r="BK574" i="5"/>
  <c r="BK575" i="5" s="1"/>
  <c r="BT574" i="5"/>
  <c r="BT575" i="5" s="1"/>
  <c r="CC574" i="5"/>
  <c r="CC575" i="5" s="1"/>
  <c r="BR572" i="5"/>
  <c r="BR573" i="5" s="1"/>
  <c r="BQ572" i="5"/>
  <c r="BQ573" i="5" s="1"/>
  <c r="CE572" i="5"/>
  <c r="CE573" i="5" s="1"/>
  <c r="CB61" i="5"/>
  <c r="BS572" i="5"/>
  <c r="BS573" i="5" s="1"/>
  <c r="BU572" i="5"/>
  <c r="BU573" i="5" s="1"/>
  <c r="BF572" i="5"/>
  <c r="BF573" i="5" s="1"/>
  <c r="BW572" i="5"/>
  <c r="BW573" i="5" s="1"/>
  <c r="BG572" i="5"/>
  <c r="BG573" i="5" s="1"/>
  <c r="BV572" i="5"/>
  <c r="BV573" i="5" s="1"/>
  <c r="CA570" i="5"/>
  <c r="CA571" i="5" s="1"/>
  <c r="J61" i="10" s="1"/>
  <c r="CI572" i="5"/>
  <c r="CI573" i="5" s="1"/>
  <c r="BK572" i="5"/>
  <c r="BK573" i="5" s="1"/>
  <c r="BT572" i="5"/>
  <c r="BT573" i="5" s="1"/>
  <c r="CD572" i="5"/>
  <c r="CD573" i="5" s="1"/>
  <c r="CB423" i="5"/>
  <c r="BI572" i="5"/>
  <c r="BI573" i="5" s="1"/>
  <c r="CF572" i="5"/>
  <c r="CF573" i="5" s="1"/>
  <c r="CF570" i="5"/>
  <c r="CF571" i="5" s="1"/>
  <c r="BE572" i="5"/>
  <c r="BE573" i="5" s="1"/>
  <c r="BY572" i="5"/>
  <c r="BY573" i="5" s="1"/>
  <c r="BJ572" i="5"/>
  <c r="BJ573" i="5" s="1"/>
  <c r="CC572" i="5"/>
  <c r="CC573" i="5" s="1"/>
  <c r="CK572" i="5"/>
  <c r="CK573" i="5" s="1"/>
  <c r="BH572" i="5"/>
  <c r="BH573" i="5" s="1"/>
  <c r="BM572" i="5"/>
  <c r="BM573" i="5" s="1"/>
  <c r="CA572" i="5"/>
  <c r="CA573" i="5" s="1"/>
  <c r="F75" i="18"/>
  <c r="F80" i="18" s="1"/>
  <c r="BO270" i="5"/>
  <c r="BO275" i="5"/>
  <c r="BC265" i="5"/>
  <c r="BO60" i="5"/>
  <c r="AA39" i="17"/>
  <c r="J39" i="17"/>
  <c r="F10" i="17"/>
  <c r="F38" i="17" s="1"/>
  <c r="D59" i="10"/>
  <c r="BO72" i="5"/>
  <c r="BB499" i="5"/>
  <c r="BZ499" i="5" s="1"/>
  <c r="AZ568" i="5"/>
  <c r="AZ569" i="5" s="1"/>
  <c r="BA570" i="5"/>
  <c r="BA571" i="5" s="1"/>
  <c r="D61" i="10"/>
  <c r="F12" i="17"/>
  <c r="BA572" i="5"/>
  <c r="BA573" i="5" s="1"/>
  <c r="BM570" i="5"/>
  <c r="BM571" i="5" s="1"/>
  <c r="CD570" i="5"/>
  <c r="CD571" i="5" s="1"/>
  <c r="BN480" i="5"/>
  <c r="BB524" i="5"/>
  <c r="BZ524" i="5" s="1"/>
  <c r="BN216" i="5"/>
  <c r="BZ216" i="5" s="1"/>
  <c r="BN243" i="5"/>
  <c r="BZ243" i="5" s="1"/>
  <c r="BO380" i="5"/>
  <c r="BN342" i="5"/>
  <c r="BB377" i="5"/>
  <c r="BZ377" i="5" s="1"/>
  <c r="BN403" i="5"/>
  <c r="BZ403" i="5" s="1"/>
  <c r="BB345" i="5"/>
  <c r="BZ345" i="5" s="1"/>
  <c r="F10" i="15"/>
  <c r="F38" i="15" s="1"/>
  <c r="D37" i="10"/>
  <c r="AV570" i="5"/>
  <c r="AV571" i="5" s="1"/>
  <c r="BO218" i="5"/>
  <c r="BC218" i="5"/>
  <c r="BP572" i="5"/>
  <c r="BP573" i="5" s="1"/>
  <c r="BQ570" i="5"/>
  <c r="BQ571" i="5" s="1"/>
  <c r="BB176" i="5"/>
  <c r="BZ176" i="5" s="1"/>
  <c r="BF570" i="5"/>
  <c r="BF571" i="5" s="1"/>
  <c r="BS570" i="5"/>
  <c r="BS571" i="5" s="1"/>
  <c r="CK570" i="5"/>
  <c r="CK571" i="5" s="1"/>
  <c r="BB457" i="5"/>
  <c r="BZ457" i="5" s="1"/>
  <c r="BN83" i="5"/>
  <c r="BN126" i="5"/>
  <c r="BZ126" i="5" s="1"/>
  <c r="BC38" i="5"/>
  <c r="BN371" i="5"/>
  <c r="BZ371" i="5" s="1"/>
  <c r="BC14" i="5"/>
  <c r="BA566" i="5"/>
  <c r="BA567" i="5" s="1"/>
  <c r="AY568" i="5"/>
  <c r="AY569" i="5" s="1"/>
  <c r="BO254" i="5"/>
  <c r="BO492" i="5"/>
  <c r="F10" i="16"/>
  <c r="D48" i="10"/>
  <c r="BH570" i="5"/>
  <c r="BH571" i="5" s="1"/>
  <c r="BW570" i="5"/>
  <c r="BW571" i="5" s="1"/>
  <c r="BC534" i="5"/>
  <c r="BN470" i="5"/>
  <c r="BZ470" i="5" s="1"/>
  <c r="BB222" i="5"/>
  <c r="BZ222" i="5" s="1"/>
  <c r="BN321" i="5"/>
  <c r="BZ321" i="5" s="1"/>
  <c r="BC436" i="5"/>
  <c r="BN256" i="5"/>
  <c r="BZ256" i="5" s="1"/>
  <c r="BN509" i="5"/>
  <c r="BZ509" i="5" s="1"/>
  <c r="BO358" i="5"/>
  <c r="BO133" i="5"/>
  <c r="BO424" i="5"/>
  <c r="BC494" i="5"/>
  <c r="BB270" i="5"/>
  <c r="BN190" i="5"/>
  <c r="BZ190" i="5" s="1"/>
  <c r="BB320" i="5"/>
  <c r="BN215" i="5"/>
  <c r="AU568" i="5"/>
  <c r="AU569" i="5" s="1"/>
  <c r="D50" i="10"/>
  <c r="F12" i="16"/>
  <c r="F40" i="16" s="1"/>
  <c r="AA11" i="15"/>
  <c r="AB11" i="15"/>
  <c r="G39" i="15"/>
  <c r="AU572" i="5"/>
  <c r="AU573" i="5" s="1"/>
  <c r="BN248" i="5"/>
  <c r="BB248" i="5"/>
  <c r="BC293" i="5"/>
  <c r="BC212" i="5"/>
  <c r="BN221" i="5"/>
  <c r="BZ221" i="5" s="1"/>
  <c r="BO215" i="5"/>
  <c r="AV568" i="5"/>
  <c r="AV569" i="5" s="1"/>
  <c r="BD572" i="5"/>
  <c r="BD573" i="5" s="1"/>
  <c r="AU570" i="5"/>
  <c r="AU571" i="5" s="1"/>
  <c r="BK570" i="5"/>
  <c r="BK571" i="5" s="1"/>
  <c r="BB489" i="5"/>
  <c r="BZ489" i="5" s="1"/>
  <c r="BG570" i="5"/>
  <c r="BG571" i="5" s="1"/>
  <c r="BY570" i="5"/>
  <c r="BY571" i="5" s="1"/>
  <c r="CI570" i="5"/>
  <c r="CI571" i="5" s="1"/>
  <c r="CB15" i="5"/>
  <c r="BO310" i="5"/>
  <c r="BN323" i="5"/>
  <c r="BO337" i="5"/>
  <c r="BB252" i="5"/>
  <c r="BZ252" i="5" s="1"/>
  <c r="BC501" i="5"/>
  <c r="BN373" i="5"/>
  <c r="BZ373" i="5" s="1"/>
  <c r="BC368" i="5"/>
  <c r="BO404" i="5"/>
  <c r="BO486" i="5"/>
  <c r="AY566" i="5"/>
  <c r="AY567" i="5" s="1"/>
  <c r="BO9" i="5"/>
  <c r="BN446" i="5"/>
  <c r="BZ446" i="5" s="1"/>
  <c r="D39" i="10"/>
  <c r="F12" i="15"/>
  <c r="BP570" i="5"/>
  <c r="BP571" i="5" s="1"/>
  <c r="BO256" i="5"/>
  <c r="BB447" i="5"/>
  <c r="BZ447" i="5" s="1"/>
  <c r="BB380" i="5"/>
  <c r="BZ380" i="5" s="1"/>
  <c r="BO101" i="5"/>
  <c r="AZ566" i="5"/>
  <c r="AZ567" i="5" s="1"/>
  <c r="BP215" i="5"/>
  <c r="BP568" i="5" s="1"/>
  <c r="BP569" i="5" s="1"/>
  <c r="BA568" i="5"/>
  <c r="BA569" i="5" s="1"/>
  <c r="BB364" i="5"/>
  <c r="BZ364" i="5" s="1"/>
  <c r="J11" i="15"/>
  <c r="I39" i="15"/>
  <c r="AB39" i="15" s="1"/>
  <c r="AV572" i="5"/>
  <c r="AV573" i="5" s="1"/>
  <c r="BL118" i="5"/>
  <c r="F75" i="17"/>
  <c r="F80" i="17" s="1"/>
  <c r="BZ218" i="5"/>
  <c r="CB348" i="5"/>
  <c r="BG568" i="5"/>
  <c r="BG569" i="5" s="1"/>
  <c r="BT568" i="5"/>
  <c r="BT569" i="5" s="1"/>
  <c r="BV568" i="5"/>
  <c r="BV569" i="5" s="1"/>
  <c r="BH568" i="5"/>
  <c r="BH569" i="5" s="1"/>
  <c r="BS568" i="5"/>
  <c r="BS569" i="5" s="1"/>
  <c r="CF568" i="5"/>
  <c r="CF569" i="5" s="1"/>
  <c r="BE568" i="5"/>
  <c r="BE569" i="5" s="1"/>
  <c r="BI568" i="5"/>
  <c r="BI569" i="5" s="1"/>
  <c r="CA568" i="5"/>
  <c r="CA569" i="5" s="1"/>
  <c r="CC568" i="5"/>
  <c r="CC569" i="5" s="1"/>
  <c r="BJ568" i="5"/>
  <c r="BJ569" i="5" s="1"/>
  <c r="BW568" i="5"/>
  <c r="BW569" i="5" s="1"/>
  <c r="CI568" i="5"/>
  <c r="CI569" i="5" s="1"/>
  <c r="CB292" i="5"/>
  <c r="BD568" i="5"/>
  <c r="BD569" i="5" s="1"/>
  <c r="BM568" i="5"/>
  <c r="BM569" i="5" s="1"/>
  <c r="BU568" i="5"/>
  <c r="BU569" i="5" s="1"/>
  <c r="CK568" i="5"/>
  <c r="CK569" i="5" s="1"/>
  <c r="BR568" i="5"/>
  <c r="BR569" i="5" s="1"/>
  <c r="BY568" i="5"/>
  <c r="BY569" i="5" s="1"/>
  <c r="CB380" i="5"/>
  <c r="BF568" i="5"/>
  <c r="BF569" i="5" s="1"/>
  <c r="BK568" i="5"/>
  <c r="BK569" i="5" s="1"/>
  <c r="CD568" i="5"/>
  <c r="CD569" i="5" s="1"/>
  <c r="BQ568" i="5"/>
  <c r="BQ569" i="5" s="1"/>
  <c r="CE568" i="5"/>
  <c r="CE569" i="5" s="1"/>
  <c r="BE566" i="5"/>
  <c r="BE567" i="5" s="1"/>
  <c r="BI566" i="5"/>
  <c r="BI567" i="5" s="1"/>
  <c r="BU566" i="5"/>
  <c r="BU567" i="5" s="1"/>
  <c r="CK566" i="5"/>
  <c r="CK567" i="5" s="1"/>
  <c r="CB406" i="5"/>
  <c r="CB229" i="5"/>
  <c r="BJ566" i="5"/>
  <c r="BJ567" i="5" s="1"/>
  <c r="BY566" i="5"/>
  <c r="BY567" i="5" s="1"/>
  <c r="BW566" i="5"/>
  <c r="BW567" i="5" s="1"/>
  <c r="BL65" i="5"/>
  <c r="BK566" i="5"/>
  <c r="BK567" i="5" s="1"/>
  <c r="CF566" i="5"/>
  <c r="CF567" i="5" s="1"/>
  <c r="BR566" i="5"/>
  <c r="BR567" i="5" s="1"/>
  <c r="BV566" i="5"/>
  <c r="BV567" i="5" s="1"/>
  <c r="BF566" i="5"/>
  <c r="BF567" i="5" s="1"/>
  <c r="CD566" i="5"/>
  <c r="CD567" i="5" s="1"/>
  <c r="CB382" i="5"/>
  <c r="CB396" i="5"/>
  <c r="BG566" i="5"/>
  <c r="BG567" i="5" s="1"/>
  <c r="BQ566" i="5"/>
  <c r="BQ567" i="5" s="1"/>
  <c r="CA566" i="5"/>
  <c r="CA567" i="5" s="1"/>
  <c r="CE566" i="5"/>
  <c r="CE567" i="5" s="1"/>
  <c r="CB94" i="5"/>
  <c r="F75" i="15"/>
  <c r="F80" i="15" s="1"/>
  <c r="BH566" i="5"/>
  <c r="BH567" i="5" s="1"/>
  <c r="BS566" i="5"/>
  <c r="BS567" i="5" s="1"/>
  <c r="CC566" i="5"/>
  <c r="CC567" i="5" s="1"/>
  <c r="BM566" i="5"/>
  <c r="BM567" i="5" s="1"/>
  <c r="BT566" i="5"/>
  <c r="BT567" i="5" s="1"/>
  <c r="CI566" i="5"/>
  <c r="CI567" i="5" s="1"/>
  <c r="BO15" i="5"/>
  <c r="BO549" i="5"/>
  <c r="BO389" i="5"/>
  <c r="BB484" i="5"/>
  <c r="BZ484" i="5" s="1"/>
  <c r="BC151" i="5"/>
  <c r="BN71" i="5"/>
  <c r="BZ71" i="5" s="1"/>
  <c r="CB125" i="5"/>
  <c r="BN191" i="5"/>
  <c r="BZ191" i="5" s="1"/>
  <c r="BC175" i="5"/>
  <c r="BN160" i="5"/>
  <c r="BZ160" i="5" s="1"/>
  <c r="BN292" i="5"/>
  <c r="BO78" i="5"/>
  <c r="BO562" i="5" s="1"/>
  <c r="BO563" i="5" s="1"/>
  <c r="BO401" i="5"/>
  <c r="CB510" i="5"/>
  <c r="BO511" i="5"/>
  <c r="BC11" i="5"/>
  <c r="BO5" i="5"/>
  <c r="BN319" i="5"/>
  <c r="BZ319" i="5" s="1"/>
  <c r="BO164" i="5"/>
  <c r="BO276" i="5"/>
  <c r="BN317" i="5"/>
  <c r="BB192" i="5"/>
  <c r="BZ192" i="5" s="1"/>
  <c r="BN111" i="5"/>
  <c r="BZ111" i="5" s="1"/>
  <c r="BC356" i="5"/>
  <c r="BB134" i="5"/>
  <c r="BZ134" i="5" s="1"/>
  <c r="BC445" i="5"/>
  <c r="BO216" i="5"/>
  <c r="BN422" i="5"/>
  <c r="BB400" i="5"/>
  <c r="BC399" i="5"/>
  <c r="BO332" i="5"/>
  <c r="BB164" i="5"/>
  <c r="BZ164" i="5" s="1"/>
  <c r="BO6" i="5"/>
  <c r="BN493" i="5"/>
  <c r="BZ493" i="5" s="1"/>
  <c r="BN365" i="5"/>
  <c r="BZ365" i="5" s="1"/>
  <c r="BC519" i="5"/>
  <c r="BC78" i="5"/>
  <c r="BC562" i="5" s="1"/>
  <c r="BC563" i="5" s="1"/>
  <c r="H5" i="10"/>
  <c r="AV566" i="5"/>
  <c r="AV567" i="5" s="1"/>
  <c r="BO339" i="5"/>
  <c r="BO305" i="5"/>
  <c r="BN548" i="5"/>
  <c r="BC319" i="5"/>
  <c r="BC403" i="5"/>
  <c r="BZ97" i="5"/>
  <c r="BO169" i="5"/>
  <c r="BN80" i="5"/>
  <c r="BZ80" i="5" s="1"/>
  <c r="BB438" i="5"/>
  <c r="BZ438" i="5" s="1"/>
  <c r="BC35" i="5"/>
  <c r="BN443" i="5"/>
  <c r="BZ443" i="5" s="1"/>
  <c r="BC137" i="5"/>
  <c r="BB413" i="5"/>
  <c r="BZ413" i="5" s="1"/>
  <c r="CB73" i="5"/>
  <c r="BO331" i="5"/>
  <c r="CB75" i="5"/>
  <c r="BN75" i="5"/>
  <c r="BZ75" i="5" s="1"/>
  <c r="CB350" i="5"/>
  <c r="BO412" i="5"/>
  <c r="BN501" i="5"/>
  <c r="BZ501" i="5" s="1"/>
  <c r="BN32" i="5"/>
  <c r="BZ32" i="5" s="1"/>
  <c r="CB422" i="5"/>
  <c r="BC19" i="5"/>
  <c r="BC174" i="5"/>
  <c r="BC3" i="5"/>
  <c r="BO372" i="5"/>
  <c r="BO523" i="5"/>
  <c r="BD566" i="5"/>
  <c r="BD567" i="5" s="1"/>
  <c r="BO551" i="5"/>
  <c r="BC485" i="5"/>
  <c r="BB453" i="5"/>
  <c r="BB339" i="5"/>
  <c r="BO222" i="5"/>
  <c r="BN451" i="5"/>
  <c r="BB445" i="5"/>
  <c r="BZ445" i="5" s="1"/>
  <c r="BN344" i="5"/>
  <c r="BZ344" i="5" s="1"/>
  <c r="BB72" i="5"/>
  <c r="BZ72" i="5" s="1"/>
  <c r="BN327" i="5"/>
  <c r="BZ327" i="5" s="1"/>
  <c r="BN5" i="5"/>
  <c r="BC513" i="5"/>
  <c r="BB2" i="5"/>
  <c r="BB494" i="5"/>
  <c r="BB331" i="5"/>
  <c r="BZ331" i="5" s="1"/>
  <c r="BC44" i="5"/>
  <c r="BC110" i="5"/>
  <c r="BB41" i="5"/>
  <c r="BZ41" i="5" s="1"/>
  <c r="CB505" i="5"/>
  <c r="CB97" i="5"/>
  <c r="BP566" i="5"/>
  <c r="BP567" i="5" s="1"/>
  <c r="BB528" i="5"/>
  <c r="BN527" i="5"/>
  <c r="BZ527" i="5" s="1"/>
  <c r="BB372" i="5"/>
  <c r="BZ372" i="5" s="1"/>
  <c r="BB429" i="5"/>
  <c r="BZ429" i="5" s="1"/>
  <c r="BO152" i="5"/>
  <c r="BB55" i="5"/>
  <c r="BZ55" i="5" s="1"/>
  <c r="BO552" i="5"/>
  <c r="BO437" i="5"/>
  <c r="BC41" i="5"/>
  <c r="BC454" i="5"/>
  <c r="BO355" i="5"/>
  <c r="BO476" i="5"/>
  <c r="BB517" i="5"/>
  <c r="BZ517" i="5" s="1"/>
  <c r="BN255" i="5"/>
  <c r="BZ255" i="5" s="1"/>
  <c r="BN167" i="5"/>
  <c r="BZ167" i="5" s="1"/>
  <c r="BO517" i="5"/>
  <c r="CB484" i="5"/>
  <c r="BB464" i="5"/>
  <c r="BZ464" i="5" s="1"/>
  <c r="BC315" i="5"/>
  <c r="BC447" i="5"/>
  <c r="CB175" i="5"/>
  <c r="BO190" i="5"/>
  <c r="BN515" i="5"/>
  <c r="AU566" i="5"/>
  <c r="AU567" i="5" s="1"/>
  <c r="BB220" i="5"/>
  <c r="BN389" i="5"/>
  <c r="BZ389" i="5" s="1"/>
  <c r="BC329" i="5"/>
  <c r="BB425" i="5"/>
  <c r="BZ425" i="5" s="1"/>
  <c r="BO361" i="5"/>
  <c r="BC208" i="5"/>
  <c r="BO268" i="5"/>
  <c r="BC46" i="5"/>
  <c r="BN29" i="5"/>
  <c r="BZ29" i="5" s="1"/>
  <c r="BC526" i="5"/>
  <c r="BC481" i="5"/>
  <c r="BO481" i="5"/>
  <c r="BN552" i="5"/>
  <c r="BB552" i="5"/>
  <c r="BB469" i="5"/>
  <c r="BN469" i="5"/>
  <c r="BO313" i="5"/>
  <c r="BC313" i="5"/>
  <c r="BO455" i="5"/>
  <c r="BC455" i="5"/>
  <c r="BC71" i="5"/>
  <c r="BO71" i="5"/>
  <c r="BC311" i="5"/>
  <c r="BO311" i="5"/>
  <c r="BN156" i="5"/>
  <c r="BB156" i="5"/>
  <c r="BC539" i="5"/>
  <c r="BO539" i="5"/>
  <c r="CB54" i="5"/>
  <c r="BX54" i="5"/>
  <c r="G12" i="13"/>
  <c r="G40" i="13" s="1"/>
  <c r="E17" i="10"/>
  <c r="BZ220" i="5"/>
  <c r="BN543" i="5"/>
  <c r="BB543" i="5"/>
  <c r="BC295" i="5"/>
  <c r="BC167" i="5"/>
  <c r="BN549" i="5"/>
  <c r="BZ549" i="5" s="1"/>
  <c r="BO127" i="5"/>
  <c r="BN142" i="5"/>
  <c r="BZ142" i="5" s="1"/>
  <c r="BN396" i="5"/>
  <c r="BZ396" i="5" s="1"/>
  <c r="BO134" i="5"/>
  <c r="BO431" i="5"/>
  <c r="BC431" i="5"/>
  <c r="F10" i="12"/>
  <c r="D4" i="10"/>
  <c r="BN253" i="5"/>
  <c r="BB253" i="5"/>
  <c r="BO405" i="5"/>
  <c r="BC405" i="5"/>
  <c r="BO456" i="5"/>
  <c r="BN37" i="5"/>
  <c r="BB268" i="5"/>
  <c r="BZ268" i="5" s="1"/>
  <c r="BB140" i="5"/>
  <c r="BZ140" i="5" s="1"/>
  <c r="BO547" i="5"/>
  <c r="BN419" i="5"/>
  <c r="BZ419" i="5" s="1"/>
  <c r="BN84" i="5"/>
  <c r="BC211" i="5"/>
  <c r="BC543" i="5"/>
  <c r="BO439" i="5"/>
  <c r="BC439" i="5"/>
  <c r="BO55" i="5"/>
  <c r="BC55" i="5"/>
  <c r="BO373" i="5"/>
  <c r="BN212" i="5"/>
  <c r="BB212" i="5"/>
  <c r="BC157" i="5"/>
  <c r="BO157" i="5"/>
  <c r="BN151" i="5"/>
  <c r="BB151" i="5"/>
  <c r="BO199" i="5"/>
  <c r="BC199" i="5"/>
  <c r="BN206" i="5"/>
  <c r="BB206" i="5"/>
  <c r="BO124" i="5"/>
  <c r="BC124" i="5"/>
  <c r="BN383" i="5"/>
  <c r="BZ383" i="5" s="1"/>
  <c r="BB165" i="5"/>
  <c r="BZ165" i="5" s="1"/>
  <c r="BN293" i="5"/>
  <c r="BZ293" i="5" s="1"/>
  <c r="BB361" i="5"/>
  <c r="BC80" i="5"/>
  <c r="BO228" i="5"/>
  <c r="BN157" i="5"/>
  <c r="BB157" i="5"/>
  <c r="BB436" i="5"/>
  <c r="BB315" i="5"/>
  <c r="BN315" i="5"/>
  <c r="BB337" i="5"/>
  <c r="BC385" i="5"/>
  <c r="BO385" i="5"/>
  <c r="BN44" i="5"/>
  <c r="BB44" i="5"/>
  <c r="BN350" i="5"/>
  <c r="BB350" i="5"/>
  <c r="BO340" i="5"/>
  <c r="BO348" i="5"/>
  <c r="BC220" i="5"/>
  <c r="BC352" i="5"/>
  <c r="BC224" i="5"/>
  <c r="CB374" i="5"/>
  <c r="BB207" i="5"/>
  <c r="BZ207" i="5" s="1"/>
  <c r="BO396" i="5"/>
  <c r="BC443" i="5"/>
  <c r="BO443" i="5"/>
  <c r="BC294" i="5"/>
  <c r="BO294" i="5"/>
  <c r="BC532" i="5"/>
  <c r="BN553" i="5"/>
  <c r="BZ553" i="5" s="1"/>
  <c r="BB304" i="5"/>
  <c r="BN476" i="5"/>
  <c r="BZ476" i="5" s="1"/>
  <c r="BB92" i="5"/>
  <c r="BZ92" i="5" s="1"/>
  <c r="BN421" i="5"/>
  <c r="BZ421" i="5" s="1"/>
  <c r="BO230" i="5"/>
  <c r="BN521" i="5"/>
  <c r="BB463" i="5"/>
  <c r="BZ463" i="5" s="1"/>
  <c r="BC470" i="5"/>
  <c r="BC467" i="5"/>
  <c r="BO467" i="5"/>
  <c r="BN39" i="5"/>
  <c r="BB39" i="5"/>
  <c r="BO73" i="5"/>
  <c r="BC73" i="5"/>
  <c r="BB30" i="5"/>
  <c r="BN30" i="5"/>
  <c r="BN125" i="5"/>
  <c r="BB125" i="5"/>
  <c r="BO231" i="5"/>
  <c r="BC231" i="5"/>
  <c r="BC102" i="5"/>
  <c r="BO102" i="5"/>
  <c r="E15" i="10"/>
  <c r="G10" i="13"/>
  <c r="BN199" i="5"/>
  <c r="BZ199" i="5" s="1"/>
  <c r="BO187" i="5"/>
  <c r="BC59" i="5"/>
  <c r="BB198" i="5"/>
  <c r="BZ198" i="5" s="1"/>
  <c r="BO253" i="5"/>
  <c r="BO125" i="5"/>
  <c r="BC191" i="5"/>
  <c r="AV564" i="5"/>
  <c r="AV565" i="5" s="1"/>
  <c r="AY564" i="5"/>
  <c r="AY565" i="5" s="1"/>
  <c r="BB99" i="5"/>
  <c r="BO500" i="5"/>
  <c r="BO542" i="5"/>
  <c r="BO343" i="5"/>
  <c r="BC7" i="5"/>
  <c r="CB166" i="5"/>
  <c r="BC197" i="5"/>
  <c r="BN360" i="5"/>
  <c r="BZ360" i="5" s="1"/>
  <c r="BO488" i="5"/>
  <c r="BO446" i="5"/>
  <c r="BN11" i="5"/>
  <c r="AU562" i="5"/>
  <c r="AU563" i="5" s="1"/>
  <c r="BA562" i="5"/>
  <c r="BA563" i="5" s="1"/>
  <c r="BP79" i="5"/>
  <c r="BP564" i="5" s="1"/>
  <c r="BP565" i="5" s="1"/>
  <c r="BA564" i="5"/>
  <c r="BA565" i="5" s="1"/>
  <c r="BC460" i="5"/>
  <c r="BN271" i="5"/>
  <c r="BZ271" i="5" s="1"/>
  <c r="BB448" i="5"/>
  <c r="BZ448" i="5" s="1"/>
  <c r="BB495" i="5"/>
  <c r="BZ495" i="5" s="1"/>
  <c r="BB264" i="5"/>
  <c r="BZ264" i="5" s="1"/>
  <c r="BN497" i="5"/>
  <c r="BZ497" i="5" s="1"/>
  <c r="BO433" i="5"/>
  <c r="BN211" i="5"/>
  <c r="BB128" i="5"/>
  <c r="BZ128" i="5" s="1"/>
  <c r="BB477" i="5"/>
  <c r="BZ477" i="5" s="1"/>
  <c r="BO344" i="5"/>
  <c r="BC88" i="5"/>
  <c r="BB261" i="5"/>
  <c r="BZ261" i="5" s="1"/>
  <c r="CB201" i="5"/>
  <c r="CB481" i="5"/>
  <c r="BC449" i="5"/>
  <c r="BC417" i="5"/>
  <c r="BN417" i="5"/>
  <c r="CB311" i="5"/>
  <c r="BN183" i="5"/>
  <c r="BB335" i="5"/>
  <c r="BN556" i="5"/>
  <c r="BZ556" i="5" s="1"/>
  <c r="BB284" i="5"/>
  <c r="BB405" i="5"/>
  <c r="BZ405" i="5" s="1"/>
  <c r="BN112" i="5"/>
  <c r="BZ112" i="5" s="1"/>
  <c r="BN544" i="5"/>
  <c r="BZ544" i="5" s="1"/>
  <c r="BC288" i="5"/>
  <c r="BN229" i="5"/>
  <c r="CB101" i="5"/>
  <c r="BO400" i="5"/>
  <c r="BC79" i="5"/>
  <c r="BN392" i="5"/>
  <c r="BZ392" i="5" s="1"/>
  <c r="BB148" i="5"/>
  <c r="BZ148" i="5" s="1"/>
  <c r="BB387" i="5"/>
  <c r="BZ387" i="5" s="1"/>
  <c r="BN525" i="5"/>
  <c r="BB523" i="5"/>
  <c r="BZ523" i="5" s="1"/>
  <c r="BO136" i="5"/>
  <c r="BN69" i="5"/>
  <c r="BZ69" i="5" s="1"/>
  <c r="BB233" i="5"/>
  <c r="BZ233" i="5" s="1"/>
  <c r="BO529" i="5"/>
  <c r="BN433" i="5"/>
  <c r="BZ433" i="5" s="1"/>
  <c r="BO503" i="5"/>
  <c r="BC119" i="5"/>
  <c r="BN139" i="5"/>
  <c r="BN367" i="5"/>
  <c r="BZ367" i="5" s="1"/>
  <c r="BO108" i="5"/>
  <c r="BN158" i="5"/>
  <c r="BZ158" i="5" s="1"/>
  <c r="AA39" i="14"/>
  <c r="J39" i="14"/>
  <c r="BC261" i="5"/>
  <c r="BN201" i="5"/>
  <c r="BZ201" i="5" s="1"/>
  <c r="BX193" i="5"/>
  <c r="BC416" i="5"/>
  <c r="BO160" i="5"/>
  <c r="BC422" i="5"/>
  <c r="BC342" i="5"/>
  <c r="BB102" i="5"/>
  <c r="BZ102" i="5" s="1"/>
  <c r="BN325" i="5"/>
  <c r="BZ325" i="5" s="1"/>
  <c r="BC441" i="5"/>
  <c r="BB409" i="5"/>
  <c r="BZ409" i="5" s="1"/>
  <c r="BC377" i="5"/>
  <c r="BN272" i="5"/>
  <c r="BZ272" i="5" s="1"/>
  <c r="BB16" i="5"/>
  <c r="AZ564" i="5"/>
  <c r="AZ565" i="5" s="1"/>
  <c r="BC527" i="5"/>
  <c r="BN518" i="5"/>
  <c r="BB204" i="5"/>
  <c r="BN536" i="5"/>
  <c r="BN420" i="5"/>
  <c r="BZ420" i="5" s="1"/>
  <c r="BC227" i="5"/>
  <c r="BB276" i="5"/>
  <c r="BZ276" i="5" s="1"/>
  <c r="BN531" i="5"/>
  <c r="BZ531" i="5" s="1"/>
  <c r="BN20" i="5"/>
  <c r="CB519" i="5"/>
  <c r="BC391" i="5"/>
  <c r="BN390" i="5"/>
  <c r="BZ390" i="5" s="1"/>
  <c r="BO309" i="5"/>
  <c r="BN488" i="5"/>
  <c r="BZ488" i="5" s="1"/>
  <c r="BB510" i="5"/>
  <c r="BC139" i="5"/>
  <c r="BO8" i="5"/>
  <c r="AA39" i="13"/>
  <c r="J39" i="13"/>
  <c r="F10" i="14"/>
  <c r="D26" i="10"/>
  <c r="G39" i="12"/>
  <c r="AA11" i="12"/>
  <c r="J11" i="12"/>
  <c r="AB11" i="12"/>
  <c r="AB45" i="12" s="1"/>
  <c r="D15" i="10"/>
  <c r="D18" i="10" s="1"/>
  <c r="D21" i="10" s="1"/>
  <c r="F10" i="13"/>
  <c r="F38" i="13" s="1"/>
  <c r="BO381" i="5"/>
  <c r="BO200" i="5"/>
  <c r="BC300" i="5"/>
  <c r="BN286" i="5"/>
  <c r="BZ286" i="5" s="1"/>
  <c r="BC487" i="5"/>
  <c r="BC112" i="5"/>
  <c r="BO229" i="5"/>
  <c r="BN441" i="5"/>
  <c r="BZ441" i="5" s="1"/>
  <c r="BO528" i="5"/>
  <c r="BC16" i="5"/>
  <c r="BB399" i="5"/>
  <c r="BZ399" i="5" s="1"/>
  <c r="BB454" i="5"/>
  <c r="BZ454" i="5" s="1"/>
  <c r="BB507" i="5"/>
  <c r="BO147" i="5"/>
  <c r="BB265" i="5"/>
  <c r="BZ265" i="5" s="1"/>
  <c r="BO280" i="5"/>
  <c r="BB519" i="5"/>
  <c r="BZ519" i="5" s="1"/>
  <c r="BB395" i="5"/>
  <c r="BZ395" i="5" s="1"/>
  <c r="BO395" i="5"/>
  <c r="BC267" i="5"/>
  <c r="BC444" i="5"/>
  <c r="D28" i="10"/>
  <c r="F12" i="14"/>
  <c r="F40" i="14" s="1"/>
  <c r="BN465" i="5"/>
  <c r="BZ465" i="5" s="1"/>
  <c r="BO468" i="5"/>
  <c r="D6" i="10"/>
  <c r="F12" i="12"/>
  <c r="F40" i="12" s="1"/>
  <c r="BO531" i="5"/>
  <c r="BO525" i="5"/>
  <c r="BN379" i="5"/>
  <c r="BZ379" i="5" s="1"/>
  <c r="BB135" i="5"/>
  <c r="BZ135" i="5" s="1"/>
  <c r="BB7" i="5"/>
  <c r="BZ7" i="5" s="1"/>
  <c r="BB119" i="5"/>
  <c r="BB60" i="5"/>
  <c r="BZ60" i="5" s="1"/>
  <c r="BO251" i="5"/>
  <c r="CB228" i="5"/>
  <c r="BB300" i="5"/>
  <c r="BZ300" i="5" s="1"/>
  <c r="BN101" i="5"/>
  <c r="BZ101" i="5" s="1"/>
  <c r="BN473" i="5"/>
  <c r="BO144" i="5"/>
  <c r="BN79" i="5"/>
  <c r="AU564" i="5"/>
  <c r="AU565" i="5" s="1"/>
  <c r="BO536" i="5"/>
  <c r="BO483" i="5"/>
  <c r="BB19" i="5"/>
  <c r="BZ19" i="5" s="1"/>
  <c r="BN406" i="5"/>
  <c r="BZ406" i="5" s="1"/>
  <c r="BO93" i="5"/>
  <c r="BO397" i="5"/>
  <c r="BB152" i="5"/>
  <c r="BZ152" i="5" s="1"/>
  <c r="BC495" i="5"/>
  <c r="BC20" i="5"/>
  <c r="BC390" i="5"/>
  <c r="BC367" i="5"/>
  <c r="F40" i="13"/>
  <c r="CB553" i="5"/>
  <c r="CB310" i="5"/>
  <c r="BJ564" i="5"/>
  <c r="BJ565" i="5" s="1"/>
  <c r="BU564" i="5"/>
  <c r="BU565" i="5" s="1"/>
  <c r="CE564" i="5"/>
  <c r="CE565" i="5" s="1"/>
  <c r="CB3" i="5"/>
  <c r="G15" i="10"/>
  <c r="I10" i="13"/>
  <c r="CB151" i="5"/>
  <c r="CB23" i="5"/>
  <c r="CB305" i="5"/>
  <c r="BK564" i="5"/>
  <c r="BK565" i="5" s="1"/>
  <c r="BT564" i="5"/>
  <c r="BT565" i="5" s="1"/>
  <c r="CC564" i="5"/>
  <c r="CC565" i="5" s="1"/>
  <c r="CB313" i="5"/>
  <c r="CB407" i="5"/>
  <c r="BD564" i="5"/>
  <c r="BD565" i="5" s="1"/>
  <c r="BI564" i="5"/>
  <c r="BI565" i="5" s="1"/>
  <c r="CF564" i="5"/>
  <c r="CF565" i="5" s="1"/>
  <c r="G17" i="10"/>
  <c r="I12" i="13"/>
  <c r="M12" i="13"/>
  <c r="M40" i="13" s="1"/>
  <c r="K17" i="10"/>
  <c r="BG564" i="5"/>
  <c r="BG565" i="5" s="1"/>
  <c r="BW564" i="5"/>
  <c r="BW565" i="5" s="1"/>
  <c r="CB533" i="5"/>
  <c r="BE564" i="5"/>
  <c r="BE565" i="5" s="1"/>
  <c r="CB148" i="5"/>
  <c r="CB78" i="5"/>
  <c r="CB318" i="5"/>
  <c r="F75" i="14"/>
  <c r="F80" i="14" s="1"/>
  <c r="CB412" i="5"/>
  <c r="BH564" i="5"/>
  <c r="BH565" i="5" s="1"/>
  <c r="BQ564" i="5"/>
  <c r="BQ565" i="5" s="1"/>
  <c r="CD564" i="5"/>
  <c r="CD565" i="5" s="1"/>
  <c r="CB507" i="5"/>
  <c r="CB259" i="5"/>
  <c r="CB495" i="5"/>
  <c r="L12" i="13"/>
  <c r="J17" i="10"/>
  <c r="CB327" i="5"/>
  <c r="CB545" i="5"/>
  <c r="BR564" i="5"/>
  <c r="BR565" i="5" s="1"/>
  <c r="BV564" i="5"/>
  <c r="BV565" i="5" s="1"/>
  <c r="CB174" i="5"/>
  <c r="CB500" i="5"/>
  <c r="CB307" i="5"/>
  <c r="CB188" i="5"/>
  <c r="CB70" i="5"/>
  <c r="CB459" i="5"/>
  <c r="BF564" i="5"/>
  <c r="BF565" i="5" s="1"/>
  <c r="BS564" i="5"/>
  <c r="BS565" i="5" s="1"/>
  <c r="CI564" i="5"/>
  <c r="CI565" i="5" s="1"/>
  <c r="CB212" i="5"/>
  <c r="CB222" i="5"/>
  <c r="CB134" i="5"/>
  <c r="CB526" i="5"/>
  <c r="CB501" i="5"/>
  <c r="BZ77" i="5"/>
  <c r="BZ562" i="5" s="1"/>
  <c r="BZ563" i="5" s="1"/>
  <c r="CB276" i="5"/>
  <c r="CB142" i="5"/>
  <c r="CB502" i="5"/>
  <c r="CB35" i="5"/>
  <c r="CB84" i="5"/>
  <c r="CB83" i="5"/>
  <c r="CB137" i="5"/>
  <c r="CB349" i="5"/>
  <c r="CB535" i="5"/>
  <c r="CB183" i="5"/>
  <c r="CB447" i="5"/>
  <c r="CB124" i="5"/>
  <c r="CB286" i="5"/>
  <c r="CB288" i="5"/>
  <c r="CB309" i="5"/>
  <c r="CB478" i="5"/>
  <c r="CB492" i="5"/>
  <c r="CB301" i="5"/>
  <c r="BL463" i="5"/>
  <c r="CB271" i="5"/>
  <c r="CB379" i="5"/>
  <c r="CB254" i="5"/>
  <c r="CB453" i="5"/>
  <c r="CB421" i="5"/>
  <c r="CB340" i="5"/>
  <c r="CB157" i="5"/>
  <c r="CB126" i="5"/>
  <c r="CB133" i="5"/>
  <c r="BL385" i="5"/>
  <c r="BL462" i="5"/>
  <c r="CB252" i="5"/>
  <c r="CB59" i="5"/>
  <c r="BL428" i="5"/>
  <c r="BL28" i="5"/>
  <c r="CB93" i="5"/>
  <c r="CB320" i="5"/>
  <c r="CB557" i="5"/>
  <c r="CB389" i="5"/>
  <c r="CB470" i="5"/>
  <c r="CB243" i="5"/>
  <c r="CB187" i="5"/>
  <c r="CB270" i="5"/>
  <c r="CB204" i="5"/>
  <c r="CB497" i="5"/>
  <c r="CB367" i="5"/>
  <c r="CB251" i="5"/>
  <c r="CB438" i="5"/>
  <c r="CB524" i="5"/>
  <c r="CB509" i="5"/>
  <c r="CB71" i="5"/>
  <c r="CB417" i="5"/>
  <c r="CB385" i="5"/>
  <c r="CB462" i="5"/>
  <c r="CB499" i="5"/>
  <c r="BX225" i="5"/>
  <c r="CB532" i="5"/>
  <c r="CB303" i="5"/>
  <c r="CB190" i="5"/>
  <c r="CB147" i="5"/>
  <c r="CB221" i="5"/>
  <c r="CB265" i="5"/>
  <c r="CB542" i="5"/>
  <c r="CB503" i="5"/>
  <c r="CB480" i="5"/>
  <c r="BX105" i="5"/>
  <c r="CB436" i="5"/>
  <c r="CB373" i="5"/>
  <c r="CB77" i="5"/>
  <c r="BP562" i="5"/>
  <c r="BP563" i="5" s="1"/>
  <c r="CB475" i="5"/>
  <c r="BL423" i="5"/>
  <c r="CB167" i="5"/>
  <c r="CB96" i="5"/>
  <c r="CB463" i="5"/>
  <c r="CB140" i="5"/>
  <c r="CB100" i="5"/>
  <c r="CB163" i="5"/>
  <c r="CB285" i="5"/>
  <c r="BX509" i="5"/>
  <c r="BX327" i="5"/>
  <c r="CB206" i="5"/>
  <c r="CB5" i="5"/>
  <c r="CB439" i="5"/>
  <c r="BX331" i="5"/>
  <c r="CB556" i="5"/>
  <c r="CB548" i="5"/>
  <c r="CB342" i="5"/>
  <c r="CB527" i="5"/>
  <c r="CB36" i="5"/>
  <c r="CB19" i="5"/>
  <c r="CB262" i="5"/>
  <c r="CB131" i="5"/>
  <c r="CB397" i="5"/>
  <c r="CB365" i="5"/>
  <c r="CB375" i="5"/>
  <c r="CB247" i="5"/>
  <c r="CB179" i="5"/>
  <c r="CB316" i="5"/>
  <c r="CB468" i="5"/>
  <c r="CB364" i="5"/>
  <c r="CB108" i="5"/>
  <c r="CB158" i="5"/>
  <c r="CB189" i="5"/>
  <c r="BL201" i="5"/>
  <c r="BL437" i="5"/>
  <c r="CB325" i="5"/>
  <c r="CB409" i="5"/>
  <c r="BL60" i="5"/>
  <c r="BL70" i="5"/>
  <c r="CB165" i="5"/>
  <c r="CB476" i="5"/>
  <c r="CB549" i="5"/>
  <c r="BL517" i="5"/>
  <c r="CB357" i="5"/>
  <c r="BL457" i="5"/>
  <c r="CB393" i="5"/>
  <c r="BX207" i="5"/>
  <c r="CB366" i="5"/>
  <c r="BL46" i="5"/>
  <c r="BX321" i="5"/>
  <c r="CB203" i="5"/>
  <c r="CB300" i="5"/>
  <c r="CB333" i="5"/>
  <c r="CB156" i="5"/>
  <c r="BL214" i="5"/>
  <c r="CB191" i="5"/>
  <c r="CB14" i="5"/>
  <c r="CB297" i="5"/>
  <c r="CB377" i="5"/>
  <c r="BL272" i="5"/>
  <c r="CB518" i="5"/>
  <c r="CB531" i="5"/>
  <c r="CB7" i="5"/>
  <c r="CB465" i="5"/>
  <c r="CB433" i="5"/>
  <c r="BL401" i="5"/>
  <c r="BL375" i="5"/>
  <c r="CB236" i="5"/>
  <c r="CB220" i="5"/>
  <c r="CB517" i="5"/>
  <c r="CB383" i="5"/>
  <c r="BL383" i="5"/>
  <c r="BL255" i="5"/>
  <c r="CB432" i="5"/>
  <c r="CB111" i="5"/>
  <c r="CB224" i="5"/>
  <c r="CB457" i="5"/>
  <c r="CB356" i="5"/>
  <c r="CB419" i="5"/>
  <c r="CB543" i="5"/>
  <c r="CB302" i="5"/>
  <c r="CB46" i="5"/>
  <c r="CB321" i="5"/>
  <c r="CB105" i="5"/>
  <c r="CB279" i="5"/>
  <c r="CB455" i="5"/>
  <c r="CB38" i="5"/>
  <c r="CB353" i="5"/>
  <c r="CB55" i="5"/>
  <c r="CB172" i="5"/>
  <c r="CB308" i="5"/>
  <c r="CB332" i="5"/>
  <c r="CB420" i="5"/>
  <c r="CB355" i="5"/>
  <c r="BL94" i="5"/>
  <c r="CB461" i="5"/>
  <c r="CB24" i="5"/>
  <c r="CB69" i="5"/>
  <c r="CB511" i="5"/>
  <c r="CB60" i="5"/>
  <c r="BL176" i="5"/>
  <c r="BL456" i="5"/>
  <c r="CB329" i="5"/>
  <c r="CB443" i="5"/>
  <c r="CB67" i="5"/>
  <c r="CB39" i="5"/>
  <c r="CB413" i="5"/>
  <c r="BL149" i="5"/>
  <c r="CB294" i="5"/>
  <c r="CB449" i="5"/>
  <c r="CB494" i="5"/>
  <c r="BL447" i="5"/>
  <c r="CB430" i="5"/>
  <c r="CB539" i="5"/>
  <c r="CB359" i="5"/>
  <c r="CB47" i="5"/>
  <c r="BL160" i="5"/>
  <c r="CB473" i="5"/>
  <c r="CB536" i="5"/>
  <c r="CB227" i="5"/>
  <c r="CB99" i="5"/>
  <c r="CB317" i="5"/>
  <c r="BL448" i="5"/>
  <c r="CB525" i="5"/>
  <c r="CB119" i="5"/>
  <c r="CB435" i="5"/>
  <c r="CB444" i="5"/>
  <c r="F75" i="12"/>
  <c r="F80" i="12" s="1"/>
  <c r="CB295" i="5"/>
  <c r="CB534" i="5"/>
  <c r="BL396" i="5"/>
  <c r="BL173" i="5"/>
  <c r="CB467" i="5"/>
  <c r="BL134" i="5"/>
  <c r="BL285" i="5"/>
  <c r="CB195" i="5"/>
  <c r="CB445" i="5"/>
  <c r="CB341" i="5"/>
  <c r="CB513" i="5"/>
  <c r="CB508" i="5"/>
  <c r="BL124" i="5"/>
  <c r="CB428" i="5"/>
  <c r="CB110" i="5"/>
  <c r="CB253" i="5"/>
  <c r="CB284" i="5"/>
  <c r="CB28" i="5"/>
  <c r="CB411" i="5"/>
  <c r="CB405" i="5"/>
  <c r="CB368" i="5"/>
  <c r="CB41" i="5"/>
  <c r="BL400" i="5"/>
  <c r="CB16" i="5"/>
  <c r="CB483" i="5"/>
  <c r="CB275" i="5"/>
  <c r="CB6" i="5"/>
  <c r="CB401" i="5"/>
  <c r="CB369" i="5"/>
  <c r="CB267" i="5"/>
  <c r="BL189" i="5"/>
  <c r="CB551" i="5"/>
  <c r="CB127" i="5"/>
  <c r="CB239" i="5"/>
  <c r="CB547" i="5"/>
  <c r="CB477" i="5"/>
  <c r="CB198" i="5"/>
  <c r="CB30" i="5"/>
  <c r="CB540" i="5"/>
  <c r="BX289" i="5"/>
  <c r="BL533" i="5"/>
  <c r="CB469" i="5"/>
  <c r="BL319" i="5"/>
  <c r="BX399" i="5"/>
  <c r="BL221" i="5"/>
  <c r="CB9" i="5"/>
  <c r="BL461" i="5"/>
  <c r="CB471" i="5"/>
  <c r="CB390" i="5"/>
  <c r="CB233" i="5"/>
  <c r="CB529" i="5"/>
  <c r="CB143" i="5"/>
  <c r="BZ435" i="5"/>
  <c r="CB123" i="5"/>
  <c r="CB238" i="5"/>
  <c r="CB216" i="5"/>
  <c r="BX216" i="5"/>
  <c r="CB336" i="5"/>
  <c r="BX336" i="5"/>
  <c r="BX574" i="5" s="1"/>
  <c r="BX575" i="5" s="1"/>
  <c r="CB176" i="5"/>
  <c r="BX176" i="5"/>
  <c r="CB256" i="5"/>
  <c r="BX256" i="5"/>
  <c r="CB456" i="5"/>
  <c r="BX456" i="5"/>
  <c r="CB464" i="5"/>
  <c r="BX464" i="5"/>
  <c r="BO291" i="5"/>
  <c r="CB328" i="5"/>
  <c r="BX328" i="5"/>
  <c r="BX134" i="5"/>
  <c r="BX46" i="5"/>
  <c r="BC512" i="5"/>
  <c r="BO512" i="5"/>
  <c r="BO384" i="5"/>
  <c r="BL121" i="5"/>
  <c r="CB121" i="5"/>
  <c r="BX407" i="5"/>
  <c r="BL315" i="5"/>
  <c r="BB203" i="5"/>
  <c r="BN203" i="5"/>
  <c r="CB496" i="5"/>
  <c r="BX496" i="5"/>
  <c r="CB360" i="5"/>
  <c r="BX360" i="5"/>
  <c r="CB472" i="5"/>
  <c r="BX472" i="5"/>
  <c r="BX220" i="5"/>
  <c r="BX421" i="5"/>
  <c r="BL389" i="5"/>
  <c r="BC176" i="5"/>
  <c r="BX340" i="5"/>
  <c r="BO239" i="5"/>
  <c r="BL111" i="5"/>
  <c r="BN310" i="5"/>
  <c r="BX230" i="5"/>
  <c r="BN62" i="5"/>
  <c r="CB293" i="5"/>
  <c r="BN329" i="5"/>
  <c r="BZ329" i="5" s="1"/>
  <c r="CB169" i="5"/>
  <c r="BL169" i="5"/>
  <c r="BO521" i="5"/>
  <c r="BO489" i="5"/>
  <c r="BX489" i="5"/>
  <c r="BX457" i="5"/>
  <c r="BL425" i="5"/>
  <c r="CB273" i="5"/>
  <c r="BL273" i="5"/>
  <c r="BB502" i="5"/>
  <c r="BZ502" i="5" s="1"/>
  <c r="BO438" i="5"/>
  <c r="BX438" i="5"/>
  <c r="BX140" i="5"/>
  <c r="BL472" i="5"/>
  <c r="BB228" i="5"/>
  <c r="BZ228" i="5" s="1"/>
  <c r="BX291" i="5"/>
  <c r="BC285" i="5"/>
  <c r="BN285" i="5"/>
  <c r="BZ285" i="5" s="1"/>
  <c r="BB313" i="5"/>
  <c r="BN313" i="5"/>
  <c r="CB381" i="5"/>
  <c r="BB459" i="5"/>
  <c r="BZ459" i="5" s="1"/>
  <c r="BB23" i="5"/>
  <c r="BN23" i="5"/>
  <c r="CB200" i="5"/>
  <c r="BX200" i="5"/>
  <c r="BO545" i="5"/>
  <c r="BC545" i="5"/>
  <c r="CB544" i="5"/>
  <c r="BX544" i="5"/>
  <c r="CB408" i="5"/>
  <c r="BX408" i="5"/>
  <c r="BL547" i="5"/>
  <c r="BB475" i="5"/>
  <c r="BX549" i="5"/>
  <c r="BX383" i="5"/>
  <c r="BC255" i="5"/>
  <c r="BL476" i="5"/>
  <c r="BL15" i="5"/>
  <c r="BN15" i="5"/>
  <c r="BZ15" i="5" s="1"/>
  <c r="BC475" i="5"/>
  <c r="BB551" i="5"/>
  <c r="BZ551" i="5" s="1"/>
  <c r="BN423" i="5"/>
  <c r="BZ423" i="5" s="1"/>
  <c r="BO383" i="5"/>
  <c r="BC432" i="5"/>
  <c r="BC304" i="5"/>
  <c r="BB340" i="5"/>
  <c r="BZ340" i="5" s="1"/>
  <c r="BX111" i="5"/>
  <c r="BC96" i="5"/>
  <c r="BL374" i="5"/>
  <c r="BL230" i="5"/>
  <c r="BO62" i="5"/>
  <c r="BO165" i="5"/>
  <c r="BB169" i="5"/>
  <c r="BZ169" i="5" s="1"/>
  <c r="BX169" i="5"/>
  <c r="BL553" i="5"/>
  <c r="CB521" i="5"/>
  <c r="CB489" i="5"/>
  <c r="BC457" i="5"/>
  <c r="BN393" i="5"/>
  <c r="BZ393" i="5" s="1"/>
  <c r="BL464" i="5"/>
  <c r="BB336" i="5"/>
  <c r="BZ336" i="5" s="1"/>
  <c r="BZ574" i="5" s="1"/>
  <c r="BZ575" i="5" s="1"/>
  <c r="BO207" i="5"/>
  <c r="BC463" i="5"/>
  <c r="BB534" i="5"/>
  <c r="BL470" i="5"/>
  <c r="BX524" i="5"/>
  <c r="BB356" i="5"/>
  <c r="BL129" i="5"/>
  <c r="CB129" i="5"/>
  <c r="BX163" i="5"/>
  <c r="BX212" i="5"/>
  <c r="BO302" i="5"/>
  <c r="BC302" i="5"/>
  <c r="BC29" i="5"/>
  <c r="BN137" i="5"/>
  <c r="BO451" i="5"/>
  <c r="CB512" i="5"/>
  <c r="BX512" i="5"/>
  <c r="CB384" i="5"/>
  <c r="BX384" i="5"/>
  <c r="BO477" i="5"/>
  <c r="BB424" i="5"/>
  <c r="BN424" i="5"/>
  <c r="BL336" i="5"/>
  <c r="BL574" i="5" s="1"/>
  <c r="BL575" i="5" s="1"/>
  <c r="BB208" i="5"/>
  <c r="CB207" i="5"/>
  <c r="BO502" i="5"/>
  <c r="BX502" i="5"/>
  <c r="BL438" i="5"/>
  <c r="BL268" i="5"/>
  <c r="BC472" i="5"/>
  <c r="BL228" i="5"/>
  <c r="BO100" i="5"/>
  <c r="BX467" i="5"/>
  <c r="BM83" i="5"/>
  <c r="BM564" i="5" s="1"/>
  <c r="BM565" i="5" s="1"/>
  <c r="BB46" i="5"/>
  <c r="BZ46" i="5" s="1"/>
  <c r="BO67" i="5"/>
  <c r="BC67" i="5"/>
  <c r="BO39" i="5"/>
  <c r="BC39" i="5"/>
  <c r="CB344" i="5"/>
  <c r="BX344" i="5"/>
  <c r="BB88" i="5"/>
  <c r="BN88" i="5"/>
  <c r="BN407" i="5"/>
  <c r="BB407" i="5"/>
  <c r="BN341" i="5"/>
  <c r="BB341" i="5"/>
  <c r="BB449" i="5"/>
  <c r="BZ449" i="5" s="1"/>
  <c r="BO353" i="5"/>
  <c r="BC353" i="5"/>
  <c r="BJ560" i="5"/>
  <c r="BJ561" i="5" s="1"/>
  <c r="BW560" i="5"/>
  <c r="BW561" i="5" s="1"/>
  <c r="BC499" i="5"/>
  <c r="BL207" i="5"/>
  <c r="BB127" i="5"/>
  <c r="BZ127" i="5" s="1"/>
  <c r="BL153" i="5"/>
  <c r="CB153" i="5"/>
  <c r="CB304" i="5"/>
  <c r="BB48" i="5"/>
  <c r="BZ48" i="5" s="1"/>
  <c r="BX92" i="5"/>
  <c r="BL340" i="5"/>
  <c r="BB239" i="5"/>
  <c r="BZ239" i="5" s="1"/>
  <c r="BO111" i="5"/>
  <c r="BL393" i="5"/>
  <c r="BL80" i="5"/>
  <c r="CB80" i="5"/>
  <c r="BX80" i="5"/>
  <c r="BO140" i="5"/>
  <c r="BL419" i="5"/>
  <c r="BL163" i="5"/>
  <c r="BC328" i="5"/>
  <c r="CB211" i="5"/>
  <c r="BL366" i="5"/>
  <c r="BC321" i="5"/>
  <c r="BO321" i="5"/>
  <c r="BO195" i="5"/>
  <c r="BX195" i="5"/>
  <c r="BN67" i="5"/>
  <c r="BZ67" i="5" s="1"/>
  <c r="BX436" i="5"/>
  <c r="BN384" i="5"/>
  <c r="BZ384" i="5" s="1"/>
  <c r="BO509" i="5"/>
  <c r="BC509" i="5"/>
  <c r="BL509" i="5"/>
  <c r="BO349" i="5"/>
  <c r="BC349" i="5"/>
  <c r="BC407" i="5"/>
  <c r="BO407" i="5"/>
  <c r="CB392" i="5"/>
  <c r="BX392" i="5"/>
  <c r="CB192" i="5"/>
  <c r="BX192" i="5"/>
  <c r="BX295" i="5"/>
  <c r="BO553" i="5"/>
  <c r="CB352" i="5"/>
  <c r="BX352" i="5"/>
  <c r="BB230" i="5"/>
  <c r="BZ230" i="5" s="1"/>
  <c r="BX142" i="5"/>
  <c r="CB62" i="5"/>
  <c r="BX255" i="5"/>
  <c r="BL220" i="5"/>
  <c r="BO92" i="5"/>
  <c r="BL281" i="5"/>
  <c r="CB281" i="5"/>
  <c r="BC423" i="5"/>
  <c r="BN295" i="5"/>
  <c r="BZ295" i="5" s="1"/>
  <c r="BL549" i="5"/>
  <c r="BX517" i="5"/>
  <c r="BB357" i="5"/>
  <c r="BZ357" i="5" s="1"/>
  <c r="BC484" i="5"/>
  <c r="BL48" i="5"/>
  <c r="CB48" i="5"/>
  <c r="BX48" i="5"/>
  <c r="BX239" i="5"/>
  <c r="BB224" i="5"/>
  <c r="BX329" i="5"/>
  <c r="BX425" i="5"/>
  <c r="CB361" i="5"/>
  <c r="CB208" i="5"/>
  <c r="BX463" i="5"/>
  <c r="BO524" i="5"/>
  <c r="BX396" i="5"/>
  <c r="BX228" i="5"/>
  <c r="BL100" i="5"/>
  <c r="BC419" i="5"/>
  <c r="CB291" i="5"/>
  <c r="BN467" i="5"/>
  <c r="BZ467" i="5" s="1"/>
  <c r="CB339" i="5"/>
  <c r="BX29" i="5"/>
  <c r="BL256" i="5"/>
  <c r="BL541" i="5"/>
  <c r="BL344" i="5"/>
  <c r="BC327" i="5"/>
  <c r="BO327" i="5"/>
  <c r="CB552" i="5"/>
  <c r="BX552" i="5"/>
  <c r="BM560" i="5"/>
  <c r="BM561" i="5" s="1"/>
  <c r="CB240" i="5"/>
  <c r="BX240" i="5"/>
  <c r="CB264" i="5"/>
  <c r="BX264" i="5"/>
  <c r="CB92" i="5"/>
  <c r="BX551" i="5"/>
  <c r="BL295" i="5"/>
  <c r="BX167" i="5"/>
  <c r="BL485" i="5"/>
  <c r="BB485" i="5"/>
  <c r="BZ485" i="5" s="1"/>
  <c r="BX485" i="5"/>
  <c r="BL357" i="5"/>
  <c r="BX476" i="5"/>
  <c r="BL167" i="5"/>
  <c r="CB255" i="5"/>
  <c r="BL127" i="5"/>
  <c r="BN456" i="5"/>
  <c r="BZ456" i="5" s="1"/>
  <c r="BL239" i="5"/>
  <c r="CB230" i="5"/>
  <c r="BL142" i="5"/>
  <c r="BL329" i="5"/>
  <c r="BX553" i="5"/>
  <c r="BO425" i="5"/>
  <c r="BC393" i="5"/>
  <c r="BO336" i="5"/>
  <c r="BL502" i="5"/>
  <c r="BX470" i="5"/>
  <c r="BL524" i="5"/>
  <c r="BL140" i="5"/>
  <c r="BB547" i="5"/>
  <c r="BZ547" i="5" s="1"/>
  <c r="BN163" i="5"/>
  <c r="BZ163" i="5" s="1"/>
  <c r="BL443" i="5"/>
  <c r="BC84" i="5"/>
  <c r="BO366" i="5"/>
  <c r="BX366" i="5"/>
  <c r="BL222" i="5"/>
  <c r="BX222" i="5"/>
  <c r="BX157" i="5"/>
  <c r="BL321" i="5"/>
  <c r="BB105" i="5"/>
  <c r="BN105" i="5"/>
  <c r="BB526" i="5"/>
  <c r="BN526" i="5"/>
  <c r="CB128" i="5"/>
  <c r="BX128" i="5"/>
  <c r="BB541" i="5"/>
  <c r="BN541" i="5"/>
  <c r="CB88" i="5"/>
  <c r="BX88" i="5"/>
  <c r="CB424" i="5"/>
  <c r="BX424" i="5"/>
  <c r="BH560" i="5"/>
  <c r="BH561" i="5" s="1"/>
  <c r="CB272" i="5"/>
  <c r="BX272" i="5"/>
  <c r="CB144" i="5"/>
  <c r="BX144" i="5"/>
  <c r="BX423" i="5"/>
  <c r="BC357" i="5"/>
  <c r="BL484" i="5"/>
  <c r="BL92" i="5"/>
  <c r="BX15" i="5"/>
  <c r="BL551" i="5"/>
  <c r="CB485" i="5"/>
  <c r="BL421" i="5"/>
  <c r="BX389" i="5"/>
  <c r="BX357" i="5"/>
  <c r="BX484" i="5"/>
  <c r="BX127" i="5"/>
  <c r="BO480" i="5"/>
  <c r="BB374" i="5"/>
  <c r="BZ374" i="5" s="1"/>
  <c r="BX374" i="5"/>
  <c r="BL293" i="5"/>
  <c r="BX293" i="5"/>
  <c r="BX165" i="5"/>
  <c r="CB37" i="5"/>
  <c r="CB425" i="5"/>
  <c r="CB268" i="5"/>
  <c r="BX268" i="5"/>
  <c r="BB472" i="5"/>
  <c r="BZ472" i="5" s="1"/>
  <c r="BX100" i="5"/>
  <c r="BX547" i="5"/>
  <c r="BN291" i="5"/>
  <c r="BZ291" i="5" s="1"/>
  <c r="BO163" i="5"/>
  <c r="BC83" i="5"/>
  <c r="CA83" i="5" s="1"/>
  <c r="CA564" i="5" s="1"/>
  <c r="CA565" i="5" s="1"/>
  <c r="BX285" i="5"/>
  <c r="CB29" i="5"/>
  <c r="BO323" i="5"/>
  <c r="CB541" i="5"/>
  <c r="BX445" i="5"/>
  <c r="BL216" i="5"/>
  <c r="BL279" i="5"/>
  <c r="BX315" i="5"/>
  <c r="BX353" i="5"/>
  <c r="CB160" i="5"/>
  <c r="BX160" i="5"/>
  <c r="CB32" i="5"/>
  <c r="BX32" i="5"/>
  <c r="CB152" i="5"/>
  <c r="BX152" i="5"/>
  <c r="BX279" i="5"/>
  <c r="BL151" i="5"/>
  <c r="BL23" i="5"/>
  <c r="BN431" i="5"/>
  <c r="BB200" i="5"/>
  <c r="BZ200" i="5" s="1"/>
  <c r="BL126" i="5"/>
  <c r="BX126" i="5"/>
  <c r="BX305" i="5"/>
  <c r="BN545" i="5"/>
  <c r="BZ545" i="5" s="1"/>
  <c r="BL449" i="5"/>
  <c r="BB385" i="5"/>
  <c r="BZ385" i="5" s="1"/>
  <c r="BL353" i="5"/>
  <c r="BL424" i="5"/>
  <c r="BO335" i="5"/>
  <c r="BL552" i="5"/>
  <c r="AY560" i="5"/>
  <c r="AY561" i="5" s="1"/>
  <c r="BR560" i="5"/>
  <c r="BR561" i="5" s="1"/>
  <c r="BY560" i="5"/>
  <c r="BY561" i="5" s="1"/>
  <c r="BO462" i="5"/>
  <c r="BX103" i="5"/>
  <c r="CB331" i="5"/>
  <c r="BX203" i="5"/>
  <c r="BO252" i="5"/>
  <c r="BL532" i="5"/>
  <c r="BL303" i="5"/>
  <c r="BL556" i="5"/>
  <c r="BX428" i="5"/>
  <c r="BO172" i="5"/>
  <c r="CB44" i="5"/>
  <c r="BB110" i="5"/>
  <c r="BZ110" i="5" s="1"/>
  <c r="BC30" i="5"/>
  <c r="BN333" i="5"/>
  <c r="BZ333" i="5" s="1"/>
  <c r="BL156" i="5"/>
  <c r="BB308" i="5"/>
  <c r="BZ308" i="5" s="1"/>
  <c r="BL487" i="5"/>
  <c r="BX487" i="5"/>
  <c r="BN231" i="5"/>
  <c r="BZ231" i="5" s="1"/>
  <c r="BB533" i="5"/>
  <c r="BZ533" i="5" s="1"/>
  <c r="BO469" i="5"/>
  <c r="BL191" i="5"/>
  <c r="BC63" i="5"/>
  <c r="BC496" i="5"/>
  <c r="BL240" i="5"/>
  <c r="BL520" i="5"/>
  <c r="CB520" i="5"/>
  <c r="BX520" i="5"/>
  <c r="CB404" i="5"/>
  <c r="BB175" i="5"/>
  <c r="BZ175" i="5" s="1"/>
  <c r="BB416" i="5"/>
  <c r="BZ416" i="5" s="1"/>
  <c r="BL32" i="5"/>
  <c r="BL190" i="5"/>
  <c r="CB102" i="5"/>
  <c r="BL297" i="5"/>
  <c r="BC537" i="5"/>
  <c r="BB144" i="5"/>
  <c r="BZ144" i="5" s="1"/>
  <c r="BB79" i="5"/>
  <c r="CB486" i="5"/>
  <c r="CB454" i="5"/>
  <c r="BN460" i="5"/>
  <c r="BZ460" i="5" s="1"/>
  <c r="BL332" i="5"/>
  <c r="BC204" i="5"/>
  <c r="BC420" i="5"/>
  <c r="BC507" i="5"/>
  <c r="BX276" i="5"/>
  <c r="BO148" i="5"/>
  <c r="BL275" i="5"/>
  <c r="BX275" i="5"/>
  <c r="BN334" i="5"/>
  <c r="BZ334" i="5" s="1"/>
  <c r="BB262" i="5"/>
  <c r="BZ262" i="5" s="1"/>
  <c r="BL93" i="5"/>
  <c r="BC515" i="5"/>
  <c r="BC387" i="5"/>
  <c r="BB259" i="5"/>
  <c r="BB131" i="5"/>
  <c r="BZ131" i="5" s="1"/>
  <c r="BL131" i="5"/>
  <c r="BX131" i="5"/>
  <c r="BB557" i="5"/>
  <c r="BZ557" i="5" s="1"/>
  <c r="BL213" i="5"/>
  <c r="BL408" i="5"/>
  <c r="BO24" i="5"/>
  <c r="BL113" i="5"/>
  <c r="BN471" i="5"/>
  <c r="BC215" i="5"/>
  <c r="BC568" i="5" s="1"/>
  <c r="BC569" i="5" s="1"/>
  <c r="BL215" i="5"/>
  <c r="BC379" i="5"/>
  <c r="BC264" i="5"/>
  <c r="BB136" i="5"/>
  <c r="BZ136" i="5" s="1"/>
  <c r="BC263" i="5"/>
  <c r="BL263" i="5"/>
  <c r="CB263" i="5"/>
  <c r="BX135" i="5"/>
  <c r="BB326" i="5"/>
  <c r="BB254" i="5"/>
  <c r="BO166" i="5"/>
  <c r="BX197" i="5"/>
  <c r="BO233" i="5"/>
  <c r="BL529" i="5"/>
  <c r="BC465" i="5"/>
  <c r="BL433" i="5"/>
  <c r="BX433" i="5"/>
  <c r="BN401" i="5"/>
  <c r="BZ401" i="5" s="1"/>
  <c r="BN369" i="5"/>
  <c r="BZ369" i="5" s="1"/>
  <c r="BO143" i="5"/>
  <c r="BL446" i="5"/>
  <c r="BL179" i="5"/>
  <c r="BX179" i="5"/>
  <c r="BB511" i="5"/>
  <c r="BZ511" i="5" s="1"/>
  <c r="BL267" i="5"/>
  <c r="BB444" i="5"/>
  <c r="BZ444" i="5" s="1"/>
  <c r="BC316" i="5"/>
  <c r="BC188" i="5"/>
  <c r="BN8" i="5"/>
  <c r="BL492" i="5"/>
  <c r="BC364" i="5"/>
  <c r="BB236" i="5"/>
  <c r="BZ236" i="5" s="1"/>
  <c r="BO238" i="5"/>
  <c r="BX238" i="5"/>
  <c r="BC301" i="5"/>
  <c r="BN301" i="5"/>
  <c r="BZ301" i="5" s="1"/>
  <c r="BB189" i="5"/>
  <c r="BZ189" i="5" s="1"/>
  <c r="BX189" i="5"/>
  <c r="BL29" i="5"/>
  <c r="CB323" i="5"/>
  <c r="BL526" i="5"/>
  <c r="BL477" i="5"/>
  <c r="BL535" i="5"/>
  <c r="BC279" i="5"/>
  <c r="CB315" i="5"/>
  <c r="BL200" i="5"/>
  <c r="BB455" i="5"/>
  <c r="BZ455" i="5" s="1"/>
  <c r="BL327" i="5"/>
  <c r="BX199" i="5"/>
  <c r="BL294" i="5"/>
  <c r="BX294" i="5"/>
  <c r="BL38" i="5"/>
  <c r="BC341" i="5"/>
  <c r="BL341" i="5"/>
  <c r="BB305" i="5"/>
  <c r="BZ305" i="5" s="1"/>
  <c r="BN73" i="5"/>
  <c r="BZ73" i="5" s="1"/>
  <c r="BO201" i="5"/>
  <c r="BX513" i="5"/>
  <c r="BN353" i="5"/>
  <c r="BZ353" i="5" s="1"/>
  <c r="BL311" i="5"/>
  <c r="BX55" i="5"/>
  <c r="AZ560" i="5"/>
  <c r="AZ561" i="5" s="1"/>
  <c r="BD560" i="5"/>
  <c r="BD561" i="5" s="1"/>
  <c r="BS560" i="5"/>
  <c r="BS561" i="5" s="1"/>
  <c r="BX499" i="5"/>
  <c r="BC371" i="5"/>
  <c r="BC103" i="5"/>
  <c r="BL203" i="5"/>
  <c r="BX508" i="5"/>
  <c r="BX124" i="5"/>
  <c r="BX532" i="5"/>
  <c r="BB187" i="5"/>
  <c r="BZ187" i="5" s="1"/>
  <c r="BL172" i="5"/>
  <c r="BX44" i="5"/>
  <c r="BL430" i="5"/>
  <c r="BL286" i="5"/>
  <c r="BC198" i="5"/>
  <c r="BL30" i="5"/>
  <c r="BC540" i="5"/>
  <c r="BX412" i="5"/>
  <c r="BC28" i="5"/>
  <c r="BN411" i="5"/>
  <c r="BC308" i="5"/>
  <c r="BN539" i="5"/>
  <c r="BX231" i="5"/>
  <c r="BC533" i="5"/>
  <c r="BX533" i="5"/>
  <c r="BX191" i="5"/>
  <c r="BB240" i="5"/>
  <c r="BZ240" i="5" s="1"/>
  <c r="BL175" i="5"/>
  <c r="CB416" i="5"/>
  <c r="BX416" i="5"/>
  <c r="BX190" i="5"/>
  <c r="BN14" i="5"/>
  <c r="BZ14" i="5" s="1"/>
  <c r="BB297" i="5"/>
  <c r="BZ297" i="5" s="1"/>
  <c r="BN537" i="5"/>
  <c r="BZ537" i="5" s="1"/>
  <c r="BX441" i="5"/>
  <c r="BC409" i="5"/>
  <c r="BX409" i="5"/>
  <c r="CB460" i="5"/>
  <c r="CB164" i="5"/>
  <c r="BX483" i="5"/>
  <c r="BX406" i="5"/>
  <c r="BO334" i="5"/>
  <c r="BX174" i="5"/>
  <c r="BO94" i="5"/>
  <c r="BB93" i="5"/>
  <c r="BZ93" i="5" s="1"/>
  <c r="CB372" i="5"/>
  <c r="BL542" i="5"/>
  <c r="BL493" i="5"/>
  <c r="BL429" i="5"/>
  <c r="CB429" i="5"/>
  <c r="BL365" i="5"/>
  <c r="BN343" i="5"/>
  <c r="BZ343" i="5" s="1"/>
  <c r="BX87" i="5"/>
  <c r="BL495" i="5"/>
  <c r="BX495" i="5"/>
  <c r="BL136" i="5"/>
  <c r="CB136" i="5"/>
  <c r="BX136" i="5"/>
  <c r="CB20" i="5"/>
  <c r="BX519" i="5"/>
  <c r="BN391" i="5"/>
  <c r="BZ391" i="5" s="1"/>
  <c r="BL69" i="5"/>
  <c r="BX497" i="5"/>
  <c r="BL369" i="5"/>
  <c r="BL503" i="5"/>
  <c r="BX247" i="5"/>
  <c r="BO478" i="5"/>
  <c r="BX446" i="5"/>
  <c r="BO435" i="5"/>
  <c r="BL511" i="5"/>
  <c r="CB139" i="5"/>
  <c r="CB11" i="5"/>
  <c r="BX60" i="5"/>
  <c r="BL251" i="5"/>
  <c r="BX251" i="5"/>
  <c r="BB123" i="5"/>
  <c r="BZ123" i="5" s="1"/>
  <c r="CB8" i="5"/>
  <c r="BL108" i="5"/>
  <c r="BC382" i="5"/>
  <c r="BO158" i="5"/>
  <c r="BB70" i="5"/>
  <c r="BZ70" i="5" s="1"/>
  <c r="BO70" i="5"/>
  <c r="CB57" i="5"/>
  <c r="BL291" i="5"/>
  <c r="BX443" i="5"/>
  <c r="BL212" i="5"/>
  <c r="CB451" i="5"/>
  <c r="BB195" i="5"/>
  <c r="BZ195" i="5" s="1"/>
  <c r="BL67" i="5"/>
  <c r="BL384" i="5"/>
  <c r="BO128" i="5"/>
  <c r="BL39" i="5"/>
  <c r="BC541" i="5"/>
  <c r="BX535" i="5"/>
  <c r="BL407" i="5"/>
  <c r="BN358" i="5"/>
  <c r="BB294" i="5"/>
  <c r="BZ294" i="5" s="1"/>
  <c r="BX133" i="5"/>
  <c r="BL513" i="5"/>
  <c r="BB481" i="5"/>
  <c r="BZ481" i="5" s="1"/>
  <c r="BX439" i="5"/>
  <c r="BB311" i="5"/>
  <c r="BZ311" i="5" s="1"/>
  <c r="AU560" i="5"/>
  <c r="AU561" i="5" s="1"/>
  <c r="BF560" i="5"/>
  <c r="BF561" i="5" s="1"/>
  <c r="BK560" i="5"/>
  <c r="BK561" i="5" s="1"/>
  <c r="CE560" i="5"/>
  <c r="CE561" i="5" s="1"/>
  <c r="BX462" i="5"/>
  <c r="BL499" i="5"/>
  <c r="CB371" i="5"/>
  <c r="BL103" i="5"/>
  <c r="BC75" i="5"/>
  <c r="BC508" i="5"/>
  <c r="BL252" i="5"/>
  <c r="BN532" i="5"/>
  <c r="BZ532" i="5" s="1"/>
  <c r="BN303" i="5"/>
  <c r="BZ303" i="5" s="1"/>
  <c r="BO428" i="5"/>
  <c r="BX286" i="5"/>
  <c r="BL110" i="5"/>
  <c r="BL333" i="5"/>
  <c r="BX253" i="5"/>
  <c r="BL540" i="5"/>
  <c r="BL308" i="5"/>
  <c r="BN487" i="5"/>
  <c r="BZ487" i="5" s="1"/>
  <c r="CB487" i="5"/>
  <c r="BC359" i="5"/>
  <c r="BB359" i="5"/>
  <c r="BL501" i="5"/>
  <c r="BX501" i="5"/>
  <c r="CB437" i="5"/>
  <c r="BL63" i="5"/>
  <c r="BB368" i="5"/>
  <c r="BC240" i="5"/>
  <c r="BC520" i="5"/>
  <c r="BB404" i="5"/>
  <c r="BO544" i="5"/>
  <c r="BL416" i="5"/>
  <c r="BB288" i="5"/>
  <c r="BO32" i="5"/>
  <c r="BL537" i="5"/>
  <c r="BX537" i="5"/>
  <c r="BL409" i="5"/>
  <c r="BO272" i="5"/>
  <c r="BL144" i="5"/>
  <c r="BL399" i="5"/>
  <c r="BX454" i="5"/>
  <c r="BB332" i="5"/>
  <c r="BZ332" i="5" s="1"/>
  <c r="BL420" i="5"/>
  <c r="BX36" i="5"/>
  <c r="BL483" i="5"/>
  <c r="BB355" i="5"/>
  <c r="BZ355" i="5" s="1"/>
  <c r="BN227" i="5"/>
  <c r="BZ227" i="5" s="1"/>
  <c r="BL148" i="5"/>
  <c r="BX531" i="5"/>
  <c r="BB147" i="5"/>
  <c r="BZ147" i="5" s="1"/>
  <c r="BO406" i="5"/>
  <c r="CB334" i="5"/>
  <c r="BB174" i="5"/>
  <c r="BZ174" i="5" s="1"/>
  <c r="BO317" i="5"/>
  <c r="BO221" i="5"/>
  <c r="BX93" i="5"/>
  <c r="BB3" i="5"/>
  <c r="BZ3" i="5" s="1"/>
  <c r="BX271" i="5"/>
  <c r="BB500" i="5"/>
  <c r="BZ500" i="5" s="1"/>
  <c r="BB542" i="5"/>
  <c r="BZ542" i="5" s="1"/>
  <c r="BO192" i="5"/>
  <c r="BX557" i="5"/>
  <c r="BC461" i="5"/>
  <c r="BX461" i="5"/>
  <c r="BX429" i="5"/>
  <c r="BO365" i="5"/>
  <c r="BX365" i="5"/>
  <c r="BL523" i="5"/>
  <c r="BN408" i="5"/>
  <c r="BZ408" i="5" s="1"/>
  <c r="BB280" i="5"/>
  <c r="BZ280" i="5" s="1"/>
  <c r="BL379" i="5"/>
  <c r="BO326" i="5"/>
  <c r="BB78" i="5"/>
  <c r="BB562" i="5" s="1"/>
  <c r="BB563" i="5" s="1"/>
  <c r="BN309" i="5"/>
  <c r="BZ309" i="5" s="1"/>
  <c r="BX69" i="5"/>
  <c r="BX401" i="5"/>
  <c r="BC369" i="5"/>
  <c r="BB375" i="5"/>
  <c r="BZ375" i="5" s="1"/>
  <c r="BC247" i="5"/>
  <c r="BC510" i="5"/>
  <c r="BL188" i="5"/>
  <c r="BC123" i="5"/>
  <c r="BB492" i="5"/>
  <c r="BZ492" i="5" s="1"/>
  <c r="BX236" i="5"/>
  <c r="BN318" i="5"/>
  <c r="BZ318" i="5" s="1"/>
  <c r="BB238" i="5"/>
  <c r="BZ238" i="5" s="1"/>
  <c r="BL61" i="5"/>
  <c r="BX61" i="5"/>
  <c r="CB49" i="5"/>
  <c r="BL413" i="5"/>
  <c r="BX413" i="5"/>
  <c r="BL459" i="5"/>
  <c r="BL88" i="5"/>
  <c r="BX151" i="5"/>
  <c r="BX455" i="5"/>
  <c r="BX38" i="5"/>
  <c r="BX341" i="5"/>
  <c r="BL261" i="5"/>
  <c r="BL305" i="5"/>
  <c r="BL337" i="5"/>
  <c r="BL481" i="5"/>
  <c r="BX385" i="5"/>
  <c r="BL55" i="5"/>
  <c r="BA560" i="5"/>
  <c r="BA561" i="5" s="1"/>
  <c r="BI560" i="5"/>
  <c r="BI561" i="5" s="1"/>
  <c r="BQ560" i="5"/>
  <c r="BQ561" i="5" s="1"/>
  <c r="CD560" i="5"/>
  <c r="CD561" i="5" s="1"/>
  <c r="CI560" i="5"/>
  <c r="CI561" i="5" s="1"/>
  <c r="BB462" i="5"/>
  <c r="BZ462" i="5" s="1"/>
  <c r="CB103" i="5"/>
  <c r="BX75" i="5"/>
  <c r="BX380" i="5"/>
  <c r="BX303" i="5"/>
  <c r="BL187" i="5"/>
  <c r="BN59" i="5"/>
  <c r="BX300" i="5"/>
  <c r="BX30" i="5"/>
  <c r="BC333" i="5"/>
  <c r="BX333" i="5"/>
  <c r="BL253" i="5"/>
  <c r="BN540" i="5"/>
  <c r="BZ540" i="5" s="1"/>
  <c r="BX156" i="5"/>
  <c r="BB28" i="5"/>
  <c r="BZ28" i="5" s="1"/>
  <c r="BO411" i="5"/>
  <c r="BX308" i="5"/>
  <c r="BB437" i="5"/>
  <c r="BZ437" i="5" s="1"/>
  <c r="BX437" i="5"/>
  <c r="BX405" i="5"/>
  <c r="BL117" i="5"/>
  <c r="BX63" i="5"/>
  <c r="BL112" i="5"/>
  <c r="BB47" i="5"/>
  <c r="BL102" i="5"/>
  <c r="BX102" i="5"/>
  <c r="BL325" i="5"/>
  <c r="BX297" i="5"/>
  <c r="BB505" i="5"/>
  <c r="BZ505" i="5" s="1"/>
  <c r="BX505" i="5"/>
  <c r="CB441" i="5"/>
  <c r="BL79" i="5"/>
  <c r="BL550" i="5"/>
  <c r="CB550" i="5"/>
  <c r="BB486" i="5"/>
  <c r="BX460" i="5"/>
  <c r="BX420" i="5"/>
  <c r="BN36" i="5"/>
  <c r="BZ36" i="5" s="1"/>
  <c r="BX148" i="5"/>
  <c r="BL531" i="5"/>
  <c r="CB403" i="5"/>
  <c r="BL147" i="5"/>
  <c r="BL406" i="5"/>
  <c r="BN94" i="5"/>
  <c r="BZ94" i="5" s="1"/>
  <c r="BL9" i="5"/>
  <c r="CB515" i="5"/>
  <c r="CB387" i="5"/>
  <c r="BC259" i="5"/>
  <c r="BC131" i="5"/>
  <c r="BL3" i="5"/>
  <c r="BX3" i="5"/>
  <c r="BO271" i="5"/>
  <c r="BX542" i="5"/>
  <c r="BO320" i="5"/>
  <c r="CB493" i="5"/>
  <c r="BN397" i="5"/>
  <c r="BZ397" i="5" s="1"/>
  <c r="BL280" i="5"/>
  <c r="BX343" i="5"/>
  <c r="BB215" i="5"/>
  <c r="BL87" i="5"/>
  <c r="CB87" i="5"/>
  <c r="BX379" i="5"/>
  <c r="BX391" i="5"/>
  <c r="BL135" i="5"/>
  <c r="CB135" i="5"/>
  <c r="BX7" i="5"/>
  <c r="BL390" i="5"/>
  <c r="BX390" i="5"/>
  <c r="BX309" i="5"/>
  <c r="CB197" i="5"/>
  <c r="BC69" i="5"/>
  <c r="BC345" i="5"/>
  <c r="BL345" i="5"/>
  <c r="BL497" i="5"/>
  <c r="BX503" i="5"/>
  <c r="BB143" i="5"/>
  <c r="BZ143" i="5" s="1"/>
  <c r="CB395" i="5"/>
  <c r="BB316" i="5"/>
  <c r="BB188" i="5"/>
  <c r="BZ188" i="5" s="1"/>
  <c r="BN468" i="5"/>
  <c r="BX123" i="5"/>
  <c r="BL364" i="5"/>
  <c r="BC236" i="5"/>
  <c r="BB108" i="5"/>
  <c r="BZ108" i="5" s="1"/>
  <c r="BL382" i="5"/>
  <c r="BX382" i="5"/>
  <c r="BO318" i="5"/>
  <c r="BO189" i="5"/>
  <c r="BB61" i="5"/>
  <c r="BZ61" i="5" s="1"/>
  <c r="BL72" i="5"/>
  <c r="CB72" i="5"/>
  <c r="BX72" i="5"/>
  <c r="BL455" i="5"/>
  <c r="BL199" i="5"/>
  <c r="CB199" i="5"/>
  <c r="BX71" i="5"/>
  <c r="BX206" i="5"/>
  <c r="BX201" i="5"/>
  <c r="BX481" i="5"/>
  <c r="BL439" i="5"/>
  <c r="BG560" i="5"/>
  <c r="BG561" i="5" s="1"/>
  <c r="BT560" i="5"/>
  <c r="BT561" i="5" s="1"/>
  <c r="BU560" i="5"/>
  <c r="BU561" i="5" s="1"/>
  <c r="BL371" i="5"/>
  <c r="BX371" i="5"/>
  <c r="BC243" i="5"/>
  <c r="BL75" i="5"/>
  <c r="BL508" i="5"/>
  <c r="BO303" i="5"/>
  <c r="BL198" i="5"/>
  <c r="BX198" i="5"/>
  <c r="BL231" i="5"/>
  <c r="BL469" i="5"/>
  <c r="BL405" i="5"/>
  <c r="CB63" i="5"/>
  <c r="BX175" i="5"/>
  <c r="CB537" i="5"/>
  <c r="BN483" i="5"/>
  <c r="BZ483" i="5" s="1"/>
  <c r="BL355" i="5"/>
  <c r="BX355" i="5"/>
  <c r="BC99" i="5"/>
  <c r="BN275" i="5"/>
  <c r="BZ275" i="5" s="1"/>
  <c r="BX147" i="5"/>
  <c r="BX19" i="5"/>
  <c r="BX334" i="5"/>
  <c r="BL174" i="5"/>
  <c r="BL265" i="5"/>
  <c r="BN9" i="5"/>
  <c r="BZ9" i="5" s="1"/>
  <c r="BL500" i="5"/>
  <c r="CB448" i="5"/>
  <c r="BX448" i="5"/>
  <c r="BC557" i="5"/>
  <c r="CB523" i="5"/>
  <c r="CB280" i="5"/>
  <c r="BX280" i="5"/>
  <c r="BN263" i="5"/>
  <c r="BZ263" i="5" s="1"/>
  <c r="CB326" i="5"/>
  <c r="BN166" i="5"/>
  <c r="BZ166" i="5" s="1"/>
  <c r="BL309" i="5"/>
  <c r="BX345" i="5"/>
  <c r="BL233" i="5"/>
  <c r="BN529" i="5"/>
  <c r="BZ529" i="5" s="1"/>
  <c r="BL465" i="5"/>
  <c r="BO375" i="5"/>
  <c r="BL247" i="5"/>
  <c r="BL360" i="5"/>
  <c r="BL143" i="5"/>
  <c r="BL478" i="5"/>
  <c r="BN478" i="5"/>
  <c r="BZ478" i="5" s="1"/>
  <c r="BO307" i="5"/>
  <c r="BO179" i="5"/>
  <c r="BX511" i="5"/>
  <c r="BX395" i="5"/>
  <c r="BN267" i="5"/>
  <c r="BZ267" i="5" s="1"/>
  <c r="BX444" i="5"/>
  <c r="BL123" i="5"/>
  <c r="BX492" i="5"/>
  <c r="BL238" i="5"/>
  <c r="BL158" i="5"/>
  <c r="CB53" i="5"/>
  <c r="BX187" i="5"/>
  <c r="BX556" i="5"/>
  <c r="BX125" i="5"/>
  <c r="BL412" i="5"/>
  <c r="CB231" i="5"/>
  <c r="BX469" i="5"/>
  <c r="CB112" i="5"/>
  <c r="BX112" i="5"/>
  <c r="BL14" i="5"/>
  <c r="BL505" i="5"/>
  <c r="CB528" i="5"/>
  <c r="BL460" i="5"/>
  <c r="BX332" i="5"/>
  <c r="BL164" i="5"/>
  <c r="BC392" i="5"/>
  <c r="BL403" i="5"/>
  <c r="BX403" i="5"/>
  <c r="BX94" i="5"/>
  <c r="BX221" i="5"/>
  <c r="BX9" i="5"/>
  <c r="BL387" i="5"/>
  <c r="BL372" i="5"/>
  <c r="BX500" i="5"/>
  <c r="BC429" i="5"/>
  <c r="BL397" i="5"/>
  <c r="BL343" i="5"/>
  <c r="CB343" i="5"/>
  <c r="BL391" i="5"/>
  <c r="BX369" i="5"/>
  <c r="BC360" i="5"/>
  <c r="CB488" i="5"/>
  <c r="BX488" i="5"/>
  <c r="BL435" i="5"/>
  <c r="BX435" i="5"/>
  <c r="BX108" i="5"/>
  <c r="BX158" i="5"/>
  <c r="BL301" i="5"/>
  <c r="BL352" i="5"/>
  <c r="BL165" i="5"/>
  <c r="BL489" i="5"/>
  <c r="BX393" i="5"/>
  <c r="BX419" i="5"/>
  <c r="BL35" i="5"/>
  <c r="BX35" i="5"/>
  <c r="BL328" i="5"/>
  <c r="BL467" i="5"/>
  <c r="BY83" i="5"/>
  <c r="BY564" i="5" s="1"/>
  <c r="BY565" i="5" s="1"/>
  <c r="BL157" i="5"/>
  <c r="BL105" i="5"/>
  <c r="BX67" i="5"/>
  <c r="BL436" i="5"/>
  <c r="BX526" i="5"/>
  <c r="BX39" i="5"/>
  <c r="BX477" i="5"/>
  <c r="BL445" i="5"/>
  <c r="BC413" i="5"/>
  <c r="BL381" i="5"/>
  <c r="BC459" i="5"/>
  <c r="BX23" i="5"/>
  <c r="BL71" i="5"/>
  <c r="BL358" i="5"/>
  <c r="BC126" i="5"/>
  <c r="BX261" i="5"/>
  <c r="BB133" i="5"/>
  <c r="BZ133" i="5" s="1"/>
  <c r="BL133" i="5"/>
  <c r="BL73" i="5"/>
  <c r="BX545" i="5"/>
  <c r="BN513" i="5"/>
  <c r="BZ513" i="5" s="1"/>
  <c r="BX311" i="5"/>
  <c r="BC2" i="5"/>
  <c r="CC560" i="5"/>
  <c r="CC561" i="5" s="1"/>
  <c r="BX447" i="5"/>
  <c r="BB508" i="5"/>
  <c r="BZ508" i="5" s="1"/>
  <c r="BX252" i="5"/>
  <c r="BB124" i="5"/>
  <c r="BZ124" i="5" s="1"/>
  <c r="BL300" i="5"/>
  <c r="BX172" i="5"/>
  <c r="BN430" i="5"/>
  <c r="BZ430" i="5" s="1"/>
  <c r="BO350" i="5"/>
  <c r="BO286" i="5"/>
  <c r="BX110" i="5"/>
  <c r="BL125" i="5"/>
  <c r="BX540" i="5"/>
  <c r="BB412" i="5"/>
  <c r="BZ412" i="5" s="1"/>
  <c r="BO284" i="5"/>
  <c r="BO156" i="5"/>
  <c r="BX373" i="5"/>
  <c r="BX319" i="5"/>
  <c r="BL496" i="5"/>
  <c r="BX14" i="5"/>
  <c r="BC325" i="5"/>
  <c r="BX325" i="5"/>
  <c r="BL101" i="5"/>
  <c r="BL41" i="5"/>
  <c r="BX41" i="5"/>
  <c r="BL441" i="5"/>
  <c r="BL377" i="5"/>
  <c r="BL527" i="5"/>
  <c r="BX527" i="5"/>
  <c r="BN550" i="5"/>
  <c r="BX164" i="5"/>
  <c r="BL36" i="5"/>
  <c r="BO36" i="5"/>
  <c r="BX227" i="5"/>
  <c r="BL392" i="5"/>
  <c r="BL19" i="5"/>
  <c r="BL33" i="5"/>
  <c r="BL334" i="5"/>
  <c r="BL6" i="5"/>
  <c r="BX265" i="5"/>
  <c r="BX97" i="5"/>
  <c r="BX387" i="5"/>
  <c r="BX372" i="5"/>
  <c r="BO493" i="5"/>
  <c r="BX493" i="5"/>
  <c r="BX523" i="5"/>
  <c r="BL152" i="5"/>
  <c r="BB87" i="5"/>
  <c r="BZ87" i="5" s="1"/>
  <c r="BL264" i="5"/>
  <c r="BL519" i="5"/>
  <c r="CB391" i="5"/>
  <c r="BX263" i="5"/>
  <c r="BL7" i="5"/>
  <c r="BL166" i="5"/>
  <c r="BX166" i="5"/>
  <c r="BL197" i="5"/>
  <c r="BX233" i="5"/>
  <c r="BC497" i="5"/>
  <c r="BX465" i="5"/>
  <c r="BN503" i="5"/>
  <c r="BZ503" i="5" s="1"/>
  <c r="BX375" i="5"/>
  <c r="BB247" i="5"/>
  <c r="BZ247" i="5" s="1"/>
  <c r="BX143" i="5"/>
  <c r="BL488" i="5"/>
  <c r="BX478" i="5"/>
  <c r="CB446" i="5"/>
  <c r="BB307" i="5"/>
  <c r="BN179" i="5"/>
  <c r="BZ179" i="5" s="1"/>
  <c r="BL395" i="5"/>
  <c r="BX188" i="5"/>
  <c r="BB251" i="5"/>
  <c r="BZ251" i="5" s="1"/>
  <c r="BL236" i="5"/>
  <c r="BL318" i="5"/>
  <c r="BO61" i="5"/>
  <c r="BL195" i="5"/>
  <c r="BL512" i="5"/>
  <c r="BL128" i="5"/>
  <c r="BX541" i="5"/>
  <c r="BX381" i="5"/>
  <c r="BX459" i="5"/>
  <c r="BL206" i="5"/>
  <c r="CB261" i="5"/>
  <c r="BX73" i="5"/>
  <c r="BL545" i="5"/>
  <c r="BX449" i="5"/>
  <c r="BB439" i="5"/>
  <c r="BZ439" i="5" s="1"/>
  <c r="AV560" i="5"/>
  <c r="AV561" i="5" s="1"/>
  <c r="BE560" i="5"/>
  <c r="BE561" i="5" s="1"/>
  <c r="BP2" i="5"/>
  <c r="BV560" i="5"/>
  <c r="BV561" i="5" s="1"/>
  <c r="CF560" i="5"/>
  <c r="CF561" i="5" s="1"/>
  <c r="BL243" i="5"/>
  <c r="BX243" i="5"/>
  <c r="BL331" i="5"/>
  <c r="BC203" i="5"/>
  <c r="BL380" i="5"/>
  <c r="BC556" i="5"/>
  <c r="BL44" i="5"/>
  <c r="BX430" i="5"/>
  <c r="BX28" i="5"/>
  <c r="BL373" i="5"/>
  <c r="CB319" i="5"/>
  <c r="BB63" i="5"/>
  <c r="BZ63" i="5" s="1"/>
  <c r="BB496" i="5"/>
  <c r="BZ496" i="5" s="1"/>
  <c r="BB520" i="5"/>
  <c r="BZ520" i="5" s="1"/>
  <c r="BL544" i="5"/>
  <c r="BX101" i="5"/>
  <c r="BX377" i="5"/>
  <c r="CB399" i="5"/>
  <c r="BX550" i="5"/>
  <c r="BC518" i="5"/>
  <c r="BL454" i="5"/>
  <c r="BL227" i="5"/>
  <c r="BL276" i="5"/>
  <c r="BL262" i="5"/>
  <c r="BX262" i="5"/>
  <c r="BX6" i="5"/>
  <c r="BL271" i="5"/>
  <c r="BL192" i="5"/>
  <c r="BL557" i="5"/>
  <c r="BX397" i="5"/>
  <c r="BB197" i="5"/>
  <c r="BZ197" i="5" s="1"/>
  <c r="CB345" i="5"/>
  <c r="BX529" i="5"/>
  <c r="BX267" i="5"/>
  <c r="BL444" i="5"/>
  <c r="BL367" i="5"/>
  <c r="BX367" i="5"/>
  <c r="BX364" i="5"/>
  <c r="BX318" i="5"/>
  <c r="BX70" i="5"/>
  <c r="BX301" i="5"/>
  <c r="AB10" i="9"/>
  <c r="BC586" i="5" l="1"/>
  <c r="BC587" i="5" s="1"/>
  <c r="F149" i="10" s="1"/>
  <c r="AV601" i="5"/>
  <c r="AX599" i="5"/>
  <c r="AY601" i="5"/>
  <c r="AZ600" i="5"/>
  <c r="E147" i="10"/>
  <c r="G10" i="25"/>
  <c r="F38" i="25"/>
  <c r="F41" i="25" s="1"/>
  <c r="F13" i="25"/>
  <c r="F16" i="25" s="1"/>
  <c r="AA39" i="24"/>
  <c r="J39" i="24"/>
  <c r="BL586" i="5"/>
  <c r="BL587" i="5" s="1"/>
  <c r="AX597" i="5"/>
  <c r="AX598" i="5" s="1"/>
  <c r="G12" i="24"/>
  <c r="G40" i="24" s="1"/>
  <c r="E138" i="10"/>
  <c r="K10" i="24"/>
  <c r="I136" i="10"/>
  <c r="F38" i="24"/>
  <c r="F41" i="24" s="1"/>
  <c r="F13" i="24"/>
  <c r="F16" i="24" s="1"/>
  <c r="AW599" i="5"/>
  <c r="AW600" i="5"/>
  <c r="AW595" i="5"/>
  <c r="AW596" i="5" s="1"/>
  <c r="AW597" i="5"/>
  <c r="AW598" i="5" s="1"/>
  <c r="M12" i="25"/>
  <c r="M40" i="25" s="1"/>
  <c r="K149" i="10"/>
  <c r="AX595" i="5"/>
  <c r="AX596" i="5" s="1"/>
  <c r="I12" i="25"/>
  <c r="I40" i="25" s="1"/>
  <c r="G149" i="10"/>
  <c r="I147" i="10"/>
  <c r="K10" i="25"/>
  <c r="H12" i="25"/>
  <c r="H40" i="25" s="1"/>
  <c r="L12" i="25"/>
  <c r="J149" i="10"/>
  <c r="L149" i="10" s="1"/>
  <c r="AX600" i="5"/>
  <c r="AX601" i="5" s="1"/>
  <c r="G12" i="25"/>
  <c r="E149" i="10"/>
  <c r="G10" i="24"/>
  <c r="E136" i="10"/>
  <c r="E139" i="10" s="1"/>
  <c r="AZ595" i="5"/>
  <c r="AZ596" i="5" s="1"/>
  <c r="AZ599" i="5"/>
  <c r="AZ601" i="5" s="1"/>
  <c r="BX586" i="5"/>
  <c r="BX587" i="5" s="1"/>
  <c r="CB431" i="5"/>
  <c r="CB582" i="5" s="1"/>
  <c r="CB583" i="5" s="1"/>
  <c r="AZ597" i="5"/>
  <c r="AZ598" i="5" s="1"/>
  <c r="AC39" i="25"/>
  <c r="AA45" i="25"/>
  <c r="AC45" i="25" s="1"/>
  <c r="CB586" i="5"/>
  <c r="CB587" i="5" s="1"/>
  <c r="BZ550" i="5"/>
  <c r="BN586" i="5"/>
  <c r="BN587" i="5" s="1"/>
  <c r="BO586" i="5"/>
  <c r="BO587" i="5" s="1"/>
  <c r="L12" i="24"/>
  <c r="J138" i="10"/>
  <c r="L138" i="10" s="1"/>
  <c r="G138" i="10"/>
  <c r="I12" i="24"/>
  <c r="BB586" i="5"/>
  <c r="BB587" i="5" s="1"/>
  <c r="M12" i="24"/>
  <c r="K138" i="10"/>
  <c r="BX584" i="5"/>
  <c r="BX585" i="5" s="1"/>
  <c r="BN584" i="5"/>
  <c r="BN585" i="5" s="1"/>
  <c r="BZ436" i="5"/>
  <c r="BB584" i="5"/>
  <c r="BB585" i="5" s="1"/>
  <c r="BO584" i="5"/>
  <c r="BO585" i="5" s="1"/>
  <c r="BC584" i="5"/>
  <c r="BC585" i="5" s="1"/>
  <c r="CB584" i="5"/>
  <c r="CB585" i="5" s="1"/>
  <c r="BL584" i="5"/>
  <c r="BL585" i="5" s="1"/>
  <c r="BX582" i="5"/>
  <c r="BX583" i="5" s="1"/>
  <c r="AA39" i="23"/>
  <c r="AC39" i="23" s="1"/>
  <c r="BN582" i="5"/>
  <c r="BN583" i="5" s="1"/>
  <c r="I125" i="10"/>
  <c r="K10" i="23"/>
  <c r="BB582" i="5"/>
  <c r="BB583" i="5" s="1"/>
  <c r="J127" i="10"/>
  <c r="L12" i="23"/>
  <c r="BL582" i="5"/>
  <c r="BL583" i="5" s="1"/>
  <c r="E127" i="10"/>
  <c r="G12" i="23"/>
  <c r="BZ582" i="5"/>
  <c r="BZ583" i="5" s="1"/>
  <c r="K127" i="10"/>
  <c r="M12" i="23"/>
  <c r="D128" i="10"/>
  <c r="D131" i="10" s="1"/>
  <c r="G127" i="10"/>
  <c r="I12" i="23"/>
  <c r="I40" i="23" s="1"/>
  <c r="F38" i="23"/>
  <c r="F41" i="23" s="1"/>
  <c r="F13" i="23"/>
  <c r="F16" i="23" s="1"/>
  <c r="G10" i="23"/>
  <c r="E125" i="10"/>
  <c r="BC582" i="5"/>
  <c r="BC583" i="5" s="1"/>
  <c r="BO582" i="5"/>
  <c r="BO583" i="5" s="1"/>
  <c r="E59" i="10"/>
  <c r="E62" i="10" s="1"/>
  <c r="D117" i="10"/>
  <c r="D120" i="10" s="1"/>
  <c r="BX400" i="5"/>
  <c r="BX580" i="5" s="1"/>
  <c r="BX581" i="5" s="1"/>
  <c r="CB400" i="5"/>
  <c r="AA39" i="16"/>
  <c r="AC39" i="16" s="1"/>
  <c r="CB335" i="5"/>
  <c r="BX215" i="5"/>
  <c r="BX568" i="5" s="1"/>
  <c r="BX569" i="5" s="1"/>
  <c r="CB215" i="5"/>
  <c r="CB568" i="5" s="1"/>
  <c r="CB569" i="5" s="1"/>
  <c r="CB358" i="5"/>
  <c r="CB578" i="5" s="1"/>
  <c r="CB579" i="5" s="1"/>
  <c r="BX358" i="5"/>
  <c r="BX578" i="5" s="1"/>
  <c r="BX579" i="5" s="1"/>
  <c r="BC580" i="5"/>
  <c r="BC581" i="5" s="1"/>
  <c r="AC39" i="22"/>
  <c r="AA45" i="22"/>
  <c r="AC45" i="22" s="1"/>
  <c r="G12" i="22"/>
  <c r="E116" i="10"/>
  <c r="J116" i="10"/>
  <c r="L12" i="22"/>
  <c r="G116" i="10"/>
  <c r="I12" i="22"/>
  <c r="F38" i="22"/>
  <c r="F41" i="22" s="1"/>
  <c r="F13" i="22"/>
  <c r="F16" i="22" s="1"/>
  <c r="I114" i="10"/>
  <c r="K10" i="22"/>
  <c r="K116" i="10"/>
  <c r="M12" i="22"/>
  <c r="G10" i="22"/>
  <c r="E114" i="10"/>
  <c r="CB580" i="5"/>
  <c r="CB581" i="5" s="1"/>
  <c r="BO580" i="5"/>
  <c r="BO581" i="5" s="1"/>
  <c r="BL580" i="5"/>
  <c r="BL581" i="5" s="1"/>
  <c r="BN580" i="5"/>
  <c r="BN581" i="5" s="1"/>
  <c r="BZ400" i="5"/>
  <c r="BB580" i="5"/>
  <c r="BB581" i="5" s="1"/>
  <c r="G12" i="17"/>
  <c r="G40" i="17" s="1"/>
  <c r="G105" i="10"/>
  <c r="I12" i="21"/>
  <c r="AA39" i="21"/>
  <c r="J39" i="21"/>
  <c r="I103" i="10"/>
  <c r="K10" i="21"/>
  <c r="G10" i="21"/>
  <c r="E103" i="10"/>
  <c r="L12" i="21"/>
  <c r="J105" i="10"/>
  <c r="G12" i="21"/>
  <c r="G40" i="21" s="1"/>
  <c r="E105" i="10"/>
  <c r="F38" i="21"/>
  <c r="F41" i="21" s="1"/>
  <c r="F13" i="21"/>
  <c r="F16" i="21" s="1"/>
  <c r="D106" i="10"/>
  <c r="D109" i="10" s="1"/>
  <c r="BN568" i="5"/>
  <c r="BN569" i="5" s="1"/>
  <c r="M12" i="21"/>
  <c r="M40" i="21" s="1"/>
  <c r="K105" i="10"/>
  <c r="BN576" i="5"/>
  <c r="BN577" i="5" s="1"/>
  <c r="CB337" i="5"/>
  <c r="CB576" i="5" s="1"/>
  <c r="CB577" i="5" s="1"/>
  <c r="L12" i="17"/>
  <c r="L40" i="17" s="1"/>
  <c r="D73" i="10"/>
  <c r="D76" i="10" s="1"/>
  <c r="BC578" i="5"/>
  <c r="BC579" i="5" s="1"/>
  <c r="BX79" i="5"/>
  <c r="BX337" i="5"/>
  <c r="BX576" i="5" s="1"/>
  <c r="BX577" i="5" s="1"/>
  <c r="D84" i="10"/>
  <c r="D87" i="10" s="1"/>
  <c r="CB79" i="5"/>
  <c r="CB564" i="5" s="1"/>
  <c r="CB565" i="5" s="1"/>
  <c r="BZ44" i="5"/>
  <c r="BO578" i="5"/>
  <c r="BO579" i="5" s="1"/>
  <c r="BB578" i="5"/>
  <c r="BB579" i="5" s="1"/>
  <c r="BL578" i="5"/>
  <c r="BL579" i="5" s="1"/>
  <c r="BZ358" i="5"/>
  <c r="BZ578" i="5" s="1"/>
  <c r="BZ579" i="5" s="1"/>
  <c r="BN578" i="5"/>
  <c r="BN579" i="5" s="1"/>
  <c r="K10" i="18"/>
  <c r="I70" i="10"/>
  <c r="M12" i="20"/>
  <c r="M40" i="20" s="1"/>
  <c r="K94" i="10"/>
  <c r="I12" i="20"/>
  <c r="I40" i="20" s="1"/>
  <c r="G94" i="10"/>
  <c r="K10" i="19"/>
  <c r="I81" i="10"/>
  <c r="L12" i="20"/>
  <c r="J94" i="10"/>
  <c r="F38" i="18"/>
  <c r="F41" i="18" s="1"/>
  <c r="F13" i="18"/>
  <c r="F16" i="18" s="1"/>
  <c r="E72" i="10"/>
  <c r="G12" i="18"/>
  <c r="G40" i="18" s="1"/>
  <c r="BC576" i="5"/>
  <c r="BC577" i="5" s="1"/>
  <c r="F13" i="19"/>
  <c r="F16" i="19" s="1"/>
  <c r="F38" i="19"/>
  <c r="F41" i="19" s="1"/>
  <c r="F38" i="20"/>
  <c r="F41" i="20" s="1"/>
  <c r="F13" i="20"/>
  <c r="F16" i="20" s="1"/>
  <c r="G10" i="19"/>
  <c r="E81" i="10"/>
  <c r="AC39" i="20"/>
  <c r="AA45" i="20"/>
  <c r="AC45" i="20" s="1"/>
  <c r="G12" i="20"/>
  <c r="E94" i="10"/>
  <c r="G10" i="20"/>
  <c r="E92" i="10"/>
  <c r="J39" i="18"/>
  <c r="AA39" i="18"/>
  <c r="G12" i="19"/>
  <c r="G40" i="19" s="1"/>
  <c r="E83" i="10"/>
  <c r="G10" i="18"/>
  <c r="E70" i="10"/>
  <c r="K10" i="20"/>
  <c r="I92" i="10"/>
  <c r="D95" i="10"/>
  <c r="D98" i="10" s="1"/>
  <c r="I10" i="19"/>
  <c r="G81" i="10"/>
  <c r="BL568" i="5"/>
  <c r="BL569" i="5" s="1"/>
  <c r="I10" i="16" s="1"/>
  <c r="J83" i="10"/>
  <c r="L12" i="19"/>
  <c r="L40" i="19" s="1"/>
  <c r="L10" i="19"/>
  <c r="J81" i="10"/>
  <c r="BO576" i="5"/>
  <c r="BO577" i="5" s="1"/>
  <c r="BB574" i="5"/>
  <c r="BB575" i="5" s="1"/>
  <c r="BZ156" i="5"/>
  <c r="I12" i="19"/>
  <c r="I40" i="19" s="1"/>
  <c r="G83" i="10"/>
  <c r="BL576" i="5"/>
  <c r="BL577" i="5" s="1"/>
  <c r="CB574" i="5"/>
  <c r="CB575" i="5" s="1"/>
  <c r="BZ337" i="5"/>
  <c r="BB576" i="5"/>
  <c r="BB577" i="5" s="1"/>
  <c r="K83" i="10"/>
  <c r="M12" i="19"/>
  <c r="H12" i="19"/>
  <c r="F83" i="10"/>
  <c r="I12" i="18"/>
  <c r="I40" i="18" s="1"/>
  <c r="G72" i="10"/>
  <c r="BO568" i="5"/>
  <c r="BO569" i="5" s="1"/>
  <c r="M12" i="18"/>
  <c r="M40" i="18" s="1"/>
  <c r="K72" i="10"/>
  <c r="BX572" i="5"/>
  <c r="BX573" i="5" s="1"/>
  <c r="BO574" i="5"/>
  <c r="BO575" i="5" s="1"/>
  <c r="AB45" i="15"/>
  <c r="J72" i="10"/>
  <c r="L12" i="18"/>
  <c r="BZ157" i="5"/>
  <c r="BC572" i="5"/>
  <c r="BC573" i="5" s="1"/>
  <c r="BZ39" i="5"/>
  <c r="BZ253" i="5"/>
  <c r="BL572" i="5"/>
  <c r="BL573" i="5" s="1"/>
  <c r="CB572" i="5"/>
  <c r="CB573" i="5" s="1"/>
  <c r="BX570" i="5"/>
  <c r="BX571" i="5" s="1"/>
  <c r="BB570" i="5"/>
  <c r="BB571" i="5" s="1"/>
  <c r="D62" i="10"/>
  <c r="D65" i="10" s="1"/>
  <c r="G12" i="15"/>
  <c r="G40" i="15" s="1"/>
  <c r="E39" i="10"/>
  <c r="G10" i="16"/>
  <c r="E48" i="10"/>
  <c r="K61" i="10"/>
  <c r="L61" i="10" s="1"/>
  <c r="M12" i="17"/>
  <c r="M40" i="17" s="1"/>
  <c r="BB572" i="5"/>
  <c r="BB573" i="5" s="1"/>
  <c r="K10" i="15"/>
  <c r="I37" i="10"/>
  <c r="D40" i="10"/>
  <c r="D43" i="10" s="1"/>
  <c r="F13" i="17"/>
  <c r="F16" i="17" s="1"/>
  <c r="F40" i="17"/>
  <c r="F41" i="17" s="1"/>
  <c r="BO570" i="5"/>
  <c r="BO571" i="5" s="1"/>
  <c r="G10" i="15"/>
  <c r="E37" i="10"/>
  <c r="BN572" i="5"/>
  <c r="BN573" i="5" s="1"/>
  <c r="AC39" i="17"/>
  <c r="AA45" i="17"/>
  <c r="AC45" i="17" s="1"/>
  <c r="BL570" i="5"/>
  <c r="BL571" i="5" s="1"/>
  <c r="CB570" i="5"/>
  <c r="CB571" i="5" s="1"/>
  <c r="BO572" i="5"/>
  <c r="BO573" i="5" s="1"/>
  <c r="BZ30" i="5"/>
  <c r="AA39" i="15"/>
  <c r="J39" i="15"/>
  <c r="D51" i="10"/>
  <c r="D54" i="10" s="1"/>
  <c r="E50" i="10"/>
  <c r="G12" i="16"/>
  <c r="G40" i="16" s="1"/>
  <c r="I59" i="10"/>
  <c r="K10" i="17"/>
  <c r="F13" i="16"/>
  <c r="F16" i="16" s="1"/>
  <c r="F38" i="16"/>
  <c r="F41" i="16" s="1"/>
  <c r="G61" i="10"/>
  <c r="I12" i="17"/>
  <c r="I40" i="17" s="1"/>
  <c r="G38" i="17"/>
  <c r="AA10" i="17"/>
  <c r="BC570" i="5"/>
  <c r="BC571" i="5" s="1"/>
  <c r="K10" i="16"/>
  <c r="I48" i="10"/>
  <c r="F13" i="15"/>
  <c r="F16" i="15" s="1"/>
  <c r="F40" i="15"/>
  <c r="F41" i="15" s="1"/>
  <c r="F17" i="10"/>
  <c r="H17" i="10" s="1"/>
  <c r="H12" i="13"/>
  <c r="H40" i="13" s="1"/>
  <c r="H12" i="16"/>
  <c r="F50" i="10"/>
  <c r="M12" i="16"/>
  <c r="M40" i="16" s="1"/>
  <c r="K50" i="10"/>
  <c r="BZ552" i="5"/>
  <c r="G50" i="10"/>
  <c r="I12" i="16"/>
  <c r="I40" i="16" s="1"/>
  <c r="L12" i="16"/>
  <c r="J50" i="10"/>
  <c r="BZ570" i="5"/>
  <c r="BZ571" i="5" s="1"/>
  <c r="BN570" i="5"/>
  <c r="BN571" i="5" s="1"/>
  <c r="BO564" i="5"/>
  <c r="BO565" i="5" s="1"/>
  <c r="F13" i="13"/>
  <c r="F16" i="13" s="1"/>
  <c r="G39" i="10"/>
  <c r="I12" i="15"/>
  <c r="I40" i="15" s="1"/>
  <c r="J39" i="10"/>
  <c r="L12" i="15"/>
  <c r="K39" i="10"/>
  <c r="M12" i="15"/>
  <c r="M40" i="15" s="1"/>
  <c r="BZ215" i="5"/>
  <c r="BZ568" i="5" s="1"/>
  <c r="BZ569" i="5" s="1"/>
  <c r="BB568" i="5"/>
  <c r="BB569" i="5" s="1"/>
  <c r="D29" i="10"/>
  <c r="D32" i="10" s="1"/>
  <c r="BC566" i="5"/>
  <c r="BC567" i="5" s="1"/>
  <c r="BN566" i="5"/>
  <c r="BN567" i="5" s="1"/>
  <c r="BB566" i="5"/>
  <c r="BB567" i="5" s="1"/>
  <c r="BO566" i="5"/>
  <c r="BO567" i="5" s="1"/>
  <c r="BL566" i="5"/>
  <c r="BL567" i="5" s="1"/>
  <c r="BZ125" i="5"/>
  <c r="BZ315" i="5"/>
  <c r="BZ151" i="5"/>
  <c r="D7" i="10"/>
  <c r="D10" i="10" s="1"/>
  <c r="BZ469" i="5"/>
  <c r="CB566" i="5"/>
  <c r="CB567" i="5" s="1"/>
  <c r="CB562" i="5"/>
  <c r="CB563" i="5" s="1"/>
  <c r="E18" i="10"/>
  <c r="BX566" i="5"/>
  <c r="BX567" i="5" s="1"/>
  <c r="G10" i="14"/>
  <c r="E26" i="10"/>
  <c r="J28" i="10"/>
  <c r="L12" i="14"/>
  <c r="I26" i="10"/>
  <c r="K10" i="14"/>
  <c r="F38" i="12"/>
  <c r="F41" i="12" s="1"/>
  <c r="F13" i="12"/>
  <c r="F16" i="12" s="1"/>
  <c r="K10" i="12"/>
  <c r="I4" i="10"/>
  <c r="J39" i="12"/>
  <c r="AA39" i="12"/>
  <c r="G38" i="13"/>
  <c r="AA10" i="13"/>
  <c r="G13" i="13"/>
  <c r="G12" i="12"/>
  <c r="G40" i="12" s="1"/>
  <c r="E6" i="10"/>
  <c r="K10" i="13"/>
  <c r="I15" i="10"/>
  <c r="G10" i="12"/>
  <c r="E4" i="10"/>
  <c r="F38" i="14"/>
  <c r="F41" i="14" s="1"/>
  <c r="F13" i="14"/>
  <c r="F16" i="14" s="1"/>
  <c r="L17" i="10"/>
  <c r="F41" i="13"/>
  <c r="BZ206" i="5"/>
  <c r="BZ212" i="5"/>
  <c r="BN564" i="5"/>
  <c r="BN565" i="5" s="1"/>
  <c r="G18" i="10"/>
  <c r="AA45" i="13"/>
  <c r="AC45" i="13" s="1"/>
  <c r="AC39" i="13"/>
  <c r="E28" i="10"/>
  <c r="G12" i="14"/>
  <c r="AC39" i="14"/>
  <c r="AA45" i="14"/>
  <c r="AC45" i="14" s="1"/>
  <c r="G28" i="10"/>
  <c r="I12" i="14"/>
  <c r="I40" i="14" s="1"/>
  <c r="BX564" i="5"/>
  <c r="BX565" i="5" s="1"/>
  <c r="BZ79" i="5"/>
  <c r="BB564" i="5"/>
  <c r="BB565" i="5" s="1"/>
  <c r="I13" i="13"/>
  <c r="I40" i="13"/>
  <c r="BC564" i="5"/>
  <c r="BC565" i="5" s="1"/>
  <c r="BL564" i="5"/>
  <c r="BL565" i="5" s="1"/>
  <c r="L40" i="13"/>
  <c r="N40" i="13" s="1"/>
  <c r="N12" i="13"/>
  <c r="I38" i="13"/>
  <c r="H10" i="13"/>
  <c r="F15" i="10"/>
  <c r="H15" i="10" s="1"/>
  <c r="L10" i="13"/>
  <c r="J15" i="10"/>
  <c r="L12" i="12"/>
  <c r="J6" i="10"/>
  <c r="G6" i="10"/>
  <c r="I12" i="12"/>
  <c r="I40" i="12" s="1"/>
  <c r="BN560" i="5"/>
  <c r="BN561" i="5" s="1"/>
  <c r="BO560" i="5"/>
  <c r="BO561" i="5" s="1"/>
  <c r="BX560" i="5"/>
  <c r="BX561" i="5" s="1"/>
  <c r="BC560" i="5"/>
  <c r="BC561" i="5" s="1"/>
  <c r="BZ341" i="5"/>
  <c r="BL560" i="5"/>
  <c r="BL561" i="5" s="1"/>
  <c r="BZ23" i="5"/>
  <c r="BZ424" i="5"/>
  <c r="BZ541" i="5"/>
  <c r="BZ407" i="5"/>
  <c r="BZ88" i="5"/>
  <c r="BP560" i="5"/>
  <c r="BP561" i="5" s="1"/>
  <c r="CB2" i="5"/>
  <c r="CB560" i="5" s="1"/>
  <c r="CB561" i="5" s="1"/>
  <c r="BB560" i="5"/>
  <c r="BB561" i="5" s="1"/>
  <c r="BZ526" i="5"/>
  <c r="BZ105" i="5"/>
  <c r="BZ203" i="5"/>
  <c r="AA11" i="9"/>
  <c r="AC11" i="9"/>
  <c r="AA10" i="9"/>
  <c r="H149" i="10" l="1"/>
  <c r="BA600" i="5"/>
  <c r="BA599" i="5"/>
  <c r="F43" i="24"/>
  <c r="F44" i="24"/>
  <c r="F45" i="24"/>
  <c r="AC39" i="24"/>
  <c r="AA45" i="24"/>
  <c r="AC45" i="24" s="1"/>
  <c r="L40" i="25"/>
  <c r="N40" i="25" s="1"/>
  <c r="N12" i="25"/>
  <c r="H10" i="25"/>
  <c r="F147" i="10"/>
  <c r="F150" i="10" s="1"/>
  <c r="BA595" i="5"/>
  <c r="BA596" i="5" s="1"/>
  <c r="F43" i="25"/>
  <c r="F44" i="25"/>
  <c r="F45" i="25"/>
  <c r="G38" i="25"/>
  <c r="AA10" i="25"/>
  <c r="G13" i="25"/>
  <c r="BA597" i="5"/>
  <c r="BA598" i="5" s="1"/>
  <c r="G38" i="24"/>
  <c r="G13" i="24"/>
  <c r="AA10" i="24"/>
  <c r="E150" i="10"/>
  <c r="J12" i="25"/>
  <c r="G40" i="25"/>
  <c r="J40" i="25" s="1"/>
  <c r="AW601" i="5"/>
  <c r="I10" i="25"/>
  <c r="G147" i="10"/>
  <c r="G150" i="10" s="1"/>
  <c r="H10" i="24"/>
  <c r="F136" i="10"/>
  <c r="I40" i="24"/>
  <c r="BZ586" i="5"/>
  <c r="BZ587" i="5" s="1"/>
  <c r="G136" i="10"/>
  <c r="G139" i="10" s="1"/>
  <c r="I10" i="24"/>
  <c r="L40" i="24"/>
  <c r="N12" i="24"/>
  <c r="M40" i="24"/>
  <c r="H12" i="24"/>
  <c r="F138" i="10"/>
  <c r="AA45" i="23"/>
  <c r="AC45" i="23" s="1"/>
  <c r="BZ584" i="5"/>
  <c r="BZ585" i="5" s="1"/>
  <c r="F127" i="10"/>
  <c r="H127" i="10" s="1"/>
  <c r="H12" i="23"/>
  <c r="H40" i="23" s="1"/>
  <c r="G40" i="23"/>
  <c r="E128" i="10"/>
  <c r="I10" i="23"/>
  <c r="G125" i="10"/>
  <c r="G128" i="10" s="1"/>
  <c r="M40" i="23"/>
  <c r="N12" i="23"/>
  <c r="L40" i="23"/>
  <c r="L127" i="10"/>
  <c r="G13" i="23"/>
  <c r="AA10" i="23"/>
  <c r="G38" i="23"/>
  <c r="J125" i="10"/>
  <c r="L10" i="23"/>
  <c r="H10" i="23"/>
  <c r="F125" i="10"/>
  <c r="F43" i="23"/>
  <c r="F44" i="23"/>
  <c r="F45" i="23"/>
  <c r="AA45" i="16"/>
  <c r="AC45" i="16" s="1"/>
  <c r="G13" i="17"/>
  <c r="E40" i="10"/>
  <c r="M40" i="22"/>
  <c r="N12" i="22"/>
  <c r="L40" i="22"/>
  <c r="L116" i="10"/>
  <c r="G114" i="10"/>
  <c r="G117" i="10" s="1"/>
  <c r="I10" i="22"/>
  <c r="I13" i="22" s="1"/>
  <c r="AA10" i="22"/>
  <c r="G13" i="22"/>
  <c r="G38" i="22"/>
  <c r="BZ560" i="5"/>
  <c r="BZ561" i="5" s="1"/>
  <c r="L10" i="12" s="1"/>
  <c r="G48" i="10"/>
  <c r="G51" i="10" s="1"/>
  <c r="H10" i="22"/>
  <c r="F114" i="10"/>
  <c r="H114" i="10" s="1"/>
  <c r="G40" i="22"/>
  <c r="F43" i="22"/>
  <c r="F44" i="22"/>
  <c r="F45" i="22"/>
  <c r="E117" i="10"/>
  <c r="I40" i="22"/>
  <c r="H12" i="22"/>
  <c r="H40" i="22" s="1"/>
  <c r="F116" i="10"/>
  <c r="BZ580" i="5"/>
  <c r="BZ581" i="5" s="1"/>
  <c r="N40" i="17"/>
  <c r="H10" i="21"/>
  <c r="F103" i="10"/>
  <c r="H12" i="21"/>
  <c r="H40" i="21" s="1"/>
  <c r="F105" i="10"/>
  <c r="H105" i="10" s="1"/>
  <c r="AA10" i="21"/>
  <c r="G38" i="21"/>
  <c r="G13" i="21"/>
  <c r="F43" i="21"/>
  <c r="F44" i="21"/>
  <c r="F45" i="21"/>
  <c r="AC39" i="21"/>
  <c r="AA45" i="21"/>
  <c r="AC45" i="21" s="1"/>
  <c r="L105" i="10"/>
  <c r="I40" i="21"/>
  <c r="L10" i="21"/>
  <c r="J103" i="10"/>
  <c r="L40" i="21"/>
  <c r="N40" i="21" s="1"/>
  <c r="N12" i="21"/>
  <c r="G103" i="10"/>
  <c r="G106" i="10" s="1"/>
  <c r="I10" i="21"/>
  <c r="E106" i="10"/>
  <c r="L94" i="10"/>
  <c r="E73" i="10"/>
  <c r="G92" i="10"/>
  <c r="G95" i="10" s="1"/>
  <c r="I10" i="20"/>
  <c r="F94" i="10"/>
  <c r="H94" i="10" s="1"/>
  <c r="H12" i="20"/>
  <c r="H40" i="20" s="1"/>
  <c r="G38" i="18"/>
  <c r="AA38" i="18" s="1"/>
  <c r="G13" i="18"/>
  <c r="AA10" i="18"/>
  <c r="G40" i="20"/>
  <c r="AC39" i="18"/>
  <c r="AA45" i="18"/>
  <c r="AC45" i="18" s="1"/>
  <c r="E84" i="10"/>
  <c r="AA10" i="19"/>
  <c r="G38" i="19"/>
  <c r="G13" i="19"/>
  <c r="E95" i="10"/>
  <c r="F43" i="18"/>
  <c r="F44" i="18"/>
  <c r="F45" i="18"/>
  <c r="F92" i="10"/>
  <c r="H10" i="20"/>
  <c r="G84" i="10"/>
  <c r="AA10" i="20"/>
  <c r="G38" i="20"/>
  <c r="G13" i="20"/>
  <c r="F43" i="20"/>
  <c r="F44" i="20"/>
  <c r="F45" i="20"/>
  <c r="F43" i="19"/>
  <c r="F44" i="19"/>
  <c r="F45" i="19"/>
  <c r="L40" i="20"/>
  <c r="N40" i="20" s="1"/>
  <c r="N12" i="20"/>
  <c r="H83" i="10"/>
  <c r="L13" i="19"/>
  <c r="L38" i="19"/>
  <c r="H40" i="19"/>
  <c r="J40" i="19" s="1"/>
  <c r="J12" i="19"/>
  <c r="N12" i="19"/>
  <c r="M40" i="19"/>
  <c r="N40" i="19" s="1"/>
  <c r="H10" i="19"/>
  <c r="F81" i="10"/>
  <c r="H81" i="10" s="1"/>
  <c r="L83" i="10"/>
  <c r="BZ576" i="5"/>
  <c r="BZ577" i="5" s="1"/>
  <c r="L72" i="10"/>
  <c r="J84" i="10"/>
  <c r="I38" i="19"/>
  <c r="I13" i="19"/>
  <c r="N12" i="17"/>
  <c r="I10" i="18"/>
  <c r="G70" i="10"/>
  <c r="G73" i="10" s="1"/>
  <c r="BZ572" i="5"/>
  <c r="BZ573" i="5" s="1"/>
  <c r="H10" i="18"/>
  <c r="F70" i="10"/>
  <c r="H12" i="18"/>
  <c r="F72" i="10"/>
  <c r="H72" i="10" s="1"/>
  <c r="N12" i="18"/>
  <c r="L40" i="18"/>
  <c r="N40" i="18" s="1"/>
  <c r="E51" i="10"/>
  <c r="L50" i="10"/>
  <c r="J40" i="13"/>
  <c r="F43" i="17"/>
  <c r="F44" i="17"/>
  <c r="F45" i="17"/>
  <c r="F43" i="15"/>
  <c r="F44" i="15"/>
  <c r="F45" i="15"/>
  <c r="G59" i="10"/>
  <c r="G62" i="10" s="1"/>
  <c r="I10" i="17"/>
  <c r="L10" i="17"/>
  <c r="J59" i="10"/>
  <c r="AA38" i="17"/>
  <c r="G41" i="17"/>
  <c r="AA10" i="15"/>
  <c r="G38" i="15"/>
  <c r="G13" i="15"/>
  <c r="J12" i="13"/>
  <c r="F44" i="16"/>
  <c r="F43" i="16"/>
  <c r="F45" i="16"/>
  <c r="H10" i="17"/>
  <c r="F59" i="10"/>
  <c r="E7" i="10"/>
  <c r="F61" i="10"/>
  <c r="H12" i="17"/>
  <c r="G13" i="16"/>
  <c r="G38" i="16"/>
  <c r="AA10" i="16"/>
  <c r="H13" i="13"/>
  <c r="J13" i="13" s="1"/>
  <c r="G15" i="13" s="1"/>
  <c r="AC39" i="15"/>
  <c r="AA45" i="15"/>
  <c r="AC45" i="15" s="1"/>
  <c r="I38" i="16"/>
  <c r="I13" i="16"/>
  <c r="H40" i="16"/>
  <c r="J40" i="16" s="1"/>
  <c r="J12" i="16"/>
  <c r="L39" i="10"/>
  <c r="H50" i="10"/>
  <c r="H10" i="16"/>
  <c r="F48" i="10"/>
  <c r="J48" i="10"/>
  <c r="L10" i="16"/>
  <c r="N12" i="16"/>
  <c r="L40" i="16"/>
  <c r="N40" i="16" s="1"/>
  <c r="G37" i="10"/>
  <c r="G40" i="10" s="1"/>
  <c r="I10" i="15"/>
  <c r="L40" i="15"/>
  <c r="N40" i="15" s="1"/>
  <c r="N12" i="15"/>
  <c r="H10" i="15"/>
  <c r="H38" i="15" s="1"/>
  <c r="F37" i="10"/>
  <c r="H12" i="15"/>
  <c r="F39" i="10"/>
  <c r="BZ566" i="5"/>
  <c r="BZ567" i="5" s="1"/>
  <c r="F43" i="12"/>
  <c r="F44" i="12"/>
  <c r="F45" i="12"/>
  <c r="H10" i="14"/>
  <c r="F26" i="10"/>
  <c r="F43" i="14"/>
  <c r="F44" i="14"/>
  <c r="F45" i="14"/>
  <c r="I10" i="14"/>
  <c r="G26" i="10"/>
  <c r="G29" i="10" s="1"/>
  <c r="G41" i="13"/>
  <c r="AA38" i="13"/>
  <c r="AA44" i="13" s="1"/>
  <c r="G13" i="12"/>
  <c r="G38" i="12"/>
  <c r="AA10" i="12"/>
  <c r="AC39" i="12"/>
  <c r="AA45" i="12"/>
  <c r="AC45" i="12" s="1"/>
  <c r="L40" i="14"/>
  <c r="E29" i="10"/>
  <c r="F28" i="10"/>
  <c r="H28" i="10" s="1"/>
  <c r="H12" i="14"/>
  <c r="H40" i="14" s="1"/>
  <c r="G40" i="14"/>
  <c r="F43" i="13"/>
  <c r="F44" i="13"/>
  <c r="F45" i="13"/>
  <c r="G38" i="14"/>
  <c r="AA10" i="14"/>
  <c r="G13" i="14"/>
  <c r="I41" i="13"/>
  <c r="BZ564" i="5"/>
  <c r="BZ565" i="5" s="1"/>
  <c r="J18" i="10"/>
  <c r="L38" i="13"/>
  <c r="L13" i="13"/>
  <c r="F18" i="10"/>
  <c r="H38" i="13"/>
  <c r="J10" i="13"/>
  <c r="F6" i="10"/>
  <c r="H12" i="12"/>
  <c r="F4" i="10"/>
  <c r="H10" i="12"/>
  <c r="L40" i="12"/>
  <c r="G4" i="10"/>
  <c r="G7" i="10" s="1"/>
  <c r="I10" i="12"/>
  <c r="AC10" i="9"/>
  <c r="BA601" i="5" l="1"/>
  <c r="H48" i="10"/>
  <c r="J40" i="23"/>
  <c r="G41" i="25"/>
  <c r="AA38" i="25"/>
  <c r="L10" i="25"/>
  <c r="J147" i="10"/>
  <c r="H150" i="10"/>
  <c r="E152" i="10" s="1"/>
  <c r="H136" i="10"/>
  <c r="I38" i="25"/>
  <c r="I13" i="25"/>
  <c r="G41" i="24"/>
  <c r="AA38" i="24"/>
  <c r="AA44" i="24" s="1"/>
  <c r="N40" i="24"/>
  <c r="J10" i="25"/>
  <c r="H147" i="10"/>
  <c r="H38" i="25"/>
  <c r="H41" i="25" s="1"/>
  <c r="H13" i="25"/>
  <c r="J10" i="24"/>
  <c r="I38" i="24"/>
  <c r="F139" i="10"/>
  <c r="H138" i="10"/>
  <c r="H40" i="24"/>
  <c r="J40" i="24" s="1"/>
  <c r="J12" i="24"/>
  <c r="I13" i="24"/>
  <c r="L10" i="24"/>
  <c r="J136" i="10"/>
  <c r="H13" i="24"/>
  <c r="H38" i="24"/>
  <c r="J12" i="23"/>
  <c r="H125" i="10"/>
  <c r="J10" i="23"/>
  <c r="I13" i="23"/>
  <c r="I38" i="23"/>
  <c r="H13" i="23"/>
  <c r="H38" i="23"/>
  <c r="H41" i="23" s="1"/>
  <c r="L38" i="23"/>
  <c r="N40" i="23"/>
  <c r="J128" i="10"/>
  <c r="AA38" i="23"/>
  <c r="G41" i="23"/>
  <c r="L13" i="23"/>
  <c r="F128" i="10"/>
  <c r="N40" i="22"/>
  <c r="J10" i="22"/>
  <c r="J10" i="21"/>
  <c r="J40" i="21"/>
  <c r="F117" i="10"/>
  <c r="H117" i="10" s="1"/>
  <c r="E119" i="10" s="1"/>
  <c r="J4" i="10"/>
  <c r="J12" i="22"/>
  <c r="AA38" i="22"/>
  <c r="G41" i="22"/>
  <c r="J12" i="21"/>
  <c r="J40" i="22"/>
  <c r="J114" i="10"/>
  <c r="L10" i="22"/>
  <c r="H116" i="10"/>
  <c r="H13" i="22"/>
  <c r="J13" i="22" s="1"/>
  <c r="G15" i="22" s="1"/>
  <c r="H38" i="22"/>
  <c r="H41" i="22" s="1"/>
  <c r="I38" i="22"/>
  <c r="H103" i="10"/>
  <c r="AA38" i="21"/>
  <c r="G41" i="21"/>
  <c r="J106" i="10"/>
  <c r="L38" i="21"/>
  <c r="L13" i="21"/>
  <c r="F106" i="10"/>
  <c r="H106" i="10" s="1"/>
  <c r="E108" i="10" s="1"/>
  <c r="I38" i="21"/>
  <c r="I13" i="21"/>
  <c r="H13" i="21"/>
  <c r="H38" i="21"/>
  <c r="H41" i="21" s="1"/>
  <c r="H92" i="10"/>
  <c r="J40" i="20"/>
  <c r="H38" i="20"/>
  <c r="H41" i="20" s="1"/>
  <c r="H13" i="20"/>
  <c r="AA44" i="18"/>
  <c r="AA38" i="19"/>
  <c r="AA44" i="19" s="1"/>
  <c r="G41" i="19"/>
  <c r="G41" i="20"/>
  <c r="AA38" i="20"/>
  <c r="F95" i="10"/>
  <c r="H95" i="10" s="1"/>
  <c r="E97" i="10" s="1"/>
  <c r="G41" i="18"/>
  <c r="J10" i="20"/>
  <c r="I38" i="20"/>
  <c r="I13" i="20"/>
  <c r="L10" i="20"/>
  <c r="J92" i="10"/>
  <c r="J12" i="20"/>
  <c r="L41" i="19"/>
  <c r="J10" i="14"/>
  <c r="I41" i="19"/>
  <c r="H38" i="19"/>
  <c r="H13" i="19"/>
  <c r="J10" i="19"/>
  <c r="F84" i="10"/>
  <c r="J70" i="10"/>
  <c r="L10" i="18"/>
  <c r="H38" i="18"/>
  <c r="H13" i="18"/>
  <c r="J10" i="18"/>
  <c r="I38" i="18"/>
  <c r="I13" i="18"/>
  <c r="F73" i="10"/>
  <c r="H70" i="10"/>
  <c r="H40" i="18"/>
  <c r="J40" i="18" s="1"/>
  <c r="J12" i="18"/>
  <c r="H59" i="10"/>
  <c r="H26" i="10"/>
  <c r="H37" i="10"/>
  <c r="G41" i="16"/>
  <c r="AA38" i="16"/>
  <c r="AA44" i="16" s="1"/>
  <c r="AA44" i="17"/>
  <c r="H13" i="17"/>
  <c r="H38" i="17"/>
  <c r="J10" i="17"/>
  <c r="H40" i="17"/>
  <c r="J40" i="17" s="1"/>
  <c r="J12" i="17"/>
  <c r="J62" i="10"/>
  <c r="F62" i="10"/>
  <c r="H61" i="10"/>
  <c r="L38" i="17"/>
  <c r="L13" i="17"/>
  <c r="I13" i="17"/>
  <c r="I38" i="17"/>
  <c r="AA38" i="15"/>
  <c r="AA44" i="15" s="1"/>
  <c r="G41" i="15"/>
  <c r="I41" i="16"/>
  <c r="F51" i="10"/>
  <c r="J51" i="10"/>
  <c r="H13" i="16"/>
  <c r="J13" i="16" s="1"/>
  <c r="H38" i="16"/>
  <c r="J10" i="16"/>
  <c r="L13" i="16"/>
  <c r="L38" i="16"/>
  <c r="H13" i="15"/>
  <c r="H40" i="15"/>
  <c r="J40" i="15" s="1"/>
  <c r="J12" i="15"/>
  <c r="L10" i="15"/>
  <c r="J37" i="10"/>
  <c r="J10" i="15"/>
  <c r="I38" i="15"/>
  <c r="J38" i="15" s="1"/>
  <c r="I13" i="15"/>
  <c r="F40" i="10"/>
  <c r="H39" i="10"/>
  <c r="H15" i="13"/>
  <c r="H16" i="13" s="1"/>
  <c r="J12" i="14"/>
  <c r="G41" i="12"/>
  <c r="AA38" i="12"/>
  <c r="AA44" i="12" s="1"/>
  <c r="F29" i="10"/>
  <c r="H13" i="14"/>
  <c r="H38" i="14"/>
  <c r="H41" i="14" s="1"/>
  <c r="AA38" i="14"/>
  <c r="G41" i="14"/>
  <c r="J40" i="14"/>
  <c r="L10" i="14"/>
  <c r="J26" i="10"/>
  <c r="I13" i="14"/>
  <c r="I38" i="14"/>
  <c r="L41" i="13"/>
  <c r="H4" i="10"/>
  <c r="J38" i="13"/>
  <c r="J41" i="13" s="1"/>
  <c r="H41" i="13"/>
  <c r="H18" i="10"/>
  <c r="E20" i="10" s="1"/>
  <c r="G16" i="13"/>
  <c r="I15" i="13"/>
  <c r="I16" i="13" s="1"/>
  <c r="H13" i="12"/>
  <c r="J12" i="12"/>
  <c r="H40" i="12"/>
  <c r="J40" i="12" s="1"/>
  <c r="F7" i="10"/>
  <c r="H6" i="10"/>
  <c r="H38" i="12"/>
  <c r="J10" i="12"/>
  <c r="I38" i="12"/>
  <c r="I13" i="12"/>
  <c r="L38" i="12"/>
  <c r="L13" i="12"/>
  <c r="J7" i="10"/>
  <c r="E73" i="9"/>
  <c r="E72" i="9"/>
  <c r="J13" i="24" l="1"/>
  <c r="G152" i="10"/>
  <c r="G153" i="10" s="1"/>
  <c r="E153" i="10"/>
  <c r="F152" i="10"/>
  <c r="F153" i="10" s="1"/>
  <c r="J150" i="10"/>
  <c r="H51" i="25"/>
  <c r="L13" i="25"/>
  <c r="L38" i="25"/>
  <c r="J13" i="25"/>
  <c r="AA44" i="25"/>
  <c r="J38" i="25"/>
  <c r="J41" i="25" s="1"/>
  <c r="G51" i="25" s="1"/>
  <c r="I41" i="25"/>
  <c r="I51" i="25" s="1"/>
  <c r="L38" i="24"/>
  <c r="L13" i="24"/>
  <c r="J13" i="23"/>
  <c r="G15" i="23" s="1"/>
  <c r="H41" i="24"/>
  <c r="H51" i="24" s="1"/>
  <c r="J38" i="24"/>
  <c r="J41" i="24" s="1"/>
  <c r="G51" i="24" s="1"/>
  <c r="H139" i="10"/>
  <c r="E141" i="10" s="1"/>
  <c r="I41" i="24"/>
  <c r="I51" i="24" s="1"/>
  <c r="H15" i="24"/>
  <c r="H16" i="24" s="1"/>
  <c r="G15" i="24"/>
  <c r="J139" i="10"/>
  <c r="J38" i="23"/>
  <c r="J41" i="23" s="1"/>
  <c r="G51" i="23" s="1"/>
  <c r="G43" i="23" s="1"/>
  <c r="L41" i="23"/>
  <c r="AA44" i="23"/>
  <c r="I41" i="23"/>
  <c r="H128" i="10"/>
  <c r="E130" i="10" s="1"/>
  <c r="J41" i="15"/>
  <c r="G51" i="15" s="1"/>
  <c r="G43" i="15" s="1"/>
  <c r="G119" i="10"/>
  <c r="G120" i="10" s="1"/>
  <c r="E120" i="10"/>
  <c r="AA44" i="22"/>
  <c r="G16" i="22"/>
  <c r="I15" i="22"/>
  <c r="I16" i="22" s="1"/>
  <c r="J38" i="22"/>
  <c r="J41" i="22" s="1"/>
  <c r="H51" i="22" s="1"/>
  <c r="I41" i="22"/>
  <c r="L38" i="22"/>
  <c r="L13" i="22"/>
  <c r="J117" i="10"/>
  <c r="F119" i="10"/>
  <c r="F120" i="10" s="1"/>
  <c r="J13" i="20"/>
  <c r="H15" i="20" s="1"/>
  <c r="H16" i="20" s="1"/>
  <c r="J13" i="21"/>
  <c r="H15" i="21" s="1"/>
  <c r="H16" i="21" s="1"/>
  <c r="H15" i="22"/>
  <c r="H16" i="22" s="1"/>
  <c r="F108" i="10"/>
  <c r="F109" i="10" s="1"/>
  <c r="E109" i="10"/>
  <c r="G108" i="10"/>
  <c r="G109" i="10" s="1"/>
  <c r="L41" i="21"/>
  <c r="I41" i="21"/>
  <c r="AA44" i="21"/>
  <c r="J38" i="21"/>
  <c r="J41" i="21" s="1"/>
  <c r="H51" i="21" s="1"/>
  <c r="G97" i="10"/>
  <c r="G98" i="10" s="1"/>
  <c r="E98" i="10"/>
  <c r="J95" i="10"/>
  <c r="L38" i="20"/>
  <c r="L13" i="20"/>
  <c r="F97" i="10"/>
  <c r="F98" i="10" s="1"/>
  <c r="AA44" i="20"/>
  <c r="I41" i="20"/>
  <c r="J38" i="20"/>
  <c r="J41" i="20" s="1"/>
  <c r="G51" i="20" s="1"/>
  <c r="H41" i="19"/>
  <c r="J38" i="19"/>
  <c r="J41" i="19" s="1"/>
  <c r="G51" i="19" s="1"/>
  <c r="J13" i="19"/>
  <c r="G15" i="19" s="1"/>
  <c r="H84" i="10"/>
  <c r="E86" i="10" s="1"/>
  <c r="I41" i="18"/>
  <c r="J13" i="18"/>
  <c r="H41" i="18"/>
  <c r="J38" i="18"/>
  <c r="J41" i="18" s="1"/>
  <c r="G51" i="18" s="1"/>
  <c r="L13" i="18"/>
  <c r="L38" i="18"/>
  <c r="H73" i="10"/>
  <c r="E75" i="10" s="1"/>
  <c r="J73" i="10"/>
  <c r="L41" i="17"/>
  <c r="H41" i="17"/>
  <c r="J38" i="17"/>
  <c r="J41" i="17" s="1"/>
  <c r="J13" i="17"/>
  <c r="G15" i="17" s="1"/>
  <c r="H62" i="10"/>
  <c r="E64" i="10" s="1"/>
  <c r="J13" i="14"/>
  <c r="H15" i="14" s="1"/>
  <c r="H16" i="14" s="1"/>
  <c r="I41" i="17"/>
  <c r="H15" i="16"/>
  <c r="H16" i="16" s="1"/>
  <c r="G15" i="16"/>
  <c r="J13" i="15"/>
  <c r="G15" i="15" s="1"/>
  <c r="H41" i="16"/>
  <c r="J38" i="16"/>
  <c r="J41" i="16" s="1"/>
  <c r="I51" i="16" s="1"/>
  <c r="L41" i="16"/>
  <c r="H51" i="10"/>
  <c r="E53" i="10" s="1"/>
  <c r="J40" i="10"/>
  <c r="J15" i="13"/>
  <c r="J16" i="13" s="1"/>
  <c r="L16" i="13" s="1"/>
  <c r="L13" i="15"/>
  <c r="L38" i="15"/>
  <c r="H40" i="10"/>
  <c r="E42" i="10" s="1"/>
  <c r="H41" i="15"/>
  <c r="I41" i="15"/>
  <c r="H51" i="13"/>
  <c r="H52" i="13" s="1"/>
  <c r="H56" i="13" s="1"/>
  <c r="H60" i="13" s="1"/>
  <c r="L13" i="14"/>
  <c r="L38" i="14"/>
  <c r="H29" i="10"/>
  <c r="E31" i="10" s="1"/>
  <c r="I41" i="14"/>
  <c r="J38" i="14"/>
  <c r="J41" i="14" s="1"/>
  <c r="H51" i="14" s="1"/>
  <c r="J29" i="10"/>
  <c r="AA44" i="14"/>
  <c r="G20" i="10"/>
  <c r="G21" i="10" s="1"/>
  <c r="E21" i="10"/>
  <c r="I51" i="13"/>
  <c r="G51" i="13"/>
  <c r="F20" i="10"/>
  <c r="F21" i="10" s="1"/>
  <c r="I41" i="12"/>
  <c r="J13" i="12"/>
  <c r="G15" i="12" s="1"/>
  <c r="H7" i="10"/>
  <c r="E9" i="10" s="1"/>
  <c r="J38" i="12"/>
  <c r="J41" i="12" s="1"/>
  <c r="H41" i="12"/>
  <c r="L41" i="12"/>
  <c r="J79" i="9"/>
  <c r="J78" i="9"/>
  <c r="J77" i="9"/>
  <c r="H15" i="23" l="1"/>
  <c r="H16" i="23" s="1"/>
  <c r="I51" i="23"/>
  <c r="J51" i="25"/>
  <c r="J52" i="25" s="1"/>
  <c r="J56" i="25" s="1"/>
  <c r="J60" i="25" s="1"/>
  <c r="J67" i="25" s="1"/>
  <c r="I43" i="25"/>
  <c r="I52" i="25"/>
  <c r="I56" i="25" s="1"/>
  <c r="I60" i="25" s="1"/>
  <c r="H43" i="25"/>
  <c r="H52" i="25"/>
  <c r="H56" i="25" s="1"/>
  <c r="H60" i="25" s="1"/>
  <c r="F141" i="10"/>
  <c r="F142" i="10" s="1"/>
  <c r="G52" i="25"/>
  <c r="G56" i="25" s="1"/>
  <c r="G60" i="25" s="1"/>
  <c r="G43" i="25"/>
  <c r="H15" i="25"/>
  <c r="H16" i="25" s="1"/>
  <c r="G15" i="25"/>
  <c r="H152" i="10"/>
  <c r="H153" i="10" s="1"/>
  <c r="L41" i="25"/>
  <c r="G141" i="10"/>
  <c r="G142" i="10" s="1"/>
  <c r="E142" i="10"/>
  <c r="G52" i="24"/>
  <c r="G56" i="24" s="1"/>
  <c r="G60" i="24" s="1"/>
  <c r="G43" i="24"/>
  <c r="J51" i="24"/>
  <c r="J52" i="24" s="1"/>
  <c r="J56" i="24" s="1"/>
  <c r="J60" i="24" s="1"/>
  <c r="J67" i="24" s="1"/>
  <c r="H52" i="24"/>
  <c r="H56" i="24" s="1"/>
  <c r="H60" i="24" s="1"/>
  <c r="H43" i="24"/>
  <c r="G16" i="24"/>
  <c r="I15" i="24"/>
  <c r="I16" i="24" s="1"/>
  <c r="I43" i="24"/>
  <c r="I52" i="24"/>
  <c r="I56" i="24" s="1"/>
  <c r="I60" i="24" s="1"/>
  <c r="L41" i="24"/>
  <c r="H51" i="23"/>
  <c r="H43" i="23" s="1"/>
  <c r="G52" i="23"/>
  <c r="G56" i="23" s="1"/>
  <c r="G60" i="23" s="1"/>
  <c r="G67" i="23" s="1"/>
  <c r="G15" i="20"/>
  <c r="G16" i="20" s="1"/>
  <c r="G130" i="10"/>
  <c r="G131" i="10" s="1"/>
  <c r="E131" i="10"/>
  <c r="I52" i="23"/>
  <c r="I56" i="23" s="1"/>
  <c r="I60" i="23" s="1"/>
  <c r="I43" i="23"/>
  <c r="F130" i="10"/>
  <c r="F131" i="10" s="1"/>
  <c r="G16" i="23"/>
  <c r="I15" i="23"/>
  <c r="G52" i="15"/>
  <c r="G56" i="15" s="1"/>
  <c r="G60" i="15" s="1"/>
  <c r="G44" i="15" s="1"/>
  <c r="I51" i="15"/>
  <c r="I52" i="15" s="1"/>
  <c r="I56" i="15" s="1"/>
  <c r="I60" i="15" s="1"/>
  <c r="H51" i="15"/>
  <c r="H43" i="15" s="1"/>
  <c r="J15" i="22"/>
  <c r="J16" i="22" s="1"/>
  <c r="L16" i="22" s="1"/>
  <c r="I51" i="22"/>
  <c r="I43" i="22" s="1"/>
  <c r="G15" i="21"/>
  <c r="G16" i="21" s="1"/>
  <c r="G51" i="22"/>
  <c r="G43" i="22" s="1"/>
  <c r="L41" i="22"/>
  <c r="H119" i="10"/>
  <c r="H120" i="10" s="1"/>
  <c r="H43" i="22"/>
  <c r="H52" i="22"/>
  <c r="H56" i="22" s="1"/>
  <c r="H60" i="22" s="1"/>
  <c r="H52" i="21"/>
  <c r="H56" i="21" s="1"/>
  <c r="H60" i="21" s="1"/>
  <c r="H43" i="21"/>
  <c r="I15" i="21"/>
  <c r="I16" i="21" s="1"/>
  <c r="H108" i="10"/>
  <c r="H109" i="10" s="1"/>
  <c r="G51" i="21"/>
  <c r="I51" i="21"/>
  <c r="H97" i="10"/>
  <c r="H98" i="10" s="1"/>
  <c r="H15" i="19"/>
  <c r="H16" i="19" s="1"/>
  <c r="I51" i="20"/>
  <c r="I43" i="20" s="1"/>
  <c r="G43" i="20"/>
  <c r="G52" i="20"/>
  <c r="G56" i="20" s="1"/>
  <c r="G60" i="20" s="1"/>
  <c r="F75" i="10"/>
  <c r="F76" i="10" s="1"/>
  <c r="I15" i="20"/>
  <c r="H51" i="20"/>
  <c r="L41" i="20"/>
  <c r="F86" i="10"/>
  <c r="F87" i="10" s="1"/>
  <c r="G15" i="14"/>
  <c r="G16" i="14" s="1"/>
  <c r="G16" i="19"/>
  <c r="I15" i="19"/>
  <c r="I16" i="19" s="1"/>
  <c r="G86" i="10"/>
  <c r="G87" i="10" s="1"/>
  <c r="E87" i="10"/>
  <c r="G43" i="19"/>
  <c r="G52" i="19"/>
  <c r="G56" i="19" s="1"/>
  <c r="G60" i="19" s="1"/>
  <c r="H51" i="19"/>
  <c r="I51" i="19"/>
  <c r="G43" i="18"/>
  <c r="G52" i="18"/>
  <c r="G56" i="18" s="1"/>
  <c r="G60" i="18" s="1"/>
  <c r="H15" i="15"/>
  <c r="H16" i="15" s="1"/>
  <c r="H51" i="18"/>
  <c r="E76" i="10"/>
  <c r="G75" i="10"/>
  <c r="G76" i="10" s="1"/>
  <c r="H15" i="18"/>
  <c r="H16" i="18" s="1"/>
  <c r="G15" i="18"/>
  <c r="L41" i="18"/>
  <c r="I51" i="18"/>
  <c r="F64" i="10"/>
  <c r="F65" i="10" s="1"/>
  <c r="E65" i="10"/>
  <c r="G64" i="10"/>
  <c r="G65" i="10" s="1"/>
  <c r="I15" i="17"/>
  <c r="I16" i="17" s="1"/>
  <c r="G16" i="17"/>
  <c r="H15" i="17"/>
  <c r="H16" i="17" s="1"/>
  <c r="I51" i="17"/>
  <c r="G51" i="17"/>
  <c r="H51" i="17"/>
  <c r="F53" i="10"/>
  <c r="F54" i="10" s="1"/>
  <c r="G16" i="16"/>
  <c r="I15" i="16"/>
  <c r="I16" i="16" s="1"/>
  <c r="G53" i="10"/>
  <c r="G54" i="10" s="1"/>
  <c r="E54" i="10"/>
  <c r="H51" i="16"/>
  <c r="G51" i="16"/>
  <c r="H43" i="13"/>
  <c r="I52" i="16"/>
  <c r="I56" i="16" s="1"/>
  <c r="I60" i="16" s="1"/>
  <c r="I43" i="16"/>
  <c r="F42" i="10"/>
  <c r="F43" i="10" s="1"/>
  <c r="J21" i="10"/>
  <c r="E43" i="10"/>
  <c r="G42" i="10"/>
  <c r="G43" i="10" s="1"/>
  <c r="G16" i="15"/>
  <c r="I15" i="15"/>
  <c r="I16" i="15" s="1"/>
  <c r="L41" i="15"/>
  <c r="H15" i="12"/>
  <c r="H16" i="12" s="1"/>
  <c r="F31" i="10"/>
  <c r="F32" i="10" s="1"/>
  <c r="E32" i="10"/>
  <c r="G31" i="10"/>
  <c r="G32" i="10" s="1"/>
  <c r="L41" i="14"/>
  <c r="H43" i="14"/>
  <c r="H52" i="14"/>
  <c r="H56" i="14" s="1"/>
  <c r="H60" i="14" s="1"/>
  <c r="H20" i="10"/>
  <c r="H21" i="10" s="1"/>
  <c r="G51" i="14"/>
  <c r="I51" i="14"/>
  <c r="F9" i="10"/>
  <c r="F10" i="10" s="1"/>
  <c r="I52" i="13"/>
  <c r="I56" i="13" s="1"/>
  <c r="I60" i="13" s="1"/>
  <c r="I43" i="13"/>
  <c r="G52" i="13"/>
  <c r="G56" i="13" s="1"/>
  <c r="G60" i="13" s="1"/>
  <c r="G43" i="13"/>
  <c r="J51" i="13"/>
  <c r="J52" i="13" s="1"/>
  <c r="J56" i="13" s="1"/>
  <c r="J60" i="13" s="1"/>
  <c r="J67" i="13" s="1"/>
  <c r="H44" i="13"/>
  <c r="H67" i="13"/>
  <c r="G9" i="10"/>
  <c r="G10" i="10" s="1"/>
  <c r="E10" i="10"/>
  <c r="I15" i="12"/>
  <c r="I16" i="12" s="1"/>
  <c r="G16" i="12"/>
  <c r="H51" i="12"/>
  <c r="G51" i="12"/>
  <c r="I51" i="12"/>
  <c r="H63" i="9"/>
  <c r="H52" i="23" l="1"/>
  <c r="H56" i="23" s="1"/>
  <c r="H60" i="23" s="1"/>
  <c r="J51" i="23"/>
  <c r="J52" i="23" s="1"/>
  <c r="J56" i="23" s="1"/>
  <c r="J60" i="23" s="1"/>
  <c r="J67" i="23" s="1"/>
  <c r="J43" i="25"/>
  <c r="K43" i="25" s="1"/>
  <c r="G44" i="25"/>
  <c r="G67" i="25"/>
  <c r="H44" i="25"/>
  <c r="H67" i="25"/>
  <c r="J43" i="24"/>
  <c r="K43" i="24" s="1"/>
  <c r="G16" i="25"/>
  <c r="I15" i="25"/>
  <c r="I16" i="25" s="1"/>
  <c r="I67" i="25"/>
  <c r="I45" i="25" s="1"/>
  <c r="I44" i="25"/>
  <c r="G44" i="23"/>
  <c r="J15" i="24"/>
  <c r="J16" i="24" s="1"/>
  <c r="H141" i="10"/>
  <c r="H142" i="10" s="1"/>
  <c r="G73" i="25"/>
  <c r="I73" i="25" s="1"/>
  <c r="J73" i="25" s="1"/>
  <c r="H68" i="25"/>
  <c r="J68" i="25" s="1"/>
  <c r="G72" i="25"/>
  <c r="O72" i="25"/>
  <c r="M72" i="25"/>
  <c r="G67" i="15"/>
  <c r="G45" i="15" s="1"/>
  <c r="H44" i="24"/>
  <c r="H67" i="24"/>
  <c r="G72" i="24"/>
  <c r="H68" i="24"/>
  <c r="J68" i="24" s="1"/>
  <c r="M72" i="24"/>
  <c r="G73" i="24"/>
  <c r="O72" i="24"/>
  <c r="I44" i="24"/>
  <c r="I67" i="24"/>
  <c r="G44" i="24"/>
  <c r="G67" i="24"/>
  <c r="G45" i="24" s="1"/>
  <c r="L16" i="24"/>
  <c r="J142" i="10"/>
  <c r="H52" i="15"/>
  <c r="H56" i="15" s="1"/>
  <c r="H60" i="15" s="1"/>
  <c r="J51" i="15"/>
  <c r="J52" i="15" s="1"/>
  <c r="J56" i="15" s="1"/>
  <c r="J60" i="15" s="1"/>
  <c r="J67" i="15" s="1"/>
  <c r="G73" i="15" s="1"/>
  <c r="I73" i="15" s="1"/>
  <c r="J73" i="15" s="1"/>
  <c r="I43" i="15"/>
  <c r="J43" i="23"/>
  <c r="K43" i="23" s="1"/>
  <c r="I67" i="23"/>
  <c r="I44" i="23"/>
  <c r="H44" i="23"/>
  <c r="H67" i="23"/>
  <c r="G45" i="23"/>
  <c r="H68" i="23"/>
  <c r="J68" i="23" s="1"/>
  <c r="G73" i="23"/>
  <c r="I73" i="23" s="1"/>
  <c r="J73" i="23" s="1"/>
  <c r="O72" i="23"/>
  <c r="M72" i="23"/>
  <c r="G72" i="23"/>
  <c r="I72" i="23" s="1"/>
  <c r="J72" i="23" s="1"/>
  <c r="J15" i="23"/>
  <c r="J16" i="23" s="1"/>
  <c r="I16" i="23"/>
  <c r="H130" i="10"/>
  <c r="H131" i="10" s="1"/>
  <c r="J120" i="10"/>
  <c r="G52" i="22"/>
  <c r="G56" i="22" s="1"/>
  <c r="G60" i="22" s="1"/>
  <c r="G67" i="22" s="1"/>
  <c r="J15" i="21"/>
  <c r="J16" i="21" s="1"/>
  <c r="L16" i="21" s="1"/>
  <c r="I52" i="22"/>
  <c r="I56" i="22" s="1"/>
  <c r="I60" i="22" s="1"/>
  <c r="I44" i="22" s="1"/>
  <c r="J51" i="22"/>
  <c r="J52" i="22" s="1"/>
  <c r="J56" i="22" s="1"/>
  <c r="J60" i="22" s="1"/>
  <c r="J67" i="22" s="1"/>
  <c r="M72" i="22" s="1"/>
  <c r="J43" i="22"/>
  <c r="H44" i="22"/>
  <c r="H67" i="22"/>
  <c r="I52" i="20"/>
  <c r="I56" i="20" s="1"/>
  <c r="I60" i="20" s="1"/>
  <c r="I67" i="20" s="1"/>
  <c r="I52" i="21"/>
  <c r="I56" i="21" s="1"/>
  <c r="I60" i="21" s="1"/>
  <c r="I43" i="21"/>
  <c r="H67" i="21"/>
  <c r="H44" i="21"/>
  <c r="G52" i="21"/>
  <c r="G56" i="21" s="1"/>
  <c r="G60" i="21" s="1"/>
  <c r="G43" i="21"/>
  <c r="J51" i="21"/>
  <c r="J52" i="21" s="1"/>
  <c r="J56" i="21" s="1"/>
  <c r="J60" i="21" s="1"/>
  <c r="J67" i="21" s="1"/>
  <c r="I15" i="14"/>
  <c r="I16" i="14" s="1"/>
  <c r="J15" i="19"/>
  <c r="J16" i="19" s="1"/>
  <c r="J87" i="10" s="1"/>
  <c r="J15" i="20"/>
  <c r="J16" i="20" s="1"/>
  <c r="I16" i="20"/>
  <c r="G67" i="20"/>
  <c r="G44" i="20"/>
  <c r="J51" i="20"/>
  <c r="J52" i="20" s="1"/>
  <c r="J56" i="20" s="1"/>
  <c r="J60" i="20" s="1"/>
  <c r="J67" i="20" s="1"/>
  <c r="H52" i="20"/>
  <c r="H56" i="20" s="1"/>
  <c r="H60" i="20" s="1"/>
  <c r="H43" i="20"/>
  <c r="J43" i="20" s="1"/>
  <c r="H86" i="10"/>
  <c r="H87" i="10" s="1"/>
  <c r="I52" i="19"/>
  <c r="I56" i="19" s="1"/>
  <c r="I60" i="19" s="1"/>
  <c r="I43" i="19"/>
  <c r="J15" i="15"/>
  <c r="J16" i="15" s="1"/>
  <c r="J43" i="10" s="1"/>
  <c r="H75" i="10"/>
  <c r="H76" i="10" s="1"/>
  <c r="H52" i="19"/>
  <c r="H56" i="19" s="1"/>
  <c r="H60" i="19" s="1"/>
  <c r="H43" i="19"/>
  <c r="J51" i="19"/>
  <c r="J52" i="19" s="1"/>
  <c r="J56" i="19" s="1"/>
  <c r="J60" i="19" s="1"/>
  <c r="J67" i="19" s="1"/>
  <c r="G67" i="19"/>
  <c r="G44" i="19"/>
  <c r="I43" i="18"/>
  <c r="I52" i="18"/>
  <c r="I56" i="18" s="1"/>
  <c r="I60" i="18" s="1"/>
  <c r="J51" i="18"/>
  <c r="J52" i="18" s="1"/>
  <c r="J56" i="18" s="1"/>
  <c r="J60" i="18" s="1"/>
  <c r="J67" i="18" s="1"/>
  <c r="H52" i="18"/>
  <c r="H56" i="18" s="1"/>
  <c r="H60" i="18" s="1"/>
  <c r="H43" i="18"/>
  <c r="J43" i="15"/>
  <c r="K43" i="15" s="1"/>
  <c r="G67" i="18"/>
  <c r="G44" i="18"/>
  <c r="I15" i="18"/>
  <c r="I16" i="18" s="1"/>
  <c r="G16" i="18"/>
  <c r="I52" i="17"/>
  <c r="I56" i="17" s="1"/>
  <c r="I60" i="17" s="1"/>
  <c r="I43" i="17"/>
  <c r="J15" i="17"/>
  <c r="J16" i="17" s="1"/>
  <c r="H64" i="10"/>
  <c r="H65" i="10" s="1"/>
  <c r="H52" i="17"/>
  <c r="H56" i="17" s="1"/>
  <c r="H60" i="17" s="1"/>
  <c r="H43" i="17"/>
  <c r="H53" i="10"/>
  <c r="H54" i="10" s="1"/>
  <c r="G43" i="17"/>
  <c r="G52" i="17"/>
  <c r="G56" i="17" s="1"/>
  <c r="G60" i="17" s="1"/>
  <c r="J51" i="17"/>
  <c r="J52" i="17" s="1"/>
  <c r="J56" i="17" s="1"/>
  <c r="J60" i="17" s="1"/>
  <c r="J67" i="17" s="1"/>
  <c r="G43" i="16"/>
  <c r="G52" i="16"/>
  <c r="G56" i="16" s="1"/>
  <c r="G60" i="16" s="1"/>
  <c r="J51" i="16"/>
  <c r="J52" i="16" s="1"/>
  <c r="J56" i="16" s="1"/>
  <c r="J60" i="16" s="1"/>
  <c r="J67" i="16" s="1"/>
  <c r="H52" i="16"/>
  <c r="H56" i="16" s="1"/>
  <c r="H60" i="16" s="1"/>
  <c r="H43" i="16"/>
  <c r="J15" i="16"/>
  <c r="J16" i="16" s="1"/>
  <c r="I67" i="16"/>
  <c r="I44" i="16"/>
  <c r="H44" i="15"/>
  <c r="H67" i="15"/>
  <c r="I44" i="15"/>
  <c r="I67" i="15"/>
  <c r="I45" i="15" s="1"/>
  <c r="H42" i="10"/>
  <c r="H43" i="10" s="1"/>
  <c r="L16" i="15"/>
  <c r="M72" i="15"/>
  <c r="J43" i="13"/>
  <c r="K43" i="13" s="1"/>
  <c r="I52" i="14"/>
  <c r="I56" i="14" s="1"/>
  <c r="I60" i="14" s="1"/>
  <c r="I43" i="14"/>
  <c r="H31" i="10"/>
  <c r="H32" i="10" s="1"/>
  <c r="J15" i="12"/>
  <c r="J16" i="12" s="1"/>
  <c r="J10" i="10" s="1"/>
  <c r="G43" i="14"/>
  <c r="G52" i="14"/>
  <c r="G56" i="14" s="1"/>
  <c r="G60" i="14" s="1"/>
  <c r="J51" i="14"/>
  <c r="J52" i="14" s="1"/>
  <c r="J56" i="14" s="1"/>
  <c r="J60" i="14" s="1"/>
  <c r="J67" i="14" s="1"/>
  <c r="H67" i="14"/>
  <c r="H44" i="14"/>
  <c r="H45" i="13"/>
  <c r="H68" i="13"/>
  <c r="J68" i="13" s="1"/>
  <c r="G72" i="13"/>
  <c r="I72" i="13" s="1"/>
  <c r="J72" i="13" s="1"/>
  <c r="O72" i="13"/>
  <c r="M72" i="13"/>
  <c r="G73" i="13"/>
  <c r="I73" i="13" s="1"/>
  <c r="J73" i="13" s="1"/>
  <c r="G67" i="13"/>
  <c r="G44" i="13"/>
  <c r="I44" i="13"/>
  <c r="I67" i="13"/>
  <c r="L16" i="12"/>
  <c r="H43" i="12"/>
  <c r="H52" i="12"/>
  <c r="H56" i="12" s="1"/>
  <c r="H60" i="12" s="1"/>
  <c r="G43" i="12"/>
  <c r="G52" i="12"/>
  <c r="G56" i="12" s="1"/>
  <c r="G60" i="12" s="1"/>
  <c r="J51" i="12"/>
  <c r="J52" i="12" s="1"/>
  <c r="J56" i="12" s="1"/>
  <c r="J60" i="12" s="1"/>
  <c r="J67" i="12" s="1"/>
  <c r="I52" i="12"/>
  <c r="I56" i="12" s="1"/>
  <c r="I60" i="12" s="1"/>
  <c r="I43" i="12"/>
  <c r="H9" i="10"/>
  <c r="H10" i="10" s="1"/>
  <c r="K8" i="9"/>
  <c r="H75" i="25" l="1"/>
  <c r="H80" i="25" s="1"/>
  <c r="H45" i="25"/>
  <c r="J44" i="25"/>
  <c r="K44" i="25" s="1"/>
  <c r="G45" i="25"/>
  <c r="G75" i="25"/>
  <c r="G80" i="25" s="1"/>
  <c r="I72" i="25"/>
  <c r="J72" i="25" s="1"/>
  <c r="J15" i="25"/>
  <c r="J16" i="25" s="1"/>
  <c r="K43" i="22"/>
  <c r="J44" i="23"/>
  <c r="K44" i="23" s="1"/>
  <c r="G75" i="24"/>
  <c r="G80" i="24" s="1"/>
  <c r="I73" i="24"/>
  <c r="J73" i="24" s="1"/>
  <c r="I72" i="24"/>
  <c r="J72" i="24" s="1"/>
  <c r="I45" i="24"/>
  <c r="J44" i="24"/>
  <c r="K44" i="24" s="1"/>
  <c r="H45" i="24"/>
  <c r="H75" i="24"/>
  <c r="H80" i="24" s="1"/>
  <c r="G72" i="15"/>
  <c r="G75" i="15" s="1"/>
  <c r="G80" i="15" s="1"/>
  <c r="O72" i="15"/>
  <c r="H68" i="15"/>
  <c r="J68" i="15" s="1"/>
  <c r="G44" i="22"/>
  <c r="L16" i="23"/>
  <c r="J131" i="10"/>
  <c r="G75" i="23"/>
  <c r="G80" i="23" s="1"/>
  <c r="H45" i="23"/>
  <c r="H75" i="23"/>
  <c r="H80" i="23" s="1"/>
  <c r="I45" i="23"/>
  <c r="J109" i="10"/>
  <c r="I67" i="22"/>
  <c r="G73" i="22"/>
  <c r="I73" i="22" s="1"/>
  <c r="J73" i="22" s="1"/>
  <c r="H68" i="22"/>
  <c r="J68" i="22" s="1"/>
  <c r="G72" i="22"/>
  <c r="I72" i="22" s="1"/>
  <c r="J72" i="22" s="1"/>
  <c r="I44" i="20"/>
  <c r="O72" i="22"/>
  <c r="J43" i="21"/>
  <c r="K43" i="21" s="1"/>
  <c r="L16" i="19"/>
  <c r="I45" i="22"/>
  <c r="J43" i="18"/>
  <c r="J44" i="22"/>
  <c r="K44" i="22" s="1"/>
  <c r="H45" i="22"/>
  <c r="G45" i="22"/>
  <c r="G67" i="21"/>
  <c r="G44" i="21"/>
  <c r="H45" i="21"/>
  <c r="I44" i="21"/>
  <c r="I67" i="21"/>
  <c r="M72" i="21"/>
  <c r="G72" i="21"/>
  <c r="G73" i="21"/>
  <c r="I73" i="21" s="1"/>
  <c r="J73" i="21" s="1"/>
  <c r="H68" i="21"/>
  <c r="J68" i="21" s="1"/>
  <c r="O72" i="21"/>
  <c r="J15" i="14"/>
  <c r="J16" i="14" s="1"/>
  <c r="L16" i="14" s="1"/>
  <c r="K43" i="20"/>
  <c r="I45" i="20"/>
  <c r="G45" i="20"/>
  <c r="J43" i="19"/>
  <c r="K43" i="19" s="1"/>
  <c r="J15" i="18"/>
  <c r="J16" i="18" s="1"/>
  <c r="J76" i="10" s="1"/>
  <c r="H67" i="20"/>
  <c r="H44" i="20"/>
  <c r="L16" i="20"/>
  <c r="J98" i="10"/>
  <c r="G73" i="20"/>
  <c r="I73" i="20" s="1"/>
  <c r="J73" i="20" s="1"/>
  <c r="G72" i="20"/>
  <c r="M72" i="20"/>
  <c r="H68" i="20"/>
  <c r="J68" i="20" s="1"/>
  <c r="O72" i="20"/>
  <c r="H67" i="19"/>
  <c r="H44" i="19"/>
  <c r="K43" i="18"/>
  <c r="G45" i="19"/>
  <c r="G72" i="19"/>
  <c r="I72" i="19" s="1"/>
  <c r="J72" i="19" s="1"/>
  <c r="O72" i="19"/>
  <c r="M72" i="19"/>
  <c r="G73" i="19"/>
  <c r="I73" i="19" s="1"/>
  <c r="J73" i="19" s="1"/>
  <c r="H68" i="19"/>
  <c r="J68" i="19" s="1"/>
  <c r="I44" i="19"/>
  <c r="I67" i="19"/>
  <c r="G72" i="18"/>
  <c r="H68" i="18"/>
  <c r="J68" i="18" s="1"/>
  <c r="G73" i="18"/>
  <c r="O72" i="18"/>
  <c r="M72" i="18"/>
  <c r="G45" i="18"/>
  <c r="H67" i="18"/>
  <c r="H44" i="18"/>
  <c r="I44" i="18"/>
  <c r="I67" i="18"/>
  <c r="J43" i="17"/>
  <c r="K43" i="17" s="1"/>
  <c r="H44" i="17"/>
  <c r="H67" i="17"/>
  <c r="J44" i="15"/>
  <c r="K44" i="15" s="1"/>
  <c r="J43" i="16"/>
  <c r="K43" i="16" s="1"/>
  <c r="L16" i="17"/>
  <c r="J65" i="10"/>
  <c r="G73" i="17"/>
  <c r="I73" i="17" s="1"/>
  <c r="J73" i="17" s="1"/>
  <c r="O72" i="17"/>
  <c r="M72" i="17"/>
  <c r="H68" i="17"/>
  <c r="J68" i="17" s="1"/>
  <c r="G72" i="17"/>
  <c r="G67" i="17"/>
  <c r="G44" i="17"/>
  <c r="I67" i="17"/>
  <c r="I44" i="17"/>
  <c r="G44" i="16"/>
  <c r="G67" i="16"/>
  <c r="I45" i="16"/>
  <c r="L16" i="16"/>
  <c r="J54" i="10"/>
  <c r="H67" i="16"/>
  <c r="H44" i="16"/>
  <c r="G72" i="16"/>
  <c r="G73" i="16"/>
  <c r="I73" i="16" s="1"/>
  <c r="J73" i="16" s="1"/>
  <c r="O72" i="16"/>
  <c r="M72" i="16"/>
  <c r="H68" i="16"/>
  <c r="J68" i="16" s="1"/>
  <c r="I72" i="15"/>
  <c r="J72" i="15" s="1"/>
  <c r="H45" i="15"/>
  <c r="J45" i="15" s="1"/>
  <c r="H75" i="15"/>
  <c r="H80" i="15" s="1"/>
  <c r="J44" i="13"/>
  <c r="K44" i="13" s="1"/>
  <c r="H75" i="13"/>
  <c r="H80" i="13" s="1"/>
  <c r="H45" i="14"/>
  <c r="J43" i="14"/>
  <c r="K43" i="14" s="1"/>
  <c r="G44" i="14"/>
  <c r="G67" i="14"/>
  <c r="H68" i="14"/>
  <c r="J68" i="14" s="1"/>
  <c r="O72" i="14"/>
  <c r="G72" i="14"/>
  <c r="I72" i="14" s="1"/>
  <c r="J72" i="14" s="1"/>
  <c r="G73" i="14"/>
  <c r="I73" i="14" s="1"/>
  <c r="J73" i="14" s="1"/>
  <c r="M72" i="14"/>
  <c r="I44" i="14"/>
  <c r="I67" i="14"/>
  <c r="G45" i="13"/>
  <c r="G75" i="13"/>
  <c r="G80" i="13" s="1"/>
  <c r="J43" i="12"/>
  <c r="K43" i="12" s="1"/>
  <c r="I45" i="13"/>
  <c r="M72" i="12"/>
  <c r="H68" i="12"/>
  <c r="J68" i="12" s="1"/>
  <c r="G73" i="12"/>
  <c r="I73" i="12" s="1"/>
  <c r="J73" i="12" s="1"/>
  <c r="O72" i="12"/>
  <c r="G72" i="12"/>
  <c r="I72" i="12" s="1"/>
  <c r="J72" i="12" s="1"/>
  <c r="I44" i="12"/>
  <c r="I67" i="12"/>
  <c r="G44" i="12"/>
  <c r="G67" i="12"/>
  <c r="H67" i="12"/>
  <c r="H44" i="12"/>
  <c r="I35" i="9"/>
  <c r="G63" i="9"/>
  <c r="I63" i="9" s="1"/>
  <c r="L16" i="25" l="1"/>
  <c r="J153" i="10"/>
  <c r="J45" i="25"/>
  <c r="J45" i="24"/>
  <c r="G75" i="18"/>
  <c r="G80" i="18" s="1"/>
  <c r="G75" i="22"/>
  <c r="G80" i="22" s="1"/>
  <c r="J45" i="23"/>
  <c r="J44" i="19"/>
  <c r="K44" i="19" s="1"/>
  <c r="J44" i="20"/>
  <c r="K44" i="20" s="1"/>
  <c r="H75" i="22"/>
  <c r="H80" i="22" s="1"/>
  <c r="J32" i="10"/>
  <c r="L16" i="18"/>
  <c r="J45" i="22"/>
  <c r="K46" i="22" s="1"/>
  <c r="I45" i="21"/>
  <c r="H75" i="21"/>
  <c r="H80" i="21" s="1"/>
  <c r="J44" i="21"/>
  <c r="K44" i="21" s="1"/>
  <c r="G45" i="21"/>
  <c r="G75" i="21"/>
  <c r="G80" i="21" s="1"/>
  <c r="I72" i="21"/>
  <c r="J72" i="21" s="1"/>
  <c r="I72" i="20"/>
  <c r="J72" i="20" s="1"/>
  <c r="G75" i="20"/>
  <c r="G80" i="20" s="1"/>
  <c r="H45" i="20"/>
  <c r="J45" i="20" s="1"/>
  <c r="H75" i="20"/>
  <c r="H80" i="20" s="1"/>
  <c r="G75" i="19"/>
  <c r="G80" i="19" s="1"/>
  <c r="J44" i="16"/>
  <c r="K44" i="16" s="1"/>
  <c r="I45" i="19"/>
  <c r="H45" i="19"/>
  <c r="H75" i="19"/>
  <c r="H80" i="19" s="1"/>
  <c r="J44" i="18"/>
  <c r="K44" i="18" s="1"/>
  <c r="H75" i="18"/>
  <c r="H80" i="18" s="1"/>
  <c r="H45" i="18"/>
  <c r="I73" i="18"/>
  <c r="J73" i="18" s="1"/>
  <c r="I45" i="18"/>
  <c r="I72" i="18"/>
  <c r="J72" i="18" s="1"/>
  <c r="I45" i="17"/>
  <c r="G45" i="17"/>
  <c r="G75" i="17"/>
  <c r="G80" i="17" s="1"/>
  <c r="I72" i="17"/>
  <c r="J72" i="17" s="1"/>
  <c r="H45" i="17"/>
  <c r="H75" i="17"/>
  <c r="H80" i="17" s="1"/>
  <c r="J44" i="17"/>
  <c r="K44" i="17" s="1"/>
  <c r="H45" i="16"/>
  <c r="H75" i="16"/>
  <c r="H80" i="16" s="1"/>
  <c r="I72" i="16"/>
  <c r="J72" i="16" s="1"/>
  <c r="G45" i="16"/>
  <c r="G75" i="16"/>
  <c r="G80" i="16" s="1"/>
  <c r="K46" i="15"/>
  <c r="K45" i="15"/>
  <c r="H75" i="14"/>
  <c r="H80" i="14" s="1"/>
  <c r="J45" i="13"/>
  <c r="K46" i="13" s="1"/>
  <c r="J44" i="14"/>
  <c r="K44" i="14" s="1"/>
  <c r="G45" i="14"/>
  <c r="G75" i="14"/>
  <c r="G80" i="14" s="1"/>
  <c r="I45" i="14"/>
  <c r="I45" i="12"/>
  <c r="H45" i="12"/>
  <c r="H75" i="12"/>
  <c r="H80" i="12" s="1"/>
  <c r="G45" i="12"/>
  <c r="G75" i="12"/>
  <c r="G80" i="12" s="1"/>
  <c r="J44" i="12"/>
  <c r="K44" i="12" s="1"/>
  <c r="K50" i="9"/>
  <c r="K46" i="25" l="1"/>
  <c r="K45" i="25"/>
  <c r="K46" i="24"/>
  <c r="K45" i="24"/>
  <c r="K46" i="23"/>
  <c r="K45" i="23"/>
  <c r="K45" i="22"/>
  <c r="J45" i="21"/>
  <c r="K46" i="21" s="1"/>
  <c r="J45" i="18"/>
  <c r="K46" i="18" s="1"/>
  <c r="K46" i="20"/>
  <c r="K45" i="20"/>
  <c r="J45" i="19"/>
  <c r="K45" i="13"/>
  <c r="J45" i="17"/>
  <c r="K45" i="17" s="1"/>
  <c r="J45" i="16"/>
  <c r="J45" i="14"/>
  <c r="J45" i="12"/>
  <c r="G8" i="9"/>
  <c r="H8" i="9"/>
  <c r="M20" i="9"/>
  <c r="K45" i="21" l="1"/>
  <c r="K45" i="18"/>
  <c r="K46" i="17"/>
  <c r="K46" i="19"/>
  <c r="K45" i="19"/>
  <c r="K46" i="16"/>
  <c r="K45" i="16"/>
  <c r="K46" i="14"/>
  <c r="K45" i="14"/>
  <c r="K46" i="12"/>
  <c r="K45" i="12"/>
  <c r="I71" i="9"/>
  <c r="F38" i="9" l="1"/>
  <c r="N64" i="9" l="1"/>
  <c r="I40" i="9" l="1"/>
  <c r="G38" i="9"/>
  <c r="AA38" i="9" s="1"/>
  <c r="M40" i="9"/>
  <c r="L40" i="9"/>
  <c r="H40" i="9"/>
  <c r="G40" i="9"/>
  <c r="G39" i="9"/>
  <c r="AA39" i="9" l="1"/>
  <c r="AA45" i="9" s="1"/>
  <c r="AA44" i="9"/>
  <c r="N63" i="9"/>
  <c r="N62" i="9"/>
  <c r="N55" i="9"/>
  <c r="N59" i="9"/>
  <c r="M8" i="9" l="1"/>
  <c r="L8" i="9"/>
  <c r="D12" i="7" l="1"/>
  <c r="M21" i="9" l="1"/>
  <c r="M22" i="9"/>
  <c r="M23" i="9"/>
  <c r="M24" i="9"/>
  <c r="M25" i="9"/>
  <c r="M26" i="9"/>
  <c r="M27" i="9"/>
  <c r="M28" i="9"/>
  <c r="M29" i="9"/>
  <c r="M30" i="9"/>
  <c r="M32" i="9"/>
  <c r="M33" i="9"/>
  <c r="M34" i="9"/>
  <c r="I21" i="9"/>
  <c r="I22" i="9"/>
  <c r="I23" i="9"/>
  <c r="I24" i="9"/>
  <c r="I25" i="9"/>
  <c r="I26" i="9"/>
  <c r="I27" i="9"/>
  <c r="I28" i="9"/>
  <c r="I29" i="9"/>
  <c r="I30" i="9"/>
  <c r="I32" i="9"/>
  <c r="I33" i="9"/>
  <c r="I34" i="9"/>
  <c r="I20" i="9"/>
  <c r="I39" i="9" l="1"/>
  <c r="AB39" i="9" s="1"/>
  <c r="AC39" i="9" s="1"/>
  <c r="I38" i="9"/>
  <c r="J21" i="9"/>
  <c r="J23" i="9"/>
  <c r="J24" i="9"/>
  <c r="J25" i="9"/>
  <c r="J26" i="9"/>
  <c r="J27" i="9"/>
  <c r="J28" i="9"/>
  <c r="J29" i="9"/>
  <c r="J30" i="9"/>
  <c r="C15" i="9" l="1"/>
  <c r="J8" i="9" l="1"/>
  <c r="I8" i="9"/>
  <c r="D13" i="7" l="1"/>
  <c r="AB11" i="9" s="1"/>
  <c r="AB45" i="9" s="1"/>
  <c r="AC45" i="9" s="1"/>
  <c r="I74" i="9"/>
  <c r="H21" i="9"/>
  <c r="H22" i="9"/>
  <c r="H23" i="9"/>
  <c r="H24" i="9"/>
  <c r="H25" i="9"/>
  <c r="H26" i="9"/>
  <c r="H27" i="9"/>
  <c r="H28" i="9"/>
  <c r="H29" i="9"/>
  <c r="H30" i="9"/>
  <c r="H32" i="9"/>
  <c r="H33" i="9"/>
  <c r="J33" i="9" s="1"/>
  <c r="H34" i="9"/>
  <c r="J34" i="9" s="1"/>
  <c r="H35" i="9"/>
  <c r="J35" i="9" s="1"/>
  <c r="L21" i="9"/>
  <c r="L22" i="9"/>
  <c r="L23" i="9"/>
  <c r="L24" i="9"/>
  <c r="L25" i="9"/>
  <c r="L26" i="9"/>
  <c r="L27" i="9"/>
  <c r="L28" i="9"/>
  <c r="L29" i="9"/>
  <c r="L30" i="9"/>
  <c r="L32" i="9"/>
  <c r="L33" i="9"/>
  <c r="L34" i="9"/>
  <c r="L35" i="9"/>
  <c r="L20" i="9"/>
  <c r="H20" i="9"/>
  <c r="L39" i="9" l="1"/>
  <c r="H39" i="9"/>
  <c r="J22" i="9"/>
  <c r="J20" i="9"/>
  <c r="H38" i="9"/>
  <c r="L38" i="9"/>
  <c r="J32" i="9"/>
  <c r="E12" i="7"/>
  <c r="M35" i="9" s="1"/>
  <c r="M13" i="9"/>
  <c r="L13" i="9"/>
  <c r="I13" i="9"/>
  <c r="H13" i="9"/>
  <c r="G13" i="9"/>
  <c r="F13" i="9"/>
  <c r="N12" i="9"/>
  <c r="J12" i="9"/>
  <c r="J11" i="9"/>
  <c r="N10" i="9"/>
  <c r="J10" i="9"/>
  <c r="L41" i="9" l="1"/>
  <c r="M38" i="9"/>
  <c r="AB38" i="9" s="1"/>
  <c r="M39" i="9"/>
  <c r="J38" i="9"/>
  <c r="H41" i="9"/>
  <c r="N13" i="9"/>
  <c r="J13" i="9"/>
  <c r="H15" i="9" s="1"/>
  <c r="E26" i="7"/>
  <c r="E25" i="7"/>
  <c r="E24" i="7"/>
  <c r="E22" i="7"/>
  <c r="E21" i="7"/>
  <c r="E20" i="7"/>
  <c r="G15" i="9" l="1"/>
  <c r="I15" i="9" s="1"/>
  <c r="M41" i="9"/>
  <c r="AB44" i="9"/>
  <c r="AC44" i="9" s="1"/>
  <c r="AC38" i="9"/>
  <c r="E16" i="7"/>
  <c r="J15" i="9" l="1"/>
  <c r="F39" i="9" l="1"/>
  <c r="D4" i="7" l="1"/>
  <c r="D19" i="7" l="1"/>
  <c r="G4" i="7"/>
  <c r="F16" i="9"/>
  <c r="N23" i="9"/>
  <c r="N24" i="9"/>
  <c r="N25" i="9"/>
  <c r="N26" i="9"/>
  <c r="N27" i="9"/>
  <c r="N28" i="9"/>
  <c r="N30" i="9"/>
  <c r="N32" i="9"/>
  <c r="N33" i="9"/>
  <c r="N35" i="9"/>
  <c r="C38" i="9"/>
  <c r="C39" i="9"/>
  <c r="C40" i="9"/>
  <c r="F40" i="9"/>
  <c r="G50" i="9"/>
  <c r="H50" i="9"/>
  <c r="I50" i="9"/>
  <c r="J50" i="9"/>
  <c r="L50" i="9"/>
  <c r="M50" i="9"/>
  <c r="C51" i="9"/>
  <c r="F51" i="9"/>
  <c r="J54" i="9"/>
  <c r="J55" i="9"/>
  <c r="C56" i="9"/>
  <c r="J58" i="9"/>
  <c r="N58" i="9"/>
  <c r="J59" i="9"/>
  <c r="C60" i="9"/>
  <c r="J62" i="9"/>
  <c r="J64" i="9"/>
  <c r="G66" i="9"/>
  <c r="H66" i="9"/>
  <c r="I66" i="9"/>
  <c r="J66" i="9"/>
  <c r="C67" i="9"/>
  <c r="J70" i="9"/>
  <c r="J71" i="9"/>
  <c r="C75" i="9"/>
  <c r="C80" i="9"/>
  <c r="G16" i="9" l="1"/>
  <c r="H16" i="9"/>
  <c r="F52" i="9"/>
  <c r="F56" i="9" s="1"/>
  <c r="F60" i="9" s="1"/>
  <c r="F41" i="9"/>
  <c r="N39" i="9"/>
  <c r="I16" i="9"/>
  <c r="J40" i="9"/>
  <c r="J39" i="9"/>
  <c r="N29" i="9"/>
  <c r="N34" i="9"/>
  <c r="N40" i="9"/>
  <c r="I41" i="9"/>
  <c r="G41" i="9"/>
  <c r="E14" i="7"/>
  <c r="E15" i="7"/>
  <c r="E11" i="7"/>
  <c r="E10" i="7"/>
  <c r="E9" i="7"/>
  <c r="E8" i="7"/>
  <c r="E7" i="7"/>
  <c r="E6" i="7"/>
  <c r="E5" i="7"/>
  <c r="C4" i="7"/>
  <c r="CH32" i="5" l="1"/>
  <c r="CH48" i="5"/>
  <c r="CH56" i="5"/>
  <c r="CH64" i="5"/>
  <c r="CH72" i="5"/>
  <c r="CH80" i="5"/>
  <c r="CH88" i="5"/>
  <c r="CH104" i="5"/>
  <c r="CH112" i="5"/>
  <c r="CH120" i="5"/>
  <c r="CH128" i="5"/>
  <c r="CH136" i="5"/>
  <c r="CH144" i="5"/>
  <c r="CJ144" i="5" s="1"/>
  <c r="CH152" i="5"/>
  <c r="CH160" i="5"/>
  <c r="CH168" i="5"/>
  <c r="CH176" i="5"/>
  <c r="CH184" i="5"/>
  <c r="CH192" i="5"/>
  <c r="CH200" i="5"/>
  <c r="CH216" i="5"/>
  <c r="CH240" i="5"/>
  <c r="CH256" i="5"/>
  <c r="CH264" i="5"/>
  <c r="CH272" i="5"/>
  <c r="CH280" i="5"/>
  <c r="CH296" i="5"/>
  <c r="CH312" i="5"/>
  <c r="CH328" i="5"/>
  <c r="CH336" i="5"/>
  <c r="CH574" i="5" s="1"/>
  <c r="CH575" i="5" s="1"/>
  <c r="CH344" i="5"/>
  <c r="CH352" i="5"/>
  <c r="CH360" i="5"/>
  <c r="CH376" i="5"/>
  <c r="CH384" i="5"/>
  <c r="CH392" i="5"/>
  <c r="CH400" i="5"/>
  <c r="CH408" i="5"/>
  <c r="CH416" i="5"/>
  <c r="CH424" i="5"/>
  <c r="CH440" i="5"/>
  <c r="CH448" i="5"/>
  <c r="CH456" i="5"/>
  <c r="CH464" i="5"/>
  <c r="CH472" i="5"/>
  <c r="CH488" i="5"/>
  <c r="CH496" i="5"/>
  <c r="CH512" i="5"/>
  <c r="CH520" i="5"/>
  <c r="CH544" i="5"/>
  <c r="CH552" i="5"/>
  <c r="CH9" i="5"/>
  <c r="CH17" i="5"/>
  <c r="CH33" i="5"/>
  <c r="CH41" i="5"/>
  <c r="CH49" i="5"/>
  <c r="CH57" i="5"/>
  <c r="CH65" i="5"/>
  <c r="CH73" i="5"/>
  <c r="CJ73" i="5" s="1"/>
  <c r="CH89" i="5"/>
  <c r="CH97" i="5"/>
  <c r="CH105" i="5"/>
  <c r="CH113" i="5"/>
  <c r="CH121" i="5"/>
  <c r="CH129" i="5"/>
  <c r="CH153" i="5"/>
  <c r="CH169" i="5"/>
  <c r="CH177" i="5"/>
  <c r="CH185" i="5"/>
  <c r="CH193" i="5"/>
  <c r="CH201" i="5"/>
  <c r="CH209" i="5"/>
  <c r="CH217" i="5"/>
  <c r="CH225" i="5"/>
  <c r="CH233" i="5"/>
  <c r="CH241" i="5"/>
  <c r="CH249" i="5"/>
  <c r="CH265" i="5"/>
  <c r="CH273" i="5"/>
  <c r="CH281" i="5"/>
  <c r="CH289" i="5"/>
  <c r="CH297" i="5"/>
  <c r="CH305" i="5"/>
  <c r="CH321" i="5"/>
  <c r="CH329" i="5"/>
  <c r="CH337" i="5"/>
  <c r="CH345" i="5"/>
  <c r="CH353" i="5"/>
  <c r="CJ353" i="5" s="1"/>
  <c r="CH369" i="5"/>
  <c r="CH377" i="5"/>
  <c r="CH385" i="5"/>
  <c r="CJ385" i="5" s="1"/>
  <c r="CH393" i="5"/>
  <c r="CH401" i="5"/>
  <c r="CH409" i="5"/>
  <c r="CH425" i="5"/>
  <c r="CH433" i="5"/>
  <c r="CH441" i="5"/>
  <c r="CH449" i="5"/>
  <c r="CH457" i="5"/>
  <c r="CH465" i="5"/>
  <c r="CH481" i="5"/>
  <c r="CH489" i="5"/>
  <c r="CH497" i="5"/>
  <c r="CH505" i="5"/>
  <c r="CH513" i="5"/>
  <c r="CH529" i="5"/>
  <c r="CH537" i="5"/>
  <c r="CH545" i="5"/>
  <c r="CH553" i="5"/>
  <c r="CH10" i="5"/>
  <c r="CH34" i="5"/>
  <c r="CH58" i="5"/>
  <c r="CH66" i="5"/>
  <c r="CH74" i="5"/>
  <c r="CK74" i="5" s="1"/>
  <c r="CH82" i="5"/>
  <c r="CH90" i="5"/>
  <c r="CH98" i="5"/>
  <c r="CH106" i="5"/>
  <c r="CH114" i="5"/>
  <c r="CH122" i="5"/>
  <c r="CH130" i="5"/>
  <c r="CH154" i="5"/>
  <c r="CH162" i="5"/>
  <c r="CH170" i="5"/>
  <c r="CH178" i="5"/>
  <c r="CH186" i="5"/>
  <c r="CH202" i="5"/>
  <c r="CH210" i="5"/>
  <c r="CH218" i="5"/>
  <c r="CH234" i="5"/>
  <c r="CH242" i="5"/>
  <c r="CH250" i="5"/>
  <c r="CH266" i="5"/>
  <c r="CH282" i="5"/>
  <c r="CH290" i="5"/>
  <c r="CH298" i="5"/>
  <c r="CH306" i="5"/>
  <c r="CH314" i="5"/>
  <c r="CH322" i="5"/>
  <c r="CH330" i="5"/>
  <c r="CH338" i="5"/>
  <c r="CH346" i="5"/>
  <c r="CH354" i="5"/>
  <c r="CH362" i="5"/>
  <c r="CH370" i="5"/>
  <c r="CH378" i="5"/>
  <c r="CH386" i="5"/>
  <c r="CH394" i="5"/>
  <c r="CH402" i="5"/>
  <c r="CH418" i="5"/>
  <c r="CH434" i="5"/>
  <c r="CH442" i="5"/>
  <c r="CH450" i="5"/>
  <c r="CH458" i="5"/>
  <c r="CH466" i="5"/>
  <c r="CH474" i="5"/>
  <c r="CH506" i="5"/>
  <c r="CH514" i="5"/>
  <c r="CH522" i="5"/>
  <c r="CH538" i="5"/>
  <c r="CH554" i="5"/>
  <c r="CH3" i="5"/>
  <c r="CH19" i="5"/>
  <c r="CH27" i="5"/>
  <c r="CH35" i="5"/>
  <c r="CH43" i="5"/>
  <c r="CH51" i="5"/>
  <c r="CH67" i="5"/>
  <c r="CH75" i="5"/>
  <c r="CH83" i="5"/>
  <c r="CK83" i="5" s="1"/>
  <c r="CK564" i="5" s="1"/>
  <c r="CK565" i="5" s="1"/>
  <c r="CH91" i="5"/>
  <c r="CH107" i="5"/>
  <c r="CH123" i="5"/>
  <c r="CH131" i="5"/>
  <c r="CH147" i="5"/>
  <c r="CH155" i="5"/>
  <c r="CH163" i="5"/>
  <c r="CH171" i="5"/>
  <c r="CH179" i="5"/>
  <c r="CH187" i="5"/>
  <c r="CH195" i="5"/>
  <c r="CH203" i="5"/>
  <c r="CH219" i="5"/>
  <c r="CH227" i="5"/>
  <c r="CH235" i="5"/>
  <c r="CH243" i="5"/>
  <c r="CH251" i="5"/>
  <c r="CH267" i="5"/>
  <c r="CH275" i="5"/>
  <c r="CH291" i="5"/>
  <c r="CH315" i="5"/>
  <c r="CH331" i="5"/>
  <c r="CH347" i="5"/>
  <c r="CH355" i="5"/>
  <c r="CH363" i="5"/>
  <c r="CH371" i="5"/>
  <c r="CH379" i="5"/>
  <c r="CH387" i="5"/>
  <c r="CH395" i="5"/>
  <c r="CH403" i="5"/>
  <c r="CH419" i="5"/>
  <c r="CH427" i="5"/>
  <c r="CH435" i="5"/>
  <c r="CH443" i="5"/>
  <c r="CH459" i="5"/>
  <c r="CH467" i="5"/>
  <c r="CH483" i="5"/>
  <c r="CH491" i="5"/>
  <c r="CH499" i="5"/>
  <c r="CH523" i="5"/>
  <c r="CH531" i="5"/>
  <c r="CH547" i="5"/>
  <c r="CH555" i="5"/>
  <c r="CH4" i="5"/>
  <c r="CK4" i="5" s="1"/>
  <c r="CH12" i="5"/>
  <c r="CH28" i="5"/>
  <c r="CH36" i="5"/>
  <c r="CH44" i="5"/>
  <c r="CH52" i="5"/>
  <c r="CH60" i="5"/>
  <c r="CH68" i="5"/>
  <c r="CH76" i="5"/>
  <c r="CK76" i="5" s="1"/>
  <c r="CH92" i="5"/>
  <c r="CH100" i="5"/>
  <c r="CH108" i="5"/>
  <c r="CH116" i="5"/>
  <c r="CH124" i="5"/>
  <c r="CH132" i="5"/>
  <c r="CH140" i="5"/>
  <c r="CH148" i="5"/>
  <c r="CH156" i="5"/>
  <c r="CH164" i="5"/>
  <c r="CH172" i="5"/>
  <c r="CH180" i="5"/>
  <c r="CH188" i="5"/>
  <c r="CH196" i="5"/>
  <c r="CH212" i="5"/>
  <c r="CH220" i="5"/>
  <c r="CH228" i="5"/>
  <c r="CJ228" i="5" s="1"/>
  <c r="CH236" i="5"/>
  <c r="CH244" i="5"/>
  <c r="CH252" i="5"/>
  <c r="CH260" i="5"/>
  <c r="CH268" i="5"/>
  <c r="CH276" i="5"/>
  <c r="CH300" i="5"/>
  <c r="CH308" i="5"/>
  <c r="CH324" i="5"/>
  <c r="CH332" i="5"/>
  <c r="CH340" i="5"/>
  <c r="CH364" i="5"/>
  <c r="CH372" i="5"/>
  <c r="CH380" i="5"/>
  <c r="CH388" i="5"/>
  <c r="CH396" i="5"/>
  <c r="CH412" i="5"/>
  <c r="CH420" i="5"/>
  <c r="CH428" i="5"/>
  <c r="CH436" i="5"/>
  <c r="CH444" i="5"/>
  <c r="CH452" i="5"/>
  <c r="CJ452" i="5" s="1"/>
  <c r="CH460" i="5"/>
  <c r="CH476" i="5"/>
  <c r="CH484" i="5"/>
  <c r="CH492" i="5"/>
  <c r="CH500" i="5"/>
  <c r="CH508" i="5"/>
  <c r="CH516" i="5"/>
  <c r="CH524" i="5"/>
  <c r="CH532" i="5"/>
  <c r="CH540" i="5"/>
  <c r="CH556" i="5"/>
  <c r="CH13" i="5"/>
  <c r="CH21" i="5"/>
  <c r="CH29" i="5"/>
  <c r="CH45" i="5"/>
  <c r="CH53" i="5"/>
  <c r="CH61" i="5"/>
  <c r="CH69" i="5"/>
  <c r="CJ69" i="5" s="1"/>
  <c r="CH77" i="5"/>
  <c r="CH562" i="5" s="1"/>
  <c r="CH563" i="5" s="1"/>
  <c r="CH93" i="5"/>
  <c r="CH101" i="5"/>
  <c r="CH109" i="5"/>
  <c r="CH117" i="5"/>
  <c r="CH125" i="5"/>
  <c r="CH133" i="5"/>
  <c r="CH141" i="5"/>
  <c r="CH149" i="5"/>
  <c r="CH157" i="5"/>
  <c r="CH165" i="5"/>
  <c r="CH173" i="5"/>
  <c r="CH181" i="5"/>
  <c r="CH189" i="5"/>
  <c r="CH197" i="5"/>
  <c r="CH205" i="5"/>
  <c r="CH213" i="5"/>
  <c r="CH221" i="5"/>
  <c r="CH237" i="5"/>
  <c r="CH253" i="5"/>
  <c r="CH261" i="5"/>
  <c r="CH269" i="5"/>
  <c r="CH285" i="5"/>
  <c r="CH293" i="5"/>
  <c r="CH301" i="5"/>
  <c r="CH309" i="5"/>
  <c r="CH325" i="5"/>
  <c r="CH333" i="5"/>
  <c r="CH341" i="5"/>
  <c r="CH357" i="5"/>
  <c r="CH365" i="5"/>
  <c r="CH373" i="5"/>
  <c r="CH381" i="5"/>
  <c r="CH389" i="5"/>
  <c r="CH397" i="5"/>
  <c r="CH405" i="5"/>
  <c r="CH413" i="5"/>
  <c r="CH421" i="5"/>
  <c r="CH429" i="5"/>
  <c r="CH437" i="5"/>
  <c r="CH445" i="5"/>
  <c r="CH461" i="5"/>
  <c r="CH469" i="5"/>
  <c r="CH477" i="5"/>
  <c r="CH485" i="5"/>
  <c r="CH493" i="5"/>
  <c r="CH501" i="5"/>
  <c r="CH509" i="5"/>
  <c r="CH517" i="5"/>
  <c r="CH533" i="5"/>
  <c r="CH541" i="5"/>
  <c r="CH549" i="5"/>
  <c r="CH557" i="5"/>
  <c r="CH6" i="5"/>
  <c r="CH14" i="5"/>
  <c r="CH30" i="5"/>
  <c r="CH38" i="5"/>
  <c r="CH46" i="5"/>
  <c r="CH54" i="5"/>
  <c r="CH70" i="5"/>
  <c r="CH86" i="5"/>
  <c r="CH94" i="5"/>
  <c r="CH102" i="5"/>
  <c r="CH110" i="5"/>
  <c r="CH118" i="5"/>
  <c r="CH126" i="5"/>
  <c r="CH134" i="5"/>
  <c r="CH142" i="5"/>
  <c r="CH150" i="5"/>
  <c r="CH158" i="5"/>
  <c r="CH166" i="5"/>
  <c r="CH174" i="5"/>
  <c r="CH182" i="5"/>
  <c r="CH190" i="5"/>
  <c r="CH198" i="5"/>
  <c r="CH206" i="5"/>
  <c r="CH214" i="5"/>
  <c r="CH222" i="5"/>
  <c r="CH230" i="5"/>
  <c r="CH238" i="5"/>
  <c r="CH246" i="5"/>
  <c r="CH262" i="5"/>
  <c r="CH278" i="5"/>
  <c r="CH286" i="5"/>
  <c r="CH294" i="5"/>
  <c r="CJ294" i="5" s="1"/>
  <c r="CH318" i="5"/>
  <c r="CH334" i="5"/>
  <c r="CH358" i="5"/>
  <c r="CH366" i="5"/>
  <c r="CH374" i="5"/>
  <c r="CH382" i="5"/>
  <c r="CH390" i="5"/>
  <c r="CH398" i="5"/>
  <c r="CH406" i="5"/>
  <c r="CH414" i="5"/>
  <c r="CH430" i="5"/>
  <c r="CH438" i="5"/>
  <c r="CH446" i="5"/>
  <c r="CH454" i="5"/>
  <c r="CH462" i="5"/>
  <c r="CH470" i="5"/>
  <c r="CH478" i="5"/>
  <c r="CH502" i="5"/>
  <c r="CH526" i="5"/>
  <c r="CH542" i="5"/>
  <c r="CH550" i="5"/>
  <c r="CH7" i="5"/>
  <c r="CH15" i="5"/>
  <c r="CH23" i="5"/>
  <c r="CH31" i="5"/>
  <c r="CH39" i="5"/>
  <c r="CH55" i="5"/>
  <c r="CH63" i="5"/>
  <c r="CH71" i="5"/>
  <c r="CH79" i="5"/>
  <c r="CH87" i="5"/>
  <c r="CH95" i="5"/>
  <c r="CH103" i="5"/>
  <c r="CH111" i="5"/>
  <c r="CH127" i="5"/>
  <c r="CH135" i="5"/>
  <c r="CH143" i="5"/>
  <c r="CH151" i="5"/>
  <c r="CH159" i="5"/>
  <c r="CH167" i="5"/>
  <c r="CH175" i="5"/>
  <c r="CH191" i="5"/>
  <c r="CH199" i="5"/>
  <c r="CH207" i="5"/>
  <c r="CH215" i="5"/>
  <c r="CH568" i="5" s="1"/>
  <c r="CH569" i="5" s="1"/>
  <c r="CH223" i="5"/>
  <c r="CH231" i="5"/>
  <c r="CH239" i="5"/>
  <c r="CH247" i="5"/>
  <c r="CH255" i="5"/>
  <c r="CH263" i="5"/>
  <c r="CH271" i="5"/>
  <c r="CH279" i="5"/>
  <c r="CH287" i="5"/>
  <c r="CH295" i="5"/>
  <c r="CH303" i="5"/>
  <c r="CH311" i="5"/>
  <c r="CH319" i="5"/>
  <c r="CH327" i="5"/>
  <c r="CH343" i="5"/>
  <c r="CH351" i="5"/>
  <c r="CH367" i="5"/>
  <c r="CH375" i="5"/>
  <c r="CH383" i="5"/>
  <c r="CH391" i="5"/>
  <c r="CH399" i="5"/>
  <c r="CH407" i="5"/>
  <c r="CH423" i="5"/>
  <c r="CH439" i="5"/>
  <c r="CH447" i="5"/>
  <c r="CH455" i="5"/>
  <c r="CH463" i="5"/>
  <c r="CH479" i="5"/>
  <c r="CH487" i="5"/>
  <c r="CH495" i="5"/>
  <c r="CH503" i="5"/>
  <c r="CH511" i="5"/>
  <c r="CH519" i="5"/>
  <c r="CH527" i="5"/>
  <c r="CH535" i="5"/>
  <c r="CH551" i="5"/>
  <c r="CG7" i="5"/>
  <c r="CG15" i="5"/>
  <c r="CG23" i="5"/>
  <c r="CG31" i="5"/>
  <c r="CG39" i="5"/>
  <c r="CG55" i="5"/>
  <c r="CG63" i="5"/>
  <c r="CG71" i="5"/>
  <c r="CG79" i="5"/>
  <c r="CG87" i="5"/>
  <c r="CG95" i="5"/>
  <c r="CG103" i="5"/>
  <c r="CG111" i="5"/>
  <c r="CG127" i="5"/>
  <c r="CG135" i="5"/>
  <c r="CG143" i="5"/>
  <c r="CG151" i="5"/>
  <c r="CG159" i="5"/>
  <c r="CG167" i="5"/>
  <c r="CG175" i="5"/>
  <c r="CG191" i="5"/>
  <c r="CG199" i="5"/>
  <c r="CG207" i="5"/>
  <c r="CG215" i="5"/>
  <c r="CG223" i="5"/>
  <c r="CG231" i="5"/>
  <c r="CG239" i="5"/>
  <c r="CG247" i="5"/>
  <c r="CG32" i="5"/>
  <c r="CJ32" i="5" s="1"/>
  <c r="CG48" i="5"/>
  <c r="CG56" i="5"/>
  <c r="CJ56" i="5" s="1"/>
  <c r="CG64" i="5"/>
  <c r="CG72" i="5"/>
  <c r="CJ72" i="5" s="1"/>
  <c r="CG80" i="5"/>
  <c r="CG88" i="5"/>
  <c r="CG104" i="5"/>
  <c r="CG112" i="5"/>
  <c r="CJ112" i="5" s="1"/>
  <c r="CG120" i="5"/>
  <c r="CG128" i="5"/>
  <c r="CJ128" i="5" s="1"/>
  <c r="CG136" i="5"/>
  <c r="CG152" i="5"/>
  <c r="CJ152" i="5" s="1"/>
  <c r="CG9" i="5"/>
  <c r="CJ9" i="5" s="1"/>
  <c r="CG17" i="5"/>
  <c r="CJ17" i="5" s="1"/>
  <c r="CG33" i="5"/>
  <c r="CG41" i="5"/>
  <c r="CG49" i="5"/>
  <c r="CG57" i="5"/>
  <c r="CJ57" i="5" s="1"/>
  <c r="CG65" i="5"/>
  <c r="CJ65" i="5" s="1"/>
  <c r="CG89" i="5"/>
  <c r="CJ89" i="5" s="1"/>
  <c r="CG97" i="5"/>
  <c r="CG105" i="5"/>
  <c r="CG113" i="5"/>
  <c r="CG121" i="5"/>
  <c r="CG129" i="5"/>
  <c r="CG10" i="5"/>
  <c r="CG34" i="5"/>
  <c r="CG58" i="5"/>
  <c r="CG66" i="5"/>
  <c r="CG82" i="5"/>
  <c r="CJ82" i="5" s="1"/>
  <c r="CG90" i="5"/>
  <c r="CG98" i="5"/>
  <c r="CJ98" i="5" s="1"/>
  <c r="CG106" i="5"/>
  <c r="CG114" i="5"/>
  <c r="CG122" i="5"/>
  <c r="CG130" i="5"/>
  <c r="CJ130" i="5" s="1"/>
  <c r="CG154" i="5"/>
  <c r="CG162" i="5"/>
  <c r="CJ162" i="5" s="1"/>
  <c r="CG170" i="5"/>
  <c r="CG178" i="5"/>
  <c r="CJ178" i="5" s="1"/>
  <c r="CG186" i="5"/>
  <c r="CG202" i="5"/>
  <c r="CG210" i="5"/>
  <c r="CG218" i="5"/>
  <c r="CG234" i="5"/>
  <c r="CG242" i="5"/>
  <c r="CJ242" i="5" s="1"/>
  <c r="CG250" i="5"/>
  <c r="CG19" i="5"/>
  <c r="CJ19" i="5" s="1"/>
  <c r="CG27" i="5"/>
  <c r="CG35" i="5"/>
  <c r="CG43" i="5"/>
  <c r="CG51" i="5"/>
  <c r="CG67" i="5"/>
  <c r="CG75" i="5"/>
  <c r="CJ75" i="5" s="1"/>
  <c r="CG91" i="5"/>
  <c r="CJ91" i="5" s="1"/>
  <c r="CG107" i="5"/>
  <c r="CG123" i="5"/>
  <c r="CG131" i="5"/>
  <c r="CG147" i="5"/>
  <c r="CG155" i="5"/>
  <c r="CG163" i="5"/>
  <c r="CG171" i="5"/>
  <c r="CJ171" i="5" s="1"/>
  <c r="CG179" i="5"/>
  <c r="CJ179" i="5" s="1"/>
  <c r="CG187" i="5"/>
  <c r="CG195" i="5"/>
  <c r="CG203" i="5"/>
  <c r="CG219" i="5"/>
  <c r="CG227" i="5"/>
  <c r="CG235" i="5"/>
  <c r="CG243" i="5"/>
  <c r="CJ243" i="5" s="1"/>
  <c r="CG251" i="5"/>
  <c r="CJ251" i="5" s="1"/>
  <c r="CG12" i="5"/>
  <c r="CG28" i="5"/>
  <c r="CG36" i="5"/>
  <c r="CG44" i="5"/>
  <c r="CG52" i="5"/>
  <c r="CJ52" i="5" s="1"/>
  <c r="CG60" i="5"/>
  <c r="CJ60" i="5" s="1"/>
  <c r="CG68" i="5"/>
  <c r="CJ68" i="5" s="1"/>
  <c r="CG92" i="5"/>
  <c r="CG100" i="5"/>
  <c r="CG108" i="5"/>
  <c r="CG116" i="5"/>
  <c r="CG124" i="5"/>
  <c r="CG132" i="5"/>
  <c r="CJ132" i="5" s="1"/>
  <c r="CG13" i="5"/>
  <c r="CG21" i="5"/>
  <c r="CG29" i="5"/>
  <c r="CJ29" i="5" s="1"/>
  <c r="CG45" i="5"/>
  <c r="CG53" i="5"/>
  <c r="CG61" i="5"/>
  <c r="CG77" i="5"/>
  <c r="CG562" i="5" s="1"/>
  <c r="CG563" i="5" s="1"/>
  <c r="CG93" i="5"/>
  <c r="CG101" i="5"/>
  <c r="CG109" i="5"/>
  <c r="CJ109" i="5" s="1"/>
  <c r="CG117" i="5"/>
  <c r="CG125" i="5"/>
  <c r="CJ125" i="5" s="1"/>
  <c r="CG133" i="5"/>
  <c r="CG141" i="5"/>
  <c r="CG6" i="5"/>
  <c r="CG14" i="5"/>
  <c r="CJ14" i="5" s="1"/>
  <c r="CG30" i="5"/>
  <c r="CJ30" i="5" s="1"/>
  <c r="CG38" i="5"/>
  <c r="CJ38" i="5" s="1"/>
  <c r="CG46" i="5"/>
  <c r="CJ46" i="5" s="1"/>
  <c r="CG54" i="5"/>
  <c r="CJ54" i="5" s="1"/>
  <c r="CG70" i="5"/>
  <c r="CJ70" i="5" s="1"/>
  <c r="CG86" i="5"/>
  <c r="CJ86" i="5" s="1"/>
  <c r="CG94" i="5"/>
  <c r="CJ94" i="5" s="1"/>
  <c r="CG102" i="5"/>
  <c r="CJ102" i="5" s="1"/>
  <c r="CG110" i="5"/>
  <c r="CJ110" i="5" s="1"/>
  <c r="CG118" i="5"/>
  <c r="CJ118" i="5" s="1"/>
  <c r="CG126" i="5"/>
  <c r="CJ126" i="5" s="1"/>
  <c r="CG134" i="5"/>
  <c r="CJ134" i="5" s="1"/>
  <c r="CG142" i="5"/>
  <c r="CJ142" i="5" s="1"/>
  <c r="CG150" i="5"/>
  <c r="CJ150" i="5" s="1"/>
  <c r="CG158" i="5"/>
  <c r="CJ158" i="5" s="1"/>
  <c r="CG166" i="5"/>
  <c r="CJ166" i="5" s="1"/>
  <c r="CG174" i="5"/>
  <c r="CJ174" i="5" s="1"/>
  <c r="CG182" i="5"/>
  <c r="CJ182" i="5" s="1"/>
  <c r="CG190" i="5"/>
  <c r="CJ190" i="5" s="1"/>
  <c r="CG198" i="5"/>
  <c r="CJ198" i="5" s="1"/>
  <c r="CG206" i="5"/>
  <c r="CJ206" i="5" s="1"/>
  <c r="CG214" i="5"/>
  <c r="CJ214" i="5" s="1"/>
  <c r="CG222" i="5"/>
  <c r="CJ222" i="5" s="1"/>
  <c r="CG230" i="5"/>
  <c r="CJ230" i="5" s="1"/>
  <c r="CG238" i="5"/>
  <c r="CJ238" i="5" s="1"/>
  <c r="CG153" i="5"/>
  <c r="CJ153" i="5" s="1"/>
  <c r="CG169" i="5"/>
  <c r="CJ169" i="5" s="1"/>
  <c r="CG184" i="5"/>
  <c r="CJ184" i="5" s="1"/>
  <c r="CG197" i="5"/>
  <c r="CG212" i="5"/>
  <c r="CG241" i="5"/>
  <c r="CJ241" i="5" s="1"/>
  <c r="CG262" i="5"/>
  <c r="CG278" i="5"/>
  <c r="CG286" i="5"/>
  <c r="CJ286" i="5" s="1"/>
  <c r="CG318" i="5"/>
  <c r="CJ318" i="5" s="1"/>
  <c r="CG334" i="5"/>
  <c r="CG358" i="5"/>
  <c r="CG366" i="5"/>
  <c r="CG374" i="5"/>
  <c r="CJ374" i="5" s="1"/>
  <c r="CG382" i="5"/>
  <c r="CG390" i="5"/>
  <c r="CJ390" i="5" s="1"/>
  <c r="CG398" i="5"/>
  <c r="CJ398" i="5" s="1"/>
  <c r="CG406" i="5"/>
  <c r="CJ406" i="5" s="1"/>
  <c r="CG414" i="5"/>
  <c r="CG430" i="5"/>
  <c r="CG438" i="5"/>
  <c r="CG446" i="5"/>
  <c r="CJ446" i="5" s="1"/>
  <c r="CG454" i="5"/>
  <c r="CG462" i="5"/>
  <c r="CJ462" i="5" s="1"/>
  <c r="CG470" i="5"/>
  <c r="CJ470" i="5" s="1"/>
  <c r="CG478" i="5"/>
  <c r="CJ478" i="5" s="1"/>
  <c r="CG502" i="5"/>
  <c r="CG526" i="5"/>
  <c r="CG542" i="5"/>
  <c r="CG550" i="5"/>
  <c r="CG156" i="5"/>
  <c r="CG172" i="5"/>
  <c r="CG185" i="5"/>
  <c r="CJ185" i="5" s="1"/>
  <c r="CG200" i="5"/>
  <c r="CG213" i="5"/>
  <c r="CG244" i="5"/>
  <c r="CG255" i="5"/>
  <c r="CG263" i="5"/>
  <c r="CG271" i="5"/>
  <c r="CG279" i="5"/>
  <c r="CG287" i="5"/>
  <c r="CG295" i="5"/>
  <c r="CJ295" i="5" s="1"/>
  <c r="CG303" i="5"/>
  <c r="CG311" i="5"/>
  <c r="CG319" i="5"/>
  <c r="CG327" i="5"/>
  <c r="CG343" i="5"/>
  <c r="CG351" i="5"/>
  <c r="CG367" i="5"/>
  <c r="CG375" i="5"/>
  <c r="CJ375" i="5" s="1"/>
  <c r="CG383" i="5"/>
  <c r="CG391" i="5"/>
  <c r="CG399" i="5"/>
  <c r="CG407" i="5"/>
  <c r="CG423" i="5"/>
  <c r="CG439" i="5"/>
  <c r="CG447" i="5"/>
  <c r="CG455" i="5"/>
  <c r="CJ455" i="5" s="1"/>
  <c r="CG463" i="5"/>
  <c r="CG479" i="5"/>
  <c r="CG487" i="5"/>
  <c r="CG495" i="5"/>
  <c r="CG503" i="5"/>
  <c r="CG511" i="5"/>
  <c r="CG519" i="5"/>
  <c r="CG527" i="5"/>
  <c r="CJ527" i="5" s="1"/>
  <c r="CG535" i="5"/>
  <c r="CG551" i="5"/>
  <c r="CG140" i="5"/>
  <c r="CJ140" i="5" s="1"/>
  <c r="CG157" i="5"/>
  <c r="CJ157" i="5" s="1"/>
  <c r="CG173" i="5"/>
  <c r="CJ173" i="5" s="1"/>
  <c r="CG188" i="5"/>
  <c r="CJ188" i="5" s="1"/>
  <c r="CG201" i="5"/>
  <c r="CG216" i="5"/>
  <c r="CJ216" i="5" s="1"/>
  <c r="CG256" i="5"/>
  <c r="CG264" i="5"/>
  <c r="CG272" i="5"/>
  <c r="CJ272" i="5" s="1"/>
  <c r="CG280" i="5"/>
  <c r="CJ280" i="5" s="1"/>
  <c r="CG296" i="5"/>
  <c r="CJ296" i="5" s="1"/>
  <c r="CG312" i="5"/>
  <c r="CJ312" i="5" s="1"/>
  <c r="CG328" i="5"/>
  <c r="CJ328" i="5" s="1"/>
  <c r="CG336" i="5"/>
  <c r="CG574" i="5" s="1"/>
  <c r="CG575" i="5" s="1"/>
  <c r="CG344" i="5"/>
  <c r="CG352" i="5"/>
  <c r="CG360" i="5"/>
  <c r="CJ360" i="5" s="1"/>
  <c r="CG376" i="5"/>
  <c r="CJ376" i="5" s="1"/>
  <c r="CG384" i="5"/>
  <c r="CJ384" i="5" s="1"/>
  <c r="CG392" i="5"/>
  <c r="CJ392" i="5" s="1"/>
  <c r="CG400" i="5"/>
  <c r="CG408" i="5"/>
  <c r="CJ408" i="5" s="1"/>
  <c r="CG416" i="5"/>
  <c r="CG424" i="5"/>
  <c r="CG440" i="5"/>
  <c r="CJ440" i="5" s="1"/>
  <c r="CG448" i="5"/>
  <c r="CJ448" i="5" s="1"/>
  <c r="CG456" i="5"/>
  <c r="CJ456" i="5" s="1"/>
  <c r="CG464" i="5"/>
  <c r="CJ464" i="5" s="1"/>
  <c r="CG472" i="5"/>
  <c r="CJ472" i="5" s="1"/>
  <c r="CG488" i="5"/>
  <c r="CJ488" i="5" s="1"/>
  <c r="CG496" i="5"/>
  <c r="CG512" i="5"/>
  <c r="CG520" i="5"/>
  <c r="CJ520" i="5" s="1"/>
  <c r="CG544" i="5"/>
  <c r="CJ544" i="5" s="1"/>
  <c r="CG552" i="5"/>
  <c r="CJ552" i="5" s="1"/>
  <c r="CG160" i="5"/>
  <c r="CJ160" i="5" s="1"/>
  <c r="CG176" i="5"/>
  <c r="CJ176" i="5" s="1"/>
  <c r="CG189" i="5"/>
  <c r="CJ189" i="5" s="1"/>
  <c r="CG217" i="5"/>
  <c r="CJ217" i="5" s="1"/>
  <c r="CG246" i="5"/>
  <c r="CG265" i="5"/>
  <c r="CG273" i="5"/>
  <c r="CG281" i="5"/>
  <c r="CG289" i="5"/>
  <c r="CJ289" i="5" s="1"/>
  <c r="CG297" i="5"/>
  <c r="CJ297" i="5" s="1"/>
  <c r="CG305" i="5"/>
  <c r="CJ305" i="5" s="1"/>
  <c r="CG321" i="5"/>
  <c r="CG329" i="5"/>
  <c r="CJ329" i="5" s="1"/>
  <c r="CG337" i="5"/>
  <c r="CG345" i="5"/>
  <c r="CG369" i="5"/>
  <c r="CJ369" i="5" s="1"/>
  <c r="CG377" i="5"/>
  <c r="CJ377" i="5" s="1"/>
  <c r="CG393" i="5"/>
  <c r="CJ393" i="5" s="1"/>
  <c r="CG401" i="5"/>
  <c r="CJ401" i="5" s="1"/>
  <c r="CG409" i="5"/>
  <c r="CG425" i="5"/>
  <c r="CG433" i="5"/>
  <c r="CG441" i="5"/>
  <c r="CJ441" i="5" s="1"/>
  <c r="CG449" i="5"/>
  <c r="CJ449" i="5" s="1"/>
  <c r="CG457" i="5"/>
  <c r="CJ457" i="5" s="1"/>
  <c r="CG465" i="5"/>
  <c r="CJ465" i="5" s="1"/>
  <c r="CG481" i="5"/>
  <c r="CJ481" i="5" s="1"/>
  <c r="CG489" i="5"/>
  <c r="CG497" i="5"/>
  <c r="CG505" i="5"/>
  <c r="CG513" i="5"/>
  <c r="CJ513" i="5" s="1"/>
  <c r="CG529" i="5"/>
  <c r="CJ529" i="5" s="1"/>
  <c r="CG537" i="5"/>
  <c r="CJ537" i="5" s="1"/>
  <c r="CG545" i="5"/>
  <c r="CJ545" i="5" s="1"/>
  <c r="CG553" i="5"/>
  <c r="CJ553" i="5" s="1"/>
  <c r="CG177" i="5"/>
  <c r="CG192" i="5"/>
  <c r="CJ192" i="5" s="1"/>
  <c r="CG205" i="5"/>
  <c r="CG220" i="5"/>
  <c r="CG233" i="5"/>
  <c r="CJ233" i="5" s="1"/>
  <c r="CG266" i="5"/>
  <c r="CJ266" i="5" s="1"/>
  <c r="CG282" i="5"/>
  <c r="CG290" i="5"/>
  <c r="CG298" i="5"/>
  <c r="CG306" i="5"/>
  <c r="CJ306" i="5" s="1"/>
  <c r="CG314" i="5"/>
  <c r="CJ314" i="5" s="1"/>
  <c r="CG322" i="5"/>
  <c r="CJ322" i="5" s="1"/>
  <c r="CG330" i="5"/>
  <c r="CJ330" i="5" s="1"/>
  <c r="CG338" i="5"/>
  <c r="CJ338" i="5" s="1"/>
  <c r="CG346" i="5"/>
  <c r="CG354" i="5"/>
  <c r="CG362" i="5"/>
  <c r="CG370" i="5"/>
  <c r="CJ370" i="5" s="1"/>
  <c r="CG378" i="5"/>
  <c r="CJ378" i="5" s="1"/>
  <c r="CG386" i="5"/>
  <c r="CJ386" i="5" s="1"/>
  <c r="CG394" i="5"/>
  <c r="CJ394" i="5" s="1"/>
  <c r="CG402" i="5"/>
  <c r="CJ402" i="5" s="1"/>
  <c r="CG418" i="5"/>
  <c r="CG434" i="5"/>
  <c r="CG442" i="5"/>
  <c r="CG450" i="5"/>
  <c r="CJ450" i="5" s="1"/>
  <c r="CG458" i="5"/>
  <c r="CJ458" i="5" s="1"/>
  <c r="CG466" i="5"/>
  <c r="CJ466" i="5" s="1"/>
  <c r="CG474" i="5"/>
  <c r="CJ474" i="5" s="1"/>
  <c r="CG506" i="5"/>
  <c r="CJ506" i="5" s="1"/>
  <c r="CG514" i="5"/>
  <c r="CG522" i="5"/>
  <c r="CG538" i="5"/>
  <c r="CG554" i="5"/>
  <c r="CJ554" i="5" s="1"/>
  <c r="CG164" i="5"/>
  <c r="CG180" i="5"/>
  <c r="CJ180" i="5" s="1"/>
  <c r="CG193" i="5"/>
  <c r="CJ193" i="5" s="1"/>
  <c r="CG221" i="5"/>
  <c r="CJ221" i="5" s="1"/>
  <c r="CG236" i="5"/>
  <c r="CJ236" i="5" s="1"/>
  <c r="CG249" i="5"/>
  <c r="CG267" i="5"/>
  <c r="CG275" i="5"/>
  <c r="CJ275" i="5" s="1"/>
  <c r="CG291" i="5"/>
  <c r="CG315" i="5"/>
  <c r="CG331" i="5"/>
  <c r="CG347" i="5"/>
  <c r="CJ347" i="5" s="1"/>
  <c r="CG355" i="5"/>
  <c r="CJ355" i="5" s="1"/>
  <c r="CG363" i="5"/>
  <c r="CJ363" i="5" s="1"/>
  <c r="CG371" i="5"/>
  <c r="CG379" i="5"/>
  <c r="CJ379" i="5" s="1"/>
  <c r="CG387" i="5"/>
  <c r="CG395" i="5"/>
  <c r="CG403" i="5"/>
  <c r="CG419" i="5"/>
  <c r="CJ419" i="5" s="1"/>
  <c r="CG427" i="5"/>
  <c r="CJ427" i="5" s="1"/>
  <c r="CG435" i="5"/>
  <c r="CJ435" i="5" s="1"/>
  <c r="CG443" i="5"/>
  <c r="CG459" i="5"/>
  <c r="CJ459" i="5" s="1"/>
  <c r="CG467" i="5"/>
  <c r="CG483" i="5"/>
  <c r="CG491" i="5"/>
  <c r="CG499" i="5"/>
  <c r="CJ499" i="5" s="1"/>
  <c r="CG523" i="5"/>
  <c r="CJ523" i="5" s="1"/>
  <c r="CG531" i="5"/>
  <c r="CJ531" i="5" s="1"/>
  <c r="CG547" i="5"/>
  <c r="CG555" i="5"/>
  <c r="CJ555" i="5" s="1"/>
  <c r="CG149" i="5"/>
  <c r="CG168" i="5"/>
  <c r="CG196" i="5"/>
  <c r="CJ196" i="5" s="1"/>
  <c r="CG225" i="5"/>
  <c r="CJ225" i="5" s="1"/>
  <c r="CG240" i="5"/>
  <c r="CG253" i="5"/>
  <c r="CJ253" i="5" s="1"/>
  <c r="CG261" i="5"/>
  <c r="CG269" i="5"/>
  <c r="CJ269" i="5" s="1"/>
  <c r="CG285" i="5"/>
  <c r="CG293" i="5"/>
  <c r="CG301" i="5"/>
  <c r="CG309" i="5"/>
  <c r="CJ309" i="5" s="1"/>
  <c r="CG325" i="5"/>
  <c r="CJ325" i="5" s="1"/>
  <c r="CG333" i="5"/>
  <c r="CJ333" i="5" s="1"/>
  <c r="CG341" i="5"/>
  <c r="CG357" i="5"/>
  <c r="CJ357" i="5" s="1"/>
  <c r="CG365" i="5"/>
  <c r="CG373" i="5"/>
  <c r="CG381" i="5"/>
  <c r="CG389" i="5"/>
  <c r="CJ389" i="5" s="1"/>
  <c r="CG397" i="5"/>
  <c r="CJ397" i="5" s="1"/>
  <c r="CG405" i="5"/>
  <c r="CJ405" i="5" s="1"/>
  <c r="CG413" i="5"/>
  <c r="CG421" i="5"/>
  <c r="CJ421" i="5" s="1"/>
  <c r="CG429" i="5"/>
  <c r="CG437" i="5"/>
  <c r="CG445" i="5"/>
  <c r="CG461" i="5"/>
  <c r="CJ461" i="5" s="1"/>
  <c r="CG469" i="5"/>
  <c r="CJ469" i="5" s="1"/>
  <c r="CG477" i="5"/>
  <c r="CJ477" i="5" s="1"/>
  <c r="CG485" i="5"/>
  <c r="CG493" i="5"/>
  <c r="CJ493" i="5" s="1"/>
  <c r="CG501" i="5"/>
  <c r="CG509" i="5"/>
  <c r="CG517" i="5"/>
  <c r="CG533" i="5"/>
  <c r="CJ533" i="5" s="1"/>
  <c r="CG541" i="5"/>
  <c r="CJ541" i="5" s="1"/>
  <c r="CG549" i="5"/>
  <c r="CJ549" i="5" s="1"/>
  <c r="CG557" i="5"/>
  <c r="CG181" i="5"/>
  <c r="CG276" i="5"/>
  <c r="CJ276" i="5" s="1"/>
  <c r="CG300" i="5"/>
  <c r="CG340" i="5"/>
  <c r="CG524" i="5"/>
  <c r="CJ524" i="5" s="1"/>
  <c r="CG540" i="5"/>
  <c r="CG364" i="5"/>
  <c r="CJ364" i="5" s="1"/>
  <c r="CG428" i="5"/>
  <c r="CJ428" i="5" s="1"/>
  <c r="CG460" i="5"/>
  <c r="CG484" i="5"/>
  <c r="CG508" i="5"/>
  <c r="CJ508" i="5" s="1"/>
  <c r="CG324" i="5"/>
  <c r="CG372" i="5"/>
  <c r="CJ372" i="5" s="1"/>
  <c r="CG412" i="5"/>
  <c r="CJ412" i="5" s="1"/>
  <c r="CG237" i="5"/>
  <c r="CJ237" i="5" s="1"/>
  <c r="CG260" i="5"/>
  <c r="CJ260" i="5" s="1"/>
  <c r="CG308" i="5"/>
  <c r="CG380" i="5"/>
  <c r="CJ380" i="5" s="1"/>
  <c r="CG436" i="5"/>
  <c r="CG492" i="5"/>
  <c r="CJ492" i="5" s="1"/>
  <c r="CG532" i="5"/>
  <c r="CG556" i="5"/>
  <c r="CJ556" i="5" s="1"/>
  <c r="CG148" i="5"/>
  <c r="CJ148" i="5" s="1"/>
  <c r="CG209" i="5"/>
  <c r="CG268" i="5"/>
  <c r="CG332" i="5"/>
  <c r="CJ332" i="5" s="1"/>
  <c r="CG444" i="5"/>
  <c r="CJ444" i="5" s="1"/>
  <c r="CG516" i="5"/>
  <c r="CJ516" i="5" s="1"/>
  <c r="CG165" i="5"/>
  <c r="CG388" i="5"/>
  <c r="CG420" i="5"/>
  <c r="CJ420" i="5" s="1"/>
  <c r="CG476" i="5"/>
  <c r="CG252" i="5"/>
  <c r="CG396" i="5"/>
  <c r="CG500" i="5"/>
  <c r="CJ500" i="5" s="1"/>
  <c r="F43" i="9"/>
  <c r="F44" i="9"/>
  <c r="C19" i="7"/>
  <c r="F4" i="7"/>
  <c r="J74" i="9"/>
  <c r="J41" i="9"/>
  <c r="E13" i="7"/>
  <c r="J16" i="9"/>
  <c r="L16" i="9" s="1"/>
  <c r="F67" i="9"/>
  <c r="F75" i="9" s="1"/>
  <c r="E4" i="7"/>
  <c r="E19" i="7" s="1"/>
  <c r="CH586" i="5" l="1"/>
  <c r="CH587" i="5" s="1"/>
  <c r="CJ550" i="5"/>
  <c r="CG586" i="5"/>
  <c r="CG587" i="5" s="1"/>
  <c r="CJ436" i="5"/>
  <c r="CG584" i="5"/>
  <c r="CG585" i="5" s="1"/>
  <c r="CH584" i="5"/>
  <c r="CH585" i="5" s="1"/>
  <c r="CH582" i="5"/>
  <c r="CH583" i="5" s="1"/>
  <c r="CG582" i="5"/>
  <c r="CG583" i="5" s="1"/>
  <c r="CJ124" i="5"/>
  <c r="CJ532" i="5"/>
  <c r="CJ231" i="5"/>
  <c r="CJ159" i="5"/>
  <c r="CJ87" i="5"/>
  <c r="CJ15" i="5"/>
  <c r="CJ400" i="5"/>
  <c r="CG580" i="5"/>
  <c r="CG581" i="5" s="1"/>
  <c r="CH580" i="5"/>
  <c r="CH581" i="5" s="1"/>
  <c r="CJ212" i="5"/>
  <c r="CJ35" i="5"/>
  <c r="CH578" i="5"/>
  <c r="CH579" i="5" s="1"/>
  <c r="CG578" i="5"/>
  <c r="CG579" i="5" s="1"/>
  <c r="CJ388" i="5"/>
  <c r="CJ240" i="5"/>
  <c r="CJ514" i="5"/>
  <c r="CJ418" i="5"/>
  <c r="CJ346" i="5"/>
  <c r="CJ282" i="5"/>
  <c r="CJ300" i="5"/>
  <c r="CJ501" i="5"/>
  <c r="CJ429" i="5"/>
  <c r="CJ365" i="5"/>
  <c r="CJ285" i="5"/>
  <c r="CJ467" i="5"/>
  <c r="CJ387" i="5"/>
  <c r="CJ291" i="5"/>
  <c r="CJ337" i="5"/>
  <c r="CG576" i="5"/>
  <c r="CG577" i="5" s="1"/>
  <c r="CJ265" i="5"/>
  <c r="CH576" i="5"/>
  <c r="CH577" i="5" s="1"/>
  <c r="CJ10" i="5"/>
  <c r="CH564" i="5"/>
  <c r="CH565" i="5" s="1"/>
  <c r="CJ249" i="5"/>
  <c r="CG572" i="5"/>
  <c r="CG573" i="5" s="1"/>
  <c r="CJ21" i="5"/>
  <c r="CJ165" i="5"/>
  <c r="CH572" i="5"/>
  <c r="CH573" i="5" s="1"/>
  <c r="CJ519" i="5"/>
  <c r="CJ447" i="5"/>
  <c r="CJ367" i="5"/>
  <c r="CJ287" i="5"/>
  <c r="CJ262" i="5"/>
  <c r="CJ93" i="5"/>
  <c r="CJ218" i="5"/>
  <c r="CG570" i="5"/>
  <c r="CG571" i="5" s="1"/>
  <c r="CJ143" i="5"/>
  <c r="CJ71" i="5"/>
  <c r="CJ36" i="5"/>
  <c r="CH570" i="5"/>
  <c r="CH571" i="5" s="1"/>
  <c r="CJ340" i="5"/>
  <c r="CG566" i="5"/>
  <c r="CG567" i="5" s="1"/>
  <c r="CJ215" i="5"/>
  <c r="CJ568" i="5" s="1"/>
  <c r="CJ569" i="5" s="1"/>
  <c r="CG568" i="5"/>
  <c r="CG569" i="5" s="1"/>
  <c r="CJ252" i="5"/>
  <c r="CH566" i="5"/>
  <c r="CH567" i="5" s="1"/>
  <c r="K28" i="10"/>
  <c r="L28" i="10" s="1"/>
  <c r="M12" i="14"/>
  <c r="CJ281" i="5"/>
  <c r="CJ454" i="5"/>
  <c r="CJ382" i="5"/>
  <c r="CJ223" i="5"/>
  <c r="CJ151" i="5"/>
  <c r="CJ79" i="5"/>
  <c r="CG564" i="5"/>
  <c r="CG565" i="5" s="1"/>
  <c r="CJ7" i="5"/>
  <c r="CJ44" i="5"/>
  <c r="CJ116" i="5"/>
  <c r="CJ105" i="5"/>
  <c r="CJ43" i="5"/>
  <c r="CJ136" i="5"/>
  <c r="CJ64" i="5"/>
  <c r="CJ203" i="5"/>
  <c r="CJ268" i="5"/>
  <c r="CJ460" i="5"/>
  <c r="CJ27" i="5"/>
  <c r="CJ131" i="5"/>
  <c r="CJ181" i="5"/>
  <c r="CJ557" i="5"/>
  <c r="CJ485" i="5"/>
  <c r="CJ413" i="5"/>
  <c r="CJ341" i="5"/>
  <c r="CJ261" i="5"/>
  <c r="CJ547" i="5"/>
  <c r="CJ443" i="5"/>
  <c r="CJ371" i="5"/>
  <c r="CJ267" i="5"/>
  <c r="CJ177" i="5"/>
  <c r="CJ489" i="5"/>
  <c r="CJ409" i="5"/>
  <c r="CJ321" i="5"/>
  <c r="CJ535" i="5"/>
  <c r="CJ463" i="5"/>
  <c r="CJ383" i="5"/>
  <c r="CJ303" i="5"/>
  <c r="CJ45" i="5"/>
  <c r="CJ187" i="5"/>
  <c r="CJ107" i="5"/>
  <c r="CJ336" i="5"/>
  <c r="CJ574" i="5" s="1"/>
  <c r="CJ575" i="5" s="1"/>
  <c r="CJ200" i="5"/>
  <c r="CJ117" i="5"/>
  <c r="CJ250" i="5"/>
  <c r="CJ170" i="5"/>
  <c r="CJ90" i="5"/>
  <c r="CJ33" i="5"/>
  <c r="CJ511" i="5"/>
  <c r="CJ439" i="5"/>
  <c r="CJ351" i="5"/>
  <c r="CJ279" i="5"/>
  <c r="CJ172" i="5"/>
  <c r="CJ278" i="5"/>
  <c r="CJ101" i="5"/>
  <c r="CJ13" i="5"/>
  <c r="CJ235" i="5"/>
  <c r="CJ163" i="5"/>
  <c r="CJ234" i="5"/>
  <c r="CJ154" i="5"/>
  <c r="CJ66" i="5"/>
  <c r="CJ97" i="5"/>
  <c r="CJ80" i="5"/>
  <c r="CJ551" i="5"/>
  <c r="CJ479" i="5"/>
  <c r="CJ391" i="5"/>
  <c r="CJ311" i="5"/>
  <c r="CJ244" i="5"/>
  <c r="CJ53" i="5"/>
  <c r="CJ108" i="5"/>
  <c r="CJ195" i="5"/>
  <c r="CJ123" i="5"/>
  <c r="CJ186" i="5"/>
  <c r="CJ106" i="5"/>
  <c r="CJ129" i="5"/>
  <c r="CJ120" i="5"/>
  <c r="CJ48" i="5"/>
  <c r="CJ67" i="5"/>
  <c r="CJ301" i="5"/>
  <c r="CJ271" i="5"/>
  <c r="CJ227" i="5"/>
  <c r="CJ58" i="5"/>
  <c r="CK560" i="5"/>
  <c r="CK561" i="5" s="1"/>
  <c r="CJ381" i="5"/>
  <c r="CJ331" i="5"/>
  <c r="CJ343" i="5"/>
  <c r="CJ155" i="5"/>
  <c r="CJ168" i="5"/>
  <c r="CJ220" i="5"/>
  <c r="CJ6" i="5"/>
  <c r="CG560" i="5"/>
  <c r="CG561" i="5" s="1"/>
  <c r="CJ77" i="5"/>
  <c r="CJ562" i="5" s="1"/>
  <c r="CJ563" i="5" s="1"/>
  <c r="CJ210" i="5"/>
  <c r="CJ122" i="5"/>
  <c r="CJ517" i="5"/>
  <c r="CJ164" i="5"/>
  <c r="CJ505" i="5"/>
  <c r="CJ487" i="5"/>
  <c r="CJ399" i="5"/>
  <c r="CJ319" i="5"/>
  <c r="CJ255" i="5"/>
  <c r="CJ542" i="5"/>
  <c r="CJ438" i="5"/>
  <c r="CJ366" i="5"/>
  <c r="CJ61" i="5"/>
  <c r="CJ207" i="5"/>
  <c r="CJ135" i="5"/>
  <c r="CJ63" i="5"/>
  <c r="CJ324" i="5"/>
  <c r="CJ491" i="5"/>
  <c r="CJ423" i="5"/>
  <c r="CJ433" i="5"/>
  <c r="CJ246" i="5"/>
  <c r="CJ512" i="5"/>
  <c r="CJ424" i="5"/>
  <c r="CJ352" i="5"/>
  <c r="CJ264" i="5"/>
  <c r="CJ197" i="5"/>
  <c r="CJ133" i="5"/>
  <c r="CJ28" i="5"/>
  <c r="CJ49" i="5"/>
  <c r="CJ149" i="5"/>
  <c r="CJ538" i="5"/>
  <c r="CJ442" i="5"/>
  <c r="CJ362" i="5"/>
  <c r="CJ298" i="5"/>
  <c r="CJ213" i="5"/>
  <c r="CJ502" i="5"/>
  <c r="CJ414" i="5"/>
  <c r="CJ334" i="5"/>
  <c r="CJ100" i="5"/>
  <c r="CJ121" i="5"/>
  <c r="CJ3" i="5"/>
  <c r="CH560" i="5"/>
  <c r="CH561" i="5" s="1"/>
  <c r="CJ445" i="5"/>
  <c r="CJ403" i="5"/>
  <c r="CJ503" i="5"/>
  <c r="CJ484" i="5"/>
  <c r="CJ209" i="5"/>
  <c r="CJ104" i="5"/>
  <c r="CJ239" i="5"/>
  <c r="CJ167" i="5"/>
  <c r="CJ95" i="5"/>
  <c r="CJ23" i="5"/>
  <c r="CJ191" i="5"/>
  <c r="CJ111" i="5"/>
  <c r="CJ39" i="5"/>
  <c r="CJ373" i="5"/>
  <c r="CJ395" i="5"/>
  <c r="CJ327" i="5"/>
  <c r="CJ540" i="5"/>
  <c r="CJ201" i="5"/>
  <c r="CJ88" i="5"/>
  <c r="CJ156" i="5"/>
  <c r="CJ51" i="5"/>
  <c r="CJ483" i="5"/>
  <c r="CJ495" i="5"/>
  <c r="CJ263" i="5"/>
  <c r="CJ219" i="5"/>
  <c r="CJ147" i="5"/>
  <c r="CJ34" i="5"/>
  <c r="CJ396" i="5"/>
  <c r="CJ205" i="5"/>
  <c r="CJ141" i="5"/>
  <c r="CJ202" i="5"/>
  <c r="CJ114" i="5"/>
  <c r="CJ437" i="5"/>
  <c r="CJ315" i="5"/>
  <c r="CJ345" i="5"/>
  <c r="CJ308" i="5"/>
  <c r="CJ497" i="5"/>
  <c r="CJ425" i="5"/>
  <c r="CJ526" i="5"/>
  <c r="CJ430" i="5"/>
  <c r="CJ358" i="5"/>
  <c r="CJ199" i="5"/>
  <c r="CJ127" i="5"/>
  <c r="CJ55" i="5"/>
  <c r="CJ293" i="5"/>
  <c r="CJ407" i="5"/>
  <c r="CJ476" i="5"/>
  <c r="CJ496" i="5"/>
  <c r="CJ416" i="5"/>
  <c r="CJ344" i="5"/>
  <c r="CJ256" i="5"/>
  <c r="CJ12" i="5"/>
  <c r="CJ41" i="5"/>
  <c r="CJ509" i="5"/>
  <c r="CJ273" i="5"/>
  <c r="CJ522" i="5"/>
  <c r="CJ434" i="5"/>
  <c r="CJ354" i="5"/>
  <c r="CJ290" i="5"/>
  <c r="CJ92" i="5"/>
  <c r="CJ113" i="5"/>
  <c r="CJ247" i="5"/>
  <c r="CJ175" i="5"/>
  <c r="CJ103" i="5"/>
  <c r="CJ31" i="5"/>
  <c r="F80" i="9"/>
  <c r="F45" i="9"/>
  <c r="N22" i="9"/>
  <c r="N21" i="9"/>
  <c r="H51" i="9"/>
  <c r="I51" i="9"/>
  <c r="G51" i="9"/>
  <c r="G43" i="9" s="1"/>
  <c r="CJ582" i="5" l="1"/>
  <c r="CJ583" i="5" s="1"/>
  <c r="M10" i="23" s="1"/>
  <c r="CJ586" i="5"/>
  <c r="CJ587" i="5" s="1"/>
  <c r="CJ584" i="5"/>
  <c r="CJ585" i="5" s="1"/>
  <c r="CJ580" i="5"/>
  <c r="CJ581" i="5" s="1"/>
  <c r="CJ578" i="5"/>
  <c r="CJ579" i="5" s="1"/>
  <c r="CJ576" i="5"/>
  <c r="CJ577" i="5" s="1"/>
  <c r="K81" i="10"/>
  <c r="M10" i="19"/>
  <c r="CJ572" i="5"/>
  <c r="CJ573" i="5" s="1"/>
  <c r="M10" i="16"/>
  <c r="K48" i="10"/>
  <c r="CJ570" i="5"/>
  <c r="CJ571" i="5" s="1"/>
  <c r="CJ564" i="5"/>
  <c r="CJ565" i="5" s="1"/>
  <c r="K26" i="10" s="1"/>
  <c r="CJ566" i="5"/>
  <c r="CJ567" i="5" s="1"/>
  <c r="M40" i="14"/>
  <c r="N40" i="14" s="1"/>
  <c r="N12" i="14"/>
  <c r="M10" i="13"/>
  <c r="K15" i="10"/>
  <c r="M12" i="12"/>
  <c r="K6" i="10"/>
  <c r="L6" i="10" s="1"/>
  <c r="CJ560" i="5"/>
  <c r="CJ561" i="5" s="1"/>
  <c r="H52" i="9"/>
  <c r="H56" i="9" s="1"/>
  <c r="H60" i="9" s="1"/>
  <c r="H43" i="9"/>
  <c r="N20" i="9"/>
  <c r="G52" i="9"/>
  <c r="G56" i="9" s="1"/>
  <c r="G60" i="9" s="1"/>
  <c r="G44" i="9" s="1"/>
  <c r="J51" i="9"/>
  <c r="J52" i="9" s="1"/>
  <c r="J56" i="9" s="1"/>
  <c r="J60" i="9" s="1"/>
  <c r="I43" i="9"/>
  <c r="I52" i="9"/>
  <c r="I56" i="9" s="1"/>
  <c r="I60" i="9" s="1"/>
  <c r="K125" i="10" l="1"/>
  <c r="M10" i="25"/>
  <c r="K147" i="10"/>
  <c r="M10" i="24"/>
  <c r="K136" i="10"/>
  <c r="K128" i="10"/>
  <c r="L125" i="10"/>
  <c r="L128" i="10" s="1"/>
  <c r="M38" i="23"/>
  <c r="M13" i="23"/>
  <c r="AB10" i="23"/>
  <c r="AC10" i="23" s="1"/>
  <c r="N10" i="23"/>
  <c r="N13" i="23" s="1"/>
  <c r="M10" i="22"/>
  <c r="K114" i="10"/>
  <c r="M10" i="21"/>
  <c r="K103" i="10"/>
  <c r="M10" i="20"/>
  <c r="K92" i="10"/>
  <c r="M38" i="19"/>
  <c r="M13" i="19"/>
  <c r="N10" i="19"/>
  <c r="N13" i="19" s="1"/>
  <c r="AB10" i="19"/>
  <c r="AC10" i="19" s="1"/>
  <c r="L81" i="10"/>
  <c r="L84" i="10" s="1"/>
  <c r="K84" i="10"/>
  <c r="M10" i="18"/>
  <c r="K70" i="10"/>
  <c r="M10" i="17"/>
  <c r="K59" i="10"/>
  <c r="K51" i="10"/>
  <c r="L48" i="10"/>
  <c r="L51" i="10" s="1"/>
  <c r="M13" i="16"/>
  <c r="M38" i="16"/>
  <c r="AB10" i="16"/>
  <c r="AC10" i="16" s="1"/>
  <c r="N10" i="16"/>
  <c r="N13" i="16" s="1"/>
  <c r="K37" i="10"/>
  <c r="M10" i="15"/>
  <c r="M10" i="14"/>
  <c r="M38" i="14" s="1"/>
  <c r="AB10" i="14"/>
  <c r="AC10" i="14" s="1"/>
  <c r="K29" i="10"/>
  <c r="L26" i="10"/>
  <c r="L29" i="10" s="1"/>
  <c r="K18" i="10"/>
  <c r="L15" i="10"/>
  <c r="L18" i="10" s="1"/>
  <c r="M13" i="13"/>
  <c r="M38" i="13"/>
  <c r="AB10" i="13"/>
  <c r="AC10" i="13" s="1"/>
  <c r="N10" i="13"/>
  <c r="N13" i="13" s="1"/>
  <c r="M10" i="12"/>
  <c r="K4" i="10"/>
  <c r="M40" i="12"/>
  <c r="N40" i="12" s="1"/>
  <c r="N12" i="12"/>
  <c r="H44" i="9"/>
  <c r="N41" i="9"/>
  <c r="N38" i="9"/>
  <c r="J43" i="9"/>
  <c r="K43" i="9" s="1"/>
  <c r="I44" i="9"/>
  <c r="I67" i="9"/>
  <c r="K150" i="10" l="1"/>
  <c r="L147" i="10"/>
  <c r="L150" i="10" s="1"/>
  <c r="M13" i="25"/>
  <c r="M38" i="25"/>
  <c r="AB10" i="25"/>
  <c r="AC10" i="25" s="1"/>
  <c r="N10" i="25"/>
  <c r="N13" i="25" s="1"/>
  <c r="K139" i="10"/>
  <c r="L136" i="10"/>
  <c r="L139" i="10" s="1"/>
  <c r="AB10" i="24"/>
  <c r="AC10" i="24" s="1"/>
  <c r="M38" i="24"/>
  <c r="M13" i="24"/>
  <c r="N10" i="24"/>
  <c r="N13" i="24" s="1"/>
  <c r="M41" i="23"/>
  <c r="AB38" i="23"/>
  <c r="N38" i="23"/>
  <c r="K117" i="10"/>
  <c r="L114" i="10"/>
  <c r="L117" i="10" s="1"/>
  <c r="M38" i="22"/>
  <c r="M13" i="22"/>
  <c r="AB10" i="22"/>
  <c r="AC10" i="22" s="1"/>
  <c r="N10" i="22"/>
  <c r="N13" i="22" s="1"/>
  <c r="K106" i="10"/>
  <c r="L103" i="10"/>
  <c r="L106" i="10" s="1"/>
  <c r="M38" i="21"/>
  <c r="M13" i="21"/>
  <c r="AB10" i="21"/>
  <c r="AC10" i="21" s="1"/>
  <c r="N10" i="21"/>
  <c r="N13" i="21" s="1"/>
  <c r="K95" i="10"/>
  <c r="L92" i="10"/>
  <c r="L95" i="10" s="1"/>
  <c r="M38" i="20"/>
  <c r="M13" i="20"/>
  <c r="AB10" i="20"/>
  <c r="AC10" i="20" s="1"/>
  <c r="N10" i="20"/>
  <c r="N13" i="20" s="1"/>
  <c r="M41" i="19"/>
  <c r="N38" i="19"/>
  <c r="AB38" i="19"/>
  <c r="K73" i="10"/>
  <c r="L70" i="10"/>
  <c r="L73" i="10" s="1"/>
  <c r="M13" i="18"/>
  <c r="M38" i="18"/>
  <c r="AB10" i="18"/>
  <c r="AC10" i="18" s="1"/>
  <c r="N10" i="18"/>
  <c r="N13" i="18" s="1"/>
  <c r="N10" i="14"/>
  <c r="N13" i="14" s="1"/>
  <c r="K62" i="10"/>
  <c r="L59" i="10"/>
  <c r="L62" i="10" s="1"/>
  <c r="M38" i="17"/>
  <c r="M13" i="17"/>
  <c r="AB10" i="17"/>
  <c r="AC10" i="17" s="1"/>
  <c r="N10" i="17"/>
  <c r="N13" i="17" s="1"/>
  <c r="M41" i="16"/>
  <c r="AB38" i="16"/>
  <c r="N38" i="16"/>
  <c r="M13" i="14"/>
  <c r="K40" i="10"/>
  <c r="L37" i="10"/>
  <c r="L40" i="10" s="1"/>
  <c r="AB10" i="15"/>
  <c r="AC10" i="15" s="1"/>
  <c r="M38" i="15"/>
  <c r="M13" i="15"/>
  <c r="N10" i="15"/>
  <c r="N13" i="15" s="1"/>
  <c r="M41" i="14"/>
  <c r="AB38" i="14"/>
  <c r="N38" i="14"/>
  <c r="M41" i="13"/>
  <c r="AB38" i="13"/>
  <c r="N38" i="13"/>
  <c r="K7" i="10"/>
  <c r="L4" i="10"/>
  <c r="L7" i="10" s="1"/>
  <c r="N10" i="12"/>
  <c r="N13" i="12" s="1"/>
  <c r="M38" i="12"/>
  <c r="M13" i="12"/>
  <c r="AB10" i="12"/>
  <c r="AC10" i="12" s="1"/>
  <c r="I45" i="9"/>
  <c r="J44" i="9"/>
  <c r="K44" i="9" s="1"/>
  <c r="M41" i="25" l="1"/>
  <c r="AB38" i="25"/>
  <c r="N38" i="25"/>
  <c r="M41" i="24"/>
  <c r="AB38" i="24"/>
  <c r="N38" i="24"/>
  <c r="AB44" i="23"/>
  <c r="AC44" i="23" s="1"/>
  <c r="AC38" i="23"/>
  <c r="N41" i="23"/>
  <c r="I69" i="23"/>
  <c r="M41" i="22"/>
  <c r="AB38" i="22"/>
  <c r="N38" i="22"/>
  <c r="M41" i="21"/>
  <c r="N38" i="21"/>
  <c r="AB38" i="21"/>
  <c r="M41" i="20"/>
  <c r="AB38" i="20"/>
  <c r="N38" i="20"/>
  <c r="N41" i="19"/>
  <c r="I69" i="19"/>
  <c r="AB44" i="19"/>
  <c r="AC44" i="19" s="1"/>
  <c r="AC38" i="19"/>
  <c r="M41" i="18"/>
  <c r="AB38" i="18"/>
  <c r="N38" i="18"/>
  <c r="M41" i="17"/>
  <c r="N38" i="17"/>
  <c r="AB38" i="17"/>
  <c r="N41" i="16"/>
  <c r="I69" i="16"/>
  <c r="AB44" i="16"/>
  <c r="AC44" i="16" s="1"/>
  <c r="AC38" i="16"/>
  <c r="M41" i="15"/>
  <c r="AB38" i="15"/>
  <c r="N38" i="15"/>
  <c r="AB44" i="14"/>
  <c r="AC44" i="14" s="1"/>
  <c r="AC38" i="14"/>
  <c r="N41" i="14"/>
  <c r="I69" i="14"/>
  <c r="AB44" i="13"/>
  <c r="AC44" i="13" s="1"/>
  <c r="AC38" i="13"/>
  <c r="N41" i="13"/>
  <c r="I69" i="13"/>
  <c r="M41" i="12"/>
  <c r="N38" i="12"/>
  <c r="AB38" i="12"/>
  <c r="J67" i="9"/>
  <c r="AB44" i="25" l="1"/>
  <c r="AC44" i="25" s="1"/>
  <c r="AC38" i="25"/>
  <c r="N41" i="25"/>
  <c r="I69" i="25"/>
  <c r="I69" i="24"/>
  <c r="N41" i="24"/>
  <c r="AB44" i="24"/>
  <c r="AC44" i="24" s="1"/>
  <c r="AC38" i="24"/>
  <c r="J69" i="23"/>
  <c r="J75" i="23" s="1"/>
  <c r="J80" i="23" s="1"/>
  <c r="I75" i="23"/>
  <c r="I80" i="23" s="1"/>
  <c r="AB44" i="22"/>
  <c r="AC44" i="22" s="1"/>
  <c r="AC38" i="22"/>
  <c r="I69" i="22"/>
  <c r="N41" i="22"/>
  <c r="AB44" i="21"/>
  <c r="AC44" i="21" s="1"/>
  <c r="AC38" i="21"/>
  <c r="N41" i="21"/>
  <c r="I69" i="21"/>
  <c r="AB44" i="20"/>
  <c r="AC44" i="20" s="1"/>
  <c r="AC38" i="20"/>
  <c r="N41" i="20"/>
  <c r="I69" i="20"/>
  <c r="J69" i="19"/>
  <c r="J75" i="19" s="1"/>
  <c r="J80" i="19" s="1"/>
  <c r="I75" i="19"/>
  <c r="I80" i="19" s="1"/>
  <c r="N41" i="18"/>
  <c r="I69" i="18"/>
  <c r="AB44" i="18"/>
  <c r="AC44" i="18" s="1"/>
  <c r="AC38" i="18"/>
  <c r="AB44" i="17"/>
  <c r="AC44" i="17" s="1"/>
  <c r="AC38" i="17"/>
  <c r="N41" i="17"/>
  <c r="I69" i="17"/>
  <c r="J69" i="16"/>
  <c r="J75" i="16" s="1"/>
  <c r="J80" i="16" s="1"/>
  <c r="I75" i="16"/>
  <c r="I80" i="16" s="1"/>
  <c r="I69" i="15"/>
  <c r="N41" i="15"/>
  <c r="AB44" i="15"/>
  <c r="AC44" i="15" s="1"/>
  <c r="AC38" i="15"/>
  <c r="J69" i="14"/>
  <c r="J75" i="14" s="1"/>
  <c r="J80" i="14" s="1"/>
  <c r="I75" i="14"/>
  <c r="I80" i="14" s="1"/>
  <c r="J69" i="13"/>
  <c r="J75" i="13" s="1"/>
  <c r="J80" i="13" s="1"/>
  <c r="I75" i="13"/>
  <c r="I80" i="13" s="1"/>
  <c r="AB44" i="12"/>
  <c r="AC44" i="12" s="1"/>
  <c r="AC38" i="12"/>
  <c r="N41" i="12"/>
  <c r="I69" i="12"/>
  <c r="G73" i="9"/>
  <c r="G72" i="9"/>
  <c r="H68" i="9"/>
  <c r="J68" i="9" s="1"/>
  <c r="I69" i="9"/>
  <c r="H67" i="9"/>
  <c r="G67" i="9"/>
  <c r="J69" i="25" l="1"/>
  <c r="J75" i="25" s="1"/>
  <c r="J80" i="25" s="1"/>
  <c r="I75" i="25"/>
  <c r="I80" i="25" s="1"/>
  <c r="J69" i="24"/>
  <c r="J75" i="24" s="1"/>
  <c r="J80" i="24" s="1"/>
  <c r="I75" i="24"/>
  <c r="I80" i="24" s="1"/>
  <c r="J69" i="22"/>
  <c r="J75" i="22" s="1"/>
  <c r="J80" i="22" s="1"/>
  <c r="I75" i="22"/>
  <c r="I80" i="22" s="1"/>
  <c r="J69" i="21"/>
  <c r="J75" i="21" s="1"/>
  <c r="J80" i="21" s="1"/>
  <c r="I75" i="21"/>
  <c r="I80" i="21" s="1"/>
  <c r="J69" i="20"/>
  <c r="J75" i="20" s="1"/>
  <c r="J80" i="20" s="1"/>
  <c r="I75" i="20"/>
  <c r="I80" i="20" s="1"/>
  <c r="J69" i="18"/>
  <c r="J75" i="18" s="1"/>
  <c r="J80" i="18" s="1"/>
  <c r="I75" i="18"/>
  <c r="I80" i="18" s="1"/>
  <c r="J69" i="17"/>
  <c r="J75" i="17" s="1"/>
  <c r="J80" i="17" s="1"/>
  <c r="I75" i="17"/>
  <c r="I80" i="17" s="1"/>
  <c r="J69" i="15"/>
  <c r="J75" i="15" s="1"/>
  <c r="J80" i="15" s="1"/>
  <c r="I75" i="15"/>
  <c r="I80" i="15" s="1"/>
  <c r="J69" i="12"/>
  <c r="J75" i="12" s="1"/>
  <c r="J80" i="12" s="1"/>
  <c r="I75" i="12"/>
  <c r="I80" i="12" s="1"/>
  <c r="H75" i="9"/>
  <c r="H80" i="9" s="1"/>
  <c r="G75" i="9"/>
  <c r="H45" i="9"/>
  <c r="G45" i="9"/>
  <c r="J69" i="9"/>
  <c r="J45" i="9" l="1"/>
  <c r="K45" i="9" s="1"/>
  <c r="I73" i="9"/>
  <c r="J73" i="9" s="1"/>
  <c r="O72" i="9"/>
  <c r="I72" i="9"/>
  <c r="M72" i="9"/>
  <c r="I75" i="9" l="1"/>
  <c r="I80" i="9" s="1"/>
  <c r="K46" i="9"/>
  <c r="G80" i="9"/>
  <c r="J72" i="9"/>
  <c r="J75" i="9" l="1"/>
  <c r="J80" i="9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LSO-BPA</author>
    <author>mfreeman</author>
    <author>Jared Tatro</author>
    <author>Ray Houston</author>
  </authors>
  <commentList>
    <comment ref="A8" authorId="0" shapeId="0" xr:uid="{F098D2AF-012C-46AB-9BFF-4C7F0C396ADE}">
      <text>
        <r>
          <rPr>
            <sz val="8"/>
            <color indexed="81"/>
            <rFont val="Tahoma"/>
            <family val="2"/>
          </rPr>
          <t>Position Control Number</t>
        </r>
      </text>
    </comment>
    <comment ref="B8" authorId="1" shapeId="0" xr:uid="{B5F72508-7B67-4786-96B5-7F84177D6B27}">
      <text>
        <r>
          <rPr>
            <sz val="8"/>
            <color indexed="81"/>
            <rFont val="Tahoma"/>
            <family val="2"/>
          </rPr>
          <t>Five-digit class code associated with a position title.</t>
        </r>
      </text>
    </comment>
    <comment ref="E8" authorId="1" shapeId="0" xr:uid="{EB137500-4980-4840-9511-5A9993E3ABB7}">
      <text>
        <r>
          <rPr>
            <sz val="8"/>
            <color indexed="81"/>
            <rFont val="Tahoma"/>
            <family val="2"/>
          </rPr>
          <t>An Indicator of "1" refers to permanent positions, an Indicator of "2" refers to board &amp; group positions, and an Indicator of "3" refers to  elected official positions and other full time commissioners</t>
        </r>
      </text>
    </comment>
    <comment ref="C19" authorId="2" shapeId="0" xr:uid="{0E621AF5-DCCA-4990-902F-DF730CFB7969}">
      <text>
        <r>
          <rPr>
            <sz val="10"/>
            <color indexed="81"/>
            <rFont val="Tahoma"/>
            <family val="2"/>
          </rPr>
          <t>R1 = Regular Retirement Rate (most common)
R2 = Police/Fire
R4 = Former Public Safety (1985)
R5 = Dept of Labor (rare)
R6 = Judges
R7 = Optional Retirement
R8 = Optional Retirement</t>
        </r>
      </text>
    </comment>
    <comment ref="F39" authorId="2" shapeId="0" xr:uid="{FCBCFCB2-2BBB-4C4F-A775-C66448D57729}">
      <text>
        <r>
          <rPr>
            <sz val="9"/>
            <color indexed="81"/>
            <rFont val="Tahoma"/>
            <family val="2"/>
          </rPr>
          <t>This cell should always equal zero</t>
        </r>
      </text>
    </comment>
    <comment ref="A50" authorId="0" shapeId="0" xr:uid="{BD8AAA53-05E7-44A6-8E7C-2CD8348C44B2}">
      <text>
        <r>
          <rPr>
            <sz val="8"/>
            <color indexed="81"/>
            <rFont val="Tahoma"/>
            <family val="2"/>
          </rPr>
          <t>Decision Unit Number</t>
        </r>
      </text>
    </comment>
    <comment ref="I59" authorId="3" shapeId="0" xr:uid="{A8D77B7D-D3A8-42CC-A173-15A31D0F5E31}">
      <text>
        <r>
          <rPr>
            <sz val="9"/>
            <color indexed="81"/>
            <rFont val="Arial"/>
            <family val="2"/>
          </rPr>
          <t>Any benefits relating to positions transferred should be reconciled here with an upward or downward adjustment. This adjustment should net to zero agency-wide.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62" authorId="3" shapeId="0" xr:uid="{54621B17-1D8D-4C05-A763-5ECC788E8AFE}">
      <text>
        <r>
          <rPr>
            <sz val="9"/>
            <color indexed="81"/>
            <rFont val="Arial"/>
            <family val="2"/>
          </rPr>
          <t>Any benefits relating to positions transferred should be reconciled here with an upward or downward adjustment. This adjustment should net to zero agency-wide.</t>
        </r>
      </text>
    </comment>
    <comment ref="E70" authorId="2" shapeId="0" xr:uid="{8C62AE08-38F6-4964-B82E-090D415D8AD2}">
      <text>
        <r>
          <rPr>
            <b/>
            <sz val="9"/>
            <color indexed="81"/>
            <rFont val="Tahoma"/>
            <family val="2"/>
          </rPr>
          <t>Jared Tatro:</t>
        </r>
        <r>
          <rPr>
            <sz val="9"/>
            <color indexed="81"/>
            <rFont val="Tahoma"/>
            <family val="2"/>
          </rPr>
          <t xml:space="preserve">
These rates should be changed on the Benefit worksheet
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LSO-BPA</author>
    <author>mfreeman</author>
    <author>Jared Tatro</author>
    <author>Ray Houston</author>
  </authors>
  <commentList>
    <comment ref="A8" authorId="0" shapeId="0" xr:uid="{C1B94846-5240-47AB-9477-E47CF0A0EC25}">
      <text>
        <r>
          <rPr>
            <sz val="8"/>
            <color indexed="81"/>
            <rFont val="Tahoma"/>
            <family val="2"/>
          </rPr>
          <t>Position Control Number</t>
        </r>
      </text>
    </comment>
    <comment ref="B8" authorId="1" shapeId="0" xr:uid="{80E3C5AD-AF1C-4D9D-A25C-47B985E92E74}">
      <text>
        <r>
          <rPr>
            <sz val="8"/>
            <color indexed="81"/>
            <rFont val="Tahoma"/>
            <family val="2"/>
          </rPr>
          <t>Five-digit class code associated with a position title.</t>
        </r>
      </text>
    </comment>
    <comment ref="E8" authorId="1" shapeId="0" xr:uid="{838CD87D-61ED-480E-8B54-B487613F4084}">
      <text>
        <r>
          <rPr>
            <sz val="8"/>
            <color indexed="81"/>
            <rFont val="Tahoma"/>
            <family val="2"/>
          </rPr>
          <t>An Indicator of "1" refers to permanent positions, an Indicator of "2" refers to board &amp; group positions, and an Indicator of "3" refers to  elected official positions and other full time commissioners</t>
        </r>
      </text>
    </comment>
    <comment ref="C19" authorId="2" shapeId="0" xr:uid="{0C1BFF1E-866D-4334-ACF1-B853043DCFFF}">
      <text>
        <r>
          <rPr>
            <sz val="10"/>
            <color indexed="81"/>
            <rFont val="Tahoma"/>
            <family val="2"/>
          </rPr>
          <t>R1 = Regular Retirement Rate (most common)
R2 = Police/Fire
R4 = Former Public Safety (1985)
R5 = Dept of Labor (rare)
R6 = Judges
R7 = Optional Retirement
R8 = Optional Retirement</t>
        </r>
      </text>
    </comment>
    <comment ref="F39" authorId="2" shapeId="0" xr:uid="{5C4DADD9-A29D-4920-9755-7B63BCDC917A}">
      <text>
        <r>
          <rPr>
            <sz val="9"/>
            <color indexed="81"/>
            <rFont val="Tahoma"/>
            <family val="2"/>
          </rPr>
          <t>This cell should always equal zero</t>
        </r>
      </text>
    </comment>
    <comment ref="A50" authorId="0" shapeId="0" xr:uid="{67E4FDF2-83DD-46EF-B6DB-6C610E2D8F81}">
      <text>
        <r>
          <rPr>
            <sz val="8"/>
            <color indexed="81"/>
            <rFont val="Tahoma"/>
            <family val="2"/>
          </rPr>
          <t>Decision Unit Number</t>
        </r>
      </text>
    </comment>
    <comment ref="I59" authorId="3" shapeId="0" xr:uid="{619CCD0E-99F8-41A7-86B7-31E41DA4ABBC}">
      <text>
        <r>
          <rPr>
            <sz val="9"/>
            <color indexed="81"/>
            <rFont val="Arial"/>
            <family val="2"/>
          </rPr>
          <t>Any benefits relating to positions transferred should be reconciled here with an upward or downward adjustment. This adjustment should net to zero agency-wide.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62" authorId="3" shapeId="0" xr:uid="{ACB2EC73-EAF6-46DE-B461-CADBAA717D61}">
      <text>
        <r>
          <rPr>
            <sz val="9"/>
            <color indexed="81"/>
            <rFont val="Arial"/>
            <family val="2"/>
          </rPr>
          <t>Any benefits relating to positions transferred should be reconciled here with an upward or downward adjustment. This adjustment should net to zero agency-wide.</t>
        </r>
      </text>
    </comment>
    <comment ref="E70" authorId="2" shapeId="0" xr:uid="{234B5993-2207-4EF0-8967-8A517507A088}">
      <text>
        <r>
          <rPr>
            <b/>
            <sz val="9"/>
            <color indexed="81"/>
            <rFont val="Tahoma"/>
            <family val="2"/>
          </rPr>
          <t>Jared Tatro:</t>
        </r>
        <r>
          <rPr>
            <sz val="9"/>
            <color indexed="81"/>
            <rFont val="Tahoma"/>
            <family val="2"/>
          </rPr>
          <t xml:space="preserve">
These rates should be changed on the Benefit worksheet
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LSO-BPA</author>
    <author>mfreeman</author>
    <author>Jared Tatro</author>
    <author>Ray Houston</author>
  </authors>
  <commentList>
    <comment ref="A8" authorId="0" shapeId="0" xr:uid="{01F9C7E4-0FFD-4659-9630-4E165028CF24}">
      <text>
        <r>
          <rPr>
            <sz val="8"/>
            <color indexed="81"/>
            <rFont val="Tahoma"/>
            <family val="2"/>
          </rPr>
          <t>Position Control Number</t>
        </r>
      </text>
    </comment>
    <comment ref="B8" authorId="1" shapeId="0" xr:uid="{138D04A4-9FA9-4E98-9578-711E9CC1642E}">
      <text>
        <r>
          <rPr>
            <sz val="8"/>
            <color indexed="81"/>
            <rFont val="Tahoma"/>
            <family val="2"/>
          </rPr>
          <t>Five-digit class code associated with a position title.</t>
        </r>
      </text>
    </comment>
    <comment ref="E8" authorId="1" shapeId="0" xr:uid="{FB6C0427-E1D6-4233-9B37-33885721F5F0}">
      <text>
        <r>
          <rPr>
            <sz val="8"/>
            <color indexed="81"/>
            <rFont val="Tahoma"/>
            <family val="2"/>
          </rPr>
          <t>An Indicator of "1" refers to permanent positions, an Indicator of "2" refers to board &amp; group positions, and an Indicator of "3" refers to  elected official positions and other full time commissioners</t>
        </r>
      </text>
    </comment>
    <comment ref="C19" authorId="2" shapeId="0" xr:uid="{032270D2-D779-477C-9CFB-724214F6DB19}">
      <text>
        <r>
          <rPr>
            <sz val="10"/>
            <color indexed="81"/>
            <rFont val="Tahoma"/>
            <family val="2"/>
          </rPr>
          <t>R1 = Regular Retirement Rate (most common)
R2 = Police/Fire
R4 = Former Public Safety (1985)
R5 = Dept of Labor (rare)
R6 = Judges
R7 = Optional Retirement
R8 = Optional Retirement</t>
        </r>
      </text>
    </comment>
    <comment ref="F39" authorId="2" shapeId="0" xr:uid="{4D6AC1A6-782B-4195-B9CB-0675396EBF29}">
      <text>
        <r>
          <rPr>
            <sz val="9"/>
            <color indexed="81"/>
            <rFont val="Tahoma"/>
            <family val="2"/>
          </rPr>
          <t>This cell should always equal zero</t>
        </r>
      </text>
    </comment>
    <comment ref="A50" authorId="0" shapeId="0" xr:uid="{9DBBFD1D-D337-466C-A600-07CC792560B9}">
      <text>
        <r>
          <rPr>
            <sz val="8"/>
            <color indexed="81"/>
            <rFont val="Tahoma"/>
            <family val="2"/>
          </rPr>
          <t>Decision Unit Number</t>
        </r>
      </text>
    </comment>
    <comment ref="I59" authorId="3" shapeId="0" xr:uid="{F0E73BD5-DBE4-4E08-A727-4D7353112E7D}">
      <text>
        <r>
          <rPr>
            <sz val="9"/>
            <color indexed="81"/>
            <rFont val="Arial"/>
            <family val="2"/>
          </rPr>
          <t>Any benefits relating to positions transferred should be reconciled here with an upward or downward adjustment. This adjustment should net to zero agency-wide.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62" authorId="3" shapeId="0" xr:uid="{2772E7C1-DEC1-43C9-8BA1-BE58D0691132}">
      <text>
        <r>
          <rPr>
            <sz val="9"/>
            <color indexed="81"/>
            <rFont val="Arial"/>
            <family val="2"/>
          </rPr>
          <t>Any benefits relating to positions transferred should be reconciled here with an upward or downward adjustment. This adjustment should net to zero agency-wide.</t>
        </r>
      </text>
    </comment>
    <comment ref="E70" authorId="2" shapeId="0" xr:uid="{0151856D-69FD-476E-A36F-BD6B2D8DE261}">
      <text>
        <r>
          <rPr>
            <b/>
            <sz val="9"/>
            <color indexed="81"/>
            <rFont val="Tahoma"/>
            <family val="2"/>
          </rPr>
          <t>Jared Tatro:</t>
        </r>
        <r>
          <rPr>
            <sz val="9"/>
            <color indexed="81"/>
            <rFont val="Tahoma"/>
            <family val="2"/>
          </rPr>
          <t xml:space="preserve">
These rates should be changed on the Benefit worksheet
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LSO-BPA</author>
    <author>mfreeman</author>
    <author>Jared Tatro</author>
    <author>Ray Houston</author>
  </authors>
  <commentList>
    <comment ref="A8" authorId="0" shapeId="0" xr:uid="{5FBE8C00-0ECC-465A-AC45-D9F9F1742308}">
      <text>
        <r>
          <rPr>
            <sz val="8"/>
            <color indexed="81"/>
            <rFont val="Tahoma"/>
            <family val="2"/>
          </rPr>
          <t>Position Control Number</t>
        </r>
      </text>
    </comment>
    <comment ref="B8" authorId="1" shapeId="0" xr:uid="{8DA7DA91-F611-47B7-8F88-655B260C6300}">
      <text>
        <r>
          <rPr>
            <sz val="8"/>
            <color indexed="81"/>
            <rFont val="Tahoma"/>
            <family val="2"/>
          </rPr>
          <t>Five-digit class code associated with a position title.</t>
        </r>
      </text>
    </comment>
    <comment ref="E8" authorId="1" shapeId="0" xr:uid="{B5E78E8C-40B2-4F74-A574-2FA0CDE048FD}">
      <text>
        <r>
          <rPr>
            <sz val="8"/>
            <color indexed="81"/>
            <rFont val="Tahoma"/>
            <family val="2"/>
          </rPr>
          <t>An Indicator of "1" refers to permanent positions, an Indicator of "2" refers to board &amp; group positions, and an Indicator of "3" refers to  elected official positions and other full time commissioners</t>
        </r>
      </text>
    </comment>
    <comment ref="C19" authorId="2" shapeId="0" xr:uid="{E18AF0E2-AE2A-4459-AB2B-3BD5B2475824}">
      <text>
        <r>
          <rPr>
            <sz val="10"/>
            <color indexed="81"/>
            <rFont val="Tahoma"/>
            <family val="2"/>
          </rPr>
          <t>R1 = Regular Retirement Rate (most common)
R2 = Police/Fire
R4 = Former Public Safety (1985)
R5 = Dept of Labor (rare)
R6 = Judges
R7 = Optional Retirement
R8 = Optional Retirement</t>
        </r>
      </text>
    </comment>
    <comment ref="F39" authorId="2" shapeId="0" xr:uid="{9D13917E-1C4C-4AC1-B08D-06D510EC40C5}">
      <text>
        <r>
          <rPr>
            <sz val="9"/>
            <color indexed="81"/>
            <rFont val="Tahoma"/>
            <family val="2"/>
          </rPr>
          <t>This cell should always equal zero</t>
        </r>
      </text>
    </comment>
    <comment ref="A50" authorId="0" shapeId="0" xr:uid="{66DC5804-D6A7-4B90-81D6-522E2C7D54EE}">
      <text>
        <r>
          <rPr>
            <sz val="8"/>
            <color indexed="81"/>
            <rFont val="Tahoma"/>
            <family val="2"/>
          </rPr>
          <t>Decision Unit Number</t>
        </r>
      </text>
    </comment>
    <comment ref="I59" authorId="3" shapeId="0" xr:uid="{377A4DF8-34AF-4206-9EB6-339B9F1EE46B}">
      <text>
        <r>
          <rPr>
            <sz val="9"/>
            <color indexed="81"/>
            <rFont val="Arial"/>
            <family val="2"/>
          </rPr>
          <t>Any benefits relating to positions transferred should be reconciled here with an upward or downward adjustment. This adjustment should net to zero agency-wide.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62" authorId="3" shapeId="0" xr:uid="{C8744E8A-8FC6-49EE-85CD-FAA17F710FBE}">
      <text>
        <r>
          <rPr>
            <sz val="9"/>
            <color indexed="81"/>
            <rFont val="Arial"/>
            <family val="2"/>
          </rPr>
          <t>Any benefits relating to positions transferred should be reconciled here with an upward or downward adjustment. This adjustment should net to zero agency-wide.</t>
        </r>
      </text>
    </comment>
    <comment ref="E70" authorId="2" shapeId="0" xr:uid="{EC9E3749-1B56-410A-8371-3D66ACFB1C77}">
      <text>
        <r>
          <rPr>
            <b/>
            <sz val="9"/>
            <color indexed="81"/>
            <rFont val="Tahoma"/>
            <family val="2"/>
          </rPr>
          <t>Jared Tatro:</t>
        </r>
        <r>
          <rPr>
            <sz val="9"/>
            <color indexed="81"/>
            <rFont val="Tahoma"/>
            <family val="2"/>
          </rPr>
          <t xml:space="preserve">
These rates should be changed on the Benefit worksheet
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LSO-BPA</author>
    <author>mfreeman</author>
    <author>Jared Tatro</author>
    <author>Ray Houston</author>
  </authors>
  <commentList>
    <comment ref="A8" authorId="0" shapeId="0" xr:uid="{723B2F5C-B92B-4752-A535-509318E9F6CF}">
      <text>
        <r>
          <rPr>
            <sz val="8"/>
            <color indexed="81"/>
            <rFont val="Tahoma"/>
            <family val="2"/>
          </rPr>
          <t>Position Control Number</t>
        </r>
      </text>
    </comment>
    <comment ref="B8" authorId="1" shapeId="0" xr:uid="{486526D6-82AA-4966-8C8C-860AA8BB4168}">
      <text>
        <r>
          <rPr>
            <sz val="8"/>
            <color indexed="81"/>
            <rFont val="Tahoma"/>
            <family val="2"/>
          </rPr>
          <t>Five-digit class code associated with a position title.</t>
        </r>
      </text>
    </comment>
    <comment ref="E8" authorId="1" shapeId="0" xr:uid="{AA6560BE-DA86-4C1A-A997-80A48C99BC97}">
      <text>
        <r>
          <rPr>
            <sz val="8"/>
            <color indexed="81"/>
            <rFont val="Tahoma"/>
            <family val="2"/>
          </rPr>
          <t>An Indicator of "1" refers to permanent positions, an Indicator of "2" refers to board &amp; group positions, and an Indicator of "3" refers to  elected official positions and other full time commissioners</t>
        </r>
      </text>
    </comment>
    <comment ref="C19" authorId="2" shapeId="0" xr:uid="{C685B1C3-5DA8-416A-B03E-35A91699F98D}">
      <text>
        <r>
          <rPr>
            <sz val="10"/>
            <color indexed="81"/>
            <rFont val="Tahoma"/>
            <family val="2"/>
          </rPr>
          <t>R1 = Regular Retirement Rate (most common)
R2 = Police/Fire
R4 = Former Public Safety (1985)
R5 = Dept of Labor (rare)
R6 = Judges
R7 = Optional Retirement
R8 = Optional Retirement</t>
        </r>
      </text>
    </comment>
    <comment ref="F39" authorId="2" shapeId="0" xr:uid="{9793E4B3-A8AB-4A0B-922F-617ED39B28B1}">
      <text>
        <r>
          <rPr>
            <sz val="9"/>
            <color indexed="81"/>
            <rFont val="Tahoma"/>
            <family val="2"/>
          </rPr>
          <t>This cell should always equal zero</t>
        </r>
      </text>
    </comment>
    <comment ref="A50" authorId="0" shapeId="0" xr:uid="{60535E1D-2793-4D35-BA22-4E8F43521DEF}">
      <text>
        <r>
          <rPr>
            <sz val="8"/>
            <color indexed="81"/>
            <rFont val="Tahoma"/>
            <family val="2"/>
          </rPr>
          <t>Decision Unit Number</t>
        </r>
      </text>
    </comment>
    <comment ref="I59" authorId="3" shapeId="0" xr:uid="{A53C6D8C-C0B0-4B54-8CE2-A00D459E6DB2}">
      <text>
        <r>
          <rPr>
            <sz val="9"/>
            <color indexed="81"/>
            <rFont val="Arial"/>
            <family val="2"/>
          </rPr>
          <t>Any benefits relating to positions transferred should be reconciled here with an upward or downward adjustment. This adjustment should net to zero agency-wide.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62" authorId="3" shapeId="0" xr:uid="{C694C5E4-AE59-418B-9022-82E04C918060}">
      <text>
        <r>
          <rPr>
            <sz val="9"/>
            <color indexed="81"/>
            <rFont val="Arial"/>
            <family val="2"/>
          </rPr>
          <t>Any benefits relating to positions transferred should be reconciled here with an upward or downward adjustment. This adjustment should net to zero agency-wide.</t>
        </r>
      </text>
    </comment>
    <comment ref="E70" authorId="2" shapeId="0" xr:uid="{C4E01C9A-CAC3-49EF-9C5E-7203181555C4}">
      <text>
        <r>
          <rPr>
            <b/>
            <sz val="9"/>
            <color indexed="81"/>
            <rFont val="Tahoma"/>
            <family val="2"/>
          </rPr>
          <t>Jared Tatro:</t>
        </r>
        <r>
          <rPr>
            <sz val="9"/>
            <color indexed="81"/>
            <rFont val="Tahoma"/>
            <family val="2"/>
          </rPr>
          <t xml:space="preserve">
These rates should be changed on the Benefit worksheet
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LSO-BPA</author>
    <author>mfreeman</author>
    <author>Jared Tatro</author>
    <author>Ray Houston</author>
  </authors>
  <commentList>
    <comment ref="A8" authorId="0" shapeId="0" xr:uid="{8DF9EFF7-6EB8-4E3B-AD48-0A9E92CD82DD}">
      <text>
        <r>
          <rPr>
            <sz val="8"/>
            <color indexed="81"/>
            <rFont val="Tahoma"/>
            <family val="2"/>
          </rPr>
          <t>Position Control Number</t>
        </r>
      </text>
    </comment>
    <comment ref="B8" authorId="1" shapeId="0" xr:uid="{F8970446-AA95-437F-8345-0E7E001446E8}">
      <text>
        <r>
          <rPr>
            <sz val="8"/>
            <color indexed="81"/>
            <rFont val="Tahoma"/>
            <family val="2"/>
          </rPr>
          <t>Five-digit class code associated with a position title.</t>
        </r>
      </text>
    </comment>
    <comment ref="E8" authorId="1" shapeId="0" xr:uid="{8B7AFC8D-E800-4982-9C7C-9AE6E44AA83A}">
      <text>
        <r>
          <rPr>
            <sz val="8"/>
            <color indexed="81"/>
            <rFont val="Tahoma"/>
            <family val="2"/>
          </rPr>
          <t>An Indicator of "1" refers to permanent positions, an Indicator of "2" refers to board &amp; group positions, and an Indicator of "3" refers to  elected official positions and other full time commissioners</t>
        </r>
      </text>
    </comment>
    <comment ref="C19" authorId="2" shapeId="0" xr:uid="{2879637C-41D0-43B5-956E-0A3DB2E1ABB3}">
      <text>
        <r>
          <rPr>
            <sz val="10"/>
            <color indexed="81"/>
            <rFont val="Tahoma"/>
            <family val="2"/>
          </rPr>
          <t>R1 = Regular Retirement Rate (most common)
R2 = Police/Fire
R4 = Former Public Safety (1985)
R5 = Dept of Labor (rare)
R6 = Judges
R7 = Optional Retirement
R8 = Optional Retirement</t>
        </r>
      </text>
    </comment>
    <comment ref="F39" authorId="2" shapeId="0" xr:uid="{38B19E7C-B280-429B-A670-AD8241DCD7C9}">
      <text>
        <r>
          <rPr>
            <sz val="9"/>
            <color indexed="81"/>
            <rFont val="Tahoma"/>
            <family val="2"/>
          </rPr>
          <t>This cell should always equal zero</t>
        </r>
      </text>
    </comment>
    <comment ref="A50" authorId="0" shapeId="0" xr:uid="{A9D313F2-6D74-4871-857F-302BA0ADA0A6}">
      <text>
        <r>
          <rPr>
            <sz val="8"/>
            <color indexed="81"/>
            <rFont val="Tahoma"/>
            <family val="2"/>
          </rPr>
          <t>Decision Unit Number</t>
        </r>
      </text>
    </comment>
    <comment ref="I59" authorId="3" shapeId="0" xr:uid="{BA88C447-5763-431B-A62D-DB6926ECBFEA}">
      <text>
        <r>
          <rPr>
            <sz val="9"/>
            <color indexed="81"/>
            <rFont val="Arial"/>
            <family val="2"/>
          </rPr>
          <t>Any benefits relating to positions transferred should be reconciled here with an upward or downward adjustment. This adjustment should net to zero agency-wide.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62" authorId="3" shapeId="0" xr:uid="{87396ABD-90B0-4A31-A22A-B41BC025A5E3}">
      <text>
        <r>
          <rPr>
            <sz val="9"/>
            <color indexed="81"/>
            <rFont val="Arial"/>
            <family val="2"/>
          </rPr>
          <t>Any benefits relating to positions transferred should be reconciled here with an upward or downward adjustment. This adjustment should net to zero agency-wide.</t>
        </r>
      </text>
    </comment>
    <comment ref="E70" authorId="2" shapeId="0" xr:uid="{242158D0-825A-4B42-B09C-E5A9B8DC0D85}">
      <text>
        <r>
          <rPr>
            <b/>
            <sz val="9"/>
            <color indexed="81"/>
            <rFont val="Tahoma"/>
            <family val="2"/>
          </rPr>
          <t>Jared Tatro:</t>
        </r>
        <r>
          <rPr>
            <sz val="9"/>
            <color indexed="81"/>
            <rFont val="Tahoma"/>
            <family val="2"/>
          </rPr>
          <t xml:space="preserve">
These rates should be changed on the Benefit worksheet
</t>
        </r>
      </text>
    </comment>
  </commentList>
</comments>
</file>

<file path=xl/comments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LSO-BPA</author>
    <author>mfreeman</author>
    <author>Jared Tatro</author>
    <author>Ray Houston</author>
  </authors>
  <commentList>
    <comment ref="A8" authorId="0" shapeId="0" xr:uid="{00000000-0006-0000-0200-000001000000}">
      <text>
        <r>
          <rPr>
            <sz val="8"/>
            <color indexed="81"/>
            <rFont val="Tahoma"/>
            <family val="2"/>
          </rPr>
          <t>Position Control Number</t>
        </r>
      </text>
    </comment>
    <comment ref="B8" authorId="1" shapeId="0" xr:uid="{00000000-0006-0000-0200-000002000000}">
      <text>
        <r>
          <rPr>
            <sz val="8"/>
            <color indexed="81"/>
            <rFont val="Tahoma"/>
            <family val="2"/>
          </rPr>
          <t>Five-digit class code associated with a position title.</t>
        </r>
      </text>
    </comment>
    <comment ref="E8" authorId="1" shapeId="0" xr:uid="{00000000-0006-0000-0200-000003000000}">
      <text>
        <r>
          <rPr>
            <sz val="8"/>
            <color indexed="81"/>
            <rFont val="Tahoma"/>
            <family val="2"/>
          </rPr>
          <t>An Indicator of "1" refers to permanent positions, an Indicator of "2" refers to board &amp; group positions, and an Indicator of "3" refers to  elected official positions and other full time commissioners</t>
        </r>
      </text>
    </comment>
    <comment ref="C19" authorId="2" shapeId="0" xr:uid="{00000000-0006-0000-0200-000004000000}">
      <text>
        <r>
          <rPr>
            <sz val="10"/>
            <color indexed="81"/>
            <rFont val="Tahoma"/>
            <family val="2"/>
          </rPr>
          <t>R1 = Regular Retirement Rate (most common)
R2 = Police/Fire
R4 = Former Public Safety (1985)
R5 = Dept of Labor (rare)
R6 = Judges
R7 = Optional Retirement
R8 = Optional Retirement</t>
        </r>
      </text>
    </comment>
    <comment ref="F39" authorId="2" shapeId="0" xr:uid="{00000000-0006-0000-0200-000005000000}">
      <text>
        <r>
          <rPr>
            <sz val="9"/>
            <color indexed="81"/>
            <rFont val="Tahoma"/>
            <family val="2"/>
          </rPr>
          <t>This cell should always equal zero</t>
        </r>
      </text>
    </comment>
    <comment ref="A50" authorId="0" shapeId="0" xr:uid="{00000000-0006-0000-0200-000006000000}">
      <text>
        <r>
          <rPr>
            <sz val="8"/>
            <color indexed="81"/>
            <rFont val="Tahoma"/>
            <family val="2"/>
          </rPr>
          <t>Decision Unit Number</t>
        </r>
      </text>
    </comment>
    <comment ref="I59" authorId="3" shapeId="0" xr:uid="{00000000-0006-0000-0200-000007000000}">
      <text>
        <r>
          <rPr>
            <sz val="9"/>
            <color indexed="81"/>
            <rFont val="Arial"/>
            <family val="2"/>
          </rPr>
          <t>Any benefits relating to positions transferred should be reconciled here with an upward or downward adjustment. This adjustment should net to zero agency-wide.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62" authorId="3" shapeId="0" xr:uid="{00000000-0006-0000-0200-000008000000}">
      <text>
        <r>
          <rPr>
            <sz val="9"/>
            <color indexed="81"/>
            <rFont val="Arial"/>
            <family val="2"/>
          </rPr>
          <t>Any benefits relating to positions transferred should be reconciled here with an upward or downward adjustment. This adjustment should net to zero agency-wide.</t>
        </r>
      </text>
    </comment>
    <comment ref="E70" authorId="2" shapeId="0" xr:uid="{A0A843D4-16DB-40DB-A22A-E9933DF2D2C0}">
      <text>
        <r>
          <rPr>
            <b/>
            <sz val="9"/>
            <color indexed="81"/>
            <rFont val="Tahoma"/>
            <family val="2"/>
          </rPr>
          <t>Jared Tatro:</t>
        </r>
        <r>
          <rPr>
            <sz val="9"/>
            <color indexed="81"/>
            <rFont val="Tahoma"/>
            <family val="2"/>
          </rPr>
          <t xml:space="preserve">
These rates should be changed on the Benefit worksheet
</t>
        </r>
      </text>
    </comment>
  </commentList>
</comments>
</file>

<file path=xl/comments1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mfreeman</author>
  </authors>
  <commentList>
    <comment ref="C2" authorId="0" shapeId="0" xr:uid="{71212E0B-2443-4B61-A790-6285FC289C2F}">
      <text>
        <r>
          <rPr>
            <sz val="8"/>
            <color indexed="81"/>
            <rFont val="Tahoma"/>
            <family val="2"/>
          </rPr>
          <t>An Indicator of "1" refers to permanent positions, an Indicator of "2" refers to board &amp; group positions, and an Indicator of "3" refers to  elected official positions and other full time commissioners</t>
        </r>
      </text>
    </comment>
    <comment ref="C13" authorId="0" shapeId="0" xr:uid="{952025C2-859B-41E4-83D4-4182225C2459}">
      <text>
        <r>
          <rPr>
            <sz val="8"/>
            <color indexed="81"/>
            <rFont val="Tahoma"/>
            <family val="2"/>
          </rPr>
          <t>An Indicator of "1" refers to permanent positions, an Indicator of "2" refers to board &amp; group positions, and an Indicator of "3" refers to  elected official positions and other full time commissioners</t>
        </r>
      </text>
    </comment>
    <comment ref="C24" authorId="0" shapeId="0" xr:uid="{69D8D912-4169-45FA-B876-6D19488F8C0B}">
      <text>
        <r>
          <rPr>
            <sz val="8"/>
            <color indexed="81"/>
            <rFont val="Tahoma"/>
            <family val="2"/>
          </rPr>
          <t>An Indicator of "1" refers to permanent positions, an Indicator of "2" refers to board &amp; group positions, and an Indicator of "3" refers to  elected official positions and other full time commissioners</t>
        </r>
      </text>
    </comment>
    <comment ref="C35" authorId="0" shapeId="0" xr:uid="{9770C1BC-CD0C-47EE-B79E-A731DE3D7B9F}">
      <text>
        <r>
          <rPr>
            <sz val="8"/>
            <color indexed="81"/>
            <rFont val="Tahoma"/>
            <family val="2"/>
          </rPr>
          <t>An Indicator of "1" refers to permanent positions, an Indicator of "2" refers to board &amp; group positions, and an Indicator of "3" refers to  elected official positions and other full time commissioners</t>
        </r>
      </text>
    </comment>
    <comment ref="C46" authorId="0" shapeId="0" xr:uid="{B0940067-96D4-473E-B015-DD39C7C3D1C9}">
      <text>
        <r>
          <rPr>
            <sz val="8"/>
            <color indexed="81"/>
            <rFont val="Tahoma"/>
            <family val="2"/>
          </rPr>
          <t>An Indicator of "1" refers to permanent positions, an Indicator of "2" refers to board &amp; group positions, and an Indicator of "3" refers to  elected official positions and other full time commissioners</t>
        </r>
      </text>
    </comment>
    <comment ref="C57" authorId="0" shapeId="0" xr:uid="{4EFDD4B9-CCD3-4711-8594-96546CCB2872}">
      <text>
        <r>
          <rPr>
            <sz val="8"/>
            <color indexed="81"/>
            <rFont val="Tahoma"/>
            <family val="2"/>
          </rPr>
          <t>An Indicator of "1" refers to permanent positions, an Indicator of "2" refers to board &amp; group positions, and an Indicator of "3" refers to  elected official positions and other full time commissioners</t>
        </r>
      </text>
    </comment>
    <comment ref="C68" authorId="0" shapeId="0" xr:uid="{738F28BD-C206-4B93-B16F-7087C820B1CE}">
      <text>
        <r>
          <rPr>
            <sz val="8"/>
            <color indexed="81"/>
            <rFont val="Tahoma"/>
            <family val="2"/>
          </rPr>
          <t>An Indicator of "1" refers to permanent positions, an Indicator of "2" refers to board &amp; group positions, and an Indicator of "3" refers to  elected official positions and other full time commissioners</t>
        </r>
      </text>
    </comment>
    <comment ref="C79" authorId="0" shapeId="0" xr:uid="{B32B71C7-8D7F-4780-A4FE-2663F22326AC}">
      <text>
        <r>
          <rPr>
            <sz val="8"/>
            <color indexed="81"/>
            <rFont val="Tahoma"/>
            <family val="2"/>
          </rPr>
          <t>An Indicator of "1" refers to permanent positions, an Indicator of "2" refers to board &amp; group positions, and an Indicator of "3" refers to  elected official positions and other full time commissioners</t>
        </r>
      </text>
    </comment>
    <comment ref="C90" authorId="0" shapeId="0" xr:uid="{C4AD155E-2763-4AC6-A682-8F3C9FE656E7}">
      <text>
        <r>
          <rPr>
            <sz val="8"/>
            <color indexed="81"/>
            <rFont val="Tahoma"/>
            <family val="2"/>
          </rPr>
          <t>An Indicator of "1" refers to permanent positions, an Indicator of "2" refers to board &amp; group positions, and an Indicator of "3" refers to  elected official positions and other full time commissioners</t>
        </r>
      </text>
    </comment>
    <comment ref="C101" authorId="0" shapeId="0" xr:uid="{921DEBE1-E9AD-4FEF-A16C-F5269299C884}">
      <text>
        <r>
          <rPr>
            <sz val="8"/>
            <color indexed="81"/>
            <rFont val="Tahoma"/>
            <family val="2"/>
          </rPr>
          <t>An Indicator of "1" refers to permanent positions, an Indicator of "2" refers to board &amp; group positions, and an Indicator of "3" refers to  elected official positions and other full time commissioners</t>
        </r>
      </text>
    </comment>
    <comment ref="C112" authorId="0" shapeId="0" xr:uid="{3AEDE84F-492F-4F8A-8CC6-297BBECA7067}">
      <text>
        <r>
          <rPr>
            <sz val="8"/>
            <color indexed="81"/>
            <rFont val="Tahoma"/>
            <family val="2"/>
          </rPr>
          <t>An Indicator of "1" refers to permanent positions, an Indicator of "2" refers to board &amp; group positions, and an Indicator of "3" refers to  elected official positions and other full time commissioners</t>
        </r>
      </text>
    </comment>
    <comment ref="C123" authorId="0" shapeId="0" xr:uid="{243F3098-01C4-42CA-8A93-C9E87DA03FF4}">
      <text>
        <r>
          <rPr>
            <sz val="8"/>
            <color indexed="81"/>
            <rFont val="Tahoma"/>
            <family val="2"/>
          </rPr>
          <t>An Indicator of "1" refers to permanent positions, an Indicator of "2" refers to board &amp; group positions, and an Indicator of "3" refers to  elected official positions and other full time commissioners</t>
        </r>
      </text>
    </comment>
    <comment ref="C134" authorId="0" shapeId="0" xr:uid="{DC00CE2D-4265-49DC-BDE0-FD0E5248FFED}">
      <text>
        <r>
          <rPr>
            <sz val="8"/>
            <color indexed="81"/>
            <rFont val="Tahoma"/>
            <family val="2"/>
          </rPr>
          <t>An Indicator of "1" refers to permanent positions, an Indicator of "2" refers to board &amp; group positions, and an Indicator of "3" refers to  elected official positions and other full time commissioners</t>
        </r>
      </text>
    </comment>
    <comment ref="C145" authorId="0" shapeId="0" xr:uid="{7C839252-B791-4786-85F4-CF62959F7AE5}">
      <text>
        <r>
          <rPr>
            <sz val="8"/>
            <color indexed="81"/>
            <rFont val="Tahoma"/>
            <family val="2"/>
          </rPr>
          <t>An Indicator of "1" refers to permanent positions, an Indicator of "2" refers to board &amp; group positions, and an Indicator of "3" refers to  elected official positions and other full time commissioners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LSO-BPA</author>
    <author>mfreeman</author>
    <author>Jared Tatro</author>
    <author>Ray Houston</author>
  </authors>
  <commentList>
    <comment ref="A8" authorId="0" shapeId="0" xr:uid="{4C32D01E-C1C3-43F9-BA6A-A2C12013F047}">
      <text>
        <r>
          <rPr>
            <sz val="8"/>
            <color indexed="81"/>
            <rFont val="Tahoma"/>
            <family val="2"/>
          </rPr>
          <t>Position Control Number</t>
        </r>
      </text>
    </comment>
    <comment ref="B8" authorId="1" shapeId="0" xr:uid="{5FC89724-D0B5-45C5-945B-F6D5D20927DE}">
      <text>
        <r>
          <rPr>
            <sz val="8"/>
            <color indexed="81"/>
            <rFont val="Tahoma"/>
            <family val="2"/>
          </rPr>
          <t>Five-digit class code associated with a position title.</t>
        </r>
      </text>
    </comment>
    <comment ref="E8" authorId="1" shapeId="0" xr:uid="{AAA7CA55-7944-48A9-8DD9-7E48657B4AF6}">
      <text>
        <r>
          <rPr>
            <sz val="8"/>
            <color indexed="81"/>
            <rFont val="Tahoma"/>
            <family val="2"/>
          </rPr>
          <t>An Indicator of "1" refers to permanent positions, an Indicator of "2" refers to board &amp; group positions, and an Indicator of "3" refers to  elected official positions and other full time commissioners</t>
        </r>
      </text>
    </comment>
    <comment ref="C19" authorId="2" shapeId="0" xr:uid="{36BF94A5-8070-4DEE-A2E2-6570B65498CC}">
      <text>
        <r>
          <rPr>
            <sz val="10"/>
            <color indexed="81"/>
            <rFont val="Tahoma"/>
            <family val="2"/>
          </rPr>
          <t>R1 = Regular Retirement Rate (most common)
R2 = Police/Fire
R4 = Former Public Safety (1985)
R5 = Dept of Labor (rare)
R6 = Judges
R7 = Optional Retirement
R8 = Optional Retirement</t>
        </r>
      </text>
    </comment>
    <comment ref="F39" authorId="2" shapeId="0" xr:uid="{A40881DA-078C-4434-AFE3-0157374724E1}">
      <text>
        <r>
          <rPr>
            <sz val="9"/>
            <color indexed="81"/>
            <rFont val="Tahoma"/>
            <family val="2"/>
          </rPr>
          <t>This cell should always equal zero</t>
        </r>
      </text>
    </comment>
    <comment ref="A50" authorId="0" shapeId="0" xr:uid="{B3BB667C-56D8-4092-A453-3121F20617F2}">
      <text>
        <r>
          <rPr>
            <sz val="8"/>
            <color indexed="81"/>
            <rFont val="Tahoma"/>
            <family val="2"/>
          </rPr>
          <t>Decision Unit Number</t>
        </r>
      </text>
    </comment>
    <comment ref="I59" authorId="3" shapeId="0" xr:uid="{63108C95-062C-4499-AF61-6ADE614CB21B}">
      <text>
        <r>
          <rPr>
            <sz val="9"/>
            <color indexed="81"/>
            <rFont val="Arial"/>
            <family val="2"/>
          </rPr>
          <t>Any benefits relating to positions transferred should be reconciled here with an upward or downward adjustment. This adjustment should net to zero agency-wide.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62" authorId="3" shapeId="0" xr:uid="{C6A52842-E0D7-4F4C-8D26-F4ADA364E7BE}">
      <text>
        <r>
          <rPr>
            <sz val="9"/>
            <color indexed="81"/>
            <rFont val="Arial"/>
            <family val="2"/>
          </rPr>
          <t>Any benefits relating to positions transferred should be reconciled here with an upward or downward adjustment. This adjustment should net to zero agency-wide.</t>
        </r>
      </text>
    </comment>
    <comment ref="E70" authorId="2" shapeId="0" xr:uid="{29D60A92-70B3-4F0C-8FB4-0D2150F9933D}">
      <text>
        <r>
          <rPr>
            <b/>
            <sz val="9"/>
            <color indexed="81"/>
            <rFont val="Tahoma"/>
            <family val="2"/>
          </rPr>
          <t>Jared Tatro:</t>
        </r>
        <r>
          <rPr>
            <sz val="9"/>
            <color indexed="81"/>
            <rFont val="Tahoma"/>
            <family val="2"/>
          </rPr>
          <t xml:space="preserve">
These rates should be changed on the Benefit worksheet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LSO-BPA</author>
    <author>mfreeman</author>
    <author>Jared Tatro</author>
    <author>Ray Houston</author>
  </authors>
  <commentList>
    <comment ref="A8" authorId="0" shapeId="0" xr:uid="{8072B42A-07E7-4AB0-B2CD-A3DE83AE057B}">
      <text>
        <r>
          <rPr>
            <sz val="8"/>
            <color indexed="81"/>
            <rFont val="Tahoma"/>
            <family val="2"/>
          </rPr>
          <t>Position Control Number</t>
        </r>
      </text>
    </comment>
    <comment ref="B8" authorId="1" shapeId="0" xr:uid="{E2CDA982-CC0A-44B7-9307-3BBFDB25CD1E}">
      <text>
        <r>
          <rPr>
            <sz val="8"/>
            <color indexed="81"/>
            <rFont val="Tahoma"/>
            <family val="2"/>
          </rPr>
          <t>Five-digit class code associated with a position title.</t>
        </r>
      </text>
    </comment>
    <comment ref="E8" authorId="1" shapeId="0" xr:uid="{76168F82-98D0-48E7-BC7D-18418DFDD0F7}">
      <text>
        <r>
          <rPr>
            <sz val="8"/>
            <color indexed="81"/>
            <rFont val="Tahoma"/>
            <family val="2"/>
          </rPr>
          <t>An Indicator of "1" refers to permanent positions, an Indicator of "2" refers to board &amp; group positions, and an Indicator of "3" refers to  elected official positions and other full time commissioners</t>
        </r>
      </text>
    </comment>
    <comment ref="C19" authorId="2" shapeId="0" xr:uid="{FC57EB98-7A2E-4BA2-9095-AD990655C018}">
      <text>
        <r>
          <rPr>
            <sz val="10"/>
            <color indexed="81"/>
            <rFont val="Tahoma"/>
            <family val="2"/>
          </rPr>
          <t>R1 = Regular Retirement Rate (most common)
R2 = Police/Fire
R4 = Former Public Safety (1985)
R5 = Dept of Labor (rare)
R6 = Judges
R7 = Optional Retirement
R8 = Optional Retirement</t>
        </r>
      </text>
    </comment>
    <comment ref="F39" authorId="2" shapeId="0" xr:uid="{A22D83EF-11E0-4471-BF11-4185C7AF498D}">
      <text>
        <r>
          <rPr>
            <sz val="9"/>
            <color indexed="81"/>
            <rFont val="Tahoma"/>
            <family val="2"/>
          </rPr>
          <t>This cell should always equal zero</t>
        </r>
      </text>
    </comment>
    <comment ref="A50" authorId="0" shapeId="0" xr:uid="{F8BA0312-A096-4A68-AB9A-07DBD006FB17}">
      <text>
        <r>
          <rPr>
            <sz val="8"/>
            <color indexed="81"/>
            <rFont val="Tahoma"/>
            <family val="2"/>
          </rPr>
          <t>Decision Unit Number</t>
        </r>
      </text>
    </comment>
    <comment ref="I59" authorId="3" shapeId="0" xr:uid="{7E87AA3E-F40D-449E-8EED-6537B9F00F27}">
      <text>
        <r>
          <rPr>
            <sz val="9"/>
            <color indexed="81"/>
            <rFont val="Arial"/>
            <family val="2"/>
          </rPr>
          <t>Any benefits relating to positions transferred should be reconciled here with an upward or downward adjustment. This adjustment should net to zero agency-wide.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62" authorId="3" shapeId="0" xr:uid="{F1BC71DE-23DB-4D3D-A4F4-F590F3CA6317}">
      <text>
        <r>
          <rPr>
            <sz val="9"/>
            <color indexed="81"/>
            <rFont val="Arial"/>
            <family val="2"/>
          </rPr>
          <t>Any benefits relating to positions transferred should be reconciled here with an upward or downward adjustment. This adjustment should net to zero agency-wide.</t>
        </r>
      </text>
    </comment>
    <comment ref="E70" authorId="2" shapeId="0" xr:uid="{5709496D-4658-4D49-9016-DC6CEC61F7EA}">
      <text>
        <r>
          <rPr>
            <b/>
            <sz val="9"/>
            <color indexed="81"/>
            <rFont val="Tahoma"/>
            <family val="2"/>
          </rPr>
          <t>Jared Tatro:</t>
        </r>
        <r>
          <rPr>
            <sz val="9"/>
            <color indexed="81"/>
            <rFont val="Tahoma"/>
            <family val="2"/>
          </rPr>
          <t xml:space="preserve">
These rates should be changed on the Benefit worksheet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LSO-BPA</author>
    <author>mfreeman</author>
    <author>Jared Tatro</author>
    <author>Ray Houston</author>
  </authors>
  <commentList>
    <comment ref="A8" authorId="0" shapeId="0" xr:uid="{8FF74CDD-136F-4545-B26D-A7234D51D118}">
      <text>
        <r>
          <rPr>
            <sz val="8"/>
            <color indexed="81"/>
            <rFont val="Tahoma"/>
            <family val="2"/>
          </rPr>
          <t>Position Control Number</t>
        </r>
      </text>
    </comment>
    <comment ref="B8" authorId="1" shapeId="0" xr:uid="{A3768E6E-737A-4C89-A1AE-260E2DC382F0}">
      <text>
        <r>
          <rPr>
            <sz val="8"/>
            <color indexed="81"/>
            <rFont val="Tahoma"/>
            <family val="2"/>
          </rPr>
          <t>Five-digit class code associated with a position title.</t>
        </r>
      </text>
    </comment>
    <comment ref="E8" authorId="1" shapeId="0" xr:uid="{3F4BBF13-87E5-44C2-A000-E84CD9F6A5F1}">
      <text>
        <r>
          <rPr>
            <sz val="8"/>
            <color indexed="81"/>
            <rFont val="Tahoma"/>
            <family val="2"/>
          </rPr>
          <t>An Indicator of "1" refers to permanent positions, an Indicator of "2" refers to board &amp; group positions, and an Indicator of "3" refers to  elected official positions and other full time commissioners</t>
        </r>
      </text>
    </comment>
    <comment ref="C19" authorId="2" shapeId="0" xr:uid="{2AFE5386-0B5A-4EDF-AA5D-4299AF7F90A5}">
      <text>
        <r>
          <rPr>
            <sz val="10"/>
            <color indexed="81"/>
            <rFont val="Tahoma"/>
            <family val="2"/>
          </rPr>
          <t>R1 = Regular Retirement Rate (most common)
R2 = Police/Fire
R4 = Former Public Safety (1985)
R5 = Dept of Labor (rare)
R6 = Judges
R7 = Optional Retirement
R8 = Optional Retirement</t>
        </r>
      </text>
    </comment>
    <comment ref="F39" authorId="2" shapeId="0" xr:uid="{6C4A4CC8-3C35-4FEB-9B38-CD353FBBD039}">
      <text>
        <r>
          <rPr>
            <sz val="9"/>
            <color indexed="81"/>
            <rFont val="Tahoma"/>
            <family val="2"/>
          </rPr>
          <t>This cell should always equal zero</t>
        </r>
      </text>
    </comment>
    <comment ref="A50" authorId="0" shapeId="0" xr:uid="{A9138E00-DFF1-4AC1-9EDD-81396014C66E}">
      <text>
        <r>
          <rPr>
            <sz val="8"/>
            <color indexed="81"/>
            <rFont val="Tahoma"/>
            <family val="2"/>
          </rPr>
          <t>Decision Unit Number</t>
        </r>
      </text>
    </comment>
    <comment ref="I59" authorId="3" shapeId="0" xr:uid="{25AD948E-9289-4DF2-9655-3CB445E7A217}">
      <text>
        <r>
          <rPr>
            <sz val="9"/>
            <color indexed="81"/>
            <rFont val="Arial"/>
            <family val="2"/>
          </rPr>
          <t>Any benefits relating to positions transferred should be reconciled here with an upward or downward adjustment. This adjustment should net to zero agency-wide.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62" authorId="3" shapeId="0" xr:uid="{9109858E-F924-4A27-8BD7-F906242DB584}">
      <text>
        <r>
          <rPr>
            <sz val="9"/>
            <color indexed="81"/>
            <rFont val="Arial"/>
            <family val="2"/>
          </rPr>
          <t>Any benefits relating to positions transferred should be reconciled here with an upward or downward adjustment. This adjustment should net to zero agency-wide.</t>
        </r>
      </text>
    </comment>
    <comment ref="E70" authorId="2" shapeId="0" xr:uid="{806013ED-13FC-4D18-AC59-6B1B9E8B369A}">
      <text>
        <r>
          <rPr>
            <b/>
            <sz val="9"/>
            <color indexed="81"/>
            <rFont val="Tahoma"/>
            <family val="2"/>
          </rPr>
          <t>Jared Tatro:</t>
        </r>
        <r>
          <rPr>
            <sz val="9"/>
            <color indexed="81"/>
            <rFont val="Tahoma"/>
            <family val="2"/>
          </rPr>
          <t xml:space="preserve">
These rates should be changed on the Benefit worksheet
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LSO-BPA</author>
    <author>mfreeman</author>
    <author>Jared Tatro</author>
    <author>Ray Houston</author>
  </authors>
  <commentList>
    <comment ref="A8" authorId="0" shapeId="0" xr:uid="{A966DA08-46EC-4373-80FD-8FA1C3A9143F}">
      <text>
        <r>
          <rPr>
            <sz val="8"/>
            <color indexed="81"/>
            <rFont val="Tahoma"/>
            <family val="2"/>
          </rPr>
          <t>Position Control Number</t>
        </r>
      </text>
    </comment>
    <comment ref="B8" authorId="1" shapeId="0" xr:uid="{20EDB11B-6904-4850-8C33-1EB22F064AC6}">
      <text>
        <r>
          <rPr>
            <sz val="8"/>
            <color indexed="81"/>
            <rFont val="Tahoma"/>
            <family val="2"/>
          </rPr>
          <t>Five-digit class code associated with a position title.</t>
        </r>
      </text>
    </comment>
    <comment ref="E8" authorId="1" shapeId="0" xr:uid="{15189158-AFEC-4BEC-969E-418730EAF3E7}">
      <text>
        <r>
          <rPr>
            <sz val="8"/>
            <color indexed="81"/>
            <rFont val="Tahoma"/>
            <family val="2"/>
          </rPr>
          <t>An Indicator of "1" refers to permanent positions, an Indicator of "2" refers to board &amp; group positions, and an Indicator of "3" refers to  elected official positions and other full time commissioners</t>
        </r>
      </text>
    </comment>
    <comment ref="C19" authorId="2" shapeId="0" xr:uid="{F495735B-DDDD-4EF0-8858-5895288E072B}">
      <text>
        <r>
          <rPr>
            <sz val="10"/>
            <color indexed="81"/>
            <rFont val="Tahoma"/>
            <family val="2"/>
          </rPr>
          <t>R1 = Regular Retirement Rate (most common)
R2 = Police/Fire
R4 = Former Public Safety (1985)
R5 = Dept of Labor (rare)
R6 = Judges
R7 = Optional Retirement
R8 = Optional Retirement</t>
        </r>
      </text>
    </comment>
    <comment ref="F39" authorId="2" shapeId="0" xr:uid="{58F9355F-099A-49C8-9D9A-8F671ED1185A}">
      <text>
        <r>
          <rPr>
            <sz val="9"/>
            <color indexed="81"/>
            <rFont val="Tahoma"/>
            <family val="2"/>
          </rPr>
          <t>This cell should always equal zero</t>
        </r>
      </text>
    </comment>
    <comment ref="A50" authorId="0" shapeId="0" xr:uid="{C604EDC4-6A3C-4059-9043-760B83303FFA}">
      <text>
        <r>
          <rPr>
            <sz val="8"/>
            <color indexed="81"/>
            <rFont val="Tahoma"/>
            <family val="2"/>
          </rPr>
          <t>Decision Unit Number</t>
        </r>
      </text>
    </comment>
    <comment ref="I59" authorId="3" shapeId="0" xr:uid="{9FF9E6E6-5FD6-4B3B-832D-DBFA9B6F9E1A}">
      <text>
        <r>
          <rPr>
            <sz val="9"/>
            <color indexed="81"/>
            <rFont val="Arial"/>
            <family val="2"/>
          </rPr>
          <t>Any benefits relating to positions transferred should be reconciled here with an upward or downward adjustment. This adjustment should net to zero agency-wide.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62" authorId="3" shapeId="0" xr:uid="{9617F7D0-9A48-446F-86E0-2BFC85D925F1}">
      <text>
        <r>
          <rPr>
            <sz val="9"/>
            <color indexed="81"/>
            <rFont val="Arial"/>
            <family val="2"/>
          </rPr>
          <t>Any benefits relating to positions transferred should be reconciled here with an upward or downward adjustment. This adjustment should net to zero agency-wide.</t>
        </r>
      </text>
    </comment>
    <comment ref="E70" authorId="2" shapeId="0" xr:uid="{4C493F74-D95C-43EB-9F0D-E3CF490FD200}">
      <text>
        <r>
          <rPr>
            <b/>
            <sz val="9"/>
            <color indexed="81"/>
            <rFont val="Tahoma"/>
            <family val="2"/>
          </rPr>
          <t>Jared Tatro:</t>
        </r>
        <r>
          <rPr>
            <sz val="9"/>
            <color indexed="81"/>
            <rFont val="Tahoma"/>
            <family val="2"/>
          </rPr>
          <t xml:space="preserve">
These rates should be changed on the Benefit worksheet
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LSO-BPA</author>
    <author>mfreeman</author>
    <author>Jared Tatro</author>
    <author>Ray Houston</author>
  </authors>
  <commentList>
    <comment ref="A8" authorId="0" shapeId="0" xr:uid="{A3A0DB7B-C190-464C-81CA-0DFD6AA49535}">
      <text>
        <r>
          <rPr>
            <sz val="8"/>
            <color indexed="81"/>
            <rFont val="Tahoma"/>
            <family val="2"/>
          </rPr>
          <t>Position Control Number</t>
        </r>
      </text>
    </comment>
    <comment ref="B8" authorId="1" shapeId="0" xr:uid="{346F237E-94EC-4191-9AF9-DBA24A2C3E8B}">
      <text>
        <r>
          <rPr>
            <sz val="8"/>
            <color indexed="81"/>
            <rFont val="Tahoma"/>
            <family val="2"/>
          </rPr>
          <t>Five-digit class code associated with a position title.</t>
        </r>
      </text>
    </comment>
    <comment ref="E8" authorId="1" shapeId="0" xr:uid="{4357BDD5-E644-43FA-8B94-074A70DE974C}">
      <text>
        <r>
          <rPr>
            <sz val="8"/>
            <color indexed="81"/>
            <rFont val="Tahoma"/>
            <family val="2"/>
          </rPr>
          <t>An Indicator of "1" refers to permanent positions, an Indicator of "2" refers to board &amp; group positions, and an Indicator of "3" refers to  elected official positions and other full time commissioners</t>
        </r>
      </text>
    </comment>
    <comment ref="C19" authorId="2" shapeId="0" xr:uid="{CFB7208B-1FDA-424D-8AD4-208E2AE3C486}">
      <text>
        <r>
          <rPr>
            <sz val="10"/>
            <color indexed="81"/>
            <rFont val="Tahoma"/>
            <family val="2"/>
          </rPr>
          <t>R1 = Regular Retirement Rate (most common)
R2 = Police/Fire
R4 = Former Public Safety (1985)
R5 = Dept of Labor (rare)
R6 = Judges
R7 = Optional Retirement
R8 = Optional Retirement</t>
        </r>
      </text>
    </comment>
    <comment ref="F39" authorId="2" shapeId="0" xr:uid="{EA25E7B8-83B5-4833-B097-C710AB397BFE}">
      <text>
        <r>
          <rPr>
            <sz val="9"/>
            <color indexed="81"/>
            <rFont val="Tahoma"/>
            <family val="2"/>
          </rPr>
          <t>This cell should always equal zero</t>
        </r>
      </text>
    </comment>
    <comment ref="A50" authorId="0" shapeId="0" xr:uid="{95F40E9A-9DEB-42D3-BC2E-AF41799264EB}">
      <text>
        <r>
          <rPr>
            <sz val="8"/>
            <color indexed="81"/>
            <rFont val="Tahoma"/>
            <family val="2"/>
          </rPr>
          <t>Decision Unit Number</t>
        </r>
      </text>
    </comment>
    <comment ref="I59" authorId="3" shapeId="0" xr:uid="{BDA0DA84-15CC-4721-848A-4C5A06140BF0}">
      <text>
        <r>
          <rPr>
            <sz val="9"/>
            <color indexed="81"/>
            <rFont val="Arial"/>
            <family val="2"/>
          </rPr>
          <t>Any benefits relating to positions transferred should be reconciled here with an upward or downward adjustment. This adjustment should net to zero agency-wide.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62" authorId="3" shapeId="0" xr:uid="{CE57FDCD-0584-4256-AAB2-7F2A786DF37A}">
      <text>
        <r>
          <rPr>
            <sz val="9"/>
            <color indexed="81"/>
            <rFont val="Arial"/>
            <family val="2"/>
          </rPr>
          <t>Any benefits relating to positions transferred should be reconciled here with an upward or downward adjustment. This adjustment should net to zero agency-wide.</t>
        </r>
      </text>
    </comment>
    <comment ref="E70" authorId="2" shapeId="0" xr:uid="{BCE61BCC-1902-4AE2-8253-1BE44D00CF6A}">
      <text>
        <r>
          <rPr>
            <b/>
            <sz val="9"/>
            <color indexed="81"/>
            <rFont val="Tahoma"/>
            <family val="2"/>
          </rPr>
          <t>Jared Tatro:</t>
        </r>
        <r>
          <rPr>
            <sz val="9"/>
            <color indexed="81"/>
            <rFont val="Tahoma"/>
            <family val="2"/>
          </rPr>
          <t xml:space="preserve">
These rates should be changed on the Benefit worksheet
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LSO-BPA</author>
    <author>mfreeman</author>
    <author>Jared Tatro</author>
    <author>Ray Houston</author>
  </authors>
  <commentList>
    <comment ref="A8" authorId="0" shapeId="0" xr:uid="{82FDA5EA-5FF9-4498-868A-8A6C474F8345}">
      <text>
        <r>
          <rPr>
            <sz val="8"/>
            <color indexed="81"/>
            <rFont val="Tahoma"/>
            <family val="2"/>
          </rPr>
          <t>Position Control Number</t>
        </r>
      </text>
    </comment>
    <comment ref="B8" authorId="1" shapeId="0" xr:uid="{8EBB1027-1257-4B4F-86B7-DC1C7243DB32}">
      <text>
        <r>
          <rPr>
            <sz val="8"/>
            <color indexed="81"/>
            <rFont val="Tahoma"/>
            <family val="2"/>
          </rPr>
          <t>Five-digit class code associated with a position title.</t>
        </r>
      </text>
    </comment>
    <comment ref="E8" authorId="1" shapeId="0" xr:uid="{1FBB52C5-9C26-4A14-937F-EF013DB15AF4}">
      <text>
        <r>
          <rPr>
            <sz val="8"/>
            <color indexed="81"/>
            <rFont val="Tahoma"/>
            <family val="2"/>
          </rPr>
          <t>An Indicator of "1" refers to permanent positions, an Indicator of "2" refers to board &amp; group positions, and an Indicator of "3" refers to  elected official positions and other full time commissioners</t>
        </r>
      </text>
    </comment>
    <comment ref="C19" authorId="2" shapeId="0" xr:uid="{C639533F-86BC-4493-9C8F-06020B79CBE6}">
      <text>
        <r>
          <rPr>
            <sz val="10"/>
            <color indexed="81"/>
            <rFont val="Tahoma"/>
            <family val="2"/>
          </rPr>
          <t>R1 = Regular Retirement Rate (most common)
R2 = Police/Fire
R4 = Former Public Safety (1985)
R5 = Dept of Labor (rare)
R6 = Judges
R7 = Optional Retirement
R8 = Optional Retirement</t>
        </r>
      </text>
    </comment>
    <comment ref="F39" authorId="2" shapeId="0" xr:uid="{5688BE68-9CAD-49D1-91E9-A4F7691E3380}">
      <text>
        <r>
          <rPr>
            <sz val="9"/>
            <color indexed="81"/>
            <rFont val="Tahoma"/>
            <family val="2"/>
          </rPr>
          <t>This cell should always equal zero</t>
        </r>
      </text>
    </comment>
    <comment ref="A50" authorId="0" shapeId="0" xr:uid="{74B4B263-474F-407D-AD0B-3C13AD89E0D0}">
      <text>
        <r>
          <rPr>
            <sz val="8"/>
            <color indexed="81"/>
            <rFont val="Tahoma"/>
            <family val="2"/>
          </rPr>
          <t>Decision Unit Number</t>
        </r>
      </text>
    </comment>
    <comment ref="I59" authorId="3" shapeId="0" xr:uid="{07815D50-2E81-4EFE-9E4A-4DD9700DF94D}">
      <text>
        <r>
          <rPr>
            <sz val="9"/>
            <color indexed="81"/>
            <rFont val="Arial"/>
            <family val="2"/>
          </rPr>
          <t>Any benefits relating to positions transferred should be reconciled here with an upward or downward adjustment. This adjustment should net to zero agency-wide.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62" authorId="3" shapeId="0" xr:uid="{1942E78A-DB95-44C3-AE0C-1C649FE3160C}">
      <text>
        <r>
          <rPr>
            <sz val="9"/>
            <color indexed="81"/>
            <rFont val="Arial"/>
            <family val="2"/>
          </rPr>
          <t>Any benefits relating to positions transferred should be reconciled here with an upward or downward adjustment. This adjustment should net to zero agency-wide.</t>
        </r>
      </text>
    </comment>
    <comment ref="E70" authorId="2" shapeId="0" xr:uid="{AA7252D6-1870-4D2F-97EA-8953E249CDCF}">
      <text>
        <r>
          <rPr>
            <b/>
            <sz val="9"/>
            <color indexed="81"/>
            <rFont val="Tahoma"/>
            <family val="2"/>
          </rPr>
          <t>Jared Tatro:</t>
        </r>
        <r>
          <rPr>
            <sz val="9"/>
            <color indexed="81"/>
            <rFont val="Tahoma"/>
            <family val="2"/>
          </rPr>
          <t xml:space="preserve">
These rates should be changed on the Benefit worksheet
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LSO-BPA</author>
    <author>mfreeman</author>
    <author>Jared Tatro</author>
    <author>Ray Houston</author>
  </authors>
  <commentList>
    <comment ref="A8" authorId="0" shapeId="0" xr:uid="{CA82A26D-4943-4762-BBAB-99E67FA04B73}">
      <text>
        <r>
          <rPr>
            <sz val="8"/>
            <color indexed="81"/>
            <rFont val="Tahoma"/>
            <family val="2"/>
          </rPr>
          <t>Position Control Number</t>
        </r>
      </text>
    </comment>
    <comment ref="B8" authorId="1" shapeId="0" xr:uid="{46CAE0B0-5650-4C33-B84F-8E2B47A3D0AB}">
      <text>
        <r>
          <rPr>
            <sz val="8"/>
            <color indexed="81"/>
            <rFont val="Tahoma"/>
            <family val="2"/>
          </rPr>
          <t>Five-digit class code associated with a position title.</t>
        </r>
      </text>
    </comment>
    <comment ref="E8" authorId="1" shapeId="0" xr:uid="{BE991F27-85FF-41A8-99EF-7D4E5EB30AE9}">
      <text>
        <r>
          <rPr>
            <sz val="8"/>
            <color indexed="81"/>
            <rFont val="Tahoma"/>
            <family val="2"/>
          </rPr>
          <t>An Indicator of "1" refers to permanent positions, an Indicator of "2" refers to board &amp; group positions, and an Indicator of "3" refers to  elected official positions and other full time commissioners</t>
        </r>
      </text>
    </comment>
    <comment ref="C19" authorId="2" shapeId="0" xr:uid="{33C31581-1CE9-41C1-8AC0-1BF3D0F3D081}">
      <text>
        <r>
          <rPr>
            <sz val="10"/>
            <color indexed="81"/>
            <rFont val="Tahoma"/>
            <family val="2"/>
          </rPr>
          <t>R1 = Regular Retirement Rate (most common)
R2 = Police/Fire
R4 = Former Public Safety (1985)
R5 = Dept of Labor (rare)
R6 = Judges
R7 = Optional Retirement
R8 = Optional Retirement</t>
        </r>
      </text>
    </comment>
    <comment ref="F39" authorId="2" shapeId="0" xr:uid="{D5888413-CA85-47F2-B03E-F21DD2D3E6AF}">
      <text>
        <r>
          <rPr>
            <sz val="9"/>
            <color indexed="81"/>
            <rFont val="Tahoma"/>
            <family val="2"/>
          </rPr>
          <t>This cell should always equal zero</t>
        </r>
      </text>
    </comment>
    <comment ref="A50" authorId="0" shapeId="0" xr:uid="{6E8C3D08-3A28-433F-B699-39720BE804AA}">
      <text>
        <r>
          <rPr>
            <sz val="8"/>
            <color indexed="81"/>
            <rFont val="Tahoma"/>
            <family val="2"/>
          </rPr>
          <t>Decision Unit Number</t>
        </r>
      </text>
    </comment>
    <comment ref="I59" authorId="3" shapeId="0" xr:uid="{1D200B3F-B35B-45B3-BBB4-3991C920B9B0}">
      <text>
        <r>
          <rPr>
            <sz val="9"/>
            <color indexed="81"/>
            <rFont val="Arial"/>
            <family val="2"/>
          </rPr>
          <t>Any benefits relating to positions transferred should be reconciled here with an upward or downward adjustment. This adjustment should net to zero agency-wide.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62" authorId="3" shapeId="0" xr:uid="{39D8110E-50D5-40EC-BC94-6D84447BC286}">
      <text>
        <r>
          <rPr>
            <sz val="9"/>
            <color indexed="81"/>
            <rFont val="Arial"/>
            <family val="2"/>
          </rPr>
          <t>Any benefits relating to positions transferred should be reconciled here with an upward or downward adjustment. This adjustment should net to zero agency-wide.</t>
        </r>
      </text>
    </comment>
    <comment ref="E70" authorId="2" shapeId="0" xr:uid="{C829D6B2-B670-449A-8418-4A8D15110D6F}">
      <text>
        <r>
          <rPr>
            <b/>
            <sz val="9"/>
            <color indexed="81"/>
            <rFont val="Tahoma"/>
            <family val="2"/>
          </rPr>
          <t>Jared Tatro:</t>
        </r>
        <r>
          <rPr>
            <sz val="9"/>
            <color indexed="81"/>
            <rFont val="Tahoma"/>
            <family val="2"/>
          </rPr>
          <t xml:space="preserve">
These rates should be changed on the Benefit worksheet
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LSO-BPA</author>
    <author>mfreeman</author>
    <author>Jared Tatro</author>
    <author>Ray Houston</author>
  </authors>
  <commentList>
    <comment ref="A8" authorId="0" shapeId="0" xr:uid="{1889932D-6196-49B2-9CFC-888CDDCD525F}">
      <text>
        <r>
          <rPr>
            <sz val="8"/>
            <color indexed="81"/>
            <rFont val="Tahoma"/>
            <family val="2"/>
          </rPr>
          <t>Position Control Number</t>
        </r>
      </text>
    </comment>
    <comment ref="B8" authorId="1" shapeId="0" xr:uid="{C2D2C92B-6045-467C-A55A-58745594E727}">
      <text>
        <r>
          <rPr>
            <sz val="8"/>
            <color indexed="81"/>
            <rFont val="Tahoma"/>
            <family val="2"/>
          </rPr>
          <t>Five-digit class code associated with a position title.</t>
        </r>
      </text>
    </comment>
    <comment ref="E8" authorId="1" shapeId="0" xr:uid="{175AD779-D69A-4643-B699-1B862E51E98F}">
      <text>
        <r>
          <rPr>
            <sz val="8"/>
            <color indexed="81"/>
            <rFont val="Tahoma"/>
            <family val="2"/>
          </rPr>
          <t>An Indicator of "1" refers to permanent positions, an Indicator of "2" refers to board &amp; group positions, and an Indicator of "3" refers to  elected official positions and other full time commissioners</t>
        </r>
      </text>
    </comment>
    <comment ref="C19" authorId="2" shapeId="0" xr:uid="{DE03EECE-439F-4CB2-ACFB-28404B8FAC78}">
      <text>
        <r>
          <rPr>
            <sz val="10"/>
            <color indexed="81"/>
            <rFont val="Tahoma"/>
            <family val="2"/>
          </rPr>
          <t>R1 = Regular Retirement Rate (most common)
R2 = Police/Fire
R4 = Former Public Safety (1985)
R5 = Dept of Labor (rare)
R6 = Judges
R7 = Optional Retirement
R8 = Optional Retirement</t>
        </r>
      </text>
    </comment>
    <comment ref="F39" authorId="2" shapeId="0" xr:uid="{F3F860D4-0F07-4E8B-B302-68D9A3168CDA}">
      <text>
        <r>
          <rPr>
            <sz val="9"/>
            <color indexed="81"/>
            <rFont val="Tahoma"/>
            <family val="2"/>
          </rPr>
          <t>This cell should always equal zero</t>
        </r>
      </text>
    </comment>
    <comment ref="A50" authorId="0" shapeId="0" xr:uid="{CA4FCF7F-04DF-4397-BC9C-25533D36484D}">
      <text>
        <r>
          <rPr>
            <sz val="8"/>
            <color indexed="81"/>
            <rFont val="Tahoma"/>
            <family val="2"/>
          </rPr>
          <t>Decision Unit Number</t>
        </r>
      </text>
    </comment>
    <comment ref="I59" authorId="3" shapeId="0" xr:uid="{535383B8-80D0-4ACE-9BFE-D12924E2979D}">
      <text>
        <r>
          <rPr>
            <sz val="9"/>
            <color indexed="81"/>
            <rFont val="Arial"/>
            <family val="2"/>
          </rPr>
          <t>Any benefits relating to positions transferred should be reconciled here with an upward or downward adjustment. This adjustment should net to zero agency-wide.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62" authorId="3" shapeId="0" xr:uid="{63509555-B49C-4A9C-BE0C-B2BF77A9AE6F}">
      <text>
        <r>
          <rPr>
            <sz val="9"/>
            <color indexed="81"/>
            <rFont val="Arial"/>
            <family val="2"/>
          </rPr>
          <t>Any benefits relating to positions transferred should be reconciled here with an upward or downward adjustment. This adjustment should net to zero agency-wide.</t>
        </r>
      </text>
    </comment>
    <comment ref="E70" authorId="2" shapeId="0" xr:uid="{5F96E7D9-2720-4DA3-B0A9-973E91416310}">
      <text>
        <r>
          <rPr>
            <b/>
            <sz val="9"/>
            <color indexed="81"/>
            <rFont val="Tahoma"/>
            <family val="2"/>
          </rPr>
          <t>Jared Tatro:</t>
        </r>
        <r>
          <rPr>
            <sz val="9"/>
            <color indexed="81"/>
            <rFont val="Tahoma"/>
            <family val="2"/>
          </rPr>
          <t xml:space="preserve">
These rates should be changed on the Benefit worksheet
</t>
        </r>
      </text>
    </comment>
  </commentList>
</comments>
</file>

<file path=xl/sharedStrings.xml><?xml version="1.0" encoding="utf-8"?>
<sst xmlns="http://schemas.openxmlformats.org/spreadsheetml/2006/main" count="14716" uniqueCount="2059">
  <si>
    <t>Current Year</t>
  </si>
  <si>
    <t>Budgeted Year</t>
  </si>
  <si>
    <t>FICA SSDI Rate</t>
  </si>
  <si>
    <t>FICA SSHI Rate</t>
  </si>
  <si>
    <t>Unemployment Rate</t>
  </si>
  <si>
    <t>Workers Comp Rate</t>
  </si>
  <si>
    <t>Life Insurance Rate</t>
  </si>
  <si>
    <t>Unused sick leave rate</t>
  </si>
  <si>
    <t>DHR rate</t>
  </si>
  <si>
    <t>Total Group</t>
  </si>
  <si>
    <t>Agency Benefit Information</t>
  </si>
  <si>
    <t>Total Permanent</t>
  </si>
  <si>
    <t>Full Time Health Costs</t>
  </si>
  <si>
    <t>Agency/Department:</t>
  </si>
  <si>
    <t>Agency Number:</t>
  </si>
  <si>
    <t>Fiscal Year:</t>
  </si>
  <si>
    <t>Original Request Date:</t>
  </si>
  <si>
    <t>Fund Name:</t>
  </si>
  <si>
    <t>Revision Date:</t>
  </si>
  <si>
    <t>Revision #:</t>
  </si>
  <si>
    <t>PCN</t>
  </si>
  <si>
    <t>CLASS CODE</t>
  </si>
  <si>
    <t>DESCRIPTION</t>
  </si>
  <si>
    <t>Indicator Code</t>
  </si>
  <si>
    <t>FTP</t>
  </si>
  <si>
    <t>TOTAL BENEFIT CHANGES</t>
  </si>
  <si>
    <t>Totals from Wage and Salary Report (WSR):</t>
  </si>
  <si>
    <t>Permanent Positions</t>
  </si>
  <si>
    <t>Board &amp; Group Positions</t>
  </si>
  <si>
    <t>Elected Officials &amp; Full Time Commissioners</t>
  </si>
  <si>
    <t>TOTAL FROM WSR</t>
  </si>
  <si>
    <t>ORIGINAL APPROPRIATION</t>
  </si>
  <si>
    <t>Unadjusted Over or (Under) Funded:</t>
  </si>
  <si>
    <t>Est Difference</t>
  </si>
  <si>
    <t>Adjustments to Wage &amp; Salary:</t>
  </si>
  <si>
    <t>Add Funded / Subtract Unfunded - Vacant or Authorized - Positions:</t>
  </si>
  <si>
    <t>Other Adjustments:</t>
  </si>
  <si>
    <t>Estimated Salary Needs:</t>
  </si>
  <si>
    <t>Estimated Salary and Benefits</t>
  </si>
  <si>
    <t>Adjusted Over or (Under) Funding:</t>
  </si>
  <si>
    <t>Orig. Approp</t>
  </si>
  <si>
    <t>Est. Expend</t>
  </si>
  <si>
    <t>DU</t>
  </si>
  <si>
    <t>Original Appropriation</t>
  </si>
  <si>
    <t>Total Benefit Change</t>
  </si>
  <si>
    <t xml:space="preserve"> </t>
  </si>
  <si>
    <t>Rounded Appropriation</t>
  </si>
  <si>
    <t>Appropriation Adjustments:</t>
  </si>
  <si>
    <t>Reappropriation</t>
  </si>
  <si>
    <t>Supplemental</t>
  </si>
  <si>
    <t>TOTAL APPROPRIATION</t>
  </si>
  <si>
    <t>Expenditure Adjustments:</t>
  </si>
  <si>
    <t>FTP or Fund Adjustment</t>
  </si>
  <si>
    <t>ESTIMATED EXPENDITURES</t>
  </si>
  <si>
    <t>Base Adjustments:</t>
  </si>
  <si>
    <t>Removal of One-Time Expenditures</t>
  </si>
  <si>
    <t>Base Reduction</t>
  </si>
  <si>
    <t>BASE</t>
  </si>
  <si>
    <t>Change in Health Benefit Costs</t>
  </si>
  <si>
    <t>Change in Variable Benefits Costs</t>
  </si>
  <si>
    <t>Annualization</t>
  </si>
  <si>
    <t>CEC for Group Positions</t>
  </si>
  <si>
    <t>CEC for Elected Officials &amp; Commissioners</t>
  </si>
  <si>
    <t>PROGRAM MAINTENANCE</t>
  </si>
  <si>
    <t>Line Items:</t>
  </si>
  <si>
    <t>TOTAL REQUEST</t>
  </si>
  <si>
    <t>Transfer Between Programs</t>
  </si>
  <si>
    <t xml:space="preserve">Transfer Between Programs </t>
  </si>
  <si>
    <t>R1</t>
  </si>
  <si>
    <t>R6</t>
  </si>
  <si>
    <t>R2</t>
  </si>
  <si>
    <t>R4</t>
  </si>
  <si>
    <t>R5</t>
  </si>
  <si>
    <t>R8</t>
  </si>
  <si>
    <t>R7</t>
  </si>
  <si>
    <t>Regular Retirement</t>
  </si>
  <si>
    <t>Police/Fire Retirement</t>
  </si>
  <si>
    <t>Former Public Safety (1985)</t>
  </si>
  <si>
    <t xml:space="preserve">Dept of Labor </t>
  </si>
  <si>
    <t>Judges Retirement</t>
  </si>
  <si>
    <t>Optional Retirement</t>
  </si>
  <si>
    <t>RETIREMENT RATES</t>
  </si>
  <si>
    <t>Part Time Health Costs</t>
  </si>
  <si>
    <t>FTI</t>
  </si>
  <si>
    <t>Budget Submission Page #</t>
  </si>
  <si>
    <t>of</t>
  </si>
  <si>
    <t>Retire Cd</t>
  </si>
  <si>
    <t>Adjustment Description / Position Title</t>
  </si>
  <si>
    <t>** MESSAGE CODES:</t>
  </si>
  <si>
    <t>1 = POSITION WITH MULTIPLE DISTRIBUTIONS</t>
  </si>
  <si>
    <t>2 = DELETED POSITION WITH ACTUAL DOLLARS</t>
  </si>
  <si>
    <t>3 = INCUMBENT IS AN UNDERFILL</t>
  </si>
  <si>
    <t>5 = SHIFT DIFFERENTIAL</t>
  </si>
  <si>
    <t>6 = MULTIPLE FILL CALCULATION</t>
  </si>
  <si>
    <t>Salary</t>
  </si>
  <si>
    <t>Variable Benefits</t>
  </si>
  <si>
    <t>Total Benefits</t>
  </si>
  <si>
    <t>Totals by Fund</t>
  </si>
  <si>
    <t>Health Benefits</t>
  </si>
  <si>
    <t>Base</t>
  </si>
  <si>
    <t xml:space="preserve">Personnel Cost Reconciliation - Relation to Zero Variance  ---&gt; </t>
  </si>
  <si>
    <t>CEC for Permanent Positions</t>
  </si>
  <si>
    <t>Elected Officials</t>
  </si>
  <si>
    <t>Permanent Position CEC Rate</t>
  </si>
  <si>
    <t>Group Position CEC Rate</t>
  </si>
  <si>
    <t>Filled</t>
  </si>
  <si>
    <t>Total</t>
  </si>
  <si>
    <t>Filled and Adjustments</t>
  </si>
  <si>
    <t>Adjustments Only</t>
  </si>
  <si>
    <t>Percent of Filled Positions</t>
  </si>
  <si>
    <t>FTP = POSITION FTE = (PAY PERIOD HOURS/80) * FTE PCT OF YEAR * POSITION DISTRIBUTION %</t>
  </si>
  <si>
    <t>FTI  = EMPLOYEE FTE = (PAY PERIOD HOURS/80)  * FTE PCT OF YEAR * POSITION DISTRIBUTION %</t>
  </si>
  <si>
    <t>orig CEC</t>
  </si>
  <si>
    <t>Luma Fund Number</t>
  </si>
  <si>
    <t>Appropriation (Budget) Unit</t>
  </si>
  <si>
    <t>Historical Fund #:</t>
  </si>
  <si>
    <t>Budgeted Division:</t>
  </si>
  <si>
    <t>Budgeted Program</t>
  </si>
  <si>
    <t>FISCAL YEAR</t>
  </si>
  <si>
    <t>AGENCY CODE</t>
  </si>
  <si>
    <t>PCN TITLE</t>
  </si>
  <si>
    <t>FUND CODE</t>
  </si>
  <si>
    <t>FUND DETAIL CODE</t>
  </si>
  <si>
    <t>BUDGET UNIT</t>
  </si>
  <si>
    <t>PCA</t>
  </si>
  <si>
    <t>INDEX CODE</t>
  </si>
  <si>
    <t>PCN DIST COUNT</t>
  </si>
  <si>
    <t>PCN CLASS CODE</t>
  </si>
  <si>
    <t>PCN PAY GRADE</t>
  </si>
  <si>
    <t>PCN STATUS CODE</t>
  </si>
  <si>
    <t>PCN TYPE CODE</t>
  </si>
  <si>
    <t>INCUMBENT COUNT</t>
  </si>
  <si>
    <t>PCN DIST PCT</t>
  </si>
  <si>
    <t>PCN FTE PCT</t>
  </si>
  <si>
    <t>PCN PP HOURS</t>
  </si>
  <si>
    <t>PCN FTP</t>
  </si>
  <si>
    <t>PCN ACTUAL REGULAR</t>
  </si>
  <si>
    <t>PCN ACTUAL OT</t>
  </si>
  <si>
    <t>PCN ACTUAL BENEFITS</t>
  </si>
  <si>
    <t>PCN ESTIMATED SALARY</t>
  </si>
  <si>
    <t>PCN ESTIMATED BENEFITS</t>
  </si>
  <si>
    <t>PCN PROJECTED SALARY</t>
  </si>
  <si>
    <t>PCN PROJECTED BENEFITS</t>
  </si>
  <si>
    <t>EMPLOYEE NAME</t>
  </si>
  <si>
    <t>LAST NAME</t>
  </si>
  <si>
    <t>FIRST NAME</t>
  </si>
  <si>
    <t>MIDDLE NAME</t>
  </si>
  <si>
    <t>INCUMBENT CLASS</t>
  </si>
  <si>
    <t>INCUMBENT PAY SCHEDULE</t>
  </si>
  <si>
    <t>PAY RATE IND</t>
  </si>
  <si>
    <t>PAY RATE</t>
  </si>
  <si>
    <t>CSS HOURS</t>
  </si>
  <si>
    <t>WORK TYPE CODE</t>
  </si>
  <si>
    <t>HEALTH ELIG IND</t>
  </si>
  <si>
    <t>SICK LEAVE ELIG IND</t>
  </si>
  <si>
    <t>UI ELIG IND</t>
  </si>
  <si>
    <t>RET OPT CODE</t>
  </si>
  <si>
    <t>INCUMBENT PP HOURS</t>
  </si>
  <si>
    <t>INCUMBENT FTE</t>
  </si>
  <si>
    <t>INCUMBENT FTI</t>
  </si>
  <si>
    <t>MSGS</t>
  </si>
  <si>
    <t>2022</t>
  </si>
  <si>
    <t>352</t>
  </si>
  <si>
    <t>5569</t>
  </si>
  <si>
    <t>FINANCIAL SPECIALIST</t>
  </si>
  <si>
    <t>0001</t>
  </si>
  <si>
    <t>00</t>
  </si>
  <si>
    <t>TAAA</t>
  </si>
  <si>
    <t>001</t>
  </si>
  <si>
    <t>04245</t>
  </si>
  <si>
    <t>L</t>
  </si>
  <si>
    <t>V</t>
  </si>
  <si>
    <t>NR</t>
  </si>
  <si>
    <t>N</t>
  </si>
  <si>
    <t>3573</t>
  </si>
  <si>
    <t xml:space="preserve">PUBLIC INFO OFCR    </t>
  </si>
  <si>
    <t>05578</t>
  </si>
  <si>
    <t>F</t>
  </si>
  <si>
    <t xml:space="preserve">SHELLEY, BARBARA </t>
  </si>
  <si>
    <t>SHELLEY</t>
  </si>
  <si>
    <t>BARBARA</t>
  </si>
  <si>
    <t xml:space="preserve">              </t>
  </si>
  <si>
    <t>00000</t>
  </si>
  <si>
    <t>H</t>
  </si>
  <si>
    <t>FS</t>
  </si>
  <si>
    <t>E</t>
  </si>
  <si>
    <t>Y</t>
  </si>
  <si>
    <t xml:space="preserve">    </t>
  </si>
  <si>
    <t>1002</t>
  </si>
  <si>
    <t>STATE TAX COMMISSION</t>
  </si>
  <si>
    <t>20400</t>
  </si>
  <si>
    <t>WERK, ELLIOT S.</t>
  </si>
  <si>
    <t>WERK</t>
  </si>
  <si>
    <t>ELLIOT</t>
  </si>
  <si>
    <t>S</t>
  </si>
  <si>
    <t>A</t>
  </si>
  <si>
    <t>5563</t>
  </si>
  <si>
    <t>04246</t>
  </si>
  <si>
    <t>K</t>
  </si>
  <si>
    <t>CR</t>
  </si>
  <si>
    <t>3404</t>
  </si>
  <si>
    <t xml:space="preserve">STOREKEEPER         </t>
  </si>
  <si>
    <t>01546</t>
  </si>
  <si>
    <t>CLARK, TIMOTHY A.</t>
  </si>
  <si>
    <t>CLARK</t>
  </si>
  <si>
    <t>TIMOTHY</t>
  </si>
  <si>
    <t xml:space="preserve">HH   </t>
  </si>
  <si>
    <t>3385</t>
  </si>
  <si>
    <t xml:space="preserve">TAXPAYER SVCS REP   </t>
  </si>
  <si>
    <t>04348</t>
  </si>
  <si>
    <t>I</t>
  </si>
  <si>
    <t>ROBERTS, KENNETH D.</t>
  </si>
  <si>
    <t>ROBERTS</t>
  </si>
  <si>
    <t>KENNETH</t>
  </si>
  <si>
    <t>D</t>
  </si>
  <si>
    <t xml:space="preserve">HI   </t>
  </si>
  <si>
    <t>5557</t>
  </si>
  <si>
    <t>RESEARCH ANLYST,PRIN</t>
  </si>
  <si>
    <t>002</t>
  </si>
  <si>
    <t>05447</t>
  </si>
  <si>
    <t>M</t>
  </si>
  <si>
    <t>3380</t>
  </si>
  <si>
    <t>THORN, LAUREANA I.</t>
  </si>
  <si>
    <t>THORN</t>
  </si>
  <si>
    <t>LAUREANA</t>
  </si>
  <si>
    <t>3309</t>
  </si>
  <si>
    <t>KESTING, JAMES A.</t>
  </si>
  <si>
    <t>KESTING</t>
  </si>
  <si>
    <t>JAMES</t>
  </si>
  <si>
    <t>2803</t>
  </si>
  <si>
    <t>3307</t>
  </si>
  <si>
    <t xml:space="preserve">TAXPAYER SVCS SPEC  </t>
  </si>
  <si>
    <t>04345</t>
  </si>
  <si>
    <t>J</t>
  </si>
  <si>
    <t>FOSTER, SUSAN A.</t>
  </si>
  <si>
    <t>FOSTER</t>
  </si>
  <si>
    <t>SUSAN</t>
  </si>
  <si>
    <t xml:space="preserve">HJ   </t>
  </si>
  <si>
    <t>3305</t>
  </si>
  <si>
    <t xml:space="preserve">PROGRAM SPECIALIST  </t>
  </si>
  <si>
    <t>05274</t>
  </si>
  <si>
    <t>MYERS, GORDON T.</t>
  </si>
  <si>
    <t>MYERS</t>
  </si>
  <si>
    <t>GORDON</t>
  </si>
  <si>
    <t>T</t>
  </si>
  <si>
    <t xml:space="preserve">HK   </t>
  </si>
  <si>
    <t>7203</t>
  </si>
  <si>
    <t>IT SOFTWARE ENGINEER</t>
  </si>
  <si>
    <t>01716</t>
  </si>
  <si>
    <t>DUFORT, BRIAN J.</t>
  </si>
  <si>
    <t>DUFORT</t>
  </si>
  <si>
    <t>BRIAN</t>
  </si>
  <si>
    <t xml:space="preserve">HM   </t>
  </si>
  <si>
    <t>3303</t>
  </si>
  <si>
    <t>SMITH, RONALD M.</t>
  </si>
  <si>
    <t>SMITH</t>
  </si>
  <si>
    <t>RONALD</t>
  </si>
  <si>
    <t>MARK</t>
  </si>
  <si>
    <t>9981</t>
  </si>
  <si>
    <t xml:space="preserve">OFFICE SPECIALIST 2 </t>
  </si>
  <si>
    <t>01239</t>
  </si>
  <si>
    <t>G</t>
  </si>
  <si>
    <t>NG</t>
  </si>
  <si>
    <t>7202</t>
  </si>
  <si>
    <t>CASCIO, NICHOLAI W.</t>
  </si>
  <si>
    <t>CASCIO</t>
  </si>
  <si>
    <t>NICHOLAI</t>
  </si>
  <si>
    <t>W</t>
  </si>
  <si>
    <t>01715</t>
  </si>
  <si>
    <t xml:space="preserve">HL   </t>
  </si>
  <si>
    <t>5505</t>
  </si>
  <si>
    <t xml:space="preserve">TAX MANAGER         </t>
  </si>
  <si>
    <t>003</t>
  </si>
  <si>
    <t>04305</t>
  </si>
  <si>
    <t>O</t>
  </si>
  <si>
    <t>3203</t>
  </si>
  <si>
    <t>STRATTON, KIMBERLEE J.</t>
  </si>
  <si>
    <t>STRATTON</t>
  </si>
  <si>
    <t>KIMBERLEE</t>
  </si>
  <si>
    <t>9979</t>
  </si>
  <si>
    <t>7109</t>
  </si>
  <si>
    <t xml:space="preserve">HARRIS, ALEXANDREA </t>
  </si>
  <si>
    <t>HARRIS</t>
  </si>
  <si>
    <t>ALEXANDREA</t>
  </si>
  <si>
    <t>01714</t>
  </si>
  <si>
    <t>3108</t>
  </si>
  <si>
    <t>CARD, JENNIFFER L.</t>
  </si>
  <si>
    <t>CARD</t>
  </si>
  <si>
    <t>JENNIFFER</t>
  </si>
  <si>
    <t>7108</t>
  </si>
  <si>
    <t xml:space="preserve">PARKER, GLENN </t>
  </si>
  <si>
    <t>PARKER</t>
  </si>
  <si>
    <t>GLENN</t>
  </si>
  <si>
    <t>2401</t>
  </si>
  <si>
    <t xml:space="preserve">TAX SPECIALIST      </t>
  </si>
  <si>
    <t>04307</t>
  </si>
  <si>
    <t>HIRSCHI, CARYN J.</t>
  </si>
  <si>
    <t>HIRSCHI</t>
  </si>
  <si>
    <t>CARYN</t>
  </si>
  <si>
    <t>9977</t>
  </si>
  <si>
    <t>7107</t>
  </si>
  <si>
    <t xml:space="preserve">PROGRAM MANAGER     </t>
  </si>
  <si>
    <t>09047</t>
  </si>
  <si>
    <t>SMITH, GLENDA A.</t>
  </si>
  <si>
    <t>GLENDA</t>
  </si>
  <si>
    <t xml:space="preserve">HN   </t>
  </si>
  <si>
    <t>3050</t>
  </si>
  <si>
    <t>HUMAN RESOURCE SPEC,</t>
  </si>
  <si>
    <t>05134</t>
  </si>
  <si>
    <t xml:space="preserve">MARTINEZ, MARGARET </t>
  </si>
  <si>
    <t>MARTINEZ</t>
  </si>
  <si>
    <t>MARGARET</t>
  </si>
  <si>
    <t>7050</t>
  </si>
  <si>
    <t>MURPHY, JOHN P.</t>
  </si>
  <si>
    <t>MURPHY</t>
  </si>
  <si>
    <t>JOHN</t>
  </si>
  <si>
    <t>P</t>
  </si>
  <si>
    <t>2922</t>
  </si>
  <si>
    <t xml:space="preserve">BUSINESS ANALYST    </t>
  </si>
  <si>
    <t>05520</t>
  </si>
  <si>
    <t>CARTER, SHANNON L.</t>
  </si>
  <si>
    <t>CARTER</t>
  </si>
  <si>
    <t>SHANNON</t>
  </si>
  <si>
    <t>5571</t>
  </si>
  <si>
    <t>TAX AUTO SYSTEM SPEC</t>
  </si>
  <si>
    <t>04377</t>
  </si>
  <si>
    <t>ASHCRAFT, RYAN A.</t>
  </si>
  <si>
    <t>ASHCRAFT</t>
  </si>
  <si>
    <t>RYAN</t>
  </si>
  <si>
    <t>2807</t>
  </si>
  <si>
    <t>AUTOMATED SYSTEM MGR</t>
  </si>
  <si>
    <t>09064</t>
  </si>
  <si>
    <t>STEVENS, MARK A.</t>
  </si>
  <si>
    <t>STEVENS</t>
  </si>
  <si>
    <t>5570</t>
  </si>
  <si>
    <t>04244</t>
  </si>
  <si>
    <t>ALLISON, CRAIG L.</t>
  </si>
  <si>
    <t>ALLISON</t>
  </si>
  <si>
    <t>CRAIG</t>
  </si>
  <si>
    <t>2804</t>
  </si>
  <si>
    <t>KOPKE, LISA A.</t>
  </si>
  <si>
    <t>KOPKE</t>
  </si>
  <si>
    <t>LISA</t>
  </si>
  <si>
    <t>5564</t>
  </si>
  <si>
    <t xml:space="preserve">BUYER               </t>
  </si>
  <si>
    <t>01536</t>
  </si>
  <si>
    <t>CLARK, VALERIE A.</t>
  </si>
  <si>
    <t>VALERIE</t>
  </si>
  <si>
    <t>2410</t>
  </si>
  <si>
    <t>BETTENCOURT, DAVID C.</t>
  </si>
  <si>
    <t>BETTENCOURT</t>
  </si>
  <si>
    <t>DAVID</t>
  </si>
  <si>
    <t>C</t>
  </si>
  <si>
    <t>9973</t>
  </si>
  <si>
    <t xml:space="preserve">OFFICE SPECIALIST 1 </t>
  </si>
  <si>
    <t>01114</t>
  </si>
  <si>
    <t>5560</t>
  </si>
  <si>
    <t xml:space="preserve">PURCHASING AGENT    </t>
  </si>
  <si>
    <t>01532</t>
  </si>
  <si>
    <t>VOSS, KEVIN J.</t>
  </si>
  <si>
    <t>VOSS</t>
  </si>
  <si>
    <t>KEVIN</t>
  </si>
  <si>
    <t>2406</t>
  </si>
  <si>
    <t>PACK, ALAN R.</t>
  </si>
  <si>
    <t>PACK</t>
  </si>
  <si>
    <t>ALAN</t>
  </si>
  <si>
    <t>R</t>
  </si>
  <si>
    <t>9972</t>
  </si>
  <si>
    <t>5554</t>
  </si>
  <si>
    <t xml:space="preserve">FINANCIAL EXECUTIVE </t>
  </si>
  <si>
    <t>04240</t>
  </si>
  <si>
    <t>LANDRY, NICOLAS J.</t>
  </si>
  <si>
    <t>LANDRY</t>
  </si>
  <si>
    <t>NICOLAS</t>
  </si>
  <si>
    <t xml:space="preserve">HP   </t>
  </si>
  <si>
    <t>1220</t>
  </si>
  <si>
    <t>2405</t>
  </si>
  <si>
    <t>REINES, DANIEL T.</t>
  </si>
  <si>
    <t>REINES</t>
  </si>
  <si>
    <t>DANIEL</t>
  </si>
  <si>
    <t>5531</t>
  </si>
  <si>
    <t xml:space="preserve">AVILA, OSCAR </t>
  </si>
  <si>
    <t>AVILA</t>
  </si>
  <si>
    <t>OSCAR</t>
  </si>
  <si>
    <t>2404</t>
  </si>
  <si>
    <t>SHANER, THOMAS C.</t>
  </si>
  <si>
    <t>SHANER</t>
  </si>
  <si>
    <t>THOMAS</t>
  </si>
  <si>
    <t xml:space="preserve">HO   </t>
  </si>
  <si>
    <t>5517</t>
  </si>
  <si>
    <t>TAX AUTO SYSTEM MANA</t>
  </si>
  <si>
    <t>04376</t>
  </si>
  <si>
    <t>NORTON, MARC S.</t>
  </si>
  <si>
    <t>NORTON</t>
  </si>
  <si>
    <t>MARC</t>
  </si>
  <si>
    <t>3603</t>
  </si>
  <si>
    <t>2403</t>
  </si>
  <si>
    <t>GUNTER, JIM D.</t>
  </si>
  <si>
    <t>GUNTER</t>
  </si>
  <si>
    <t>JIM</t>
  </si>
  <si>
    <t>5509</t>
  </si>
  <si>
    <t>PHILLIPS, LINDSEY W.</t>
  </si>
  <si>
    <t>PHILLIPS</t>
  </si>
  <si>
    <t>LINDSEY</t>
  </si>
  <si>
    <t>1007</t>
  </si>
  <si>
    <t>PUBLIC INFORMATION D</t>
  </si>
  <si>
    <t>20401</t>
  </si>
  <si>
    <t>2285</t>
  </si>
  <si>
    <t>BOGGIE, SHELLI A.</t>
  </si>
  <si>
    <t>BOGGIE</t>
  </si>
  <si>
    <t>SHELLI</t>
  </si>
  <si>
    <t>ANNE</t>
  </si>
  <si>
    <t>5506</t>
  </si>
  <si>
    <t>WEAVER, JUSTINE M.</t>
  </si>
  <si>
    <t>WEAVER</t>
  </si>
  <si>
    <t>JUSTINE</t>
  </si>
  <si>
    <t>2255</t>
  </si>
  <si>
    <t xml:space="preserve">HUMAN RESOURCE SPEC </t>
  </si>
  <si>
    <t>05141</t>
  </si>
  <si>
    <t xml:space="preserve">COLLINS, LORENZO </t>
  </si>
  <si>
    <t>COLLINS</t>
  </si>
  <si>
    <t>LORENZO</t>
  </si>
  <si>
    <t>5501</t>
  </si>
  <si>
    <t xml:space="preserve">LINARES, ADRIANA </t>
  </si>
  <si>
    <t>LINARES</t>
  </si>
  <si>
    <t>ADRIANA</t>
  </si>
  <si>
    <t>2250</t>
  </si>
  <si>
    <t>HUMAN RESOURCE OFFIC</t>
  </si>
  <si>
    <t>05131</t>
  </si>
  <si>
    <t>GRABENSTEIN, RHAMONA M.</t>
  </si>
  <si>
    <t>GRABENSTEIN</t>
  </si>
  <si>
    <t>RHAMONA</t>
  </si>
  <si>
    <t>5202</t>
  </si>
  <si>
    <t>MANAGEMENT ASSISTANT</t>
  </si>
  <si>
    <t>05272</t>
  </si>
  <si>
    <t>YOUNG, MARIA A.</t>
  </si>
  <si>
    <t>YOUNG</t>
  </si>
  <si>
    <t>MARIA</t>
  </si>
  <si>
    <t>ANTOINETTE</t>
  </si>
  <si>
    <t>2206</t>
  </si>
  <si>
    <t>CADY, AMY C.</t>
  </si>
  <si>
    <t>CADY</t>
  </si>
  <si>
    <t>AMY</t>
  </si>
  <si>
    <t>5001</t>
  </si>
  <si>
    <t>IT OPS &amp; SUPPORT TEC</t>
  </si>
  <si>
    <t>01707</t>
  </si>
  <si>
    <t>IRWIN, DAVID M.</t>
  </si>
  <si>
    <t>IRWIN</t>
  </si>
  <si>
    <t>9998</t>
  </si>
  <si>
    <t xml:space="preserve">PROJECT MANAGER 3   </t>
  </si>
  <si>
    <t>05570</t>
  </si>
  <si>
    <t>2205</t>
  </si>
  <si>
    <t>HUMAN RESOURCE ASSOC</t>
  </si>
  <si>
    <t>05158</t>
  </si>
  <si>
    <t xml:space="preserve">MORALES, CECILIA </t>
  </si>
  <si>
    <t>MORALES</t>
  </si>
  <si>
    <t>CECILIA</t>
  </si>
  <si>
    <t>3709</t>
  </si>
  <si>
    <t xml:space="preserve">ADMIN ASST 1        </t>
  </si>
  <si>
    <t>01235</t>
  </si>
  <si>
    <t>HODGSON, MEREDITH A.</t>
  </si>
  <si>
    <t>HODGSON</t>
  </si>
  <si>
    <t>MEREDITH</t>
  </si>
  <si>
    <t>9997</t>
  </si>
  <si>
    <t xml:space="preserve">TEMPORARY EMPLOYEES </t>
  </si>
  <si>
    <t>95000</t>
  </si>
  <si>
    <t>3606</t>
  </si>
  <si>
    <t>WEDDLE, DAVID P.</t>
  </si>
  <si>
    <t>WEDDLE</t>
  </si>
  <si>
    <t>1878</t>
  </si>
  <si>
    <t>PALMER, LISA J.</t>
  </si>
  <si>
    <t>PALMER</t>
  </si>
  <si>
    <t>3604</t>
  </si>
  <si>
    <t>GILES, PATRICIA J.</t>
  </si>
  <si>
    <t>GILES</t>
  </si>
  <si>
    <t>PATRICIA</t>
  </si>
  <si>
    <t>1211</t>
  </si>
  <si>
    <t>TRINH, KIM H.</t>
  </si>
  <si>
    <t>TRINH</t>
  </si>
  <si>
    <t>KIM</t>
  </si>
  <si>
    <t>3602</t>
  </si>
  <si>
    <t>ROSTOCK, JANET M.</t>
  </si>
  <si>
    <t>ROSTOCK</t>
  </si>
  <si>
    <t>JANET</t>
  </si>
  <si>
    <t>1210</t>
  </si>
  <si>
    <t xml:space="preserve">PINKNEY  JR, FRANK </t>
  </si>
  <si>
    <t>PINKNEY  JR</t>
  </si>
  <si>
    <t>FRANK</t>
  </si>
  <si>
    <t>3579</t>
  </si>
  <si>
    <t>CHIEF OPERATING OFFI</t>
  </si>
  <si>
    <t>21362</t>
  </si>
  <si>
    <t>BERNASCONI, JOHN L.</t>
  </si>
  <si>
    <t>BERNASCONI</t>
  </si>
  <si>
    <t>1008</t>
  </si>
  <si>
    <t xml:space="preserve">TRAINING SPEC       </t>
  </si>
  <si>
    <t>05122</t>
  </si>
  <si>
    <t>LANDRUM, HILLARY C.</t>
  </si>
  <si>
    <t>LANDRUM</t>
  </si>
  <si>
    <t>HILLARY</t>
  </si>
  <si>
    <t>3578</t>
  </si>
  <si>
    <t>SURLINE, PATRICIA J.</t>
  </si>
  <si>
    <t>SURLINE</t>
  </si>
  <si>
    <t>1005</t>
  </si>
  <si>
    <t>ADRIAN, CYNTHIA R.</t>
  </si>
  <si>
    <t>ADRIAN</t>
  </si>
  <si>
    <t>CYNTHIA</t>
  </si>
  <si>
    <t>3575</t>
  </si>
  <si>
    <t xml:space="preserve">PUBLIC INFO OFCR,SR </t>
  </si>
  <si>
    <t>05580</t>
  </si>
  <si>
    <t>EYMANN, RENEE C.</t>
  </si>
  <si>
    <t>EYMANN</t>
  </si>
  <si>
    <t>RENEE</t>
  </si>
  <si>
    <t>1004</t>
  </si>
  <si>
    <t xml:space="preserve">KATSILOMETES, TOM </t>
  </si>
  <si>
    <t>KATSILOMETES</t>
  </si>
  <si>
    <t>TOM</t>
  </si>
  <si>
    <t>3574</t>
  </si>
  <si>
    <t xml:space="preserve">PROJECT COORDINATOR </t>
  </si>
  <si>
    <t>02913</t>
  </si>
  <si>
    <t>JONES, LESLIE M.</t>
  </si>
  <si>
    <t>JONES</t>
  </si>
  <si>
    <t>LESLIE</t>
  </si>
  <si>
    <t>MURIELLE</t>
  </si>
  <si>
    <t>1003</t>
  </si>
  <si>
    <t>MOYLE, JANET L.</t>
  </si>
  <si>
    <t>MOYLE</t>
  </si>
  <si>
    <t>0338</t>
  </si>
  <si>
    <t>01</t>
  </si>
  <si>
    <t>3025</t>
  </si>
  <si>
    <t>02</t>
  </si>
  <si>
    <t>WILLIAMS, DON W.</t>
  </si>
  <si>
    <t>WILLIAMS</t>
  </si>
  <si>
    <t>DON</t>
  </si>
  <si>
    <t>1001</t>
  </si>
  <si>
    <t xml:space="preserve">MCCRAY, JEFFERSON </t>
  </si>
  <si>
    <t>MCCRAY</t>
  </si>
  <si>
    <t>JEFFERSON</t>
  </si>
  <si>
    <t>7115</t>
  </si>
  <si>
    <t>WEISS, KAIA A.</t>
  </si>
  <si>
    <t>WEISS</t>
  </si>
  <si>
    <t>KAIA</t>
  </si>
  <si>
    <t>4940</t>
  </si>
  <si>
    <t>IT OPS &amp; SUPPORT ANA</t>
  </si>
  <si>
    <t>01709</t>
  </si>
  <si>
    <t>BLADES, ELMER J.</t>
  </si>
  <si>
    <t>BLADES</t>
  </si>
  <si>
    <t>ELMER</t>
  </si>
  <si>
    <t>3164</t>
  </si>
  <si>
    <t xml:space="preserve">TAX AUDITOR 1       </t>
  </si>
  <si>
    <t>TAAB</t>
  </si>
  <si>
    <t>04338</t>
  </si>
  <si>
    <t xml:space="preserve">MENDEZ, PATRICK </t>
  </si>
  <si>
    <t>MENDEZ</t>
  </si>
  <si>
    <t>PATRICK</t>
  </si>
  <si>
    <t>1724</t>
  </si>
  <si>
    <t xml:space="preserve">TAX AUDITOR 3       </t>
  </si>
  <si>
    <t>04334</t>
  </si>
  <si>
    <t>MERRICK, DAVID S.</t>
  </si>
  <si>
    <t>MERRICK</t>
  </si>
  <si>
    <t>3156</t>
  </si>
  <si>
    <t>2429</t>
  </si>
  <si>
    <t xml:space="preserve">TAX AUDITOR 2       </t>
  </si>
  <si>
    <t>04336</t>
  </si>
  <si>
    <t>GOMEZ, JOSE L.</t>
  </si>
  <si>
    <t>GOMEZ</t>
  </si>
  <si>
    <t>JOSE</t>
  </si>
  <si>
    <t>LUIS</t>
  </si>
  <si>
    <t>3162</t>
  </si>
  <si>
    <t>MADER, CHRISTOPHER A.</t>
  </si>
  <si>
    <t>MADER</t>
  </si>
  <si>
    <t>CHRISTOPHER</t>
  </si>
  <si>
    <t>1723</t>
  </si>
  <si>
    <t>PARENTEAU, ANNETTE G.</t>
  </si>
  <si>
    <t>PARENTEAU</t>
  </si>
  <si>
    <t>ANNETTE</t>
  </si>
  <si>
    <t>2428</t>
  </si>
  <si>
    <t>JOHNSON, PHILIP R.</t>
  </si>
  <si>
    <t>JOHNSON</t>
  </si>
  <si>
    <t>PHILIP</t>
  </si>
  <si>
    <t>3161</t>
  </si>
  <si>
    <t xml:space="preserve">SHAO, DANDAN </t>
  </si>
  <si>
    <t>SHAO</t>
  </si>
  <si>
    <t>DANDAN</t>
  </si>
  <si>
    <t>1722</t>
  </si>
  <si>
    <t xml:space="preserve">LONG, NANN </t>
  </si>
  <si>
    <t>LONG</t>
  </si>
  <si>
    <t>NANN</t>
  </si>
  <si>
    <t>2427</t>
  </si>
  <si>
    <t>WOODBURY, RACHEL L.</t>
  </si>
  <si>
    <t>WOODBURY</t>
  </si>
  <si>
    <t>RACHEL</t>
  </si>
  <si>
    <t>3160</t>
  </si>
  <si>
    <t>NAU, TAMASON D.</t>
  </si>
  <si>
    <t>NAU</t>
  </si>
  <si>
    <t>TAMASON</t>
  </si>
  <si>
    <t>1720</t>
  </si>
  <si>
    <t>FOSTER, ROBERT C.</t>
  </si>
  <si>
    <t>ROBERT</t>
  </si>
  <si>
    <t>2426</t>
  </si>
  <si>
    <t>LEPPELL, NAOMI S.</t>
  </si>
  <si>
    <t>LEPPELL</t>
  </si>
  <si>
    <t>NAOMI</t>
  </si>
  <si>
    <t>3158</t>
  </si>
  <si>
    <t>HIATT, GREGORY T.</t>
  </si>
  <si>
    <t>HIATT</t>
  </si>
  <si>
    <t>GREGORY</t>
  </si>
  <si>
    <t>1719</t>
  </si>
  <si>
    <t>LENCH, KEITH A.</t>
  </si>
  <si>
    <t>LENCH</t>
  </si>
  <si>
    <t>KEITH</t>
  </si>
  <si>
    <t>2424</t>
  </si>
  <si>
    <t xml:space="preserve">TAX BUREAU CHIEF    </t>
  </si>
  <si>
    <t>04304</t>
  </si>
  <si>
    <t>MADSEN, ANDREA J.</t>
  </si>
  <si>
    <t>MADSEN</t>
  </si>
  <si>
    <t>ANDREA</t>
  </si>
  <si>
    <t>3157</t>
  </si>
  <si>
    <t xml:space="preserve">TAX AUDIT MGR       </t>
  </si>
  <si>
    <t>04332</t>
  </si>
  <si>
    <t>KERR, SEAN M.</t>
  </si>
  <si>
    <t>KERR</t>
  </si>
  <si>
    <t>SEAN</t>
  </si>
  <si>
    <t>1718</t>
  </si>
  <si>
    <t>HAYNES, ZACHARY R.</t>
  </si>
  <si>
    <t>HAYNES</t>
  </si>
  <si>
    <t>ZACHARY</t>
  </si>
  <si>
    <t>2613</t>
  </si>
  <si>
    <t>2422</t>
  </si>
  <si>
    <t xml:space="preserve">TAX AUDITOR 4       </t>
  </si>
  <si>
    <t>04333</t>
  </si>
  <si>
    <t>SOLOMON, L K.</t>
  </si>
  <si>
    <t>SOLOMON</t>
  </si>
  <si>
    <t>3154</t>
  </si>
  <si>
    <t>DANLEY, REBECCA D.</t>
  </si>
  <si>
    <t>DANLEY</t>
  </si>
  <si>
    <t>REBECCA</t>
  </si>
  <si>
    <t>1717</t>
  </si>
  <si>
    <t>JENNINGS, DAVID A.</t>
  </si>
  <si>
    <t>JENNINGS</t>
  </si>
  <si>
    <t>2526</t>
  </si>
  <si>
    <t>2421</t>
  </si>
  <si>
    <t xml:space="preserve">ZHOU, XIAONAN </t>
  </si>
  <si>
    <t>ZHOU</t>
  </si>
  <si>
    <t>XIAONAN</t>
  </si>
  <si>
    <t>3153</t>
  </si>
  <si>
    <t>KONZEK, MARK B.</t>
  </si>
  <si>
    <t>KONZEK</t>
  </si>
  <si>
    <t>B</t>
  </si>
  <si>
    <t>1716</t>
  </si>
  <si>
    <t>CAPRAI, CHARMAINE C.</t>
  </si>
  <si>
    <t>CAPRAI</t>
  </si>
  <si>
    <t>CHARMAINE</t>
  </si>
  <si>
    <t>2408</t>
  </si>
  <si>
    <t>SIMONS, NATALIE A.</t>
  </si>
  <si>
    <t>SIMONS</t>
  </si>
  <si>
    <t>NATALIE</t>
  </si>
  <si>
    <t>3152</t>
  </si>
  <si>
    <t>O'KIEF, JOHN C.</t>
  </si>
  <si>
    <t>O'KIEF</t>
  </si>
  <si>
    <t>CHRISTIAN</t>
  </si>
  <si>
    <t>1715</t>
  </si>
  <si>
    <t>WILL, JACOB A.</t>
  </si>
  <si>
    <t>WILL</t>
  </si>
  <si>
    <t>JACOB</t>
  </si>
  <si>
    <t>1860</t>
  </si>
  <si>
    <t xml:space="preserve">TECH RECORDS SPEC 1 </t>
  </si>
  <si>
    <t>01104</t>
  </si>
  <si>
    <t>OHLSSEN-JOHNSON, DIANA L.</t>
  </si>
  <si>
    <t>OHLSSEN-JOHNSON</t>
  </si>
  <si>
    <t>DIANA</t>
  </si>
  <si>
    <t>LYNN</t>
  </si>
  <si>
    <t>3151</t>
  </si>
  <si>
    <t xml:space="preserve">MALEVICH, LIUDMILA </t>
  </si>
  <si>
    <t>MALEVICH</t>
  </si>
  <si>
    <t>LIUDMILA</t>
  </si>
  <si>
    <t>1713</t>
  </si>
  <si>
    <t>COLVIN, LORNA B.</t>
  </si>
  <si>
    <t>COLVIN</t>
  </si>
  <si>
    <t>LORNA</t>
  </si>
  <si>
    <t>1859</t>
  </si>
  <si>
    <t>TROMBURG, CHRISTINA M.</t>
  </si>
  <si>
    <t>TROMBURG</t>
  </si>
  <si>
    <t>CHRISTINA</t>
  </si>
  <si>
    <t>3150</t>
  </si>
  <si>
    <t>WITT, NICKI J.</t>
  </si>
  <si>
    <t>WITT</t>
  </si>
  <si>
    <t>NICKI</t>
  </si>
  <si>
    <t>1711</t>
  </si>
  <si>
    <t xml:space="preserve">GAMBRILL, JENNIFER </t>
  </si>
  <si>
    <t>GAMBRILL</t>
  </si>
  <si>
    <t>JENNIFER</t>
  </si>
  <si>
    <t>1856</t>
  </si>
  <si>
    <t>PILOT, JESSICA L.</t>
  </si>
  <si>
    <t>PILOT</t>
  </si>
  <si>
    <t>JESSICA</t>
  </si>
  <si>
    <t>2811</t>
  </si>
  <si>
    <t>BUTIKOFER, AARON E.</t>
  </si>
  <si>
    <t>BUTIKOFER</t>
  </si>
  <si>
    <t>AARON</t>
  </si>
  <si>
    <t>5514</t>
  </si>
  <si>
    <t>STONES, MARK D.</t>
  </si>
  <si>
    <t>STONES</t>
  </si>
  <si>
    <t>1706</t>
  </si>
  <si>
    <t>WARGO, STEVEN M.</t>
  </si>
  <si>
    <t>WARGO</t>
  </si>
  <si>
    <t>STEVEN</t>
  </si>
  <si>
    <t>1813</t>
  </si>
  <si>
    <t>HUNTER, RYAN L.</t>
  </si>
  <si>
    <t>HUNTER</t>
  </si>
  <si>
    <t>3740</t>
  </si>
  <si>
    <t>FINANCIAL TECHNICIAN</t>
  </si>
  <si>
    <t>04248</t>
  </si>
  <si>
    <t>9975</t>
  </si>
  <si>
    <t>5513</t>
  </si>
  <si>
    <t>BOYD, JANICE L.</t>
  </si>
  <si>
    <t>BOYD</t>
  </si>
  <si>
    <t>JANICE</t>
  </si>
  <si>
    <t>1705</t>
  </si>
  <si>
    <t>JANSON, JEREMY S.</t>
  </si>
  <si>
    <t>JANSON</t>
  </si>
  <si>
    <t>JEREMY</t>
  </si>
  <si>
    <t>SCOTT</t>
  </si>
  <si>
    <t>1812</t>
  </si>
  <si>
    <t>PALMER, MELANIE J.</t>
  </si>
  <si>
    <t>MELANIE</t>
  </si>
  <si>
    <t>2704</t>
  </si>
  <si>
    <t>ST MARIE, SEAN P.</t>
  </si>
  <si>
    <t>ST MARIE</t>
  </si>
  <si>
    <t>5512</t>
  </si>
  <si>
    <t>TAX DIV ADMINISTRATO</t>
  </si>
  <si>
    <t>04312</t>
  </si>
  <si>
    <t>Q</t>
  </si>
  <si>
    <t>WIND, KIMBERLY D.</t>
  </si>
  <si>
    <t>WIND</t>
  </si>
  <si>
    <t>KIMBERLY</t>
  </si>
  <si>
    <t>1630</t>
  </si>
  <si>
    <t>GOSSE, LINDA M.</t>
  </si>
  <si>
    <t>GOSSE</t>
  </si>
  <si>
    <t>LINDA</t>
  </si>
  <si>
    <t>MARIE</t>
  </si>
  <si>
    <t>1721</t>
  </si>
  <si>
    <t>1771</t>
  </si>
  <si>
    <t xml:space="preserve">GRANT, CRISTIANA </t>
  </si>
  <si>
    <t>GRANT</t>
  </si>
  <si>
    <t>CRISTIANA</t>
  </si>
  <si>
    <t>2617</t>
  </si>
  <si>
    <t xml:space="preserve">TECH RECORDS SPEC 2 </t>
  </si>
  <si>
    <t>01103</t>
  </si>
  <si>
    <t>LYNCH, LOLA L.</t>
  </si>
  <si>
    <t>LYNCH</t>
  </si>
  <si>
    <t>LOLA</t>
  </si>
  <si>
    <t>5114</t>
  </si>
  <si>
    <t>DUNN, KAREN L.</t>
  </si>
  <si>
    <t>DUNN</t>
  </si>
  <si>
    <t>KAREN</t>
  </si>
  <si>
    <t>1628</t>
  </si>
  <si>
    <t>MCFADDAN, CARMA B.</t>
  </si>
  <si>
    <t>MCFADDAN</t>
  </si>
  <si>
    <t>CARMA</t>
  </si>
  <si>
    <t>1770</t>
  </si>
  <si>
    <t>KETNER  JR, JOHNNY D.</t>
  </si>
  <si>
    <t>KETNER  JR</t>
  </si>
  <si>
    <t>JOHNNY</t>
  </si>
  <si>
    <t>2616</t>
  </si>
  <si>
    <t>LEWIS, CHRISTEN L.</t>
  </si>
  <si>
    <t>LEWIS</t>
  </si>
  <si>
    <t>CHRISTEN</t>
  </si>
  <si>
    <t>5105</t>
  </si>
  <si>
    <t>TECHNICAL RECORDS SP</t>
  </si>
  <si>
    <t>01105</t>
  </si>
  <si>
    <t>CALICO, ROSE C.</t>
  </si>
  <si>
    <t>CALICO</t>
  </si>
  <si>
    <t>ROSE</t>
  </si>
  <si>
    <t>1627</t>
  </si>
  <si>
    <t>GRIFFIN, KEVEN R.</t>
  </si>
  <si>
    <t>GRIFFIN</t>
  </si>
  <si>
    <t>KEVEN</t>
  </si>
  <si>
    <t>1759</t>
  </si>
  <si>
    <t>SCHAT, DENNIS P.</t>
  </si>
  <si>
    <t>SCHAT</t>
  </si>
  <si>
    <t>DENNIS</t>
  </si>
  <si>
    <t>2615</t>
  </si>
  <si>
    <t>04249</t>
  </si>
  <si>
    <t>ABERNATHY, KIMBERLY E.</t>
  </si>
  <si>
    <t>ABERNATHY</t>
  </si>
  <si>
    <t>PT</t>
  </si>
  <si>
    <t>5104</t>
  </si>
  <si>
    <t>SANTI, MEGAN J.</t>
  </si>
  <si>
    <t>SANTI</t>
  </si>
  <si>
    <t>MEGAN</t>
  </si>
  <si>
    <t>1626</t>
  </si>
  <si>
    <t>WASSMUTH, LELAND W.</t>
  </si>
  <si>
    <t>WASSMUTH</t>
  </si>
  <si>
    <t>LELAND</t>
  </si>
  <si>
    <t>1758</t>
  </si>
  <si>
    <t xml:space="preserve">BENAVIDES, NOE </t>
  </si>
  <si>
    <t>BENAVIDES</t>
  </si>
  <si>
    <t>NOE</t>
  </si>
  <si>
    <t>2614</t>
  </si>
  <si>
    <t>GARATEA, MARIA J.</t>
  </si>
  <si>
    <t>GARATEA</t>
  </si>
  <si>
    <t>9971</t>
  </si>
  <si>
    <t>5103</t>
  </si>
  <si>
    <t>ANTRIM, JENNIFER J.</t>
  </si>
  <si>
    <t>ANTRIM</t>
  </si>
  <si>
    <t>1625</t>
  </si>
  <si>
    <t>BUSMANN, GREG S.</t>
  </si>
  <si>
    <t>BUSMANN</t>
  </si>
  <si>
    <t>GREG</t>
  </si>
  <si>
    <t>1757</t>
  </si>
  <si>
    <t>HAMMACK, JAMES M.</t>
  </si>
  <si>
    <t>HAMMACK</t>
  </si>
  <si>
    <t>2612</t>
  </si>
  <si>
    <t>WENSMAN, LAURA N.</t>
  </si>
  <si>
    <t>WENSMAN</t>
  </si>
  <si>
    <t>LAURA</t>
  </si>
  <si>
    <t>5102</t>
  </si>
  <si>
    <t>EAVENSON, KAREN M.</t>
  </si>
  <si>
    <t>EAVENSON</t>
  </si>
  <si>
    <t>1624</t>
  </si>
  <si>
    <t>WILSON, ZACHARY R.</t>
  </si>
  <si>
    <t>WILSON</t>
  </si>
  <si>
    <t>1756</t>
  </si>
  <si>
    <t>PROGRAM SPECIALIST T</t>
  </si>
  <si>
    <t>05273</t>
  </si>
  <si>
    <t>KOLDING, BRENDA R.</t>
  </si>
  <si>
    <t>KOLDING</t>
  </si>
  <si>
    <t>BRENDA</t>
  </si>
  <si>
    <t>2611</t>
  </si>
  <si>
    <t>ALLEN, NANCY R.</t>
  </si>
  <si>
    <t>ALLEN</t>
  </si>
  <si>
    <t>NANCY</t>
  </si>
  <si>
    <t>3852</t>
  </si>
  <si>
    <t>CLARK, TIMOTHY B.</t>
  </si>
  <si>
    <t>1610</t>
  </si>
  <si>
    <t xml:space="preserve">CANNING, THOMAS </t>
  </si>
  <si>
    <t>CANNING</t>
  </si>
  <si>
    <t>1755</t>
  </si>
  <si>
    <t>ETHRIDGE, KEAGAN C.</t>
  </si>
  <si>
    <t>ETHRIDGE</t>
  </si>
  <si>
    <t>KEAGAN</t>
  </si>
  <si>
    <t>2609</t>
  </si>
  <si>
    <t xml:space="preserve">OSGOOD, SPENCER </t>
  </si>
  <si>
    <t>OSGOOD</t>
  </si>
  <si>
    <t>SPENCER</t>
  </si>
  <si>
    <t>3531</t>
  </si>
  <si>
    <t>FADEL, JOEL D.</t>
  </si>
  <si>
    <t>FADEL</t>
  </si>
  <si>
    <t>JOEL</t>
  </si>
  <si>
    <t>1416</t>
  </si>
  <si>
    <t>OBOSKY, MARIA LUISA G.</t>
  </si>
  <si>
    <t>OBOSKY</t>
  </si>
  <si>
    <t>MARIA LUISA</t>
  </si>
  <si>
    <t>1753</t>
  </si>
  <si>
    <t>SIVILS, ANDIE M.</t>
  </si>
  <si>
    <t>SIVILS</t>
  </si>
  <si>
    <t>ANDIE</t>
  </si>
  <si>
    <t>2607</t>
  </si>
  <si>
    <t>WRIGHT, PEGGY S.</t>
  </si>
  <si>
    <t>WRIGHT</t>
  </si>
  <si>
    <t>PEGGY</t>
  </si>
  <si>
    <t>3530</t>
  </si>
  <si>
    <t>KOOCH, APRIL N.</t>
  </si>
  <si>
    <t>KOOCH</t>
  </si>
  <si>
    <t>APRIL</t>
  </si>
  <si>
    <t>NICOLE</t>
  </si>
  <si>
    <t>1752</t>
  </si>
  <si>
    <t>SCHNEIDER, AARON J.</t>
  </si>
  <si>
    <t>SCHNEIDER</t>
  </si>
  <si>
    <t>2606</t>
  </si>
  <si>
    <t xml:space="preserve">HURST, JOVONN </t>
  </si>
  <si>
    <t>HURST</t>
  </si>
  <si>
    <t>JOVONN</t>
  </si>
  <si>
    <t>3340</t>
  </si>
  <si>
    <t>BAKER, SCOTT J.</t>
  </si>
  <si>
    <t>BAKER</t>
  </si>
  <si>
    <t>1750</t>
  </si>
  <si>
    <t xml:space="preserve">VAIL, JOHN </t>
  </si>
  <si>
    <t>VAIL</t>
  </si>
  <si>
    <t>3365</t>
  </si>
  <si>
    <t>3335</t>
  </si>
  <si>
    <t xml:space="preserve">ADMIN ASST 2        </t>
  </si>
  <si>
    <t>01231</t>
  </si>
  <si>
    <t>NASH-JACKSON, TONI L.</t>
  </si>
  <si>
    <t>NASH-JACKSON</t>
  </si>
  <si>
    <t>TONI</t>
  </si>
  <si>
    <t>1748</t>
  </si>
  <si>
    <t>HANSEN, RYAN B.</t>
  </si>
  <si>
    <t>HANSEN</t>
  </si>
  <si>
    <t>2605</t>
  </si>
  <si>
    <t>DAVIS, AARON J.</t>
  </si>
  <si>
    <t>DAVIS</t>
  </si>
  <si>
    <t>3311</t>
  </si>
  <si>
    <t xml:space="preserve">CURTISS, KAYLA </t>
  </si>
  <si>
    <t>CURTISS</t>
  </si>
  <si>
    <t>KAYLA</t>
  </si>
  <si>
    <t>1747</t>
  </si>
  <si>
    <t>MORRIS, JEFFREY W.</t>
  </si>
  <si>
    <t>MORRIS</t>
  </si>
  <si>
    <t>JEFFREY</t>
  </si>
  <si>
    <t>2603</t>
  </si>
  <si>
    <t>MARETKA, CLARA J.</t>
  </si>
  <si>
    <t>MARETKA</t>
  </si>
  <si>
    <t>CLARA</t>
  </si>
  <si>
    <t>JEAN</t>
  </si>
  <si>
    <t>3195</t>
  </si>
  <si>
    <t>TURNER, LAURA L.</t>
  </si>
  <si>
    <t>TURNER</t>
  </si>
  <si>
    <t>1743</t>
  </si>
  <si>
    <t>SANDERS, JILL L.</t>
  </si>
  <si>
    <t>SANDERS</t>
  </si>
  <si>
    <t>JILL</t>
  </si>
  <si>
    <t>2602</t>
  </si>
  <si>
    <t>WILLIAMSON, NATHAN C.</t>
  </si>
  <si>
    <t>WILLIAMSON</t>
  </si>
  <si>
    <t>NATHAN</t>
  </si>
  <si>
    <t>3177</t>
  </si>
  <si>
    <t>OFFICE SERVICES SUPV</t>
  </si>
  <si>
    <t>01101</t>
  </si>
  <si>
    <t>MANWELLER, CELINDA O.</t>
  </si>
  <si>
    <t>MANWELLER</t>
  </si>
  <si>
    <t>CELINDA</t>
  </si>
  <si>
    <t>9995</t>
  </si>
  <si>
    <t>1738</t>
  </si>
  <si>
    <t>CANNON, TY G.</t>
  </si>
  <si>
    <t>CANNON</t>
  </si>
  <si>
    <t>TY</t>
  </si>
  <si>
    <t>2463</t>
  </si>
  <si>
    <t>CLEMENTS, VAL G.</t>
  </si>
  <si>
    <t>CLEMENTS</t>
  </si>
  <si>
    <t>VAL</t>
  </si>
  <si>
    <t>GENE</t>
  </si>
  <si>
    <t>3176</t>
  </si>
  <si>
    <t>SCHELL, ANNETTE M.</t>
  </si>
  <si>
    <t>SCHELL</t>
  </si>
  <si>
    <t>1729</t>
  </si>
  <si>
    <t>SLAUGHTER, RICHARD S.</t>
  </si>
  <si>
    <t>SLAUGHTER</t>
  </si>
  <si>
    <t>RICHARD</t>
  </si>
  <si>
    <t>2461</t>
  </si>
  <si>
    <t>RUSSELL, MCLEAN R.</t>
  </si>
  <si>
    <t>RUSSELL</t>
  </si>
  <si>
    <t>MCLEAN</t>
  </si>
  <si>
    <t>3169</t>
  </si>
  <si>
    <t>JOHNSON, APRIL A.</t>
  </si>
  <si>
    <t>1728</t>
  </si>
  <si>
    <t>MABEY, TYLER M.</t>
  </si>
  <si>
    <t>MABEY</t>
  </si>
  <si>
    <t>TYLER</t>
  </si>
  <si>
    <t>2460</t>
  </si>
  <si>
    <t>SCHEER, JAMIE L.</t>
  </si>
  <si>
    <t>SCHEER</t>
  </si>
  <si>
    <t>JAMIE</t>
  </si>
  <si>
    <t>3168</t>
  </si>
  <si>
    <t xml:space="preserve">LIU, MEI </t>
  </si>
  <si>
    <t>LIU</t>
  </si>
  <si>
    <t>MEI</t>
  </si>
  <si>
    <t>9992</t>
  </si>
  <si>
    <t>1727</t>
  </si>
  <si>
    <t>DRANEY, DOUGLAS H.</t>
  </si>
  <si>
    <t>DRANEY</t>
  </si>
  <si>
    <t>DOUGLAS</t>
  </si>
  <si>
    <t>2450</t>
  </si>
  <si>
    <t>HARRIE, DOUGLAS J.</t>
  </si>
  <si>
    <t>HARRIE</t>
  </si>
  <si>
    <t>3167</t>
  </si>
  <si>
    <t>MILLER, CALEB T.</t>
  </si>
  <si>
    <t>MILLER</t>
  </si>
  <si>
    <t>CALEB</t>
  </si>
  <si>
    <t>9991</t>
  </si>
  <si>
    <t>1726</t>
  </si>
  <si>
    <t xml:space="preserve">CHANCE, THERESA </t>
  </si>
  <si>
    <t>CHANCE</t>
  </si>
  <si>
    <t>THERESA</t>
  </si>
  <si>
    <t>2439</t>
  </si>
  <si>
    <t>SCHMIDT, CELESTE D.</t>
  </si>
  <si>
    <t>SCHMIDT</t>
  </si>
  <si>
    <t>CELESTE</t>
  </si>
  <si>
    <t>9666</t>
  </si>
  <si>
    <t xml:space="preserve">ACTUALS W/O POS     </t>
  </si>
  <si>
    <t xml:space="preserve">     </t>
  </si>
  <si>
    <t>3165</t>
  </si>
  <si>
    <t>ELDREDGE CARPENDER, TAWNYA K.</t>
  </si>
  <si>
    <t>ELDREDGE CARPENDER</t>
  </si>
  <si>
    <t>TAWNYA</t>
  </si>
  <si>
    <t>1725</t>
  </si>
  <si>
    <t>CURTIS, DONALD E.</t>
  </si>
  <si>
    <t>CURTIS</t>
  </si>
  <si>
    <t>DONALD</t>
  </si>
  <si>
    <t>2438</t>
  </si>
  <si>
    <t>WATANABE, JERRY H.</t>
  </si>
  <si>
    <t>WATANABE</t>
  </si>
  <si>
    <t>JERRY</t>
  </si>
  <si>
    <t>1730</t>
  </si>
  <si>
    <t>JONES, ANDREW W.</t>
  </si>
  <si>
    <t>ANDREW</t>
  </si>
  <si>
    <t>1550</t>
  </si>
  <si>
    <t>LARSEN, J M.</t>
  </si>
  <si>
    <t>LARSEN</t>
  </si>
  <si>
    <t>1527</t>
  </si>
  <si>
    <t>PIERSON, BILLE J.</t>
  </si>
  <si>
    <t>PIERSON</t>
  </si>
  <si>
    <t>BILLE</t>
  </si>
  <si>
    <t>1526</t>
  </si>
  <si>
    <t>GONZALEZ, LUZ E.</t>
  </si>
  <si>
    <t>GONZALEZ</t>
  </si>
  <si>
    <t>LUZ</t>
  </si>
  <si>
    <t>ELENA</t>
  </si>
  <si>
    <t>1231</t>
  </si>
  <si>
    <t>WILLIAMS, ELIZABETH S.</t>
  </si>
  <si>
    <t>ELIZABETH</t>
  </si>
  <si>
    <t>1230</t>
  </si>
  <si>
    <t>ALVAREZ, MISTI M.</t>
  </si>
  <si>
    <t>ALVAREZ</t>
  </si>
  <si>
    <t>MISTI</t>
  </si>
  <si>
    <t>9982</t>
  </si>
  <si>
    <t>1215</t>
  </si>
  <si>
    <t>DAVIS, KEVIN D.</t>
  </si>
  <si>
    <t>1525</t>
  </si>
  <si>
    <t>4408</t>
  </si>
  <si>
    <t>DILLON, LORI A.</t>
  </si>
  <si>
    <t>DILLON</t>
  </si>
  <si>
    <t>LORI</t>
  </si>
  <si>
    <t>4405</t>
  </si>
  <si>
    <t>WRIGHT, TAMARA K.</t>
  </si>
  <si>
    <t>TAMARA</t>
  </si>
  <si>
    <t>9970</t>
  </si>
  <si>
    <t>3310</t>
  </si>
  <si>
    <t>GREGORY, MAURINE J.</t>
  </si>
  <si>
    <t>MAURINE</t>
  </si>
  <si>
    <t>3201</t>
  </si>
  <si>
    <t>THORPE, TERRIE A.</t>
  </si>
  <si>
    <t>THORPE</t>
  </si>
  <si>
    <t>TERRIE</t>
  </si>
  <si>
    <t>3178</t>
  </si>
  <si>
    <t>CURNOW, VALERIE W.</t>
  </si>
  <si>
    <t>CURNOW</t>
  </si>
  <si>
    <t>3117</t>
  </si>
  <si>
    <t>HOWELLS, CLINT R.</t>
  </si>
  <si>
    <t>HOWELLS</t>
  </si>
  <si>
    <t>CLINT</t>
  </si>
  <si>
    <t>2600</t>
  </si>
  <si>
    <t>CARLIN, EVA M.</t>
  </si>
  <si>
    <t>CARLIN</t>
  </si>
  <si>
    <t>EVA</t>
  </si>
  <si>
    <t>1951</t>
  </si>
  <si>
    <t>PFISTERER, SANDRA L.</t>
  </si>
  <si>
    <t>PFISTERER</t>
  </si>
  <si>
    <t>SANDRA</t>
  </si>
  <si>
    <t>1735</t>
  </si>
  <si>
    <t>CONDRACK, JOSH M.</t>
  </si>
  <si>
    <t>CONDRACK</t>
  </si>
  <si>
    <t>JOSH</t>
  </si>
  <si>
    <t>1734</t>
  </si>
  <si>
    <t>VAN HORN, LYNAE D.</t>
  </si>
  <si>
    <t>VAN HORN</t>
  </si>
  <si>
    <t>LYNAE</t>
  </si>
  <si>
    <t>1733</t>
  </si>
  <si>
    <t>FISHER, AIMEE L.</t>
  </si>
  <si>
    <t>FISHER</t>
  </si>
  <si>
    <t>AIMEE</t>
  </si>
  <si>
    <t>1732</t>
  </si>
  <si>
    <t>ROSS, CALEB D.</t>
  </si>
  <si>
    <t>ROSS</t>
  </si>
  <si>
    <t>1731</t>
  </si>
  <si>
    <t>HOLLOWAY, HEATHER D.</t>
  </si>
  <si>
    <t>HOLLOWAY</t>
  </si>
  <si>
    <t>HEATHER</t>
  </si>
  <si>
    <t>9989</t>
  </si>
  <si>
    <t>TAAC</t>
  </si>
  <si>
    <t>3126</t>
  </si>
  <si>
    <t>GHUMAN, RAJBINDER K.</t>
  </si>
  <si>
    <t>GHUMAN</t>
  </si>
  <si>
    <t>RAJBINDER</t>
  </si>
  <si>
    <t>4109</t>
  </si>
  <si>
    <t>PENTLAND, NICHOLAS C.</t>
  </si>
  <si>
    <t>PENTLAND</t>
  </si>
  <si>
    <t>NICHOLAS</t>
  </si>
  <si>
    <t>3125</t>
  </si>
  <si>
    <t>BENZ, KARIN A.</t>
  </si>
  <si>
    <t>BENZ</t>
  </si>
  <si>
    <t>KARIN</t>
  </si>
  <si>
    <t>3902</t>
  </si>
  <si>
    <t>THOMPSON, DERICK A.</t>
  </si>
  <si>
    <t>THOMPSON</t>
  </si>
  <si>
    <t>DERICK</t>
  </si>
  <si>
    <t>3124</t>
  </si>
  <si>
    <t>HERNANDEZ, DENISE L.</t>
  </si>
  <si>
    <t>HERNANDEZ</t>
  </si>
  <si>
    <t>DENISE</t>
  </si>
  <si>
    <t>3111</t>
  </si>
  <si>
    <t xml:space="preserve">TAX TECH UNIT SUPV  </t>
  </si>
  <si>
    <t>04372</t>
  </si>
  <si>
    <t>3901</t>
  </si>
  <si>
    <t>GAYLIN, NICOLE D.</t>
  </si>
  <si>
    <t>GAYLIN</t>
  </si>
  <si>
    <t>3122</t>
  </si>
  <si>
    <t xml:space="preserve">DELEON, ANDREW </t>
  </si>
  <si>
    <t>DELEON</t>
  </si>
  <si>
    <t>2806</t>
  </si>
  <si>
    <t>5529</t>
  </si>
  <si>
    <t xml:space="preserve">DATA COORDINATOR    </t>
  </si>
  <si>
    <t>00800</t>
  </si>
  <si>
    <t>3121</t>
  </si>
  <si>
    <t>SCHENK, MICHELLE S.</t>
  </si>
  <si>
    <t>SCHENK</t>
  </si>
  <si>
    <t>MICHELLE</t>
  </si>
  <si>
    <t>3806</t>
  </si>
  <si>
    <t xml:space="preserve">PROGRAM SUPERVISOR  </t>
  </si>
  <si>
    <t>08990</t>
  </si>
  <si>
    <t>HOLMES, AUSTON S.</t>
  </si>
  <si>
    <t>HOLMES</t>
  </si>
  <si>
    <t>AUSTON</t>
  </si>
  <si>
    <t>3119</t>
  </si>
  <si>
    <t>DOUGLASS, THOMAS K.</t>
  </si>
  <si>
    <t>DOUGLASS</t>
  </si>
  <si>
    <t>3717</t>
  </si>
  <si>
    <t xml:space="preserve">PACE, ANNA </t>
  </si>
  <si>
    <t>PACE</t>
  </si>
  <si>
    <t>ANNA</t>
  </si>
  <si>
    <t>3118</t>
  </si>
  <si>
    <t>SMITH, LANCE A.</t>
  </si>
  <si>
    <t>LANCE</t>
  </si>
  <si>
    <t>3716</t>
  </si>
  <si>
    <t>MURRAY, JACQUELINE H.</t>
  </si>
  <si>
    <t>MURRAY</t>
  </si>
  <si>
    <t>JACQUELINE</t>
  </si>
  <si>
    <t>3113</t>
  </si>
  <si>
    <t>CUSHMAN, COLBY J.</t>
  </si>
  <si>
    <t>CUSHMAN</t>
  </si>
  <si>
    <t>COLBY</t>
  </si>
  <si>
    <t>3714</t>
  </si>
  <si>
    <t xml:space="preserve">POOLE, JACOB </t>
  </si>
  <si>
    <t>POOLE</t>
  </si>
  <si>
    <t>3112</t>
  </si>
  <si>
    <t>MCNAIR, PAMELA K.</t>
  </si>
  <si>
    <t>MCNAIR</t>
  </si>
  <si>
    <t>PAMELA</t>
  </si>
  <si>
    <t>3704</t>
  </si>
  <si>
    <t>DURBIN, MARY C.</t>
  </si>
  <si>
    <t>DURBIN</t>
  </si>
  <si>
    <t>MARY</t>
  </si>
  <si>
    <t>5108</t>
  </si>
  <si>
    <t>7150</t>
  </si>
  <si>
    <t>THIMSEN, STEVE A.</t>
  </si>
  <si>
    <t>THIMSEN</t>
  </si>
  <si>
    <t>STEVE</t>
  </si>
  <si>
    <t>3110</t>
  </si>
  <si>
    <t>THORNTON, KRISTIN D.</t>
  </si>
  <si>
    <t>THORNTON</t>
  </si>
  <si>
    <t>KRISTIN</t>
  </si>
  <si>
    <t>3702</t>
  </si>
  <si>
    <t>JONES, JULIE L.</t>
  </si>
  <si>
    <t>JULIE</t>
  </si>
  <si>
    <t>3103</t>
  </si>
  <si>
    <t>ZUMWALT, KELLY L.</t>
  </si>
  <si>
    <t>ZUMWALT</t>
  </si>
  <si>
    <t>KELLY</t>
  </si>
  <si>
    <t>3620</t>
  </si>
  <si>
    <t>FORD, DYLAN J.</t>
  </si>
  <si>
    <t>FORD</t>
  </si>
  <si>
    <t>DYLAN</t>
  </si>
  <si>
    <t>2608</t>
  </si>
  <si>
    <t>NEWTON, JOHN O.</t>
  </si>
  <si>
    <t>NEWTON</t>
  </si>
  <si>
    <t>OWEN</t>
  </si>
  <si>
    <t>3618</t>
  </si>
  <si>
    <t>KORSLUND, ANITA G.</t>
  </si>
  <si>
    <t>KORSLUND</t>
  </si>
  <si>
    <t>ANITA</t>
  </si>
  <si>
    <t>5516</t>
  </si>
  <si>
    <t>MARSH, RENEE M.</t>
  </si>
  <si>
    <t>MARSH</t>
  </si>
  <si>
    <t>1604</t>
  </si>
  <si>
    <t xml:space="preserve">RAYAS, IRENE </t>
  </si>
  <si>
    <t>RAYAS</t>
  </si>
  <si>
    <t>IRENE</t>
  </si>
  <si>
    <t>3617</t>
  </si>
  <si>
    <t>BIRD, DAWN S.</t>
  </si>
  <si>
    <t>BIRD</t>
  </si>
  <si>
    <t>DAWN</t>
  </si>
  <si>
    <t>9974</t>
  </si>
  <si>
    <t>1603</t>
  </si>
  <si>
    <t xml:space="preserve">ROGNLIE, DAKOTA </t>
  </si>
  <si>
    <t>ROGNLIE</t>
  </si>
  <si>
    <t>DAKOTA</t>
  </si>
  <si>
    <t>3616</t>
  </si>
  <si>
    <t>OCONNOR, PORTLAND D.</t>
  </si>
  <si>
    <t>OCONNOR</t>
  </si>
  <si>
    <t>PORTLAND</t>
  </si>
  <si>
    <t>5508</t>
  </si>
  <si>
    <t>HARRIS, TARRA L.</t>
  </si>
  <si>
    <t>TARRA</t>
  </si>
  <si>
    <t>LYN</t>
  </si>
  <si>
    <t>3613</t>
  </si>
  <si>
    <t>SAM, MELINDA K.</t>
  </si>
  <si>
    <t>SAM</t>
  </si>
  <si>
    <t>MELINDA</t>
  </si>
  <si>
    <t>5507</t>
  </si>
  <si>
    <t>TAX CNTRL PROCESSING</t>
  </si>
  <si>
    <t>04301</t>
  </si>
  <si>
    <t>BARRY, CHRIS A.</t>
  </si>
  <si>
    <t>BARRY</t>
  </si>
  <si>
    <t>CHRIS</t>
  </si>
  <si>
    <t>3612</t>
  </si>
  <si>
    <t>PRISOCK, SAUNYA M.</t>
  </si>
  <si>
    <t>PRISOCK</t>
  </si>
  <si>
    <t>SAUNYA</t>
  </si>
  <si>
    <t>3611</t>
  </si>
  <si>
    <t xml:space="preserve">PROGRAM INFORMATION </t>
  </si>
  <si>
    <t>01106</t>
  </si>
  <si>
    <t>SHUMWAY, RENATA M.</t>
  </si>
  <si>
    <t>SHUMWAY</t>
  </si>
  <si>
    <t>RENATA</t>
  </si>
  <si>
    <t>5504</t>
  </si>
  <si>
    <t>TAX DIV ADMIN,REV OP</t>
  </si>
  <si>
    <t>04302</t>
  </si>
  <si>
    <t>MASCALL, RICHARD C.</t>
  </si>
  <si>
    <t>MASCALL</t>
  </si>
  <si>
    <t>3610</t>
  </si>
  <si>
    <t>ALMADOVA, MARY A.</t>
  </si>
  <si>
    <t>ALMADOVA</t>
  </si>
  <si>
    <t>ANN</t>
  </si>
  <si>
    <t>5111</t>
  </si>
  <si>
    <t>VOGELPOHL, ROBERTA J.</t>
  </si>
  <si>
    <t>VOGELPOHL</t>
  </si>
  <si>
    <t>ROBERTA</t>
  </si>
  <si>
    <t>3609</t>
  </si>
  <si>
    <t>PERRY, JONATHAN D.</t>
  </si>
  <si>
    <t>PERRY</t>
  </si>
  <si>
    <t>JONATHAN</t>
  </si>
  <si>
    <t>5109</t>
  </si>
  <si>
    <t>BLACKWELL, BRIAN C.</t>
  </si>
  <si>
    <t>BLACKWELL</t>
  </si>
  <si>
    <t>9969</t>
  </si>
  <si>
    <t>REVENUE PROCESS CLER</t>
  </si>
  <si>
    <t>90400</t>
  </si>
  <si>
    <t>3608</t>
  </si>
  <si>
    <t>SEGANOS, EMILY E.</t>
  </si>
  <si>
    <t>SEGANOS</t>
  </si>
  <si>
    <t>EMILY</t>
  </si>
  <si>
    <t>4909</t>
  </si>
  <si>
    <t>LUCKOW, GINA L.</t>
  </si>
  <si>
    <t>LUCKOW</t>
  </si>
  <si>
    <t>GINA</t>
  </si>
  <si>
    <t>9968</t>
  </si>
  <si>
    <t>3607</t>
  </si>
  <si>
    <t xml:space="preserve">HARRIS, ANDEE </t>
  </si>
  <si>
    <t>ANDEE</t>
  </si>
  <si>
    <t>9967</t>
  </si>
  <si>
    <t>3585</t>
  </si>
  <si>
    <t xml:space="preserve">RITCHIE, NICKOLAUS </t>
  </si>
  <si>
    <t>RITCHIE</t>
  </si>
  <si>
    <t>NICKOLAUS</t>
  </si>
  <si>
    <t>4908</t>
  </si>
  <si>
    <t>CAITO, SHERRY R.</t>
  </si>
  <si>
    <t>CAITO</t>
  </si>
  <si>
    <t>SHERRY</t>
  </si>
  <si>
    <t xml:space="preserve">HG   </t>
  </si>
  <si>
    <t>9966</t>
  </si>
  <si>
    <t>3306</t>
  </si>
  <si>
    <t>AMYX, DEBRA L.</t>
  </si>
  <si>
    <t>AMYX</t>
  </si>
  <si>
    <t>DEBRA</t>
  </si>
  <si>
    <t>4907</t>
  </si>
  <si>
    <t>WEST, THERESA M.</t>
  </si>
  <si>
    <t>WEST</t>
  </si>
  <si>
    <t>9965</t>
  </si>
  <si>
    <t>3189</t>
  </si>
  <si>
    <t>POE, RENEE R.</t>
  </si>
  <si>
    <t>POE</t>
  </si>
  <si>
    <t>4901</t>
  </si>
  <si>
    <t>NEWTON, HOBART C.</t>
  </si>
  <si>
    <t>HOBART</t>
  </si>
  <si>
    <t>9964</t>
  </si>
  <si>
    <t>3183</t>
  </si>
  <si>
    <t>DELEON, CYNTHIA A.</t>
  </si>
  <si>
    <t>4570</t>
  </si>
  <si>
    <t>OSTERHOUT, KAYLA D.</t>
  </si>
  <si>
    <t>OSTERHOUT</t>
  </si>
  <si>
    <t>9963</t>
  </si>
  <si>
    <t>9996</t>
  </si>
  <si>
    <t>3182</t>
  </si>
  <si>
    <t>HANSEN, JADEE A.</t>
  </si>
  <si>
    <t>JADEE</t>
  </si>
  <si>
    <t>4550</t>
  </si>
  <si>
    <t>DICKENS, WESLEY H.</t>
  </si>
  <si>
    <t>DICKENS</t>
  </si>
  <si>
    <t>WESLEY</t>
  </si>
  <si>
    <t>9962</t>
  </si>
  <si>
    <t>3135</t>
  </si>
  <si>
    <t>COOK, TRACY L.</t>
  </si>
  <si>
    <t>COOK</t>
  </si>
  <si>
    <t>TRACY</t>
  </si>
  <si>
    <t>4511</t>
  </si>
  <si>
    <t>HUMPHREYS, MOLLY K.</t>
  </si>
  <si>
    <t>HUMPHREYS</t>
  </si>
  <si>
    <t>MOLLY</t>
  </si>
  <si>
    <t>9961</t>
  </si>
  <si>
    <t>3134</t>
  </si>
  <si>
    <t>ALT, RANDAL W.</t>
  </si>
  <si>
    <t>ALT</t>
  </si>
  <si>
    <t>RANDAL</t>
  </si>
  <si>
    <t>4501</t>
  </si>
  <si>
    <t>BROWN, JEANNE A.</t>
  </si>
  <si>
    <t>BROWN</t>
  </si>
  <si>
    <t>JEANNE</t>
  </si>
  <si>
    <t>9960</t>
  </si>
  <si>
    <t>3133</t>
  </si>
  <si>
    <t>BIELAT, JOSHUA M.</t>
  </si>
  <si>
    <t>BIELAT</t>
  </si>
  <si>
    <t>JOSHUA</t>
  </si>
  <si>
    <t>4175</t>
  </si>
  <si>
    <t>JACKSON, JESSE B.</t>
  </si>
  <si>
    <t>JACKSON</t>
  </si>
  <si>
    <t>JESSE</t>
  </si>
  <si>
    <t>3132</t>
  </si>
  <si>
    <t>LONG, JODIE L.</t>
  </si>
  <si>
    <t>JODIE</t>
  </si>
  <si>
    <t>LORINE</t>
  </si>
  <si>
    <t>4114</t>
  </si>
  <si>
    <t xml:space="preserve">TAX COMPL OFCR 3    </t>
  </si>
  <si>
    <t>04342</t>
  </si>
  <si>
    <t>JOHNSON, SHELLEY R.</t>
  </si>
  <si>
    <t>RAE</t>
  </si>
  <si>
    <t>3131</t>
  </si>
  <si>
    <t>LEDBETTER, JOSHUA T.</t>
  </si>
  <si>
    <t>LEDBETTER</t>
  </si>
  <si>
    <t>4113</t>
  </si>
  <si>
    <t>JOHNSON, JOAN A.</t>
  </si>
  <si>
    <t>JOAN</t>
  </si>
  <si>
    <t>3130</t>
  </si>
  <si>
    <t>BOWDEN, JEREMY D.</t>
  </si>
  <si>
    <t>BOWDEN</t>
  </si>
  <si>
    <t>4111</t>
  </si>
  <si>
    <t>WALDAL, JEFFERY A.</t>
  </si>
  <si>
    <t>WALDAL</t>
  </si>
  <si>
    <t>JEFFERY</t>
  </si>
  <si>
    <t>3701</t>
  </si>
  <si>
    <t>GALLOWAY, KARL T.</t>
  </si>
  <si>
    <t>GALLOWAY</t>
  </si>
  <si>
    <t>KARL</t>
  </si>
  <si>
    <t>3619</t>
  </si>
  <si>
    <t xml:space="preserve">CARRIE, DONAVON </t>
  </si>
  <si>
    <t>CARRIE</t>
  </si>
  <si>
    <t>DONAVON</t>
  </si>
  <si>
    <t>3129</t>
  </si>
  <si>
    <t>JOHNSON, DEANNA L.</t>
  </si>
  <si>
    <t>DEANNA</t>
  </si>
  <si>
    <t>3128</t>
  </si>
  <si>
    <t>BOEHLAND, NICHOLE M.</t>
  </si>
  <si>
    <t>BOEHLAND</t>
  </si>
  <si>
    <t>NICHOLE</t>
  </si>
  <si>
    <t>9985</t>
  </si>
  <si>
    <t>3123</t>
  </si>
  <si>
    <t>HOFSTRA, WILLIAM J.</t>
  </si>
  <si>
    <t>HOFSTRA</t>
  </si>
  <si>
    <t>WILLIAM</t>
  </si>
  <si>
    <t>5603</t>
  </si>
  <si>
    <t>SHUMWAY, BRIAN A.</t>
  </si>
  <si>
    <t>AUSTIN</t>
  </si>
  <si>
    <t>4555</t>
  </si>
  <si>
    <t>CORN, PATRICIA L.</t>
  </si>
  <si>
    <t>CORN</t>
  </si>
  <si>
    <t>4410</t>
  </si>
  <si>
    <t xml:space="preserve">SANGRAY, TRACY </t>
  </si>
  <si>
    <t>SANGRAY</t>
  </si>
  <si>
    <t>1070</t>
  </si>
  <si>
    <t xml:space="preserve">TAX ADMIN FORESTER  </t>
  </si>
  <si>
    <t>TAAD</t>
  </si>
  <si>
    <t>04356</t>
  </si>
  <si>
    <t>BREVIG, RODNEY E.</t>
  </si>
  <si>
    <t>BREVIG</t>
  </si>
  <si>
    <t>RODNEY</t>
  </si>
  <si>
    <t>9988</t>
  </si>
  <si>
    <t>1045</t>
  </si>
  <si>
    <t>PRIDGEN, KATHRYN M.</t>
  </si>
  <si>
    <t>PRIDGEN</t>
  </si>
  <si>
    <t>KATHRYN</t>
  </si>
  <si>
    <t>9987</t>
  </si>
  <si>
    <t>1037</t>
  </si>
  <si>
    <t xml:space="preserve">DAVICH, MARK </t>
  </si>
  <si>
    <t>DAVICH</t>
  </si>
  <si>
    <t>1036</t>
  </si>
  <si>
    <t>STICKEL, KARL D.</t>
  </si>
  <si>
    <t>STICKEL</t>
  </si>
  <si>
    <t>1035</t>
  </si>
  <si>
    <t>KENLEY, GARY L.</t>
  </si>
  <si>
    <t>KENLEY</t>
  </si>
  <si>
    <t>GARY</t>
  </si>
  <si>
    <t>L.</t>
  </si>
  <si>
    <t>1034</t>
  </si>
  <si>
    <t>IT DATABASE ADMIN AN</t>
  </si>
  <si>
    <t>01726</t>
  </si>
  <si>
    <t>HATCH, ERIC S.</t>
  </si>
  <si>
    <t>HATCH</t>
  </si>
  <si>
    <t>ERIC</t>
  </si>
  <si>
    <t>SHANE</t>
  </si>
  <si>
    <t>1033</t>
  </si>
  <si>
    <t>BALENTINE  III, JAMES F.</t>
  </si>
  <si>
    <t>BALENTINE  III</t>
  </si>
  <si>
    <t>1032</t>
  </si>
  <si>
    <t xml:space="preserve">TAX APRSR, CONSULTG </t>
  </si>
  <si>
    <t>04357</t>
  </si>
  <si>
    <t>BROENNEKE, ELDON B.</t>
  </si>
  <si>
    <t>BROENNEKE</t>
  </si>
  <si>
    <t>ELDON</t>
  </si>
  <si>
    <t>BRAD</t>
  </si>
  <si>
    <t>2502</t>
  </si>
  <si>
    <t>1031</t>
  </si>
  <si>
    <t>MAGNELLI  JR, MELVIN A.</t>
  </si>
  <si>
    <t>MAGNELLI  JR</t>
  </si>
  <si>
    <t>MELVIN</t>
  </si>
  <si>
    <t>1030</t>
  </si>
  <si>
    <t>BOWENS, SANDRA A.</t>
  </si>
  <si>
    <t>BOWENS</t>
  </si>
  <si>
    <t>1029</t>
  </si>
  <si>
    <t>MIDDLETON, JEFFREY C.</t>
  </si>
  <si>
    <t>MIDDLETON</t>
  </si>
  <si>
    <t>CARL</t>
  </si>
  <si>
    <t>1028</t>
  </si>
  <si>
    <t>CHARLES, TRUDY A.</t>
  </si>
  <si>
    <t>CHARLES</t>
  </si>
  <si>
    <t>TRUDY</t>
  </si>
  <si>
    <t>1027</t>
  </si>
  <si>
    <t>DALTON, GLENN M.</t>
  </si>
  <si>
    <t>DALTON</t>
  </si>
  <si>
    <t>1022</t>
  </si>
  <si>
    <t>REAGER, ERIK S.</t>
  </si>
  <si>
    <t>REAGER</t>
  </si>
  <si>
    <t>ERIK</t>
  </si>
  <si>
    <t>7225</t>
  </si>
  <si>
    <t>TAX APPRAISER, SENIO</t>
  </si>
  <si>
    <t>04366</t>
  </si>
  <si>
    <t>TAGGART, ERICA L.</t>
  </si>
  <si>
    <t>TAGGART</t>
  </si>
  <si>
    <t>ERICA</t>
  </si>
  <si>
    <t>04358</t>
  </si>
  <si>
    <t>1021</t>
  </si>
  <si>
    <t>WILSON, EDDIE T.</t>
  </si>
  <si>
    <t>EDDIE</t>
  </si>
  <si>
    <t>7220</t>
  </si>
  <si>
    <t>TAX PROP APPRAISAL S</t>
  </si>
  <si>
    <t>04352</t>
  </si>
  <si>
    <t>VIRGIL, MATTHEW G.</t>
  </si>
  <si>
    <t>VIRGIL</t>
  </si>
  <si>
    <t>MATTHEW</t>
  </si>
  <si>
    <t>1020</t>
  </si>
  <si>
    <t xml:space="preserve">IT MANAGER II       </t>
  </si>
  <si>
    <t>01742</t>
  </si>
  <si>
    <t>SERVATIUS, JEFFREY R.</t>
  </si>
  <si>
    <t>SERVATIUS</t>
  </si>
  <si>
    <t>5601</t>
  </si>
  <si>
    <t>MILLONZI, LORI L.</t>
  </si>
  <si>
    <t>MILLONZI</t>
  </si>
  <si>
    <t>LOUISE</t>
  </si>
  <si>
    <t>1019</t>
  </si>
  <si>
    <t xml:space="preserve">IT MANAGER III      </t>
  </si>
  <si>
    <t>01743</t>
  </si>
  <si>
    <t>JAMES, JANET L.</t>
  </si>
  <si>
    <t>LEE</t>
  </si>
  <si>
    <t>5585</t>
  </si>
  <si>
    <t xml:space="preserve">RESEARCH ANLYST,SR  </t>
  </si>
  <si>
    <t>05449</t>
  </si>
  <si>
    <t>KEETON III, ARCHIE L.</t>
  </si>
  <si>
    <t>KEETON III</t>
  </si>
  <si>
    <t>ARCHIE</t>
  </si>
  <si>
    <t>1012</t>
  </si>
  <si>
    <t xml:space="preserve">SMITH, CHERYL </t>
  </si>
  <si>
    <t>CHERYL</t>
  </si>
  <si>
    <t>5518</t>
  </si>
  <si>
    <t xml:space="preserve">PROPERTY TAX POLICY </t>
  </si>
  <si>
    <t>04309</t>
  </si>
  <si>
    <t>DORNFEST, ALAN S.</t>
  </si>
  <si>
    <t>DORNFEST</t>
  </si>
  <si>
    <t>1011</t>
  </si>
  <si>
    <t>THORNTON, CHRISTOPHER W.</t>
  </si>
  <si>
    <t>4002</t>
  </si>
  <si>
    <t>TAX DIVISION ADMINIS</t>
  </si>
  <si>
    <t>14360</t>
  </si>
  <si>
    <t>BROWN, GEORGE R.</t>
  </si>
  <si>
    <t>GEORGE</t>
  </si>
  <si>
    <t>1010</t>
  </si>
  <si>
    <t>WATERS, PAMELA B.</t>
  </si>
  <si>
    <t>WATERS</t>
  </si>
  <si>
    <t>2901</t>
  </si>
  <si>
    <t xml:space="preserve">GIS ANALYST II      </t>
  </si>
  <si>
    <t>01720</t>
  </si>
  <si>
    <t>MADDEN, MELISSA J.</t>
  </si>
  <si>
    <t>MADDEN</t>
  </si>
  <si>
    <t>MELISSA</t>
  </si>
  <si>
    <t>2400</t>
  </si>
  <si>
    <t>IRELAND, KATHLYNN K.</t>
  </si>
  <si>
    <t>IRELAND</t>
  </si>
  <si>
    <t>KATHLYNN</t>
  </si>
  <si>
    <t>2132</t>
  </si>
  <si>
    <t>RAYWORTH, KYLE L.</t>
  </si>
  <si>
    <t>RAYWORTH</t>
  </si>
  <si>
    <t>KYLE</t>
  </si>
  <si>
    <t>2131</t>
  </si>
  <si>
    <t>POWELL, JAMES T.</t>
  </si>
  <si>
    <t>POWELL</t>
  </si>
  <si>
    <t>2121</t>
  </si>
  <si>
    <t>SOUTHARD, MARK J.</t>
  </si>
  <si>
    <t>SOUTHARD</t>
  </si>
  <si>
    <t>2120</t>
  </si>
  <si>
    <t>TORRES, KRISTY J.</t>
  </si>
  <si>
    <t>TORRES</t>
  </si>
  <si>
    <t>KRISTY</t>
  </si>
  <si>
    <t>2116</t>
  </si>
  <si>
    <t xml:space="preserve">GIS ANALYST III     </t>
  </si>
  <si>
    <t>01721</t>
  </si>
  <si>
    <t>JONES, KEVIN M.</t>
  </si>
  <si>
    <t>2115</t>
  </si>
  <si>
    <t>NELSON, JOHN P.</t>
  </si>
  <si>
    <t>NELSON</t>
  </si>
  <si>
    <t>2107</t>
  </si>
  <si>
    <t>RIOS, ROBERT J.</t>
  </si>
  <si>
    <t>RIOS</t>
  </si>
  <si>
    <t>2104</t>
  </si>
  <si>
    <t xml:space="preserve">WARNBERG, LESLIE </t>
  </si>
  <si>
    <t>WARNBERG</t>
  </si>
  <si>
    <t>2103</t>
  </si>
  <si>
    <t>ROEBER, SHAUNNA L.</t>
  </si>
  <si>
    <t>ROEBER</t>
  </si>
  <si>
    <t>SHAUNNA</t>
  </si>
  <si>
    <t>2102</t>
  </si>
  <si>
    <t>CUNDICK, JASE D.</t>
  </si>
  <si>
    <t>CUNDICK</t>
  </si>
  <si>
    <t>JASE</t>
  </si>
  <si>
    <t>2100</t>
  </si>
  <si>
    <t>TAX PROP APRSL BUR C</t>
  </si>
  <si>
    <t>04354</t>
  </si>
  <si>
    <t>RUDD, JEROTT F.</t>
  </si>
  <si>
    <t>RUDD</t>
  </si>
  <si>
    <t>JEROTT</t>
  </si>
  <si>
    <t>1855</t>
  </si>
  <si>
    <t>0276</t>
  </si>
  <si>
    <t>TAAF</t>
  </si>
  <si>
    <t>ORTIZ, AMBER E.</t>
  </si>
  <si>
    <t>ORTIZ</t>
  </si>
  <si>
    <t>AMBER</t>
  </si>
  <si>
    <t>9984</t>
  </si>
  <si>
    <t>1740</t>
  </si>
  <si>
    <t>REESE, DENISE E.</t>
  </si>
  <si>
    <t>REESE</t>
  </si>
  <si>
    <t>1712</t>
  </si>
  <si>
    <t>WILLS, STEPHANIE M.</t>
  </si>
  <si>
    <t>WILLS</t>
  </si>
  <si>
    <t>STEPHANIE</t>
  </si>
  <si>
    <t>1710</t>
  </si>
  <si>
    <t>WEATHERBY, HENRY C.</t>
  </si>
  <si>
    <t>WEATHERBY</t>
  </si>
  <si>
    <t>HENRY</t>
  </si>
  <si>
    <t>1709</t>
  </si>
  <si>
    <t>PATTON, KARL A.</t>
  </si>
  <si>
    <t>PATTON</t>
  </si>
  <si>
    <t>1708</t>
  </si>
  <si>
    <t>COBLER, JILLIAN H.</t>
  </si>
  <si>
    <t>COBLER</t>
  </si>
  <si>
    <t>JILLIAN</t>
  </si>
  <si>
    <t>2431</t>
  </si>
  <si>
    <t>9978</t>
  </si>
  <si>
    <t>1707</t>
  </si>
  <si>
    <t>PARSONS, LEAH C.</t>
  </si>
  <si>
    <t>PARSONS</t>
  </si>
  <si>
    <t>LEAH</t>
  </si>
  <si>
    <t>1623</t>
  </si>
  <si>
    <t>SKINKLE, KRYSTAL F.</t>
  </si>
  <si>
    <t>SKINKLE</t>
  </si>
  <si>
    <t>KRYSTAL</t>
  </si>
  <si>
    <t>1846</t>
  </si>
  <si>
    <t>1621</t>
  </si>
  <si>
    <t>ELY, LEE E.</t>
  </si>
  <si>
    <t>ELY</t>
  </si>
  <si>
    <t>1714</t>
  </si>
  <si>
    <t>2810</t>
  </si>
  <si>
    <t>INOUYE, MEGUMI A.</t>
  </si>
  <si>
    <t>INOUYE</t>
  </si>
  <si>
    <t>MEGUMI</t>
  </si>
  <si>
    <t>AKASAKA</t>
  </si>
  <si>
    <t>2601</t>
  </si>
  <si>
    <t>LAWLESS  JR, RICHARD R.</t>
  </si>
  <si>
    <t>LAWLESS  JR</t>
  </si>
  <si>
    <t>2432</t>
  </si>
  <si>
    <t>ALEXANDER, DENISE A.</t>
  </si>
  <si>
    <t>ALEXANDER</t>
  </si>
  <si>
    <t>9993</t>
  </si>
  <si>
    <t>2425</t>
  </si>
  <si>
    <t>SHAW, MERIAM A.</t>
  </si>
  <si>
    <t>SHAW</t>
  </si>
  <si>
    <t>MERIAM</t>
  </si>
  <si>
    <t>2423</t>
  </si>
  <si>
    <t>CHUGG, PAUL R.</t>
  </si>
  <si>
    <t>CHUGG</t>
  </si>
  <si>
    <t>PAUL</t>
  </si>
  <si>
    <t>TAAI</t>
  </si>
  <si>
    <t>3360</t>
  </si>
  <si>
    <t xml:space="preserve">TAX COMPL OFCR 1    </t>
  </si>
  <si>
    <t>TACA</t>
  </si>
  <si>
    <t>04346</t>
  </si>
  <si>
    <t>COVINGTON, CLARENCE R.</t>
  </si>
  <si>
    <t>COVINGTON</t>
  </si>
  <si>
    <t>CLARENCE</t>
  </si>
  <si>
    <t>5511</t>
  </si>
  <si>
    <t xml:space="preserve">TAX FIELD OFF MGR   </t>
  </si>
  <si>
    <t>04340</t>
  </si>
  <si>
    <t>WILDE, DARRELL V.</t>
  </si>
  <si>
    <t>WILDE</t>
  </si>
  <si>
    <t>DARRELL</t>
  </si>
  <si>
    <t>1876</t>
  </si>
  <si>
    <t>SMITH, AUDREY K.</t>
  </si>
  <si>
    <t>AUDREY</t>
  </si>
  <si>
    <t>3354</t>
  </si>
  <si>
    <t>WRIGHT, CANDACE D.</t>
  </si>
  <si>
    <t>CANDACE</t>
  </si>
  <si>
    <t>5503</t>
  </si>
  <si>
    <t>SMITH, BRYAN P.</t>
  </si>
  <si>
    <t>BRYAN</t>
  </si>
  <si>
    <t>1872</t>
  </si>
  <si>
    <t>LEWIS, SUSAN M.</t>
  </si>
  <si>
    <t>3350</t>
  </si>
  <si>
    <t>WINKS, RONNIE K.</t>
  </si>
  <si>
    <t>WINKS</t>
  </si>
  <si>
    <t>RONNIE</t>
  </si>
  <si>
    <t>5502</t>
  </si>
  <si>
    <t>HOWE, ROBERT B.</t>
  </si>
  <si>
    <t>HOWE</t>
  </si>
  <si>
    <t>1861</t>
  </si>
  <si>
    <t xml:space="preserve">TAX COMPL OFCR 2    </t>
  </si>
  <si>
    <t>04344</t>
  </si>
  <si>
    <t>JACKSON, AMY L.</t>
  </si>
  <si>
    <t>3347</t>
  </si>
  <si>
    <t xml:space="preserve">HARBA, GORAN </t>
  </si>
  <si>
    <t>HARBA</t>
  </si>
  <si>
    <t>GORAN</t>
  </si>
  <si>
    <t>4520</t>
  </si>
  <si>
    <t>SHIDELER, ANDREA S.</t>
  </si>
  <si>
    <t>SHIDELER</t>
  </si>
  <si>
    <t>1850</t>
  </si>
  <si>
    <t>BEST, DAWN R.</t>
  </si>
  <si>
    <t>BEST</t>
  </si>
  <si>
    <t>3346</t>
  </si>
  <si>
    <t>PERSONETTE, CAMILLE L.</t>
  </si>
  <si>
    <t>PERSONETTE</t>
  </si>
  <si>
    <t>CAMILLE</t>
  </si>
  <si>
    <t>4516</t>
  </si>
  <si>
    <t>BALE, COZETTE S.</t>
  </si>
  <si>
    <t>BALE</t>
  </si>
  <si>
    <t>COZETTE</t>
  </si>
  <si>
    <t>SUZANNE</t>
  </si>
  <si>
    <t>1849</t>
  </si>
  <si>
    <t>KASNER, JASON L.</t>
  </si>
  <si>
    <t>KASNER</t>
  </si>
  <si>
    <t>JASON</t>
  </si>
  <si>
    <t>5521</t>
  </si>
  <si>
    <t>3344</t>
  </si>
  <si>
    <t>COULSON, DEBRA S.</t>
  </si>
  <si>
    <t>COULSON</t>
  </si>
  <si>
    <t>SUE</t>
  </si>
  <si>
    <t>9983</t>
  </si>
  <si>
    <t>4515</t>
  </si>
  <si>
    <t>VINSONHALER, JANET J.</t>
  </si>
  <si>
    <t>VINSONHALER</t>
  </si>
  <si>
    <t>JOANN</t>
  </si>
  <si>
    <t>1842</t>
  </si>
  <si>
    <t>KLIMES, NELDA S.</t>
  </si>
  <si>
    <t>KLIMES</t>
  </si>
  <si>
    <t>NELDA</t>
  </si>
  <si>
    <t>3339</t>
  </si>
  <si>
    <t>UPSHAW, THERESA M.</t>
  </si>
  <si>
    <t>UPSHAW</t>
  </si>
  <si>
    <t>4425</t>
  </si>
  <si>
    <t>SHAW, LEAH C.</t>
  </si>
  <si>
    <t>1841</t>
  </si>
  <si>
    <t>HODSON, BARRY W.</t>
  </si>
  <si>
    <t>HODSON</t>
  </si>
  <si>
    <t>3338</t>
  </si>
  <si>
    <t>EWING, REBECCA J.</t>
  </si>
  <si>
    <t>EWING</t>
  </si>
  <si>
    <t>JANE</t>
  </si>
  <si>
    <t>4106</t>
  </si>
  <si>
    <t xml:space="preserve">KIRKPATRICK, SALLY </t>
  </si>
  <si>
    <t>KIRKPATRICK</t>
  </si>
  <si>
    <t>SALLY</t>
  </si>
  <si>
    <t>1840</t>
  </si>
  <si>
    <t>DIMICK, KRISTINE C.</t>
  </si>
  <si>
    <t>DIMICK</t>
  </si>
  <si>
    <t>KRISTINE</t>
  </si>
  <si>
    <t>3333</t>
  </si>
  <si>
    <t>MC GARR, SABRINA A.</t>
  </si>
  <si>
    <t>MC GARR</t>
  </si>
  <si>
    <t>SABRINA</t>
  </si>
  <si>
    <t>3808</t>
  </si>
  <si>
    <t>VRABLE, IAN A.</t>
  </si>
  <si>
    <t>VRABLE</t>
  </si>
  <si>
    <t>IAN</t>
  </si>
  <si>
    <t>1839</t>
  </si>
  <si>
    <t>TERRY, CHRISTOPHER A.</t>
  </si>
  <si>
    <t>TERRY</t>
  </si>
  <si>
    <t>3331</t>
  </si>
  <si>
    <t xml:space="preserve">CARON, JANET </t>
  </si>
  <si>
    <t>CARON</t>
  </si>
  <si>
    <t>3805</t>
  </si>
  <si>
    <t>DODDS, MICHAEL A.</t>
  </si>
  <si>
    <t>DODDS</t>
  </si>
  <si>
    <t>MICHAEL</t>
  </si>
  <si>
    <t>1837</t>
  </si>
  <si>
    <t>HARROLD, KAYLEA D.</t>
  </si>
  <si>
    <t>HARROLD</t>
  </si>
  <si>
    <t>KAYLEA</t>
  </si>
  <si>
    <t>4105</t>
  </si>
  <si>
    <t>3330</t>
  </si>
  <si>
    <t>BLACK, SUSAN M.</t>
  </si>
  <si>
    <t>BLACK</t>
  </si>
  <si>
    <t>3804</t>
  </si>
  <si>
    <t>MAHONEY, SCHUYLER B.</t>
  </si>
  <si>
    <t>MAHONEY</t>
  </si>
  <si>
    <t>SCHUYLER</t>
  </si>
  <si>
    <t>2314</t>
  </si>
  <si>
    <t>1835</t>
  </si>
  <si>
    <t>KENT, TAMRA J.</t>
  </si>
  <si>
    <t>KENT</t>
  </si>
  <si>
    <t>TAMRA</t>
  </si>
  <si>
    <t>3807</t>
  </si>
  <si>
    <t>3324</t>
  </si>
  <si>
    <t>TRAXLER, CAITLYN B.</t>
  </si>
  <si>
    <t>TRAXLER</t>
  </si>
  <si>
    <t>CAITLYN</t>
  </si>
  <si>
    <t>9976</t>
  </si>
  <si>
    <t>3803</t>
  </si>
  <si>
    <t xml:space="preserve">DEVORCE, DIANA </t>
  </si>
  <si>
    <t>DEVORCE</t>
  </si>
  <si>
    <t>1832</t>
  </si>
  <si>
    <t>BREWSTER, ASHLEY N.</t>
  </si>
  <si>
    <t>BREWSTER</t>
  </si>
  <si>
    <t>ASHLEY</t>
  </si>
  <si>
    <t>3322</t>
  </si>
  <si>
    <t>TEARE, DONNA K.</t>
  </si>
  <si>
    <t>TEARE</t>
  </si>
  <si>
    <t>DONNA</t>
  </si>
  <si>
    <t>3802</t>
  </si>
  <si>
    <t>MESSINGER, DEANNA L.</t>
  </si>
  <si>
    <t>MESSINGER</t>
  </si>
  <si>
    <t>1834</t>
  </si>
  <si>
    <t>1826</t>
  </si>
  <si>
    <t>REAUVEAU SMITH, MARIA E.</t>
  </si>
  <si>
    <t>REAUVEAU SMITH</t>
  </si>
  <si>
    <t>3736</t>
  </si>
  <si>
    <t>3319</t>
  </si>
  <si>
    <t>VIKER, ZAK D.</t>
  </si>
  <si>
    <t>VIKER</t>
  </si>
  <si>
    <t>ZAK</t>
  </si>
  <si>
    <t>3739</t>
  </si>
  <si>
    <t xml:space="preserve">SCHILZ, COURTNEY </t>
  </si>
  <si>
    <t>SCHILZ</t>
  </si>
  <si>
    <t>COURTNEY</t>
  </si>
  <si>
    <t>1819</t>
  </si>
  <si>
    <t>HATHEWAY GILMORE, PATRICIA A.</t>
  </si>
  <si>
    <t>HATHEWAY GILMORE</t>
  </si>
  <si>
    <t>3731</t>
  </si>
  <si>
    <t>3301</t>
  </si>
  <si>
    <t>EK, JANET E.</t>
  </si>
  <si>
    <t>EK</t>
  </si>
  <si>
    <t>3737</t>
  </si>
  <si>
    <t>LONG, NICHOLE M.</t>
  </si>
  <si>
    <t>1818</t>
  </si>
  <si>
    <t>JOHNSON, KATHRYN F.</t>
  </si>
  <si>
    <t>3725</t>
  </si>
  <si>
    <t>3208</t>
  </si>
  <si>
    <t>STUCKER, VANESSA R.</t>
  </si>
  <si>
    <t>STUCKER</t>
  </si>
  <si>
    <t>VANESSA</t>
  </si>
  <si>
    <t>3735</t>
  </si>
  <si>
    <t xml:space="preserve">BRENNAN, CHRISTINA </t>
  </si>
  <si>
    <t>BRENNAN</t>
  </si>
  <si>
    <t>1805</t>
  </si>
  <si>
    <t>WADSWORTH, KYRI L.</t>
  </si>
  <si>
    <t>WADSWORTH</t>
  </si>
  <si>
    <t>KYRI</t>
  </si>
  <si>
    <t>3720</t>
  </si>
  <si>
    <t>3207</t>
  </si>
  <si>
    <t>JONES, BRAD S.</t>
  </si>
  <si>
    <t>3732</t>
  </si>
  <si>
    <t>PARKER HALL, CHERYL A.</t>
  </si>
  <si>
    <t>PARKER HALL</t>
  </si>
  <si>
    <t>1804</t>
  </si>
  <si>
    <t>BAINES, GARY K.</t>
  </si>
  <si>
    <t>BAINES</t>
  </si>
  <si>
    <t>3710</t>
  </si>
  <si>
    <t>3205</t>
  </si>
  <si>
    <t>FISHER, MUNRAI J.</t>
  </si>
  <si>
    <t>MUNRAI</t>
  </si>
  <si>
    <t>3730</t>
  </si>
  <si>
    <t>DOMINGUEZ, ANTOINETTE M.</t>
  </si>
  <si>
    <t>DOMINGUEZ</t>
  </si>
  <si>
    <t>3202</t>
  </si>
  <si>
    <t>MINGO, KELLIE J.</t>
  </si>
  <si>
    <t>MINGO</t>
  </si>
  <si>
    <t>KELLIE</t>
  </si>
  <si>
    <t>3726</t>
  </si>
  <si>
    <t>SPANGBERG, TIM J.</t>
  </si>
  <si>
    <t>SPANGBERG</t>
  </si>
  <si>
    <t>TIM</t>
  </si>
  <si>
    <t>3713</t>
  </si>
  <si>
    <t>COOK, SHARRON A.</t>
  </si>
  <si>
    <t>SHARRON</t>
  </si>
  <si>
    <t>3512</t>
  </si>
  <si>
    <t>2352</t>
  </si>
  <si>
    <t>LARSEN, VONNIE S.</t>
  </si>
  <si>
    <t>VONNIE</t>
  </si>
  <si>
    <t>3712</t>
  </si>
  <si>
    <t xml:space="preserve">MEZA, ALICIA </t>
  </si>
  <si>
    <t>MEZA</t>
  </si>
  <si>
    <t>ALICIA</t>
  </si>
  <si>
    <t>3372</t>
  </si>
  <si>
    <t>2351</t>
  </si>
  <si>
    <t>FRIEND, ANTOINETTE M.</t>
  </si>
  <si>
    <t>FRIEND</t>
  </si>
  <si>
    <t>3711</t>
  </si>
  <si>
    <t>BEEBE, LAREENA D.</t>
  </si>
  <si>
    <t>BEEBE</t>
  </si>
  <si>
    <t>LAREENA</t>
  </si>
  <si>
    <t>3369</t>
  </si>
  <si>
    <t>2350</t>
  </si>
  <si>
    <t>NIELSEN, KIM C.</t>
  </si>
  <si>
    <t>NIELSEN</t>
  </si>
  <si>
    <t>3706</t>
  </si>
  <si>
    <t xml:space="preserve">VARELMANN, MARI TERESA </t>
  </si>
  <si>
    <t>VARELMANN</t>
  </si>
  <si>
    <t>MARI TERESA</t>
  </si>
  <si>
    <t>2328</t>
  </si>
  <si>
    <t>BARNEY, DANIELLE T.</t>
  </si>
  <si>
    <t>BARNEY</t>
  </si>
  <si>
    <t>DANIELLE</t>
  </si>
  <si>
    <t>3705</t>
  </si>
  <si>
    <t>DINIUS, AMY D.</t>
  </si>
  <si>
    <t>DINIUS</t>
  </si>
  <si>
    <t>3356</t>
  </si>
  <si>
    <t>2327</t>
  </si>
  <si>
    <t>HURST, TIMOTHY M.</t>
  </si>
  <si>
    <t>3510</t>
  </si>
  <si>
    <t xml:space="preserve">WESTLUND, BRITTANY </t>
  </si>
  <si>
    <t>WESTLUND</t>
  </si>
  <si>
    <t>BRITTANY</t>
  </si>
  <si>
    <t>3353</t>
  </si>
  <si>
    <t>2325</t>
  </si>
  <si>
    <t>FANELLI, RETHA G.</t>
  </si>
  <si>
    <t>FANELLI</t>
  </si>
  <si>
    <t>RETHA</t>
  </si>
  <si>
    <t>3503</t>
  </si>
  <si>
    <t>KNAPP, MARK R.</t>
  </si>
  <si>
    <t>KNAPP</t>
  </si>
  <si>
    <t>3351</t>
  </si>
  <si>
    <t>2317</t>
  </si>
  <si>
    <t>BENNETT, TAMMY M.</t>
  </si>
  <si>
    <t>BENNETT</t>
  </si>
  <si>
    <t>TAMMY</t>
  </si>
  <si>
    <t>3371</t>
  </si>
  <si>
    <t>GRIMSMAN, SUSAN K.</t>
  </si>
  <si>
    <t>GRIMSMAN</t>
  </si>
  <si>
    <t>5559</t>
  </si>
  <si>
    <t xml:space="preserve">RESEARCH ANLYST     </t>
  </si>
  <si>
    <t>05451</t>
  </si>
  <si>
    <t>PERDUE, DAVID G.</t>
  </si>
  <si>
    <t>PERDUE</t>
  </si>
  <si>
    <t>3348</t>
  </si>
  <si>
    <t>2316</t>
  </si>
  <si>
    <t>JENKINS, BRETT N.</t>
  </si>
  <si>
    <t>JENKINS</t>
  </si>
  <si>
    <t>BRETT</t>
  </si>
  <si>
    <t>3370</t>
  </si>
  <si>
    <t>HEINRICH, HOLLY S.</t>
  </si>
  <si>
    <t>HEINRICH</t>
  </si>
  <si>
    <t>HOLLY</t>
  </si>
  <si>
    <t>9994</t>
  </si>
  <si>
    <t>5558</t>
  </si>
  <si>
    <t>BALDWIN, COURTNEY S.</t>
  </si>
  <si>
    <t>BALDWIN</t>
  </si>
  <si>
    <t>SAGE</t>
  </si>
  <si>
    <t>3345</t>
  </si>
  <si>
    <t>2315</t>
  </si>
  <si>
    <t xml:space="preserve">STEELE, REXFORD </t>
  </si>
  <si>
    <t>STEELE</t>
  </si>
  <si>
    <t>REXFORD</t>
  </si>
  <si>
    <t>3368</t>
  </si>
  <si>
    <t>PENTZER, CAROL A.</t>
  </si>
  <si>
    <t>PENTZER</t>
  </si>
  <si>
    <t>CAROL</t>
  </si>
  <si>
    <t>5550</t>
  </si>
  <si>
    <t>DEITRICK, SHANNA L.</t>
  </si>
  <si>
    <t>DEITRICK</t>
  </si>
  <si>
    <t>SHANNA</t>
  </si>
  <si>
    <t>3342</t>
  </si>
  <si>
    <t>2313</t>
  </si>
  <si>
    <t>BROWN, DEBBIE L.</t>
  </si>
  <si>
    <t>DEBBIE</t>
  </si>
  <si>
    <t>3363</t>
  </si>
  <si>
    <t>MANGUM, MARCIA K.</t>
  </si>
  <si>
    <t>MANGUM</t>
  </si>
  <si>
    <t>MARCIA</t>
  </si>
  <si>
    <t>5526</t>
  </si>
  <si>
    <t>HOWARD, RODERICK S.</t>
  </si>
  <si>
    <t>HOWARD</t>
  </si>
  <si>
    <t>RODERICK</t>
  </si>
  <si>
    <t>3341</t>
  </si>
  <si>
    <t>2312</t>
  </si>
  <si>
    <t>HOWARD, LYNN G.</t>
  </si>
  <si>
    <t>3362</t>
  </si>
  <si>
    <t>GASSELING, BETH A.</t>
  </si>
  <si>
    <t>GASSELING</t>
  </si>
  <si>
    <t>BETH</t>
  </si>
  <si>
    <t>5525</t>
  </si>
  <si>
    <t>TOBIAS, MICHAEL D.</t>
  </si>
  <si>
    <t>TOBIAS</t>
  </si>
  <si>
    <t>3329</t>
  </si>
  <si>
    <t>2303</t>
  </si>
  <si>
    <t>ARCHIBALD, DORICE C.</t>
  </si>
  <si>
    <t>ARCHIBALD</t>
  </si>
  <si>
    <t>DORICE</t>
  </si>
  <si>
    <t>CONSTANS</t>
  </si>
  <si>
    <t>3361</t>
  </si>
  <si>
    <t>PHILLIPS, GABRIELLE S.</t>
  </si>
  <si>
    <t>GABRIELLE</t>
  </si>
  <si>
    <t>9990</t>
  </si>
  <si>
    <t>5524</t>
  </si>
  <si>
    <t>SARGENT HODSON, JESSICA N.</t>
  </si>
  <si>
    <t>SARGENT HODSON</t>
  </si>
  <si>
    <t>3206</t>
  </si>
  <si>
    <t>1877</t>
  </si>
  <si>
    <t>VINSONHALER, WESLEY J.</t>
  </si>
  <si>
    <t>3511</t>
  </si>
  <si>
    <t>MENDIOLA, MARCELA S.</t>
  </si>
  <si>
    <t>MENDIOLA</t>
  </si>
  <si>
    <t>MARCELA</t>
  </si>
  <si>
    <t>3352</t>
  </si>
  <si>
    <t xml:space="preserve">HAGA, MAEANN </t>
  </si>
  <si>
    <t>HAGA</t>
  </si>
  <si>
    <t>MAEANN</t>
  </si>
  <si>
    <t>INC_FTI</t>
  </si>
  <si>
    <t>INDICATOR</t>
  </si>
  <si>
    <t>TOTAL_PERM_PCN_FTI</t>
  </si>
  <si>
    <t>TOTAL_ELECT_PCN_FTI</t>
  </si>
  <si>
    <t>ROWS_PER_PCN</t>
  </si>
  <si>
    <t>FTI_SALARY_SSDI</t>
  </si>
  <si>
    <t>FTI_SALARY_PERM</t>
  </si>
  <si>
    <t>FTI_SALARY_ELECT</t>
  </si>
  <si>
    <t>SALARY_CHG</t>
  </si>
  <si>
    <t>HEALTH_PERM</t>
  </si>
  <si>
    <t>HEALTH_ELECT</t>
  </si>
  <si>
    <t>SSDI</t>
  </si>
  <si>
    <t>SSHI</t>
  </si>
  <si>
    <t>RETIREMENT</t>
  </si>
  <si>
    <t>LIFE_INS</t>
  </si>
  <si>
    <t>UNEMP_INS</t>
  </si>
  <si>
    <t>DHR</t>
  </si>
  <si>
    <t>WORKERS_COMP</t>
  </si>
  <si>
    <t>SICK</t>
  </si>
  <si>
    <t>TOT_VB_PERM</t>
  </si>
  <si>
    <t>TOT_VB_ELECT</t>
  </si>
  <si>
    <t>HEALTH_PERM_BY</t>
  </si>
  <si>
    <t>HEALTH_ELECT_BY</t>
  </si>
  <si>
    <t>SSDI_BY</t>
  </si>
  <si>
    <t>SSHI_BY</t>
  </si>
  <si>
    <t>RETIREMENT_BY</t>
  </si>
  <si>
    <t>LIFE_INS_BY</t>
  </si>
  <si>
    <t>UNEMP_INS_BY</t>
  </si>
  <si>
    <t>DHR_BY</t>
  </si>
  <si>
    <t>WORKERS_COMP_BY</t>
  </si>
  <si>
    <t>SICK_BY</t>
  </si>
  <si>
    <t>TOT_VB_PERM_BY</t>
  </si>
  <si>
    <t>TOT_VB_ELECT_BY</t>
  </si>
  <si>
    <t>HEALTH_PERM_CHG</t>
  </si>
  <si>
    <t>HEALTH_ELECT_CHG</t>
  </si>
  <si>
    <t>SSDI_CHG</t>
  </si>
  <si>
    <t>SSHI_CHG</t>
  </si>
  <si>
    <t>RETIREMENT_CHG</t>
  </si>
  <si>
    <t>LIFE_INS_CHG</t>
  </si>
  <si>
    <t>UNEMP_INS_CHG</t>
  </si>
  <si>
    <t>DHR_CHG</t>
  </si>
  <si>
    <t>WORKERS_COMP_CHG</t>
  </si>
  <si>
    <t>SICK_CHG</t>
  </si>
  <si>
    <t>TOT_VB_PERM_CHG</t>
  </si>
  <si>
    <t>TOT_VB_ELECT_CHG</t>
  </si>
  <si>
    <t>Group_Salary</t>
  </si>
  <si>
    <t>Group_Ben</t>
  </si>
  <si>
    <t>col_Fund</t>
  </si>
  <si>
    <t>TAAA 0001-00</t>
  </si>
  <si>
    <t>TAAA 0001</t>
  </si>
  <si>
    <t>Department of Revenue and Taxation</t>
  </si>
  <si>
    <t>State Tax Commission</t>
  </si>
  <si>
    <t>General Services</t>
  </si>
  <si>
    <t>General</t>
  </si>
  <si>
    <t>0001-00</t>
  </si>
  <si>
    <t>10000</t>
  </si>
  <si>
    <t>General Services, General   TAAA-0001-00</t>
  </si>
  <si>
    <t>TAAA 0338-01</t>
  </si>
  <si>
    <t>TAAA 0338</t>
  </si>
  <si>
    <t>Administration and Accounting</t>
  </si>
  <si>
    <t>0338-01</t>
  </si>
  <si>
    <t>33801</t>
  </si>
  <si>
    <t>General Services, Administration and Accounting   TAAA-0338-01</t>
  </si>
  <si>
    <t>TAAA 0338-02</t>
  </si>
  <si>
    <t>Administration Services for Transportation</t>
  </si>
  <si>
    <t>0338-02</t>
  </si>
  <si>
    <t>33802</t>
  </si>
  <si>
    <t>General Services, Administration Services for Transportation   TAAA-0338-02</t>
  </si>
  <si>
    <t>TAAB 0001-00</t>
  </si>
  <si>
    <t>TAAB 0001</t>
  </si>
  <si>
    <t>Audit Division</t>
  </si>
  <si>
    <t>Audit Division, General   TAAB-0001-00</t>
  </si>
  <si>
    <t>TAAB 0338-01</t>
  </si>
  <si>
    <t>TAAB 0338</t>
  </si>
  <si>
    <t>Audit Division, Administration and Accounting   TAAB-0338-01</t>
  </si>
  <si>
    <t>TAAB 0338-02</t>
  </si>
  <si>
    <t>Audit Division, Administration Services for Transportation   TAAB-0338-02</t>
  </si>
  <si>
    <t>TAAC 0001-00</t>
  </si>
  <si>
    <t>TAAC 0001</t>
  </si>
  <si>
    <t>Revenue Operations</t>
  </si>
  <si>
    <t>Revenue Operations, General   TAAC-0001-00</t>
  </si>
  <si>
    <t>TAAC 0338-01</t>
  </si>
  <si>
    <t>TAAC 0338</t>
  </si>
  <si>
    <t>Revenue Operations, Administration and Accounting   TAAC-0338-01</t>
  </si>
  <si>
    <t>TAAC 0338-02</t>
  </si>
  <si>
    <t>Revenue Operations, Administration Services for Transportation   TAAC-0338-02</t>
  </si>
  <si>
    <t>TAAD 0001-00</t>
  </si>
  <si>
    <t>TAAD 0001</t>
  </si>
  <si>
    <t>Property Tax</t>
  </si>
  <si>
    <t>Property Tax, General   TAAD-0001-00</t>
  </si>
  <si>
    <t>TAAF 0276-00</t>
  </si>
  <si>
    <t>TAAF 0276</t>
  </si>
  <si>
    <t>Multistate Tax Compact</t>
  </si>
  <si>
    <t>0276-00</t>
  </si>
  <si>
    <t>27600</t>
  </si>
  <si>
    <t>Audit Division, Multistate Tax Compact   TAAF-0276-00</t>
  </si>
  <si>
    <t>TAAI 0276-00</t>
  </si>
  <si>
    <t>TAAI 0276</t>
  </si>
  <si>
    <t>General Services, Multistate Tax Compact   TAAI-0276-00</t>
  </si>
  <si>
    <t>TACA 0001-00</t>
  </si>
  <si>
    <t>TACA 0001</t>
  </si>
  <si>
    <t>Collection Division</t>
  </si>
  <si>
    <t>Collection Division, General   TACA-0001-00</t>
  </si>
  <si>
    <t>TACA 0338-02</t>
  </si>
  <si>
    <t>TACA 0338</t>
  </si>
  <si>
    <t>Collection Division, Administration Services for Transportation   TACA-0338-02</t>
  </si>
  <si>
    <t>Totals by Budget Unit and Fund</t>
  </si>
  <si>
    <t>Est. FY22_x000D_
Salary</t>
  </si>
  <si>
    <t>Proj. FY23_x000D_
Salary</t>
  </si>
  <si>
    <t>Actual FY 2021</t>
  </si>
  <si>
    <t>Estimate FY 2022</t>
  </si>
  <si>
    <t>Projection FY 2023</t>
  </si>
  <si>
    <t>Filled Permanent/Elected</t>
  </si>
  <si>
    <t>Fund-0001</t>
  </si>
  <si>
    <t>Fund-0276</t>
  </si>
  <si>
    <t>Fund-0338</t>
  </si>
  <si>
    <t>Permanent Total</t>
  </si>
  <si>
    <t>Group</t>
  </si>
  <si>
    <t>Group Total</t>
  </si>
  <si>
    <t>Agency Fund 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</si>
</sst>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23">
    <numFmt numFmtId="6" formatCode="&quot;$&quot;#,##0_);[Red]\(&quot;$&quot;#,##0\)"/>
    <numFmt numFmtId="8" formatCode="&quot;$&quot;#,##0.00_);[Red]\(&quot;$&quot;#,##0.00\)"/>
    <numFmt numFmtId="43" formatCode="_(* #,##0.00_);_(* \(#,##0.00\);_(* &quot;-&quot;??_);_(@_)"/>
    <numFmt numFmtId="164" formatCode="0.00000"/>
    <numFmt numFmtId="165" formatCode="&quot;$&quot;#,##0"/>
    <numFmt numFmtId="166" formatCode="0_)"/>
    <numFmt numFmtId="167" formatCode="0.0000"/>
    <numFmt numFmtId="168" formatCode="0000;;"/>
    <numFmt numFmtId="169" formatCode="00;;"/>
    <numFmt numFmtId="170" formatCode="00000;;00000"/>
    <numFmt numFmtId="171" formatCode="0000\-00;;"/>
    <numFmt numFmtId="172" formatCode="0.00\ ;\(0.00\);0.0\ "/>
    <numFmt numFmtId="173" formatCode="#,##0.000_);[Red]\(#,##0.000\)"/>
    <numFmt numFmtId="174" formatCode="0\ ;\(0\);0\ "/>
    <numFmt numFmtId="175" formatCode="#,##0_);[Red]\(#,##0\);0\ "/>
    <numFmt numFmtId="176" formatCode="0.0%"/>
    <numFmt numFmtId="177" formatCode="#,##0.00000000_);[Red]\(#,##0.00000000\)"/>
    <numFmt numFmtId="178" formatCode="#,##0.000000000_);[Red]\(#,##0.000000000\)"/>
    <numFmt numFmtId="179" formatCode="0.00000_);[Red]\(0.00000\)"/>
    <numFmt numFmtId="180" formatCode="0.000"/>
    <numFmt numFmtId="182" formatCode="0.0000_);[Red]\(0.0000\)"/>
    <numFmt numFmtId="183" formatCode="#0"/>
    <numFmt numFmtId="184" formatCode="#0.########"/>
  </numFmts>
  <fonts count="5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name val="Helv"/>
    </font>
    <font>
      <sz val="10"/>
      <name val="Arial"/>
      <family val="2"/>
    </font>
    <font>
      <b/>
      <sz val="15"/>
      <name val="Times New Roman"/>
      <family val="1"/>
    </font>
    <font>
      <sz val="15"/>
      <color theme="1"/>
      <name val="Times New Roman"/>
      <family val="1"/>
    </font>
    <font>
      <sz val="15"/>
      <name val="Times New Roman"/>
      <family val="1"/>
    </font>
    <font>
      <b/>
      <sz val="15"/>
      <color theme="1"/>
      <name val="Times New Roman"/>
      <family val="1"/>
    </font>
    <font>
      <sz val="12"/>
      <name val="Arial"/>
      <family val="2"/>
    </font>
    <font>
      <b/>
      <sz val="11"/>
      <name val="Arial"/>
      <family val="2"/>
    </font>
    <font>
      <b/>
      <sz val="9"/>
      <name val="Arial"/>
      <family val="2"/>
    </font>
    <font>
      <b/>
      <sz val="12"/>
      <name val="Arial"/>
      <family val="2"/>
    </font>
    <font>
      <sz val="9"/>
      <name val="Arial"/>
      <family val="2"/>
    </font>
    <font>
      <b/>
      <sz val="16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9"/>
      <color rgb="FF002060"/>
      <name val="Arial"/>
      <family val="2"/>
    </font>
    <font>
      <sz val="9"/>
      <color indexed="10"/>
      <name val="Arial"/>
      <family val="2"/>
    </font>
    <font>
      <sz val="10"/>
      <color indexed="10"/>
      <name val="Arial"/>
      <family val="2"/>
    </font>
    <font>
      <b/>
      <sz val="10"/>
      <color rgb="FF002060"/>
      <name val="Arial"/>
      <family val="2"/>
    </font>
    <font>
      <b/>
      <sz val="8"/>
      <name val="Arial"/>
      <family val="2"/>
    </font>
    <font>
      <sz val="8"/>
      <color indexed="81"/>
      <name val="Tahoma"/>
      <family val="2"/>
    </font>
    <font>
      <sz val="9"/>
      <color indexed="81"/>
      <name val="Tahoma"/>
      <family val="2"/>
    </font>
    <font>
      <sz val="9"/>
      <color indexed="81"/>
      <name val="Arial"/>
      <family val="2"/>
    </font>
    <font>
      <sz val="10"/>
      <color indexed="81"/>
      <name val="Tahoma"/>
      <family val="2"/>
    </font>
    <font>
      <sz val="12"/>
      <color theme="1"/>
      <name val="Times New Roman"/>
      <family val="1"/>
    </font>
    <font>
      <sz val="9"/>
      <color theme="1"/>
      <name val="Calibri"/>
      <family val="2"/>
      <scheme val="minor"/>
    </font>
    <font>
      <b/>
      <i/>
      <sz val="16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name val="Arial"/>
      <family val="2"/>
    </font>
    <font>
      <sz val="10"/>
      <color theme="1"/>
      <name val="Arial"/>
      <family val="2"/>
    </font>
    <font>
      <sz val="8"/>
      <color theme="1"/>
      <name val="Arial"/>
      <family val="2"/>
    </font>
    <font>
      <b/>
      <sz val="10"/>
      <color theme="1"/>
      <name val="Arial"/>
      <family val="2"/>
    </font>
    <font>
      <b/>
      <sz val="8"/>
      <color theme="0"/>
      <name val="Arial"/>
      <family val="2"/>
    </font>
    <font>
      <sz val="10"/>
      <color theme="1"/>
      <name val="Times New Roman"/>
      <family val="1"/>
    </font>
    <font>
      <sz val="10"/>
      <color theme="0"/>
      <name val="Arial"/>
      <family val="2"/>
    </font>
    <font>
      <sz val="12"/>
      <color theme="0"/>
      <name val="Arial"/>
      <family val="2"/>
    </font>
    <font>
      <sz val="12"/>
      <color theme="0"/>
      <name val="Helv"/>
    </font>
    <font>
      <sz val="12"/>
      <color theme="0"/>
      <name val="Times New Roman"/>
      <family val="1"/>
    </font>
    <font>
      <sz val="11"/>
      <color theme="0"/>
      <name val="Calibri"/>
      <family val="2"/>
      <scheme val="minor"/>
    </font>
    <font>
      <b/>
      <sz val="9"/>
      <color indexed="81"/>
      <name val="Tahoma"/>
      <family val="2"/>
    </font>
    <font>
      <sz val="8"/>
      <color theme="0"/>
      <name val="Arial"/>
      <family val="2"/>
    </font>
    <font>
      <b/>
      <sz val="10"/>
      <color theme="0"/>
      <name val="Arial"/>
      <family val="2"/>
    </font>
    <font>
      <sz val="8"/>
      <color rgb="FF333333"/>
      <name val="Arial"/>
      <family val="2"/>
    </font>
    <font>
      <sz val="8"/>
      <color rgb="FF454545"/>
      <name val="Arial"/>
      <family val="2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25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gray125">
        <bgColor theme="1"/>
      </patternFill>
    </fill>
    <fill>
      <patternFill patternType="solid">
        <fgColor theme="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E7E5E5"/>
      </patternFill>
    </fill>
    <fill>
      <patternFill patternType="solid">
        <fgColor rgb="FFB8CCE4"/>
        <bgColor indexed="64"/>
      </patternFill>
    </fill>
    <fill>
      <patternFill patternType="solid">
        <fgColor rgb="FFE6B8B8"/>
        <bgColor indexed="64"/>
      </patternFill>
    </fill>
    <fill>
      <patternFill patternType="solid">
        <fgColor rgb="FF9BBB59"/>
        <bgColor indexed="64"/>
      </patternFill>
    </fill>
    <fill>
      <patternFill patternType="solid">
        <fgColor rgb="FFE8AE27"/>
        <bgColor indexed="64"/>
      </patternFill>
    </fill>
    <fill>
      <patternFill patternType="solid">
        <fgColor rgb="FFC4BD97"/>
        <bgColor indexed="64"/>
      </patternFill>
    </fill>
    <fill>
      <patternFill patternType="solid">
        <fgColor rgb="FFC88700"/>
        <bgColor indexed="64"/>
      </patternFill>
    </fill>
    <fill>
      <patternFill patternType="solid">
        <fgColor rgb="FFEDDE11"/>
        <bgColor indexed="64"/>
      </patternFill>
    </fill>
    <fill>
      <patternFill patternType="solid">
        <fgColor rgb="FFDCDCDC"/>
        <bgColor indexed="64"/>
      </patternFill>
    </fill>
    <fill>
      <patternFill patternType="solid">
        <fgColor rgb="FFB7DEE8"/>
        <bgColor indexed="64"/>
      </patternFill>
    </fill>
    <fill>
      <patternFill patternType="solid">
        <fgColor rgb="FF92CDDC"/>
        <bgColor indexed="64"/>
      </patternFill>
    </fill>
  </fills>
  <borders count="2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ck">
        <color indexed="64"/>
      </bottom>
      <diagonal/>
    </border>
    <border>
      <left style="medium">
        <color rgb="FFC0C0C0"/>
      </left>
      <right style="medium">
        <color rgb="FFC0C0C0"/>
      </right>
      <top style="medium">
        <color rgb="FFC0C0C0"/>
      </top>
      <bottom style="medium">
        <color rgb="FFC0C0C0"/>
      </bottom>
      <diagonal/>
    </border>
    <border>
      <left style="medium">
        <color rgb="FFE2E2E2"/>
      </left>
      <right style="medium">
        <color rgb="FFE2E2E2"/>
      </right>
      <top style="medium">
        <color rgb="FFE2E2E2"/>
      </top>
      <bottom style="medium">
        <color rgb="FFE2E2E2"/>
      </bottom>
      <diagonal/>
    </border>
    <border>
      <left/>
      <right/>
      <top style="medium">
        <color indexed="64"/>
      </top>
      <bottom/>
      <diagonal/>
    </border>
  </borders>
  <cellStyleXfs count="8">
    <xf numFmtId="0" fontId="0" fillId="0" borderId="0"/>
    <xf numFmtId="166" fontId="2" fillId="0" borderId="0"/>
    <xf numFmtId="43" fontId="3" fillId="0" borderId="0" applyFont="0" applyFill="0" applyBorder="0" applyAlignment="0" applyProtection="0"/>
    <xf numFmtId="0" fontId="1" fillId="0" borderId="0"/>
    <xf numFmtId="9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" fillId="0" borderId="0"/>
  </cellStyleXfs>
  <cellXfs count="479">
    <xf numFmtId="0" fontId="0" fillId="0" borderId="0" xfId="0"/>
    <xf numFmtId="0" fontId="5" fillId="0" borderId="0" xfId="0" applyFont="1"/>
    <xf numFmtId="0" fontId="4" fillId="2" borderId="0" xfId="0" applyNumberFormat="1" applyFont="1" applyFill="1" applyAlignment="1">
      <alignment horizontal="left" vertical="top"/>
    </xf>
    <xf numFmtId="0" fontId="6" fillId="0" borderId="0" xfId="0" applyNumberFormat="1" applyFont="1"/>
    <xf numFmtId="0" fontId="6" fillId="0" borderId="0" xfId="0" applyNumberFormat="1" applyFont="1" applyAlignment="1">
      <alignment horizontal="center"/>
    </xf>
    <xf numFmtId="0" fontId="4" fillId="0" borderId="1" xfId="0" applyNumberFormat="1" applyFont="1" applyBorder="1" applyAlignment="1">
      <alignment horizontal="center"/>
    </xf>
    <xf numFmtId="0" fontId="4" fillId="0" borderId="1" xfId="0" applyNumberFormat="1" applyFont="1" applyFill="1" applyBorder="1" applyAlignment="1">
      <alignment horizontal="center"/>
    </xf>
    <xf numFmtId="0" fontId="4" fillId="0" borderId="2" xfId="0" applyNumberFormat="1" applyFont="1" applyBorder="1" applyAlignment="1">
      <alignment horizontal="center" wrapText="1"/>
    </xf>
    <xf numFmtId="164" fontId="5" fillId="0" borderId="0" xfId="0" applyNumberFormat="1" applyFont="1"/>
    <xf numFmtId="167" fontId="5" fillId="0" borderId="0" xfId="0" applyNumberFormat="1" applyFont="1"/>
    <xf numFmtId="0" fontId="7" fillId="0" borderId="1" xfId="0" applyFont="1" applyBorder="1" applyAlignment="1">
      <alignment horizontal="left"/>
    </xf>
    <xf numFmtId="0" fontId="7" fillId="0" borderId="1" xfId="0" applyFont="1" applyBorder="1" applyAlignment="1">
      <alignment horizontal="center" wrapText="1"/>
    </xf>
    <xf numFmtId="166" fontId="8" fillId="4" borderId="6" xfId="1" applyFont="1" applyFill="1" applyBorder="1" applyAlignment="1">
      <alignment horizontal="left" vertical="center"/>
    </xf>
    <xf numFmtId="166" fontId="8" fillId="4" borderId="7" xfId="1" applyFont="1" applyFill="1" applyBorder="1" applyAlignment="1">
      <alignment horizontal="left" vertical="center"/>
    </xf>
    <xf numFmtId="168" fontId="9" fillId="4" borderId="5" xfId="7" applyNumberFormat="1" applyFont="1" applyFill="1" applyBorder="1" applyAlignment="1" applyProtection="1">
      <alignment horizontal="left" vertical="center"/>
    </xf>
    <xf numFmtId="168" fontId="10" fillId="4" borderId="7" xfId="7" applyNumberFormat="1" applyFont="1" applyFill="1" applyBorder="1" applyAlignment="1" applyProtection="1">
      <alignment horizontal="center" vertical="center"/>
    </xf>
    <xf numFmtId="166" fontId="8" fillId="4" borderId="7" xfId="1" applyFont="1" applyFill="1" applyBorder="1" applyAlignment="1">
      <alignment horizontal="right" vertical="center"/>
    </xf>
    <xf numFmtId="166" fontId="2" fillId="0" borderId="0" xfId="1" applyFont="1" applyBorder="1"/>
    <xf numFmtId="166" fontId="2" fillId="0" borderId="0" xfId="1" applyFont="1"/>
    <xf numFmtId="166" fontId="8" fillId="4" borderId="9" xfId="1" applyFont="1" applyFill="1" applyBorder="1" applyAlignment="1">
      <alignment vertical="center"/>
    </xf>
    <xf numFmtId="166" fontId="8" fillId="4" borderId="0" xfId="1" applyFont="1" applyFill="1" applyBorder="1" applyAlignment="1">
      <alignment vertical="center"/>
    </xf>
    <xf numFmtId="168" fontId="10" fillId="4" borderId="0" xfId="7" applyNumberFormat="1" applyFont="1" applyFill="1" applyBorder="1" applyAlignment="1" applyProtection="1">
      <alignment horizontal="center" vertical="center"/>
    </xf>
    <xf numFmtId="166" fontId="8" fillId="4" borderId="0" xfId="1" applyFont="1" applyFill="1" applyBorder="1" applyAlignment="1">
      <alignment horizontal="right" vertical="center"/>
    </xf>
    <xf numFmtId="0" fontId="9" fillId="4" borderId="5" xfId="7" applyFont="1" applyFill="1" applyBorder="1" applyAlignment="1" applyProtection="1">
      <alignment horizontal="left" vertical="center"/>
    </xf>
    <xf numFmtId="0" fontId="12" fillId="4" borderId="0" xfId="7" applyFont="1" applyFill="1" applyBorder="1" applyAlignment="1" applyProtection="1">
      <alignment horizontal="center" vertical="center"/>
    </xf>
    <xf numFmtId="0" fontId="12" fillId="4" borderId="0" xfId="7" applyFont="1" applyFill="1" applyBorder="1" applyAlignment="1" applyProtection="1">
      <alignment horizontal="right" vertical="center"/>
    </xf>
    <xf numFmtId="0" fontId="12" fillId="4" borderId="0" xfId="7" applyFont="1" applyFill="1" applyBorder="1" applyAlignment="1" applyProtection="1">
      <alignment vertical="center"/>
    </xf>
    <xf numFmtId="0" fontId="8" fillId="4" borderId="0" xfId="7" applyFont="1" applyFill="1" applyBorder="1" applyAlignment="1" applyProtection="1">
      <alignment vertical="center"/>
    </xf>
    <xf numFmtId="2" fontId="12" fillId="4" borderId="0" xfId="7" applyNumberFormat="1" applyFont="1" applyFill="1" applyBorder="1" applyAlignment="1" applyProtection="1">
      <alignment vertical="center"/>
    </xf>
    <xf numFmtId="14" fontId="11" fillId="4" borderId="1" xfId="7" applyNumberFormat="1" applyFont="1" applyFill="1" applyBorder="1" applyAlignment="1" applyProtection="1">
      <alignment horizontal="left" vertical="center"/>
    </xf>
    <xf numFmtId="0" fontId="8" fillId="4" borderId="0" xfId="7" applyFont="1" applyFill="1" applyBorder="1" applyAlignment="1" applyProtection="1">
      <alignment horizontal="right" vertical="center"/>
    </xf>
    <xf numFmtId="2" fontId="8" fillId="4" borderId="0" xfId="7" applyNumberFormat="1" applyFont="1" applyFill="1" applyBorder="1" applyAlignment="1" applyProtection="1">
      <alignment horizontal="right" vertical="center"/>
    </xf>
    <xf numFmtId="49" fontId="13" fillId="5" borderId="2" xfId="1" applyNumberFormat="1" applyFont="1" applyFill="1" applyBorder="1" applyAlignment="1">
      <alignment horizontal="center" vertical="center" shrinkToFit="1"/>
    </xf>
    <xf numFmtId="166" fontId="2" fillId="0" borderId="0" xfId="1" applyFont="1" applyBorder="1" applyAlignment="1"/>
    <xf numFmtId="166" fontId="2" fillId="0" borderId="0" xfId="1" applyFont="1" applyAlignment="1"/>
    <xf numFmtId="0" fontId="8" fillId="4" borderId="0" xfId="7" applyFont="1" applyFill="1" applyBorder="1" applyAlignment="1" applyProtection="1">
      <alignment horizontal="left" vertical="center"/>
    </xf>
    <xf numFmtId="0" fontId="11" fillId="4" borderId="1" xfId="7" applyNumberFormat="1" applyFont="1" applyFill="1" applyBorder="1" applyAlignment="1" applyProtection="1">
      <alignment horizontal="left" vertical="center"/>
    </xf>
    <xf numFmtId="38" fontId="12" fillId="4" borderId="0" xfId="7" applyNumberFormat="1" applyFont="1" applyFill="1" applyBorder="1" applyAlignment="1" applyProtection="1">
      <alignment vertical="center"/>
    </xf>
    <xf numFmtId="169" fontId="14" fillId="0" borderId="9" xfId="7" applyNumberFormat="1" applyFont="1" applyBorder="1" applyProtection="1"/>
    <xf numFmtId="0" fontId="14" fillId="0" borderId="1" xfId="7" applyFont="1" applyBorder="1" applyAlignment="1" applyProtection="1">
      <alignment horizontal="center"/>
    </xf>
    <xf numFmtId="0" fontId="14" fillId="0" borderId="0" xfId="7" applyFont="1" applyBorder="1" applyAlignment="1" applyProtection="1">
      <alignment horizontal="center"/>
    </xf>
    <xf numFmtId="0" fontId="14" fillId="0" borderId="0" xfId="7" applyFont="1" applyBorder="1" applyProtection="1"/>
    <xf numFmtId="170" fontId="14" fillId="0" borderId="1" xfId="7" applyNumberFormat="1" applyFont="1" applyBorder="1" applyAlignment="1" applyProtection="1">
      <alignment horizontal="center"/>
    </xf>
    <xf numFmtId="0" fontId="14" fillId="0" borderId="1" xfId="7" applyFont="1" applyBorder="1" applyAlignment="1" applyProtection="1">
      <alignment horizontal="right"/>
    </xf>
    <xf numFmtId="0" fontId="14" fillId="0" borderId="0" xfId="7" applyFont="1" applyBorder="1" applyAlignment="1" applyProtection="1">
      <alignment horizontal="right"/>
    </xf>
    <xf numFmtId="171" fontId="14" fillId="0" borderId="0" xfId="7" applyNumberFormat="1" applyFont="1" applyBorder="1" applyProtection="1"/>
    <xf numFmtId="38" fontId="14" fillId="0" borderId="0" xfId="7" applyNumberFormat="1" applyFont="1" applyBorder="1" applyProtection="1"/>
    <xf numFmtId="172" fontId="14" fillId="0" borderId="10" xfId="7" applyNumberFormat="1" applyFont="1" applyBorder="1" applyProtection="1"/>
    <xf numFmtId="168" fontId="15" fillId="0" borderId="2" xfId="7" applyNumberFormat="1" applyFont="1" applyBorder="1" applyAlignment="1" applyProtection="1">
      <alignment horizontal="center" wrapText="1"/>
    </xf>
    <xf numFmtId="172" fontId="15" fillId="0" borderId="2" xfId="7" applyNumberFormat="1" applyFont="1" applyBorder="1" applyAlignment="1" applyProtection="1">
      <alignment horizontal="center" wrapText="1"/>
    </xf>
    <xf numFmtId="38" fontId="15" fillId="0" borderId="2" xfId="7" applyNumberFormat="1" applyFont="1" applyBorder="1" applyAlignment="1" applyProtection="1">
      <alignment horizontal="center" wrapText="1"/>
    </xf>
    <xf numFmtId="166" fontId="2" fillId="0" borderId="0" xfId="1" applyFont="1" applyBorder="1" applyAlignment="1">
      <alignment wrapText="1"/>
    </xf>
    <xf numFmtId="166" fontId="2" fillId="0" borderId="0" xfId="1" applyFont="1" applyAlignment="1">
      <alignment wrapText="1"/>
    </xf>
    <xf numFmtId="0" fontId="14" fillId="0" borderId="0" xfId="7" applyFont="1" applyProtection="1"/>
    <xf numFmtId="168" fontId="15" fillId="0" borderId="6" xfId="7" applyNumberFormat="1" applyFont="1" applyBorder="1" applyAlignment="1" applyProtection="1"/>
    <xf numFmtId="40" fontId="15" fillId="3" borderId="2" xfId="7" applyNumberFormat="1" applyFont="1" applyFill="1" applyBorder="1" applyAlignment="1" applyProtection="1">
      <alignment horizontal="center"/>
    </xf>
    <xf numFmtId="168" fontId="16" fillId="3" borderId="4" xfId="7" applyNumberFormat="1" applyFont="1" applyFill="1" applyBorder="1" applyAlignment="1" applyProtection="1">
      <alignment vertical="center"/>
      <protection locked="0"/>
    </xf>
    <xf numFmtId="49" fontId="3" fillId="6" borderId="2" xfId="7" applyNumberFormat="1" applyFont="1" applyFill="1" applyBorder="1" applyAlignment="1" applyProtection="1">
      <alignment horizontal="center"/>
    </xf>
    <xf numFmtId="40" fontId="3" fillId="6" borderId="2" xfId="7" applyNumberFormat="1" applyFont="1" applyFill="1" applyBorder="1" applyAlignment="1" applyProtection="1">
      <alignment horizontal="center"/>
    </xf>
    <xf numFmtId="40" fontId="3" fillId="0" borderId="3" xfId="7" applyNumberFormat="1" applyFont="1" applyFill="1" applyBorder="1" applyAlignment="1" applyProtection="1">
      <alignment horizontal="center"/>
    </xf>
    <xf numFmtId="38" fontId="3" fillId="0" borderId="10" xfId="7" applyNumberFormat="1" applyFont="1" applyFill="1" applyBorder="1" applyProtection="1"/>
    <xf numFmtId="38" fontId="3" fillId="0" borderId="3" xfId="7" applyNumberFormat="1" applyFont="1" applyFill="1" applyBorder="1" applyProtection="1"/>
    <xf numFmtId="38" fontId="3" fillId="0" borderId="0" xfId="7" applyNumberFormat="1" applyFont="1" applyFill="1" applyBorder="1" applyProtection="1"/>
    <xf numFmtId="49" fontId="3" fillId="7" borderId="11" xfId="7" applyNumberFormat="1" applyFont="1" applyFill="1" applyBorder="1" applyAlignment="1" applyProtection="1">
      <alignment horizontal="center"/>
    </xf>
    <xf numFmtId="49" fontId="3" fillId="7" borderId="0" xfId="7" applyNumberFormat="1" applyFont="1" applyFill="1" applyBorder="1" applyAlignment="1" applyProtection="1">
      <alignment horizontal="center"/>
    </xf>
    <xf numFmtId="49" fontId="3" fillId="7" borderId="1" xfId="7" applyNumberFormat="1" applyFont="1" applyFill="1" applyBorder="1" applyAlignment="1" applyProtection="1">
      <alignment horizontal="center"/>
    </xf>
    <xf numFmtId="49" fontId="3" fillId="7" borderId="14" xfId="7" applyNumberFormat="1" applyFont="1" applyFill="1" applyBorder="1" applyAlignment="1" applyProtection="1">
      <alignment horizontal="center"/>
    </xf>
    <xf numFmtId="49" fontId="3" fillId="7" borderId="10" xfId="7" applyNumberFormat="1" applyFont="1" applyFill="1" applyBorder="1" applyAlignment="1" applyProtection="1">
      <alignment horizontal="center"/>
    </xf>
    <xf numFmtId="40" fontId="3" fillId="7" borderId="10" xfId="7" applyNumberFormat="1" applyFont="1" applyFill="1" applyBorder="1" applyAlignment="1" applyProtection="1"/>
    <xf numFmtId="168" fontId="18" fillId="8" borderId="0" xfId="7" applyNumberFormat="1" applyFont="1" applyFill="1" applyBorder="1" applyAlignment="1" applyProtection="1">
      <alignment horizontal="left" vertical="top" wrapText="1"/>
      <protection locked="0"/>
    </xf>
    <xf numFmtId="168" fontId="18" fillId="8" borderId="10" xfId="7" applyNumberFormat="1" applyFont="1" applyFill="1" applyBorder="1" applyAlignment="1" applyProtection="1">
      <alignment horizontal="left" vertical="top" wrapText="1"/>
      <protection locked="0"/>
    </xf>
    <xf numFmtId="0" fontId="14" fillId="0" borderId="2" xfId="7" applyFont="1" applyBorder="1" applyProtection="1"/>
    <xf numFmtId="0" fontId="20" fillId="0" borderId="2" xfId="7" applyFont="1" applyBorder="1" applyAlignment="1" applyProtection="1">
      <alignment horizontal="center" wrapText="1"/>
    </xf>
    <xf numFmtId="40" fontId="20" fillId="0" borderId="2" xfId="7" applyNumberFormat="1" applyFont="1" applyBorder="1" applyAlignment="1" applyProtection="1">
      <alignment horizontal="center" wrapText="1"/>
    </xf>
    <xf numFmtId="3" fontId="20" fillId="0" borderId="2" xfId="7" applyNumberFormat="1" applyFont="1" applyBorder="1" applyAlignment="1" applyProtection="1">
      <alignment horizontal="center" wrapText="1"/>
    </xf>
    <xf numFmtId="2" fontId="15" fillId="0" borderId="13" xfId="7" applyNumberFormat="1" applyFont="1" applyBorder="1" applyProtection="1"/>
    <xf numFmtId="49" fontId="3" fillId="0" borderId="15" xfId="7" applyNumberFormat="1" applyFont="1" applyBorder="1" applyAlignment="1" applyProtection="1">
      <alignment horizontal="center"/>
    </xf>
    <xf numFmtId="168" fontId="15" fillId="0" borderId="15" xfId="7" applyNumberFormat="1" applyFont="1" applyBorder="1" applyAlignment="1" applyProtection="1"/>
    <xf numFmtId="175" fontId="15" fillId="3" borderId="14" xfId="7" applyNumberFormat="1" applyFont="1" applyFill="1" applyBorder="1" applyAlignment="1" applyProtection="1">
      <alignment horizontal="center"/>
    </xf>
    <xf numFmtId="38" fontId="15" fillId="3" borderId="8" xfId="7" applyNumberFormat="1" applyFont="1" applyFill="1" applyBorder="1" applyProtection="1"/>
    <xf numFmtId="38" fontId="15" fillId="3" borderId="2" xfId="7" applyNumberFormat="1" applyFont="1" applyFill="1" applyBorder="1" applyProtection="1"/>
    <xf numFmtId="38" fontId="3" fillId="0" borderId="3" xfId="7" applyNumberFormat="1" applyFont="1" applyBorder="1" applyProtection="1"/>
    <xf numFmtId="2" fontId="15" fillId="0" borderId="3" xfId="7" applyNumberFormat="1" applyFont="1" applyBorder="1" applyProtection="1"/>
    <xf numFmtId="49" fontId="3" fillId="0" borderId="10" xfId="7" applyNumberFormat="1" applyFont="1" applyBorder="1" applyAlignment="1" applyProtection="1">
      <alignment horizontal="center"/>
    </xf>
    <xf numFmtId="168" fontId="15" fillId="0" borderId="9" xfId="7" applyNumberFormat="1" applyFont="1" applyBorder="1" applyAlignment="1" applyProtection="1"/>
    <xf numFmtId="2" fontId="3" fillId="0" borderId="3" xfId="7" applyNumberFormat="1" applyFont="1" applyBorder="1" applyProtection="1"/>
    <xf numFmtId="38" fontId="14" fillId="0" borderId="3" xfId="7" applyNumberFormat="1" applyFont="1" applyBorder="1" applyProtection="1"/>
    <xf numFmtId="0" fontId="3" fillId="6" borderId="2" xfId="7" applyFont="1" applyFill="1" applyBorder="1" applyAlignment="1" applyProtection="1">
      <alignment horizontal="center"/>
    </xf>
    <xf numFmtId="38" fontId="3" fillId="6" borderId="2" xfId="7" applyNumberFormat="1" applyFont="1" applyFill="1" applyBorder="1" applyProtection="1"/>
    <xf numFmtId="38" fontId="3" fillId="3" borderId="2" xfId="7" applyNumberFormat="1" applyFont="1" applyFill="1" applyBorder="1" applyProtection="1"/>
    <xf numFmtId="38" fontId="15" fillId="3" borderId="13" xfId="7" applyNumberFormat="1" applyFont="1" applyFill="1" applyBorder="1" applyProtection="1"/>
    <xf numFmtId="38" fontId="3" fillId="6" borderId="13" xfId="7" applyNumberFormat="1" applyFont="1" applyFill="1" applyBorder="1" applyProtection="1"/>
    <xf numFmtId="38" fontId="3" fillId="6" borderId="3" xfId="7" applyNumberFormat="1" applyFont="1" applyFill="1" applyBorder="1" applyProtection="1"/>
    <xf numFmtId="0" fontId="3" fillId="0" borderId="16" xfId="7" applyFont="1" applyBorder="1" applyProtection="1"/>
    <xf numFmtId="0" fontId="3" fillId="8" borderId="3" xfId="7" applyFont="1" applyFill="1" applyBorder="1" applyProtection="1"/>
    <xf numFmtId="0" fontId="3" fillId="8" borderId="10" xfId="7" applyFont="1" applyFill="1" applyBorder="1" applyProtection="1"/>
    <xf numFmtId="0" fontId="3" fillId="8" borderId="3" xfId="7" applyFont="1" applyFill="1" applyBorder="1" applyAlignment="1" applyProtection="1">
      <alignment horizontal="center"/>
    </xf>
    <xf numFmtId="40" fontId="3" fillId="8" borderId="3" xfId="7" applyNumberFormat="1" applyFont="1" applyFill="1" applyBorder="1" applyAlignment="1" applyProtection="1">
      <alignment horizontal="center"/>
    </xf>
    <xf numFmtId="38" fontId="15" fillId="8" borderId="3" xfId="7" applyNumberFormat="1" applyFont="1" applyFill="1" applyBorder="1" applyProtection="1"/>
    <xf numFmtId="0" fontId="3" fillId="8" borderId="9" xfId="7" applyFont="1" applyFill="1" applyBorder="1" applyProtection="1"/>
    <xf numFmtId="0" fontId="3" fillId="0" borderId="3" xfId="7" applyFont="1" applyFill="1" applyBorder="1" applyProtection="1"/>
    <xf numFmtId="0" fontId="3" fillId="0" borderId="10" xfId="7" applyFont="1" applyFill="1" applyBorder="1" applyProtection="1"/>
    <xf numFmtId="0" fontId="3" fillId="0" borderId="3" xfId="7" applyFont="1" applyFill="1" applyBorder="1" applyAlignment="1" applyProtection="1">
      <alignment horizontal="center"/>
    </xf>
    <xf numFmtId="40" fontId="20" fillId="0" borderId="13" xfId="7" applyNumberFormat="1" applyFont="1" applyBorder="1" applyAlignment="1" applyProtection="1">
      <alignment horizontal="center"/>
    </xf>
    <xf numFmtId="0" fontId="20" fillId="0" borderId="0" xfId="7" applyFont="1" applyBorder="1" applyAlignment="1" applyProtection="1">
      <alignment horizontal="center"/>
    </xf>
    <xf numFmtId="0" fontId="3" fillId="0" borderId="0" xfId="7" applyFont="1" applyFill="1" applyBorder="1" applyProtection="1"/>
    <xf numFmtId="0" fontId="14" fillId="0" borderId="0" xfId="7" applyFont="1" applyFill="1" applyBorder="1" applyProtection="1"/>
    <xf numFmtId="0" fontId="14" fillId="0" borderId="0" xfId="7" applyFont="1" applyFill="1" applyProtection="1"/>
    <xf numFmtId="168" fontId="15" fillId="0" borderId="10" xfId="7" applyNumberFormat="1" applyFont="1" applyBorder="1" applyAlignment="1" applyProtection="1"/>
    <xf numFmtId="0" fontId="3" fillId="0" borderId="3" xfId="7" applyFont="1" applyBorder="1" applyAlignment="1" applyProtection="1">
      <alignment horizontal="center"/>
    </xf>
    <xf numFmtId="0" fontId="3" fillId="0" borderId="0" xfId="7" applyFont="1" applyBorder="1" applyProtection="1"/>
    <xf numFmtId="0" fontId="3" fillId="0" borderId="10" xfId="7" applyFont="1" applyBorder="1" applyProtection="1"/>
    <xf numFmtId="0" fontId="3" fillId="0" borderId="9" xfId="7" applyFont="1" applyBorder="1" applyAlignment="1" applyProtection="1">
      <alignment horizontal="center"/>
    </xf>
    <xf numFmtId="38" fontId="15" fillId="3" borderId="3" xfId="7" applyNumberFormat="1" applyFont="1" applyFill="1" applyBorder="1" applyProtection="1"/>
    <xf numFmtId="168" fontId="3" fillId="0" borderId="9" xfId="7" applyNumberFormat="1" applyFont="1" applyBorder="1" applyAlignment="1" applyProtection="1">
      <alignment horizontal="left" indent="2"/>
    </xf>
    <xf numFmtId="168" fontId="3" fillId="0" borderId="10" xfId="7" applyNumberFormat="1" applyFont="1" applyBorder="1" applyAlignment="1" applyProtection="1">
      <alignment horizontal="left" indent="2"/>
    </xf>
    <xf numFmtId="2" fontId="3" fillId="6" borderId="2" xfId="7" applyNumberFormat="1" applyFont="1" applyFill="1" applyBorder="1" applyProtection="1"/>
    <xf numFmtId="2" fontId="15" fillId="0" borderId="2" xfId="7" applyNumberFormat="1" applyFont="1" applyBorder="1" applyProtection="1"/>
    <xf numFmtId="49" fontId="3" fillId="0" borderId="8" xfId="7" applyNumberFormat="1" applyFont="1" applyBorder="1" applyAlignment="1" applyProtection="1">
      <alignment horizontal="center"/>
    </xf>
    <xf numFmtId="168" fontId="15" fillId="0" borderId="4" xfId="7" applyNumberFormat="1" applyFont="1" applyBorder="1" applyAlignment="1" applyProtection="1"/>
    <xf numFmtId="168" fontId="15" fillId="0" borderId="8" xfId="7" applyNumberFormat="1" applyFont="1" applyBorder="1" applyAlignment="1" applyProtection="1"/>
    <xf numFmtId="0" fontId="3" fillId="0" borderId="11" xfId="7" applyFont="1" applyBorder="1" applyAlignment="1" applyProtection="1">
      <alignment horizontal="center"/>
    </xf>
    <xf numFmtId="0" fontId="3" fillId="0" borderId="1" xfId="7" applyFont="1" applyBorder="1" applyProtection="1"/>
    <xf numFmtId="0" fontId="3" fillId="0" borderId="14" xfId="7" applyFont="1" applyBorder="1" applyProtection="1"/>
    <xf numFmtId="2" fontId="14" fillId="0" borderId="0" xfId="7" applyNumberFormat="1" applyFont="1" applyProtection="1"/>
    <xf numFmtId="168" fontId="14" fillId="0" borderId="0" xfId="7" applyNumberFormat="1" applyFont="1" applyAlignment="1" applyProtection="1">
      <alignment horizontal="center"/>
    </xf>
    <xf numFmtId="170" fontId="14" fillId="0" borderId="0" xfId="7" applyNumberFormat="1" applyFont="1" applyAlignment="1" applyProtection="1">
      <alignment horizontal="center"/>
    </xf>
    <xf numFmtId="0" fontId="14" fillId="0" borderId="0" xfId="7" applyFont="1" applyAlignment="1" applyProtection="1">
      <alignment horizontal="center"/>
    </xf>
    <xf numFmtId="172" fontId="14" fillId="0" borderId="0" xfId="7" applyNumberFormat="1" applyFont="1" applyProtection="1"/>
    <xf numFmtId="38" fontId="14" fillId="0" borderId="0" xfId="7" applyNumberFormat="1" applyFont="1" applyProtection="1"/>
    <xf numFmtId="0" fontId="6" fillId="0" borderId="0" xfId="0" applyNumberFormat="1" applyFont="1" applyFill="1" applyBorder="1"/>
    <xf numFmtId="168" fontId="15" fillId="0" borderId="7" xfId="7" applyNumberFormat="1" applyFont="1" applyBorder="1" applyAlignment="1" applyProtection="1"/>
    <xf numFmtId="168" fontId="15" fillId="0" borderId="0" xfId="7" applyNumberFormat="1" applyFont="1" applyBorder="1" applyAlignment="1" applyProtection="1">
      <alignment horizontal="right"/>
    </xf>
    <xf numFmtId="175" fontId="15" fillId="0" borderId="13" xfId="7" applyNumberFormat="1" applyFont="1" applyFill="1" applyBorder="1" applyProtection="1"/>
    <xf numFmtId="0" fontId="3" fillId="0" borderId="12" xfId="7" applyFont="1" applyFill="1" applyBorder="1" applyAlignment="1" applyProtection="1">
      <alignment horizontal="center"/>
    </xf>
    <xf numFmtId="0" fontId="3" fillId="0" borderId="13" xfId="7" applyFont="1" applyFill="1" applyBorder="1" applyAlignment="1" applyProtection="1">
      <alignment horizontal="center"/>
    </xf>
    <xf numFmtId="168" fontId="15" fillId="0" borderId="1" xfId="7" applyNumberFormat="1" applyFont="1" applyFill="1" applyBorder="1" applyAlignment="1" applyProtection="1">
      <alignment horizontal="center" vertical="center" wrapText="1"/>
    </xf>
    <xf numFmtId="38" fontId="19" fillId="0" borderId="0" xfId="7" applyNumberFormat="1" applyFont="1" applyFill="1" applyBorder="1" applyAlignment="1" applyProtection="1">
      <alignment horizontal="center" vertical="center"/>
      <protection locked="0"/>
    </xf>
    <xf numFmtId="38" fontId="19" fillId="0" borderId="0" xfId="7" applyNumberFormat="1" applyFont="1" applyFill="1" applyBorder="1" applyAlignment="1" applyProtection="1">
      <alignment horizontal="center" vertical="center"/>
    </xf>
    <xf numFmtId="49" fontId="3" fillId="1" borderId="9" xfId="7" applyNumberFormat="1" applyFont="1" applyFill="1" applyBorder="1" applyAlignment="1" applyProtection="1">
      <alignment horizontal="center" vertical="center"/>
    </xf>
    <xf numFmtId="49" fontId="3" fillId="1" borderId="6" xfId="7" applyNumberFormat="1" applyFont="1" applyFill="1" applyBorder="1" applyAlignment="1" applyProtection="1">
      <alignment horizontal="center" vertical="center"/>
    </xf>
    <xf numFmtId="1" fontId="3" fillId="0" borderId="13" xfId="7" applyNumberFormat="1" applyFont="1" applyBorder="1" applyAlignment="1" applyProtection="1">
      <alignment horizontal="center" vertical="center"/>
    </xf>
    <xf numFmtId="172" fontId="3" fillId="0" borderId="13" xfId="7" applyNumberFormat="1" applyFont="1" applyBorder="1" applyAlignment="1" applyProtection="1">
      <alignment horizontal="center" vertical="center"/>
    </xf>
    <xf numFmtId="173" fontId="3" fillId="0" borderId="13" xfId="7" applyNumberFormat="1" applyFont="1" applyBorder="1" applyAlignment="1" applyProtection="1">
      <alignment horizontal="right" vertical="center"/>
    </xf>
    <xf numFmtId="38" fontId="3" fillId="0" borderId="13" xfId="7" applyNumberFormat="1" applyFont="1" applyBorder="1" applyAlignment="1" applyProtection="1">
      <alignment horizontal="right" vertical="center"/>
    </xf>
    <xf numFmtId="172" fontId="3" fillId="0" borderId="13" xfId="7" applyNumberFormat="1" applyFont="1" applyBorder="1" applyAlignment="1" applyProtection="1">
      <alignment horizontal="right" vertical="center"/>
    </xf>
    <xf numFmtId="174" fontId="3" fillId="0" borderId="13" xfId="7" applyNumberFormat="1" applyFont="1" applyBorder="1" applyAlignment="1" applyProtection="1">
      <alignment horizontal="right" vertical="center"/>
    </xf>
    <xf numFmtId="0" fontId="14" fillId="0" borderId="0" xfId="7" applyFont="1" applyBorder="1" applyAlignment="1" applyProtection="1">
      <alignment vertical="center"/>
    </xf>
    <xf numFmtId="166" fontId="2" fillId="0" borderId="0" xfId="1" applyFont="1" applyBorder="1" applyAlignment="1">
      <alignment vertical="center"/>
    </xf>
    <xf numFmtId="166" fontId="2" fillId="0" borderId="0" xfId="1" applyFont="1" applyAlignment="1">
      <alignment vertical="center"/>
    </xf>
    <xf numFmtId="1" fontId="15" fillId="0" borderId="3" xfId="7" applyNumberFormat="1" applyFont="1" applyBorder="1" applyAlignment="1" applyProtection="1">
      <alignment horizontal="center" vertical="center"/>
    </xf>
    <xf numFmtId="40" fontId="3" fillId="3" borderId="3" xfId="7" applyNumberFormat="1" applyFont="1" applyFill="1" applyBorder="1" applyAlignment="1" applyProtection="1">
      <alignment horizontal="center" vertical="center"/>
    </xf>
    <xf numFmtId="38" fontId="3" fillId="3" borderId="3" xfId="7" applyNumberFormat="1" applyFont="1" applyFill="1" applyBorder="1" applyAlignment="1" applyProtection="1">
      <alignment horizontal="right" vertical="center"/>
    </xf>
    <xf numFmtId="0" fontId="14" fillId="0" borderId="0" xfId="7" applyFont="1" applyAlignment="1" applyProtection="1">
      <alignment vertical="center"/>
    </xf>
    <xf numFmtId="168" fontId="3" fillId="0" borderId="9" xfId="7" applyNumberFormat="1" applyFont="1" applyBorder="1" applyAlignment="1" applyProtection="1">
      <alignment horizontal="left" vertical="center"/>
    </xf>
    <xf numFmtId="168" fontId="3" fillId="0" borderId="0" xfId="7" applyNumberFormat="1" applyFont="1" applyBorder="1" applyAlignment="1" applyProtection="1">
      <alignment horizontal="left" vertical="center"/>
    </xf>
    <xf numFmtId="49" fontId="3" fillId="1" borderId="3" xfId="7" applyNumberFormat="1" applyFont="1" applyFill="1" applyBorder="1" applyAlignment="1" applyProtection="1">
      <alignment horizontal="center" vertical="center"/>
    </xf>
    <xf numFmtId="168" fontId="15" fillId="0" borderId="6" xfId="7" applyNumberFormat="1" applyFont="1" applyBorder="1" applyAlignment="1" applyProtection="1">
      <alignment vertical="center"/>
    </xf>
    <xf numFmtId="168" fontId="15" fillId="0" borderId="5" xfId="7" applyNumberFormat="1" applyFont="1" applyBorder="1" applyAlignment="1" applyProtection="1">
      <alignment vertical="center"/>
    </xf>
    <xf numFmtId="38" fontId="15" fillId="3" borderId="2" xfId="7" applyNumberFormat="1" applyFont="1" applyFill="1" applyBorder="1" applyAlignment="1" applyProtection="1">
      <alignment horizontal="right" vertical="center"/>
    </xf>
    <xf numFmtId="1" fontId="12" fillId="0" borderId="12" xfId="7" applyNumberFormat="1" applyFont="1" applyBorder="1" applyAlignment="1" applyProtection="1">
      <alignment horizontal="right" vertical="center"/>
    </xf>
    <xf numFmtId="40" fontId="15" fillId="3" borderId="12" xfId="7" applyNumberFormat="1" applyFont="1" applyFill="1" applyBorder="1" applyAlignment="1" applyProtection="1">
      <alignment horizontal="center" vertical="center"/>
    </xf>
    <xf numFmtId="38" fontId="15" fillId="3" borderId="12" xfId="7" applyNumberFormat="1" applyFont="1" applyFill="1" applyBorder="1" applyAlignment="1" applyProtection="1">
      <alignment horizontal="right" vertical="center"/>
    </xf>
    <xf numFmtId="168" fontId="17" fillId="3" borderId="5" xfId="7" applyNumberFormat="1" applyFont="1" applyFill="1" applyBorder="1" applyAlignment="1" applyProtection="1">
      <alignment vertical="center" wrapText="1"/>
      <protection locked="0"/>
    </xf>
    <xf numFmtId="168" fontId="17" fillId="3" borderId="8" xfId="7" applyNumberFormat="1" applyFont="1" applyFill="1" applyBorder="1" applyAlignment="1" applyProtection="1">
      <alignment vertical="center" wrapText="1"/>
      <protection locked="0"/>
    </xf>
    <xf numFmtId="40" fontId="3" fillId="0" borderId="3" xfId="7" applyNumberFormat="1" applyFont="1" applyBorder="1" applyAlignment="1" applyProtection="1">
      <alignment horizontal="center" vertical="center"/>
    </xf>
    <xf numFmtId="38" fontId="3" fillId="0" borderId="3" xfId="7" applyNumberFormat="1" applyFont="1" applyBorder="1" applyAlignment="1" applyProtection="1">
      <alignment horizontal="right" vertical="center"/>
    </xf>
    <xf numFmtId="176" fontId="3" fillId="0" borderId="3" xfId="6" applyNumberFormat="1" applyFont="1" applyBorder="1" applyAlignment="1" applyProtection="1">
      <alignment horizontal="right" vertical="center"/>
    </xf>
    <xf numFmtId="49" fontId="3" fillId="1" borderId="11" xfId="7" applyNumberFormat="1" applyFont="1" applyFill="1" applyBorder="1" applyAlignment="1" applyProtection="1">
      <alignment horizontal="center" vertical="center"/>
    </xf>
    <xf numFmtId="38" fontId="3" fillId="0" borderId="3" xfId="7" applyNumberFormat="1" applyFont="1" applyBorder="1" applyAlignment="1" applyProtection="1">
      <alignment horizontal="left" vertical="center"/>
    </xf>
    <xf numFmtId="177" fontId="3" fillId="0" borderId="3" xfId="7" applyNumberFormat="1" applyFont="1" applyBorder="1" applyAlignment="1" applyProtection="1">
      <alignment horizontal="left" vertical="center"/>
    </xf>
    <xf numFmtId="49" fontId="3" fillId="6" borderId="2" xfId="7" applyNumberFormat="1" applyFont="1" applyFill="1" applyBorder="1" applyAlignment="1" applyProtection="1">
      <alignment vertical="center"/>
    </xf>
    <xf numFmtId="49" fontId="3" fillId="6" borderId="2" xfId="7" applyNumberFormat="1" applyFont="1" applyFill="1" applyBorder="1" applyAlignment="1" applyProtection="1">
      <alignment horizontal="center" vertical="center"/>
    </xf>
    <xf numFmtId="1" fontId="15" fillId="6" borderId="2" xfId="7" applyNumberFormat="1" applyFont="1" applyFill="1" applyBorder="1" applyAlignment="1" applyProtection="1">
      <alignment horizontal="center" vertical="center"/>
    </xf>
    <xf numFmtId="40" fontId="3" fillId="6" borderId="2" xfId="7" applyNumberFormat="1" applyFont="1" applyFill="1" applyBorder="1" applyAlignment="1" applyProtection="1">
      <alignment horizontal="center" vertical="center"/>
    </xf>
    <xf numFmtId="38" fontId="3" fillId="6" borderId="2" xfId="7" applyNumberFormat="1" applyFont="1" applyFill="1" applyBorder="1" applyAlignment="1" applyProtection="1">
      <alignment horizontal="right" vertical="center"/>
    </xf>
    <xf numFmtId="38" fontId="3" fillId="3" borderId="2" xfId="7" applyNumberFormat="1" applyFont="1" applyFill="1" applyBorder="1" applyAlignment="1" applyProtection="1">
      <alignment horizontal="right" vertical="center"/>
    </xf>
    <xf numFmtId="0" fontId="14" fillId="0" borderId="1" xfId="7" applyFont="1" applyBorder="1" applyAlignment="1" applyProtection="1">
      <alignment vertical="center"/>
    </xf>
    <xf numFmtId="49" fontId="3" fillId="6" borderId="12" xfId="7" applyNumberFormat="1" applyFont="1" applyFill="1" applyBorder="1" applyAlignment="1" applyProtection="1">
      <alignment vertical="center"/>
    </xf>
    <xf numFmtId="49" fontId="3" fillId="6" borderId="12" xfId="7" applyNumberFormat="1" applyFont="1" applyFill="1" applyBorder="1" applyAlignment="1" applyProtection="1">
      <alignment horizontal="center" vertical="center"/>
    </xf>
    <xf numFmtId="1" fontId="15" fillId="6" borderId="12" xfId="7" applyNumberFormat="1" applyFont="1" applyFill="1" applyBorder="1" applyAlignment="1" applyProtection="1">
      <alignment horizontal="center" vertical="center"/>
    </xf>
    <xf numFmtId="40" fontId="3" fillId="6" borderId="12" xfId="7" applyNumberFormat="1" applyFont="1" applyFill="1" applyBorder="1" applyAlignment="1" applyProtection="1">
      <alignment horizontal="center" vertical="center"/>
    </xf>
    <xf numFmtId="38" fontId="3" fillId="6" borderId="12" xfId="7" applyNumberFormat="1" applyFont="1" applyFill="1" applyBorder="1" applyAlignment="1" applyProtection="1">
      <alignment horizontal="right" vertical="center"/>
    </xf>
    <xf numFmtId="38" fontId="3" fillId="3" borderId="12" xfId="7" applyNumberFormat="1" applyFont="1" applyFill="1" applyBorder="1" applyAlignment="1" applyProtection="1">
      <alignment horizontal="right" vertical="center"/>
    </xf>
    <xf numFmtId="49" fontId="3" fillId="6" borderId="1" xfId="7" applyNumberFormat="1" applyFont="1" applyFill="1" applyBorder="1" applyAlignment="1" applyProtection="1">
      <alignment horizontal="center" vertical="center"/>
    </xf>
    <xf numFmtId="49" fontId="3" fillId="6" borderId="2" xfId="7" applyNumberFormat="1" applyFont="1" applyFill="1" applyBorder="1" applyAlignment="1" applyProtection="1">
      <alignment horizontal="left" vertical="center"/>
    </xf>
    <xf numFmtId="49" fontId="3" fillId="6" borderId="12" xfId="7" applyNumberFormat="1" applyFont="1" applyFill="1" applyBorder="1" applyAlignment="1" applyProtection="1">
      <alignment horizontal="left" vertical="center"/>
    </xf>
    <xf numFmtId="49" fontId="3" fillId="6" borderId="14" xfId="7" applyNumberFormat="1" applyFont="1" applyFill="1" applyBorder="1" applyAlignment="1" applyProtection="1">
      <alignment horizontal="left" vertical="center"/>
    </xf>
    <xf numFmtId="49" fontId="3" fillId="1" borderId="10" xfId="7" applyNumberFormat="1" applyFont="1" applyFill="1" applyBorder="1" applyAlignment="1" applyProtection="1">
      <alignment horizontal="center" vertical="center"/>
    </xf>
    <xf numFmtId="1" fontId="15" fillId="0" borderId="9" xfId="7" applyNumberFormat="1" applyFont="1" applyBorder="1" applyAlignment="1" applyProtection="1">
      <alignment horizontal="center" vertical="center"/>
    </xf>
    <xf numFmtId="40" fontId="3" fillId="3" borderId="13" xfId="7" applyNumberFormat="1" applyFont="1" applyFill="1" applyBorder="1" applyAlignment="1" applyProtection="1">
      <alignment horizontal="center" vertical="center"/>
    </xf>
    <xf numFmtId="38" fontId="3" fillId="3" borderId="15" xfId="7" applyNumberFormat="1" applyFont="1" applyFill="1" applyBorder="1" applyAlignment="1" applyProtection="1">
      <alignment horizontal="right" vertical="center"/>
    </xf>
    <xf numFmtId="38" fontId="3" fillId="3" borderId="13" xfId="7" applyNumberFormat="1" applyFont="1" applyFill="1" applyBorder="1" applyAlignment="1" applyProtection="1">
      <alignment horizontal="right" vertical="center"/>
    </xf>
    <xf numFmtId="38" fontId="3" fillId="3" borderId="10" xfId="7" applyNumberFormat="1" applyFont="1" applyFill="1" applyBorder="1" applyAlignment="1" applyProtection="1">
      <alignment horizontal="right" vertical="center"/>
    </xf>
    <xf numFmtId="168" fontId="3" fillId="0" borderId="10" xfId="7" applyNumberFormat="1" applyFont="1" applyBorder="1" applyAlignment="1" applyProtection="1">
      <alignment horizontal="left" vertical="center"/>
    </xf>
    <xf numFmtId="38" fontId="15" fillId="3" borderId="14" xfId="7" applyNumberFormat="1" applyFont="1" applyFill="1" applyBorder="1" applyAlignment="1" applyProtection="1">
      <alignment horizontal="right" vertical="center"/>
    </xf>
    <xf numFmtId="1" fontId="3" fillId="0" borderId="9" xfId="7" applyNumberFormat="1" applyFont="1" applyBorder="1" applyAlignment="1" applyProtection="1">
      <alignment horizontal="center" vertical="center"/>
    </xf>
    <xf numFmtId="40" fontId="3" fillId="0" borderId="3" xfId="7" applyNumberFormat="1" applyFont="1" applyFill="1" applyBorder="1" applyAlignment="1" applyProtection="1">
      <alignment horizontal="center" vertical="center"/>
    </xf>
    <xf numFmtId="38" fontId="3" fillId="0" borderId="10" xfId="7" applyNumberFormat="1" applyFont="1" applyFill="1" applyBorder="1" applyAlignment="1" applyProtection="1">
      <alignment vertical="center"/>
    </xf>
    <xf numFmtId="38" fontId="3" fillId="0" borderId="3" xfId="7" applyNumberFormat="1" applyFont="1" applyFill="1" applyBorder="1" applyAlignment="1" applyProtection="1">
      <alignment vertical="center"/>
    </xf>
    <xf numFmtId="38" fontId="3" fillId="0" borderId="9" xfId="7" applyNumberFormat="1" applyFont="1" applyFill="1" applyBorder="1" applyAlignment="1" applyProtection="1">
      <alignment vertical="center"/>
    </xf>
    <xf numFmtId="38" fontId="3" fillId="0" borderId="10" xfId="7" applyNumberFormat="1" applyFont="1" applyBorder="1" applyAlignment="1" applyProtection="1">
      <alignment vertical="center"/>
    </xf>
    <xf numFmtId="49" fontId="3" fillId="1" borderId="0" xfId="7" applyNumberFormat="1" applyFont="1" applyFill="1" applyBorder="1" applyAlignment="1" applyProtection="1">
      <alignment horizontal="center" vertical="center"/>
    </xf>
    <xf numFmtId="1" fontId="12" fillId="0" borderId="4" xfId="7" applyNumberFormat="1" applyFont="1" applyFill="1" applyBorder="1" applyAlignment="1" applyProtection="1">
      <alignment horizontal="right" vertical="center"/>
    </xf>
    <xf numFmtId="1" fontId="12" fillId="0" borderId="11" xfId="7" applyNumberFormat="1" applyFont="1" applyFill="1" applyBorder="1" applyAlignment="1" applyProtection="1">
      <alignment horizontal="right" vertical="center"/>
    </xf>
    <xf numFmtId="40" fontId="3" fillId="3" borderId="2" xfId="7" applyNumberFormat="1" applyFont="1" applyFill="1" applyBorder="1" applyAlignment="1" applyProtection="1">
      <alignment horizontal="center" vertical="center"/>
    </xf>
    <xf numFmtId="38" fontId="15" fillId="3" borderId="8" xfId="7" applyNumberFormat="1" applyFont="1" applyFill="1" applyBorder="1" applyAlignment="1" applyProtection="1">
      <alignment horizontal="right" vertical="center"/>
    </xf>
    <xf numFmtId="49" fontId="3" fillId="0" borderId="9" xfId="7" applyNumberFormat="1" applyFont="1" applyFill="1" applyBorder="1" applyAlignment="1" applyProtection="1">
      <alignment horizontal="center" vertical="center"/>
    </xf>
    <xf numFmtId="49" fontId="3" fillId="0" borderId="0" xfId="7" applyNumberFormat="1" applyFont="1" applyFill="1" applyBorder="1" applyAlignment="1" applyProtection="1">
      <alignment horizontal="center" vertical="center"/>
    </xf>
    <xf numFmtId="1" fontId="12" fillId="0" borderId="0" xfId="7" applyNumberFormat="1" applyFont="1" applyFill="1" applyBorder="1" applyAlignment="1" applyProtection="1">
      <alignment horizontal="center" vertical="center"/>
    </xf>
    <xf numFmtId="1" fontId="12" fillId="0" borderId="10" xfId="7" applyNumberFormat="1" applyFont="1" applyFill="1" applyBorder="1" applyAlignment="1" applyProtection="1">
      <alignment horizontal="center" vertical="center"/>
    </xf>
    <xf numFmtId="38" fontId="15" fillId="0" borderId="0" xfId="7" applyNumberFormat="1" applyFont="1" applyFill="1" applyBorder="1" applyAlignment="1" applyProtection="1">
      <alignment horizontal="right" vertical="center"/>
    </xf>
    <xf numFmtId="38" fontId="19" fillId="0" borderId="10" xfId="7" applyNumberFormat="1" applyFont="1" applyFill="1" applyBorder="1" applyAlignment="1" applyProtection="1">
      <alignment vertical="center" wrapText="1"/>
      <protection locked="0"/>
    </xf>
    <xf numFmtId="0" fontId="14" fillId="0" borderId="0" xfId="7" applyFont="1" applyFill="1" applyBorder="1" applyAlignment="1" applyProtection="1">
      <alignment vertical="center"/>
    </xf>
    <xf numFmtId="0" fontId="14" fillId="0" borderId="0" xfId="7" applyFont="1" applyFill="1" applyAlignment="1" applyProtection="1">
      <alignment vertical="center"/>
    </xf>
    <xf numFmtId="168" fontId="15" fillId="0" borderId="0" xfId="7" applyNumberFormat="1" applyFont="1" applyBorder="1" applyAlignment="1" applyProtection="1">
      <alignment horizontal="center" vertical="center" wrapText="1"/>
    </xf>
    <xf numFmtId="0" fontId="5" fillId="0" borderId="0" xfId="0" applyFont="1" applyBorder="1" applyAlignment="1">
      <alignment horizontal="left"/>
    </xf>
    <xf numFmtId="1" fontId="15" fillId="0" borderId="3" xfId="7" applyNumberFormat="1" applyFont="1" applyBorder="1" applyAlignment="1" applyProtection="1">
      <alignment horizontal="center"/>
    </xf>
    <xf numFmtId="38" fontId="3" fillId="3" borderId="3" xfId="7" applyNumberFormat="1" applyFont="1" applyFill="1" applyBorder="1" applyAlignment="1" applyProtection="1">
      <alignment horizontal="right"/>
    </xf>
    <xf numFmtId="38" fontId="15" fillId="3" borderId="3" xfId="7" applyNumberFormat="1" applyFont="1" applyFill="1" applyBorder="1" applyAlignment="1" applyProtection="1">
      <alignment horizontal="right"/>
    </xf>
    <xf numFmtId="40" fontId="15" fillId="3" borderId="3" xfId="7" applyNumberFormat="1" applyFont="1" applyFill="1" applyBorder="1" applyAlignment="1" applyProtection="1">
      <alignment horizontal="center"/>
    </xf>
    <xf numFmtId="38" fontId="15" fillId="3" borderId="3" xfId="7" applyNumberFormat="1" applyFont="1" applyFill="1" applyBorder="1" applyAlignment="1" applyProtection="1"/>
    <xf numFmtId="38" fontId="15" fillId="3" borderId="10" xfId="7" applyNumberFormat="1" applyFont="1" applyFill="1" applyBorder="1" applyAlignment="1" applyProtection="1">
      <alignment horizontal="right"/>
    </xf>
    <xf numFmtId="38" fontId="15" fillId="3" borderId="2" xfId="7" applyNumberFormat="1" applyFont="1" applyFill="1" applyBorder="1" applyAlignment="1" applyProtection="1">
      <alignment horizontal="right"/>
    </xf>
    <xf numFmtId="3" fontId="3" fillId="3" borderId="3" xfId="7" applyNumberFormat="1" applyFont="1" applyFill="1" applyBorder="1" applyProtection="1"/>
    <xf numFmtId="0" fontId="6" fillId="0" borderId="1" xfId="0" applyNumberFormat="1" applyFont="1" applyBorder="1"/>
    <xf numFmtId="164" fontId="6" fillId="3" borderId="0" xfId="0" applyNumberFormat="1" applyFont="1" applyFill="1" applyBorder="1" applyAlignment="1">
      <alignment horizontal="right" indent="4"/>
    </xf>
    <xf numFmtId="0" fontId="7" fillId="0" borderId="1" xfId="0" applyFont="1" applyBorder="1" applyAlignment="1">
      <alignment horizontal="center"/>
    </xf>
    <xf numFmtId="165" fontId="6" fillId="3" borderId="0" xfId="0" applyNumberFormat="1" applyFont="1" applyFill="1" applyBorder="1" applyAlignment="1">
      <alignment horizontal="right" indent="4"/>
    </xf>
    <xf numFmtId="165" fontId="5" fillId="3" borderId="0" xfId="0" applyNumberFormat="1" applyFont="1" applyFill="1" applyBorder="1" applyAlignment="1">
      <alignment horizontal="right" indent="4"/>
    </xf>
    <xf numFmtId="0" fontId="6" fillId="0" borderId="0" xfId="0" applyFont="1" applyFill="1"/>
    <xf numFmtId="0" fontId="6" fillId="0" borderId="0" xfId="0" applyNumberFormat="1" applyFont="1" applyFill="1" applyBorder="1" applyAlignment="1">
      <alignment horizontal="left" indent="4"/>
    </xf>
    <xf numFmtId="0" fontId="6" fillId="0" borderId="0" xfId="0" applyFont="1" applyFill="1" applyBorder="1" applyAlignment="1">
      <alignment horizontal="left" indent="4"/>
    </xf>
    <xf numFmtId="0" fontId="6" fillId="0" borderId="5" xfId="0" applyNumberFormat="1" applyFont="1" applyFill="1" applyBorder="1" applyAlignment="1">
      <alignment horizontal="left" indent="4"/>
    </xf>
    <xf numFmtId="164" fontId="6" fillId="3" borderId="5" xfId="0" applyNumberFormat="1" applyFont="1" applyFill="1" applyBorder="1" applyAlignment="1">
      <alignment horizontal="right" indent="4"/>
    </xf>
    <xf numFmtId="164" fontId="6" fillId="3" borderId="4" xfId="0" applyNumberFormat="1" applyFont="1" applyFill="1" applyBorder="1" applyAlignment="1">
      <alignment horizontal="right" indent="4"/>
    </xf>
    <xf numFmtId="0" fontId="3" fillId="9" borderId="13" xfId="7" applyFont="1" applyFill="1" applyBorder="1" applyAlignment="1" applyProtection="1">
      <alignment horizontal="center"/>
    </xf>
    <xf numFmtId="0" fontId="3" fillId="6" borderId="12" xfId="7" applyFont="1" applyFill="1" applyBorder="1" applyAlignment="1" applyProtection="1">
      <alignment horizontal="center"/>
    </xf>
    <xf numFmtId="49" fontId="3" fillId="1" borderId="12" xfId="7" applyNumberFormat="1" applyFont="1" applyFill="1" applyBorder="1" applyAlignment="1" applyProtection="1">
      <alignment horizontal="center" vertical="center"/>
    </xf>
    <xf numFmtId="168" fontId="15" fillId="11" borderId="2" xfId="7" applyNumberFormat="1" applyFont="1" applyFill="1" applyBorder="1" applyAlignment="1" applyProtection="1">
      <alignment horizontal="left" vertical="center" wrapText="1"/>
    </xf>
    <xf numFmtId="168" fontId="15" fillId="0" borderId="2" xfId="7" applyNumberFormat="1" applyFont="1" applyFill="1" applyBorder="1" applyAlignment="1" applyProtection="1">
      <alignment horizontal="left" vertical="center" wrapText="1" indent="1"/>
    </xf>
    <xf numFmtId="1" fontId="15" fillId="0" borderId="10" xfId="7" applyNumberFormat="1" applyFont="1" applyBorder="1" applyAlignment="1" applyProtection="1">
      <alignment horizontal="center" vertical="center"/>
    </xf>
    <xf numFmtId="168" fontId="3" fillId="6" borderId="8" xfId="7" applyNumberFormat="1" applyFont="1" applyFill="1" applyBorder="1" applyAlignment="1" applyProtection="1">
      <alignment vertical="center"/>
    </xf>
    <xf numFmtId="49" fontId="3" fillId="6" borderId="8" xfId="7" applyNumberFormat="1" applyFont="1" applyFill="1" applyBorder="1" applyAlignment="1" applyProtection="1">
      <alignment vertical="center"/>
    </xf>
    <xf numFmtId="168" fontId="3" fillId="6" borderId="2" xfId="7" applyNumberFormat="1" applyFont="1" applyFill="1" applyBorder="1" applyAlignment="1" applyProtection="1">
      <alignment vertical="center"/>
    </xf>
    <xf numFmtId="168" fontId="3" fillId="0" borderId="5" xfId="7" applyNumberFormat="1" applyFont="1" applyFill="1" applyBorder="1" applyAlignment="1" applyProtection="1">
      <alignment vertical="center"/>
    </xf>
    <xf numFmtId="168" fontId="15" fillId="0" borderId="5" xfId="7" applyNumberFormat="1" applyFont="1" applyFill="1" applyBorder="1" applyAlignment="1" applyProtection="1">
      <alignment horizontal="left" vertical="center" indent="1"/>
    </xf>
    <xf numFmtId="0" fontId="25" fillId="0" borderId="0" xfId="0" applyFont="1"/>
    <xf numFmtId="165" fontId="5" fillId="0" borderId="0" xfId="0" applyNumberFormat="1" applyFont="1"/>
    <xf numFmtId="0" fontId="0" fillId="0" borderId="0" xfId="0" applyFont="1"/>
    <xf numFmtId="0" fontId="26" fillId="0" borderId="0" xfId="0" applyFont="1"/>
    <xf numFmtId="0" fontId="27" fillId="0" borderId="0" xfId="0" applyFont="1"/>
    <xf numFmtId="0" fontId="28" fillId="0" borderId="0" xfId="0" applyFont="1"/>
    <xf numFmtId="0" fontId="29" fillId="0" borderId="0" xfId="0" applyFont="1" applyAlignment="1">
      <alignment horizontal="center"/>
    </xf>
    <xf numFmtId="40" fontId="29" fillId="0" borderId="0" xfId="0" applyNumberFormat="1" applyFont="1" applyFill="1" applyAlignment="1">
      <alignment horizontal="center"/>
    </xf>
    <xf numFmtId="0" fontId="29" fillId="0" borderId="0" xfId="0" applyFont="1" applyAlignment="1">
      <alignment horizontal="center"/>
    </xf>
    <xf numFmtId="0" fontId="15" fillId="0" borderId="4" xfId="7" applyFont="1" applyBorder="1" applyAlignment="1" applyProtection="1">
      <alignment horizontal="center" wrapText="1"/>
    </xf>
    <xf numFmtId="2" fontId="3" fillId="0" borderId="2" xfId="7" applyNumberFormat="1" applyFont="1" applyBorder="1" applyAlignment="1" applyProtection="1">
      <alignment horizontal="center" wrapText="1"/>
    </xf>
    <xf numFmtId="0" fontId="14" fillId="0" borderId="13" xfId="7" applyFont="1" applyBorder="1" applyAlignment="1" applyProtection="1">
      <alignment vertical="center"/>
    </xf>
    <xf numFmtId="38" fontId="3" fillId="0" borderId="3" xfId="7" applyNumberFormat="1" applyFont="1" applyFill="1" applyBorder="1" applyAlignment="1" applyProtection="1">
      <alignment horizontal="right" vertical="center"/>
    </xf>
    <xf numFmtId="38" fontId="15" fillId="3" borderId="4" xfId="7" applyNumberFormat="1" applyFont="1" applyFill="1" applyBorder="1" applyProtection="1"/>
    <xf numFmtId="38" fontId="3" fillId="6" borderId="8" xfId="7" applyNumberFormat="1" applyFont="1" applyFill="1" applyBorder="1" applyProtection="1"/>
    <xf numFmtId="38" fontId="3" fillId="6" borderId="15" xfId="7" applyNumberFormat="1" applyFont="1" applyFill="1" applyBorder="1" applyProtection="1"/>
    <xf numFmtId="38" fontId="15" fillId="0" borderId="0" xfId="7" applyNumberFormat="1" applyFont="1" applyFill="1" applyBorder="1" applyProtection="1"/>
    <xf numFmtId="38" fontId="3" fillId="6" borderId="9" xfId="7" applyNumberFormat="1" applyFont="1" applyFill="1" applyBorder="1" applyProtection="1"/>
    <xf numFmtId="38" fontId="3" fillId="6" borderId="4" xfId="7" applyNumberFormat="1" applyFont="1" applyFill="1" applyBorder="1" applyProtection="1"/>
    <xf numFmtId="38" fontId="15" fillId="3" borderId="5" xfId="7" applyNumberFormat="1" applyFont="1" applyFill="1" applyBorder="1" applyProtection="1"/>
    <xf numFmtId="38" fontId="3" fillId="3" borderId="13" xfId="7" applyNumberFormat="1" applyFont="1" applyFill="1" applyBorder="1" applyProtection="1"/>
    <xf numFmtId="38" fontId="15" fillId="0" borderId="3" xfId="7" applyNumberFormat="1" applyFont="1" applyFill="1" applyBorder="1" applyAlignment="1" applyProtection="1">
      <alignment horizontal="right"/>
    </xf>
    <xf numFmtId="38" fontId="15" fillId="0" borderId="11" xfId="7" applyNumberFormat="1" applyFont="1" applyFill="1" applyBorder="1" applyAlignment="1" applyProtection="1">
      <alignment horizontal="right" vertical="center"/>
    </xf>
    <xf numFmtId="38" fontId="15" fillId="0" borderId="1" xfId="7" applyNumberFormat="1" applyFont="1" applyFill="1" applyBorder="1" applyProtection="1"/>
    <xf numFmtId="40" fontId="3" fillId="0" borderId="9" xfId="7" applyNumberFormat="1" applyFont="1" applyFill="1" applyBorder="1" applyAlignment="1" applyProtection="1">
      <alignment horizontal="center"/>
    </xf>
    <xf numFmtId="40" fontId="15" fillId="3" borderId="10" xfId="7" applyNumberFormat="1" applyFont="1" applyFill="1" applyBorder="1" applyAlignment="1" applyProtection="1">
      <alignment horizontal="center"/>
    </xf>
    <xf numFmtId="40" fontId="3" fillId="0" borderId="0" xfId="7" applyNumberFormat="1" applyFont="1" applyFill="1" applyBorder="1" applyAlignment="1" applyProtection="1">
      <alignment horizontal="center"/>
    </xf>
    <xf numFmtId="38" fontId="15" fillId="3" borderId="15" xfId="7" applyNumberFormat="1" applyFont="1" applyFill="1" applyBorder="1" applyProtection="1"/>
    <xf numFmtId="38" fontId="15" fillId="3" borderId="7" xfId="7" applyNumberFormat="1" applyFont="1" applyFill="1" applyBorder="1" applyProtection="1"/>
    <xf numFmtId="38" fontId="3" fillId="6" borderId="6" xfId="7" applyNumberFormat="1" applyFont="1" applyFill="1" applyBorder="1" applyProtection="1"/>
    <xf numFmtId="40" fontId="3" fillId="6" borderId="10" xfId="7" applyNumberFormat="1" applyFont="1" applyFill="1" applyBorder="1" applyAlignment="1" applyProtection="1">
      <alignment horizontal="center"/>
    </xf>
    <xf numFmtId="0" fontId="29" fillId="0" borderId="0" xfId="0" applyFont="1" applyAlignment="1">
      <alignment horizontal="center"/>
    </xf>
    <xf numFmtId="38" fontId="15" fillId="3" borderId="4" xfId="7" applyNumberFormat="1" applyFont="1" applyFill="1" applyBorder="1" applyAlignment="1" applyProtection="1">
      <alignment horizontal="right" vertical="center"/>
    </xf>
    <xf numFmtId="38" fontId="15" fillId="0" borderId="3" xfId="7" applyNumberFormat="1" applyFont="1" applyFill="1" applyBorder="1" applyAlignment="1" applyProtection="1">
      <alignment horizontal="right" vertical="center"/>
    </xf>
    <xf numFmtId="49" fontId="3" fillId="0" borderId="9" xfId="7" applyNumberFormat="1" applyFont="1" applyFill="1" applyBorder="1" applyAlignment="1" applyProtection="1">
      <alignment horizontal="left" vertical="center"/>
    </xf>
    <xf numFmtId="49" fontId="3" fillId="0" borderId="10" xfId="7" applyNumberFormat="1" applyFont="1" applyFill="1" applyBorder="1" applyAlignment="1" applyProtection="1">
      <alignment horizontal="left" vertical="center"/>
    </xf>
    <xf numFmtId="168" fontId="3" fillId="0" borderId="9" xfId="7" applyNumberFormat="1" applyFont="1" applyFill="1" applyBorder="1" applyAlignment="1" applyProtection="1">
      <alignment vertical="center"/>
    </xf>
    <xf numFmtId="168" fontId="3" fillId="0" borderId="10" xfId="7" applyNumberFormat="1" applyFont="1" applyFill="1" applyBorder="1" applyAlignment="1" applyProtection="1">
      <alignment vertical="center"/>
    </xf>
    <xf numFmtId="1" fontId="15" fillId="0" borderId="3" xfId="7" applyNumberFormat="1" applyFont="1" applyFill="1" applyBorder="1" applyAlignment="1" applyProtection="1">
      <alignment horizontal="center" vertical="center"/>
    </xf>
    <xf numFmtId="38" fontId="15" fillId="0" borderId="9" xfId="7" applyNumberFormat="1" applyFont="1" applyFill="1" applyBorder="1" applyAlignment="1" applyProtection="1">
      <alignment horizontal="right" vertical="center"/>
    </xf>
    <xf numFmtId="38" fontId="3" fillId="3" borderId="3" xfId="7" applyNumberFormat="1" applyFont="1" applyFill="1" applyBorder="1" applyProtection="1"/>
    <xf numFmtId="40" fontId="3" fillId="3" borderId="3" xfId="7" applyNumberFormat="1" applyFont="1" applyFill="1" applyBorder="1" applyAlignment="1" applyProtection="1">
      <alignment horizontal="center"/>
    </xf>
    <xf numFmtId="10" fontId="3" fillId="9" borderId="2" xfId="6" applyNumberFormat="1" applyFont="1" applyFill="1" applyBorder="1" applyAlignment="1" applyProtection="1">
      <alignment horizontal="center"/>
    </xf>
    <xf numFmtId="10" fontId="3" fillId="9" borderId="13" xfId="6" applyNumberFormat="1" applyFont="1" applyFill="1" applyBorder="1" applyAlignment="1" applyProtection="1">
      <alignment horizontal="center" vertical="center"/>
    </xf>
    <xf numFmtId="38" fontId="31" fillId="0" borderId="0" xfId="7" applyNumberFormat="1" applyFont="1" applyFill="1" applyBorder="1" applyProtection="1"/>
    <xf numFmtId="0" fontId="31" fillId="0" borderId="0" xfId="7" applyFont="1" applyBorder="1" applyProtection="1"/>
    <xf numFmtId="0" fontId="31" fillId="0" borderId="10" xfId="7" applyFont="1" applyBorder="1" applyProtection="1"/>
    <xf numFmtId="0" fontId="32" fillId="0" borderId="0" xfId="7" applyFont="1" applyBorder="1" applyProtection="1"/>
    <xf numFmtId="0" fontId="32" fillId="0" borderId="10" xfId="7" applyFont="1" applyBorder="1" applyProtection="1"/>
    <xf numFmtId="38" fontId="33" fillId="0" borderId="0" xfId="7" applyNumberFormat="1" applyFont="1" applyFill="1" applyBorder="1" applyProtection="1"/>
    <xf numFmtId="38" fontId="32" fillId="0" borderId="0" xfId="7" applyNumberFormat="1" applyFont="1" applyBorder="1" applyProtection="1"/>
    <xf numFmtId="38" fontId="32" fillId="0" borderId="0" xfId="7" applyNumberFormat="1" applyFont="1" applyFill="1" applyBorder="1" applyProtection="1"/>
    <xf numFmtId="0" fontId="32" fillId="0" borderId="0" xfId="7" applyFont="1" applyFill="1" applyBorder="1" applyProtection="1"/>
    <xf numFmtId="0" fontId="32" fillId="0" borderId="10" xfId="7" applyFont="1" applyFill="1" applyBorder="1" applyProtection="1"/>
    <xf numFmtId="38" fontId="33" fillId="0" borderId="0" xfId="7" applyNumberFormat="1" applyFont="1" applyFill="1" applyBorder="1" applyAlignment="1" applyProtection="1">
      <alignment vertical="center"/>
    </xf>
    <xf numFmtId="38" fontId="31" fillId="0" borderId="0" xfId="7" applyNumberFormat="1" applyFont="1" applyFill="1" applyBorder="1" applyAlignment="1" applyProtection="1">
      <alignment horizontal="right" indent="4"/>
    </xf>
    <xf numFmtId="38" fontId="31" fillId="0" borderId="0" xfId="7" applyNumberFormat="1" applyFont="1" applyFill="1" applyBorder="1" applyAlignment="1" applyProtection="1">
      <alignment horizontal="right" indent="3"/>
    </xf>
    <xf numFmtId="38" fontId="33" fillId="0" borderId="10" xfId="7" applyNumberFormat="1" applyFont="1" applyFill="1" applyBorder="1" applyAlignment="1" applyProtection="1">
      <alignment horizontal="right" indent="3"/>
    </xf>
    <xf numFmtId="175" fontId="31" fillId="0" borderId="0" xfId="7" applyNumberFormat="1" applyFont="1" applyBorder="1" applyProtection="1"/>
    <xf numFmtId="0" fontId="3" fillId="10" borderId="8" xfId="7" applyFont="1" applyFill="1" applyBorder="1" applyAlignment="1" applyProtection="1">
      <alignment horizontal="center" vertical="center"/>
    </xf>
    <xf numFmtId="0" fontId="34" fillId="0" borderId="2" xfId="7" applyFont="1" applyBorder="1" applyAlignment="1" applyProtection="1">
      <alignment horizontal="center" wrapText="1"/>
    </xf>
    <xf numFmtId="9" fontId="3" fillId="0" borderId="0" xfId="6" applyFont="1" applyFill="1" applyBorder="1" applyProtection="1"/>
    <xf numFmtId="9" fontId="15" fillId="0" borderId="12" xfId="6" applyFont="1" applyFill="1" applyBorder="1" applyAlignment="1" applyProtection="1">
      <alignment horizontal="right" vertical="center"/>
    </xf>
    <xf numFmtId="38" fontId="3" fillId="3" borderId="4" xfId="7" applyNumberFormat="1" applyFont="1" applyFill="1" applyBorder="1" applyProtection="1"/>
    <xf numFmtId="6" fontId="6" fillId="3" borderId="0" xfId="0" applyNumberFormat="1" applyFont="1" applyFill="1" applyBorder="1" applyAlignment="1">
      <alignment horizontal="right" indent="4"/>
    </xf>
    <xf numFmtId="6" fontId="5" fillId="3" borderId="0" xfId="0" applyNumberFormat="1" applyFont="1" applyFill="1" applyBorder="1" applyAlignment="1">
      <alignment horizontal="right" indent="4"/>
    </xf>
    <xf numFmtId="179" fontId="6" fillId="3" borderId="0" xfId="0" applyNumberFormat="1" applyFont="1" applyFill="1" applyBorder="1" applyAlignment="1">
      <alignment horizontal="right" indent="3"/>
    </xf>
    <xf numFmtId="179" fontId="6" fillId="3" borderId="8" xfId="0" applyNumberFormat="1" applyFont="1" applyFill="1" applyBorder="1" applyAlignment="1">
      <alignment horizontal="right" indent="3"/>
    </xf>
    <xf numFmtId="179" fontId="6" fillId="3" borderId="5" xfId="0" applyNumberFormat="1" applyFont="1" applyFill="1" applyBorder="1" applyAlignment="1">
      <alignment horizontal="right" indent="3"/>
    </xf>
    <xf numFmtId="0" fontId="35" fillId="0" borderId="0" xfId="0" applyFont="1"/>
    <xf numFmtId="0" fontId="25" fillId="0" borderId="6" xfId="0" applyFont="1" applyBorder="1"/>
    <xf numFmtId="9" fontId="25" fillId="5" borderId="15" xfId="0" applyNumberFormat="1" applyFont="1" applyFill="1" applyBorder="1" applyAlignment="1">
      <alignment horizontal="center"/>
    </xf>
    <xf numFmtId="180" fontId="5" fillId="0" borderId="0" xfId="0" applyNumberFormat="1" applyFont="1"/>
    <xf numFmtId="1" fontId="5" fillId="0" borderId="0" xfId="0" applyNumberFormat="1" applyFont="1"/>
    <xf numFmtId="38" fontId="3" fillId="0" borderId="13" xfId="7" applyNumberFormat="1" applyFont="1" applyFill="1" applyBorder="1" applyAlignment="1" applyProtection="1">
      <alignment horizontal="right" vertical="center"/>
    </xf>
    <xf numFmtId="38" fontId="3" fillId="0" borderId="9" xfId="7" applyNumberFormat="1" applyFont="1" applyBorder="1" applyAlignment="1" applyProtection="1">
      <alignment horizontal="right" vertical="center"/>
    </xf>
    <xf numFmtId="38" fontId="3" fillId="0" borderId="8" xfId="7" applyNumberFormat="1" applyFont="1" applyFill="1" applyBorder="1" applyAlignment="1" applyProtection="1">
      <alignment vertical="center"/>
    </xf>
    <xf numFmtId="38" fontId="3" fillId="0" borderId="2" xfId="7" applyNumberFormat="1" applyFont="1" applyFill="1" applyBorder="1" applyAlignment="1" applyProtection="1">
      <alignment vertical="center"/>
    </xf>
    <xf numFmtId="166" fontId="3" fillId="0" borderId="0" xfId="1" applyFont="1" applyBorder="1"/>
    <xf numFmtId="166" fontId="3" fillId="0" borderId="0" xfId="1" applyFont="1" applyBorder="1" applyAlignment="1"/>
    <xf numFmtId="166" fontId="3" fillId="0" borderId="0" xfId="1" applyFont="1" applyBorder="1" applyAlignment="1">
      <alignment wrapText="1"/>
    </xf>
    <xf numFmtId="166" fontId="3" fillId="0" borderId="0" xfId="1" applyFont="1" applyBorder="1" applyAlignment="1">
      <alignment vertical="center"/>
    </xf>
    <xf numFmtId="0" fontId="3" fillId="0" borderId="0" xfId="7" applyFont="1" applyBorder="1" applyAlignment="1" applyProtection="1">
      <alignment vertical="center"/>
    </xf>
    <xf numFmtId="0" fontId="3" fillId="0" borderId="0" xfId="7" applyFont="1" applyFill="1" applyBorder="1" applyAlignment="1" applyProtection="1">
      <alignment vertical="center"/>
    </xf>
    <xf numFmtId="0" fontId="3" fillId="0" borderId="9" xfId="7" applyFont="1" applyFill="1" applyBorder="1" applyAlignment="1" applyProtection="1">
      <alignment horizontal="center"/>
    </xf>
    <xf numFmtId="0" fontId="15" fillId="0" borderId="4" xfId="7" applyFont="1" applyBorder="1" applyAlignment="1" applyProtection="1">
      <alignment horizontal="center" wrapText="1"/>
    </xf>
    <xf numFmtId="166" fontId="36" fillId="0" borderId="0" xfId="1" applyFont="1" applyBorder="1" applyAlignment="1">
      <alignment horizontal="center" vertical="center"/>
    </xf>
    <xf numFmtId="38" fontId="36" fillId="0" borderId="0" xfId="7" applyNumberFormat="1" applyFont="1" applyBorder="1" applyAlignment="1" applyProtection="1">
      <alignment horizontal="center" vertical="center"/>
    </xf>
    <xf numFmtId="6" fontId="36" fillId="0" borderId="0" xfId="1" applyNumberFormat="1" applyFont="1" applyBorder="1" applyAlignment="1">
      <alignment horizontal="center" vertical="center"/>
    </xf>
    <xf numFmtId="166" fontId="38" fillId="0" borderId="0" xfId="1" applyFont="1" applyBorder="1" applyAlignment="1">
      <alignment horizontal="center" vertical="center"/>
    </xf>
    <xf numFmtId="0" fontId="36" fillId="0" borderId="0" xfId="7" applyFont="1" applyBorder="1" applyAlignment="1" applyProtection="1">
      <alignment horizontal="center" vertical="center"/>
    </xf>
    <xf numFmtId="6" fontId="36" fillId="0" borderId="0" xfId="7" applyNumberFormat="1" applyFont="1" applyBorder="1" applyAlignment="1" applyProtection="1">
      <alignment horizontal="center" vertical="center"/>
    </xf>
    <xf numFmtId="0" fontId="36" fillId="0" borderId="0" xfId="7" applyFont="1" applyFill="1" applyBorder="1" applyAlignment="1" applyProtection="1">
      <alignment horizontal="center" vertical="center"/>
    </xf>
    <xf numFmtId="9" fontId="25" fillId="13" borderId="10" xfId="0" applyNumberFormat="1" applyFont="1" applyFill="1" applyBorder="1" applyAlignment="1">
      <alignment horizontal="center"/>
    </xf>
    <xf numFmtId="0" fontId="25" fillId="0" borderId="9" xfId="0" applyFont="1" applyBorder="1"/>
    <xf numFmtId="0" fontId="39" fillId="0" borderId="7" xfId="0" applyFont="1" applyBorder="1"/>
    <xf numFmtId="9" fontId="39" fillId="0" borderId="7" xfId="0" applyNumberFormat="1" applyFont="1" applyFill="1" applyBorder="1" applyAlignment="1">
      <alignment horizontal="center"/>
    </xf>
    <xf numFmtId="0" fontId="0" fillId="0" borderId="0" xfId="0" applyBorder="1"/>
    <xf numFmtId="178" fontId="36" fillId="0" borderId="0" xfId="7" applyNumberFormat="1" applyFont="1" applyBorder="1" applyAlignment="1" applyProtection="1">
      <alignment horizontal="center" vertical="center"/>
    </xf>
    <xf numFmtId="43" fontId="36" fillId="0" borderId="0" xfId="5" applyFont="1" applyBorder="1" applyAlignment="1" applyProtection="1">
      <alignment horizontal="center" vertical="center"/>
    </xf>
    <xf numFmtId="43" fontId="36" fillId="0" borderId="0" xfId="7" applyNumberFormat="1" applyFont="1" applyBorder="1" applyAlignment="1" applyProtection="1">
      <alignment horizontal="center" vertical="center"/>
    </xf>
    <xf numFmtId="0" fontId="42" fillId="0" borderId="0" xfId="7" applyFont="1" applyBorder="1" applyProtection="1"/>
    <xf numFmtId="0" fontId="42" fillId="0" borderId="0" xfId="7" applyFont="1" applyFill="1" applyBorder="1" applyProtection="1"/>
    <xf numFmtId="14" fontId="11" fillId="4" borderId="1" xfId="7" applyNumberFormat="1" applyFont="1" applyFill="1" applyBorder="1" applyAlignment="1" applyProtection="1">
      <alignment horizontal="center" vertical="center"/>
    </xf>
    <xf numFmtId="166" fontId="3" fillId="4" borderId="2" xfId="1" applyFont="1" applyFill="1" applyBorder="1" applyAlignment="1">
      <alignment horizontal="center" vertical="center"/>
    </xf>
    <xf numFmtId="0" fontId="3" fillId="10" borderId="4" xfId="7" applyFont="1" applyFill="1" applyBorder="1" applyAlignment="1" applyProtection="1">
      <alignment horizontal="center" vertical="center"/>
    </xf>
    <xf numFmtId="0" fontId="8" fillId="4" borderId="5" xfId="7" applyFont="1" applyFill="1" applyBorder="1" applyAlignment="1" applyProtection="1">
      <alignment horizontal="center" vertical="center"/>
    </xf>
    <xf numFmtId="175" fontId="15" fillId="3" borderId="2" xfId="7" applyNumberFormat="1" applyFont="1" applyFill="1" applyBorder="1" applyAlignment="1">
      <alignment horizontal="center" vertical="center"/>
    </xf>
    <xf numFmtId="38" fontId="3" fillId="3" borderId="3" xfId="7" quotePrefix="1" applyNumberFormat="1" applyFont="1" applyFill="1" applyBorder="1" applyProtection="1"/>
    <xf numFmtId="0" fontId="42" fillId="0" borderId="10" xfId="7" applyFont="1" applyBorder="1" applyProtection="1"/>
    <xf numFmtId="0" fontId="40" fillId="0" borderId="0" xfId="0" applyFont="1"/>
    <xf numFmtId="0" fontId="42" fillId="0" borderId="10" xfId="7" applyFont="1" applyFill="1" applyBorder="1" applyProtection="1"/>
    <xf numFmtId="38" fontId="36" fillId="0" borderId="0" xfId="7" applyNumberFormat="1" applyFont="1" applyFill="1" applyBorder="1" applyAlignment="1" applyProtection="1">
      <alignment horizontal="right" indent="3"/>
    </xf>
    <xf numFmtId="38" fontId="43" fillId="0" borderId="10" xfId="7" applyNumberFormat="1" applyFont="1" applyFill="1" applyBorder="1" applyAlignment="1" applyProtection="1">
      <alignment horizontal="right" indent="3"/>
    </xf>
    <xf numFmtId="182" fontId="5" fillId="0" borderId="0" xfId="0" applyNumberFormat="1" applyFont="1" applyAlignment="1">
      <alignment horizontal="right" indent="4"/>
    </xf>
    <xf numFmtId="182" fontId="5" fillId="0" borderId="0" xfId="0" applyNumberFormat="1" applyFont="1" applyAlignment="1">
      <alignment horizontal="right" indent="3"/>
    </xf>
    <xf numFmtId="0" fontId="36" fillId="0" borderId="0" xfId="7" applyFont="1" applyBorder="1" applyAlignment="1" applyProtection="1">
      <alignment horizontal="center" vertical="center"/>
    </xf>
    <xf numFmtId="168" fontId="3" fillId="0" borderId="9" xfId="7" applyNumberFormat="1" applyFont="1" applyBorder="1" applyAlignment="1" applyProtection="1">
      <alignment horizontal="left" vertical="center"/>
    </xf>
    <xf numFmtId="168" fontId="3" fillId="0" borderId="10" xfId="7" applyNumberFormat="1" applyFont="1" applyBorder="1" applyAlignment="1" applyProtection="1">
      <alignment horizontal="left" vertical="center"/>
    </xf>
    <xf numFmtId="168" fontId="3" fillId="0" borderId="9" xfId="7" applyNumberFormat="1" applyFont="1" applyBorder="1" applyAlignment="1" applyProtection="1">
      <alignment horizontal="left" indent="2"/>
    </xf>
    <xf numFmtId="0" fontId="3" fillId="0" borderId="9" xfId="7" applyFont="1" applyFill="1" applyBorder="1" applyAlignment="1" applyProtection="1">
      <alignment horizontal="center"/>
    </xf>
    <xf numFmtId="168" fontId="3" fillId="0" borderId="10" xfId="7" applyNumberFormat="1" applyFont="1" applyBorder="1" applyAlignment="1" applyProtection="1">
      <alignment horizontal="left" indent="2"/>
    </xf>
    <xf numFmtId="0" fontId="15" fillId="0" borderId="4" xfId="7" applyFont="1" applyBorder="1" applyAlignment="1" applyProtection="1">
      <alignment horizontal="center" wrapText="1"/>
    </xf>
    <xf numFmtId="168" fontId="3" fillId="0" borderId="0" xfId="7" applyNumberFormat="1" applyFont="1" applyBorder="1" applyAlignment="1" applyProtection="1">
      <alignment horizontal="left" vertical="center"/>
    </xf>
    <xf numFmtId="40" fontId="29" fillId="0" borderId="0" xfId="0" applyNumberFormat="1" applyFont="1" applyFill="1" applyAlignment="1">
      <alignment horizontal="center"/>
    </xf>
    <xf numFmtId="0" fontId="29" fillId="0" borderId="0" xfId="0" applyFont="1" applyAlignment="1">
      <alignment horizontal="center"/>
    </xf>
    <xf numFmtId="0" fontId="44" fillId="14" borderId="17" xfId="0" applyFont="1" applyFill="1" applyBorder="1" applyAlignment="1">
      <alignment horizontal="center" vertical="top"/>
    </xf>
    <xf numFmtId="49" fontId="44" fillId="14" borderId="17" xfId="0" applyNumberFormat="1" applyFont="1" applyFill="1" applyBorder="1" applyAlignment="1">
      <alignment horizontal="center" vertical="top"/>
    </xf>
    <xf numFmtId="0" fontId="45" fillId="0" borderId="18" xfId="0" applyFont="1" applyBorder="1" applyAlignment="1">
      <alignment vertical="top"/>
    </xf>
    <xf numFmtId="49" fontId="0" fillId="0" borderId="18" xfId="0" applyNumberFormat="1" applyBorder="1"/>
    <xf numFmtId="0" fontId="0" fillId="0" borderId="18" xfId="0" applyBorder="1"/>
    <xf numFmtId="183" fontId="45" fillId="0" borderId="18" xfId="0" applyNumberFormat="1" applyFont="1" applyBorder="1" applyAlignment="1">
      <alignment vertical="top"/>
    </xf>
    <xf numFmtId="4" fontId="45" fillId="0" borderId="18" xfId="0" applyNumberFormat="1" applyFont="1" applyBorder="1" applyAlignment="1">
      <alignment vertical="top"/>
    </xf>
    <xf numFmtId="184" fontId="45" fillId="0" borderId="18" xfId="0" applyNumberFormat="1" applyFont="1" applyBorder="1" applyAlignment="1">
      <alignment vertical="top"/>
    </xf>
    <xf numFmtId="49" fontId="45" fillId="0" borderId="18" xfId="0" applyNumberFormat="1" applyFont="1" applyBorder="1" applyAlignment="1">
      <alignment vertical="top"/>
    </xf>
    <xf numFmtId="0" fontId="0" fillId="0" borderId="18" xfId="0" applyNumberFormat="1" applyBorder="1"/>
    <xf numFmtId="0" fontId="45" fillId="0" borderId="18" xfId="0" applyNumberFormat="1" applyFont="1" applyBorder="1" applyAlignment="1">
      <alignment vertical="top"/>
    </xf>
    <xf numFmtId="40" fontId="45" fillId="0" borderId="18" xfId="0" applyNumberFormat="1" applyFont="1" applyBorder="1" applyAlignment="1">
      <alignment vertical="top"/>
    </xf>
    <xf numFmtId="0" fontId="0" fillId="15" borderId="0" xfId="0" applyFill="1" applyAlignment="1">
      <alignment horizontal="center"/>
    </xf>
    <xf numFmtId="40" fontId="0" fillId="0" borderId="0" xfId="0" applyNumberFormat="1"/>
    <xf numFmtId="0" fontId="0" fillId="16" borderId="0" xfId="0" applyFill="1" applyAlignment="1">
      <alignment horizontal="center"/>
    </xf>
    <xf numFmtId="0" fontId="0" fillId="17" borderId="0" xfId="0" applyFill="1" applyAlignment="1">
      <alignment horizontal="center"/>
    </xf>
    <xf numFmtId="0" fontId="0" fillId="18" borderId="0" xfId="0" applyFill="1" applyAlignment="1">
      <alignment horizontal="center"/>
    </xf>
    <xf numFmtId="0" fontId="0" fillId="19" borderId="0" xfId="0" applyFill="1" applyAlignment="1">
      <alignment horizontal="center"/>
    </xf>
    <xf numFmtId="0" fontId="46" fillId="0" borderId="0" xfId="0" applyFont="1"/>
    <xf numFmtId="0" fontId="47" fillId="0" borderId="0" xfId="0" applyFont="1"/>
    <xf numFmtId="40" fontId="29" fillId="20" borderId="19" xfId="0" applyNumberFormat="1" applyFont="1" applyFill="1" applyBorder="1"/>
    <xf numFmtId="0" fontId="46" fillId="21" borderId="0" xfId="0" applyFont="1" applyFill="1"/>
    <xf numFmtId="0" fontId="48" fillId="0" borderId="0" xfId="0" applyFont="1"/>
    <xf numFmtId="0" fontId="49" fillId="0" borderId="0" xfId="0" applyFont="1"/>
    <xf numFmtId="40" fontId="0" fillId="22" borderId="0" xfId="0" applyNumberFormat="1" applyFill="1"/>
    <xf numFmtId="40" fontId="0" fillId="23" borderId="0" xfId="0" applyNumberFormat="1" applyFill="1"/>
    <xf numFmtId="40" fontId="46" fillId="24" borderId="0" xfId="0" applyNumberFormat="1" applyFont="1" applyFill="1"/>
    <xf numFmtId="8" fontId="46" fillId="24" borderId="0" xfId="0" applyNumberFormat="1" applyFont="1" applyFill="1"/>
    <xf numFmtId="43" fontId="0" fillId="0" borderId="0" xfId="0" applyNumberFormat="1"/>
    <xf numFmtId="43" fontId="0" fillId="22" borderId="0" xfId="0" applyNumberFormat="1" applyFill="1"/>
    <xf numFmtId="43" fontId="0" fillId="23" borderId="0" xfId="0" applyNumberFormat="1" applyFill="1"/>
    <xf numFmtId="49" fontId="3" fillId="6" borderId="4" xfId="7" applyNumberFormat="1" applyFont="1" applyFill="1" applyBorder="1" applyAlignment="1" applyProtection="1">
      <alignment horizontal="left"/>
    </xf>
    <xf numFmtId="49" fontId="3" fillId="6" borderId="8" xfId="7" applyNumberFormat="1" applyFont="1" applyFill="1" applyBorder="1" applyAlignment="1" applyProtection="1">
      <alignment horizontal="left"/>
    </xf>
    <xf numFmtId="49" fontId="3" fillId="0" borderId="9" xfId="7" applyNumberFormat="1" applyFont="1" applyBorder="1" applyAlignment="1" applyProtection="1">
      <alignment horizontal="left"/>
    </xf>
    <xf numFmtId="49" fontId="3" fillId="0" borderId="10" xfId="7" applyNumberFormat="1" applyFont="1" applyBorder="1" applyAlignment="1" applyProtection="1">
      <alignment horizontal="left"/>
    </xf>
    <xf numFmtId="168" fontId="3" fillId="0" borderId="9" xfId="7" applyNumberFormat="1" applyFont="1" applyBorder="1" applyAlignment="1" applyProtection="1">
      <alignment horizontal="left" indent="2"/>
    </xf>
    <xf numFmtId="168" fontId="3" fillId="0" borderId="0" xfId="7" applyNumberFormat="1" applyFont="1" applyBorder="1" applyAlignment="1" applyProtection="1">
      <alignment horizontal="left" indent="2"/>
    </xf>
    <xf numFmtId="168" fontId="3" fillId="0" borderId="10" xfId="7" applyNumberFormat="1" applyFont="1" applyBorder="1" applyAlignment="1" applyProtection="1">
      <alignment horizontal="left" indent="2"/>
    </xf>
    <xf numFmtId="168" fontId="3" fillId="0" borderId="11" xfId="7" applyNumberFormat="1" applyFont="1" applyBorder="1" applyAlignment="1" applyProtection="1">
      <alignment horizontal="left" indent="1"/>
    </xf>
    <xf numFmtId="168" fontId="3" fillId="0" borderId="14" xfId="7" applyNumberFormat="1" applyFont="1" applyBorder="1" applyAlignment="1" applyProtection="1">
      <alignment horizontal="left" indent="1"/>
    </xf>
    <xf numFmtId="0" fontId="3" fillId="0" borderId="11" xfId="7" applyFont="1" applyBorder="1" applyAlignment="1" applyProtection="1">
      <alignment horizontal="left" indent="2"/>
    </xf>
    <xf numFmtId="0" fontId="3" fillId="0" borderId="1" xfId="7" applyFont="1" applyBorder="1" applyAlignment="1" applyProtection="1">
      <alignment horizontal="left" indent="2"/>
    </xf>
    <xf numFmtId="0" fontId="3" fillId="8" borderId="9" xfId="7" applyFont="1" applyFill="1" applyBorder="1" applyAlignment="1" applyProtection="1">
      <alignment horizontal="center"/>
    </xf>
    <xf numFmtId="0" fontId="3" fillId="8" borderId="10" xfId="7" applyFont="1" applyFill="1" applyBorder="1" applyAlignment="1" applyProtection="1">
      <alignment horizontal="center"/>
    </xf>
    <xf numFmtId="0" fontId="3" fillId="0" borderId="9" xfId="7" applyFont="1" applyFill="1" applyBorder="1" applyAlignment="1" applyProtection="1">
      <alignment horizontal="center"/>
    </xf>
    <xf numFmtId="0" fontId="3" fillId="0" borderId="10" xfId="7" applyFont="1" applyFill="1" applyBorder="1" applyAlignment="1" applyProtection="1">
      <alignment horizontal="center"/>
    </xf>
    <xf numFmtId="168" fontId="3" fillId="0" borderId="9" xfId="7" applyNumberFormat="1" applyFont="1" applyBorder="1" applyAlignment="1" applyProtection="1">
      <alignment horizontal="left" indent="1"/>
    </xf>
    <xf numFmtId="168" fontId="3" fillId="0" borderId="10" xfId="7" applyNumberFormat="1" applyFont="1" applyBorder="1" applyAlignment="1" applyProtection="1">
      <alignment horizontal="left" indent="1"/>
    </xf>
    <xf numFmtId="168" fontId="3" fillId="0" borderId="11" xfId="7" applyNumberFormat="1" applyFont="1" applyBorder="1" applyAlignment="1" applyProtection="1">
      <alignment horizontal="left" indent="2"/>
    </xf>
    <xf numFmtId="168" fontId="3" fillId="0" borderId="1" xfId="7" applyNumberFormat="1" applyFont="1" applyBorder="1" applyAlignment="1" applyProtection="1">
      <alignment horizontal="left" indent="2"/>
    </xf>
    <xf numFmtId="168" fontId="3" fillId="0" borderId="0" xfId="7" applyNumberFormat="1" applyFont="1" applyBorder="1" applyAlignment="1" applyProtection="1">
      <alignment horizontal="left" indent="1"/>
    </xf>
    <xf numFmtId="168" fontId="16" fillId="3" borderId="4" xfId="7" applyNumberFormat="1" applyFont="1" applyFill="1" applyBorder="1" applyAlignment="1" applyProtection="1">
      <alignment horizontal="left" vertical="center" indent="1"/>
      <protection locked="0"/>
    </xf>
    <xf numFmtId="168" fontId="16" fillId="3" borderId="5" xfId="7" applyNumberFormat="1" applyFont="1" applyFill="1" applyBorder="1" applyAlignment="1" applyProtection="1">
      <alignment horizontal="left" vertical="center" indent="1"/>
      <protection locked="0"/>
    </xf>
    <xf numFmtId="168" fontId="16" fillId="3" borderId="8" xfId="7" applyNumberFormat="1" applyFont="1" applyFill="1" applyBorder="1" applyAlignment="1" applyProtection="1">
      <alignment horizontal="left" vertical="center" indent="1"/>
      <protection locked="0"/>
    </xf>
    <xf numFmtId="0" fontId="30" fillId="0" borderId="6" xfId="7" applyFont="1" applyBorder="1" applyAlignment="1" applyProtection="1">
      <alignment horizontal="center" vertical="center"/>
    </xf>
    <xf numFmtId="0" fontId="30" fillId="0" borderId="7" xfId="7" applyFont="1" applyBorder="1" applyAlignment="1" applyProtection="1">
      <alignment horizontal="center" vertical="center"/>
    </xf>
    <xf numFmtId="0" fontId="30" fillId="0" borderId="15" xfId="7" applyFont="1" applyBorder="1" applyAlignment="1" applyProtection="1">
      <alignment horizontal="center" vertical="center"/>
    </xf>
    <xf numFmtId="0" fontId="30" fillId="0" borderId="11" xfId="7" applyFont="1" applyBorder="1" applyAlignment="1" applyProtection="1">
      <alignment horizontal="center" vertical="center"/>
    </xf>
    <xf numFmtId="0" fontId="30" fillId="0" borderId="1" xfId="7" applyFont="1" applyBorder="1" applyAlignment="1" applyProtection="1">
      <alignment horizontal="center" vertical="center"/>
    </xf>
    <xf numFmtId="0" fontId="30" fillId="0" borderId="14" xfId="7" applyFont="1" applyBorder="1" applyAlignment="1" applyProtection="1">
      <alignment horizontal="center" vertical="center"/>
    </xf>
    <xf numFmtId="38" fontId="15" fillId="12" borderId="6" xfId="7" applyNumberFormat="1" applyFont="1" applyFill="1" applyBorder="1" applyAlignment="1" applyProtection="1">
      <alignment horizontal="center" vertical="center" wrapText="1"/>
    </xf>
    <xf numFmtId="38" fontId="15" fillId="12" borderId="7" xfId="7" applyNumberFormat="1" applyFont="1" applyFill="1" applyBorder="1" applyAlignment="1" applyProtection="1">
      <alignment horizontal="center" vertical="center" wrapText="1"/>
    </xf>
    <xf numFmtId="38" fontId="15" fillId="12" borderId="15" xfId="7" applyNumberFormat="1" applyFont="1" applyFill="1" applyBorder="1" applyAlignment="1" applyProtection="1">
      <alignment horizontal="center" vertical="center" wrapText="1"/>
    </xf>
    <xf numFmtId="38" fontId="15" fillId="12" borderId="11" xfId="7" applyNumberFormat="1" applyFont="1" applyFill="1" applyBorder="1" applyAlignment="1" applyProtection="1">
      <alignment horizontal="center" vertical="center" wrapText="1"/>
    </xf>
    <xf numFmtId="38" fontId="15" fillId="12" borderId="1" xfId="7" applyNumberFormat="1" applyFont="1" applyFill="1" applyBorder="1" applyAlignment="1" applyProtection="1">
      <alignment horizontal="center" vertical="center" wrapText="1"/>
    </xf>
    <xf numFmtId="38" fontId="15" fillId="12" borderId="14" xfId="7" applyNumberFormat="1" applyFont="1" applyFill="1" applyBorder="1" applyAlignment="1" applyProtection="1">
      <alignment horizontal="center" vertical="center" wrapText="1"/>
    </xf>
    <xf numFmtId="0" fontId="14" fillId="0" borderId="7" xfId="7" applyFont="1" applyBorder="1" applyAlignment="1" applyProtection="1">
      <alignment horizontal="center"/>
    </xf>
    <xf numFmtId="0" fontId="14" fillId="0" borderId="15" xfId="7" applyFont="1" applyBorder="1" applyAlignment="1" applyProtection="1">
      <alignment horizontal="center"/>
    </xf>
    <xf numFmtId="0" fontId="3" fillId="0" borderId="9" xfId="7" applyFont="1" applyBorder="1" applyAlignment="1" applyProtection="1">
      <alignment horizontal="left" indent="1"/>
    </xf>
    <xf numFmtId="0" fontId="3" fillId="0" borderId="0" xfId="7" applyFont="1" applyBorder="1" applyAlignment="1" applyProtection="1">
      <alignment horizontal="left" indent="1"/>
    </xf>
    <xf numFmtId="168" fontId="3" fillId="0" borderId="9" xfId="7" applyNumberFormat="1" applyFont="1" applyBorder="1" applyAlignment="1" applyProtection="1">
      <alignment horizontal="left" vertical="center"/>
    </xf>
    <xf numFmtId="168" fontId="3" fillId="0" borderId="10" xfId="7" applyNumberFormat="1" applyFont="1" applyBorder="1" applyAlignment="1" applyProtection="1">
      <alignment horizontal="left" vertical="center"/>
    </xf>
    <xf numFmtId="49" fontId="3" fillId="0" borderId="9" xfId="7" applyNumberFormat="1" applyFont="1" applyBorder="1" applyAlignment="1" applyProtection="1">
      <alignment horizontal="left" vertical="center"/>
    </xf>
    <xf numFmtId="49" fontId="3" fillId="0" borderId="10" xfId="7" applyNumberFormat="1" applyFont="1" applyBorder="1" applyAlignment="1" applyProtection="1">
      <alignment horizontal="left" vertical="center"/>
    </xf>
    <xf numFmtId="168" fontId="15" fillId="0" borderId="6" xfId="7" applyNumberFormat="1" applyFont="1" applyBorder="1" applyAlignment="1" applyProtection="1">
      <alignment horizontal="center" vertical="center" wrapText="1"/>
    </xf>
    <xf numFmtId="168" fontId="15" fillId="0" borderId="15" xfId="7" applyNumberFormat="1" applyFont="1" applyBorder="1" applyAlignment="1" applyProtection="1">
      <alignment horizontal="center" vertical="center" wrapText="1"/>
    </xf>
    <xf numFmtId="168" fontId="15" fillId="0" borderId="11" xfId="7" applyNumberFormat="1" applyFont="1" applyBorder="1" applyAlignment="1" applyProtection="1">
      <alignment horizontal="center" vertical="center" wrapText="1"/>
    </xf>
    <xf numFmtId="168" fontId="15" fillId="0" borderId="14" xfId="7" applyNumberFormat="1" applyFont="1" applyBorder="1" applyAlignment="1" applyProtection="1">
      <alignment horizontal="center" vertical="center" wrapText="1"/>
    </xf>
    <xf numFmtId="0" fontId="36" fillId="0" borderId="9" xfId="7" applyFont="1" applyBorder="1" applyAlignment="1" applyProtection="1">
      <alignment horizontal="center" vertical="center"/>
    </xf>
    <xf numFmtId="0" fontId="36" fillId="0" borderId="0" xfId="7" applyFont="1" applyBorder="1" applyAlignment="1" applyProtection="1">
      <alignment horizontal="center" vertical="center"/>
    </xf>
    <xf numFmtId="168" fontId="15" fillId="0" borderId="4" xfId="7" applyNumberFormat="1" applyFont="1" applyBorder="1" applyAlignment="1" applyProtection="1">
      <alignment horizontal="center" vertical="center" wrapText="1"/>
    </xf>
    <xf numFmtId="168" fontId="15" fillId="0" borderId="1" xfId="7" applyNumberFormat="1" applyFont="1" applyBorder="1" applyAlignment="1" applyProtection="1">
      <alignment horizontal="center" vertical="center" wrapText="1"/>
    </xf>
    <xf numFmtId="168" fontId="15" fillId="0" borderId="9" xfId="7" applyNumberFormat="1" applyFont="1" applyBorder="1" applyAlignment="1" applyProtection="1">
      <alignment horizontal="left" vertical="center"/>
    </xf>
    <xf numFmtId="168" fontId="15" fillId="0" borderId="10" xfId="7" applyNumberFormat="1" applyFont="1" applyBorder="1" applyAlignment="1" applyProtection="1">
      <alignment horizontal="left" vertical="center"/>
    </xf>
    <xf numFmtId="168" fontId="3" fillId="0" borderId="1" xfId="7" applyNumberFormat="1" applyFont="1" applyFill="1" applyBorder="1" applyAlignment="1" applyProtection="1">
      <alignment horizontal="left" vertical="center" wrapText="1"/>
    </xf>
    <xf numFmtId="168" fontId="3" fillId="0" borderId="14" xfId="7" applyNumberFormat="1" applyFont="1" applyFill="1" applyBorder="1" applyAlignment="1" applyProtection="1">
      <alignment horizontal="left" vertical="center" wrapText="1"/>
    </xf>
    <xf numFmtId="0" fontId="15" fillId="0" borderId="9" xfId="7" applyFont="1" applyBorder="1" applyAlignment="1" applyProtection="1">
      <alignment horizontal="left" vertical="center"/>
    </xf>
    <xf numFmtId="0" fontId="15" fillId="0" borderId="10" xfId="7" applyFont="1" applyBorder="1" applyAlignment="1" applyProtection="1">
      <alignment horizontal="left" vertical="center"/>
    </xf>
    <xf numFmtId="0" fontId="37" fillId="0" borderId="9" xfId="7" applyFont="1" applyBorder="1" applyAlignment="1" applyProtection="1">
      <alignment horizontal="center" vertical="center"/>
    </xf>
    <xf numFmtId="0" fontId="37" fillId="0" borderId="0" xfId="7" applyFont="1" applyBorder="1" applyAlignment="1" applyProtection="1">
      <alignment horizontal="center" vertical="center"/>
    </xf>
    <xf numFmtId="0" fontId="37" fillId="0" borderId="0" xfId="7" applyFont="1" applyBorder="1" applyAlignment="1" applyProtection="1">
      <alignment horizontal="center" vertical="center" wrapText="1"/>
    </xf>
    <xf numFmtId="168" fontId="15" fillId="0" borderId="6" xfId="7" applyNumberFormat="1" applyFont="1" applyBorder="1" applyAlignment="1" applyProtection="1">
      <alignment horizontal="left" vertical="center"/>
    </xf>
    <xf numFmtId="168" fontId="15" fillId="0" borderId="7" xfId="7" applyNumberFormat="1" applyFont="1" applyBorder="1" applyAlignment="1" applyProtection="1">
      <alignment horizontal="left" vertical="center"/>
    </xf>
    <xf numFmtId="168" fontId="3" fillId="0" borderId="0" xfId="7" applyNumberFormat="1" applyFont="1" applyBorder="1" applyAlignment="1" applyProtection="1">
      <alignment horizontal="left" vertical="center"/>
    </xf>
    <xf numFmtId="0" fontId="11" fillId="4" borderId="4" xfId="7" applyNumberFormat="1" applyFont="1" applyFill="1" applyBorder="1" applyAlignment="1" applyProtection="1">
      <alignment horizontal="left" vertical="center" indent="2"/>
    </xf>
    <xf numFmtId="0" fontId="11" fillId="4" borderId="8" xfId="7" applyNumberFormat="1" applyFont="1" applyFill="1" applyBorder="1" applyAlignment="1" applyProtection="1">
      <alignment horizontal="left" vertical="center" indent="2"/>
    </xf>
    <xf numFmtId="49" fontId="13" fillId="5" borderId="4" xfId="1" applyNumberFormat="1" applyFont="1" applyFill="1" applyBorder="1" applyAlignment="1">
      <alignment horizontal="center" vertical="center" shrinkToFit="1"/>
    </xf>
    <xf numFmtId="49" fontId="13" fillId="5" borderId="8" xfId="1" applyNumberFormat="1" applyFont="1" applyFill="1" applyBorder="1" applyAlignment="1">
      <alignment horizontal="center" vertical="center" shrinkToFit="1"/>
    </xf>
    <xf numFmtId="49" fontId="13" fillId="5" borderId="5" xfId="1" applyNumberFormat="1" applyFont="1" applyFill="1" applyBorder="1" applyAlignment="1">
      <alignment horizontal="center" vertical="center" shrinkToFit="1"/>
    </xf>
    <xf numFmtId="0" fontId="15" fillId="0" borderId="4" xfId="7" applyFont="1" applyBorder="1" applyAlignment="1" applyProtection="1">
      <alignment horizontal="center" wrapText="1"/>
    </xf>
    <xf numFmtId="0" fontId="15" fillId="0" borderId="8" xfId="7" applyFont="1" applyBorder="1" applyAlignment="1" applyProtection="1">
      <alignment horizontal="center" wrapText="1"/>
    </xf>
    <xf numFmtId="40" fontId="29" fillId="0" borderId="0" xfId="0" applyNumberFormat="1" applyFont="1" applyFill="1" applyAlignment="1">
      <alignment horizontal="center"/>
    </xf>
    <xf numFmtId="0" fontId="29" fillId="0" borderId="0" xfId="0" applyFont="1" applyAlignment="1">
      <alignment horizontal="center" wrapText="1"/>
    </xf>
    <xf numFmtId="0" fontId="29" fillId="0" borderId="0" xfId="0" applyFont="1" applyAlignment="1">
      <alignment horizontal="center"/>
    </xf>
    <xf numFmtId="0" fontId="4" fillId="2" borderId="0" xfId="0" applyNumberFormat="1" applyFont="1" applyFill="1" applyAlignment="1">
      <alignment horizontal="left" vertical="top" wrapText="1"/>
    </xf>
    <xf numFmtId="0" fontId="25" fillId="0" borderId="0" xfId="0" applyFont="1" applyAlignment="1">
      <alignment horizontal="left" indent="1"/>
    </xf>
  </cellXfs>
  <cellStyles count="8">
    <cellStyle name="Comma" xfId="5" builtinId="3"/>
    <cellStyle name="Comma 2" xfId="2" xr:uid="{00000000-0005-0000-0000-000001000000}"/>
    <cellStyle name="Normal" xfId="0" builtinId="0"/>
    <cellStyle name="Normal 2" xfId="3" xr:uid="{00000000-0005-0000-0000-000003000000}"/>
    <cellStyle name="Normal 3" xfId="1" xr:uid="{00000000-0005-0000-0000-000004000000}"/>
    <cellStyle name="Normal_Revised B-6" xfId="7" xr:uid="{00000000-0005-0000-0000-000005000000}"/>
    <cellStyle name="Percent" xfId="6" builtinId="5"/>
    <cellStyle name="Percent 2" xfId="4" xr:uid="{00000000-0005-0000-0000-000007000000}"/>
  </cellStyles>
  <dxfs count="91"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 defaultTableStyle="TableStyleMedium2" defaultPivotStyle="PivotStyleLight16">
    <tableStyle name="MySqlDefault" pivot="0" table="0" count="2" xr9:uid="{00000000-0011-0000-FFFF-FFFF00000000}">
      <tableStyleElement type="wholeTable" dxfId="90"/>
      <tableStyleElement type="headerRow" dxfId="89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.xml"/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.xml"/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.xml"/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0B9A54-F092-409A-95F4-F8A883E70D90}">
  <sheetPr>
    <tabColor rgb="FFFFC000"/>
    <pageSetUpPr fitToPage="1"/>
  </sheetPr>
  <dimension ref="A1:CP80"/>
  <sheetViews>
    <sheetView showGridLines="0" tabSelected="1" zoomScaleNormal="100" workbookViewId="0">
      <selection activeCell="C8" sqref="C8:N16"/>
    </sheetView>
  </sheetViews>
  <sheetFormatPr defaultColWidth="9.140625" defaultRowHeight="15.75" x14ac:dyDescent="0.25"/>
  <cols>
    <col min="1" max="1" width="7.85546875" style="124" customWidth="1"/>
    <col min="2" max="2" width="7.7109375" style="125" customWidth="1"/>
    <col min="3" max="3" width="9" style="125" customWidth="1"/>
    <col min="4" max="4" width="39.28515625" style="53" customWidth="1"/>
    <col min="5" max="5" width="13" style="126" customWidth="1"/>
    <col min="6" max="6" width="12.28515625" style="127" customWidth="1"/>
    <col min="7" max="7" width="12.140625" style="127" bestFit="1" customWidth="1"/>
    <col min="8" max="8" width="14.5703125" style="127" customWidth="1"/>
    <col min="9" max="9" width="19.5703125" style="128" bestFit="1" customWidth="1"/>
    <col min="10" max="10" width="13.7109375" style="129" customWidth="1"/>
    <col min="11" max="11" width="13.7109375" style="129" hidden="1" customWidth="1"/>
    <col min="12" max="12" width="18.42578125" style="129" customWidth="1"/>
    <col min="13" max="13" width="16.42578125" style="129" customWidth="1"/>
    <col min="14" max="14" width="16.140625" style="128" customWidth="1"/>
    <col min="15" max="25" width="16.140625" customWidth="1"/>
    <col min="26" max="26" width="16.140625" style="344" customWidth="1"/>
    <col min="27" max="27" width="22.140625" style="334" bestFit="1" customWidth="1"/>
    <col min="28" max="28" width="31.140625" style="334" bestFit="1" customWidth="1"/>
    <col min="29" max="29" width="7.85546875" style="334" bestFit="1" customWidth="1"/>
    <col min="30" max="30" width="9.140625" style="110" customWidth="1"/>
    <col min="31" max="94" width="9.140625" style="17"/>
    <col min="95" max="16384" width="9.140625" style="18"/>
  </cols>
  <sheetData>
    <row r="1" spans="1:94" x14ac:dyDescent="0.25">
      <c r="A1" s="12" t="s">
        <v>13</v>
      </c>
      <c r="B1" s="13"/>
      <c r="C1" s="13"/>
      <c r="D1" s="14" t="s">
        <v>1989</v>
      </c>
      <c r="E1" s="15"/>
      <c r="F1" s="15"/>
      <c r="G1" s="15"/>
      <c r="H1" s="15"/>
      <c r="I1" s="15"/>
      <c r="J1" s="15"/>
      <c r="K1" s="15"/>
      <c r="L1" s="16" t="s">
        <v>14</v>
      </c>
      <c r="M1" s="467">
        <v>352</v>
      </c>
      <c r="N1" s="468"/>
      <c r="AA1" s="363"/>
      <c r="AB1" s="333"/>
      <c r="AC1" s="333"/>
      <c r="AD1" s="325"/>
    </row>
    <row r="2" spans="1:94" ht="20.25" x14ac:dyDescent="0.25">
      <c r="A2" s="19" t="s">
        <v>116</v>
      </c>
      <c r="B2" s="20"/>
      <c r="C2" s="20"/>
      <c r="D2" s="14" t="s">
        <v>1990</v>
      </c>
      <c r="E2" s="21"/>
      <c r="F2" s="21"/>
      <c r="G2" s="21"/>
      <c r="H2" s="21"/>
      <c r="I2" s="21"/>
      <c r="J2" s="20"/>
      <c r="K2" s="20"/>
      <c r="L2" s="22" t="s">
        <v>113</v>
      </c>
      <c r="M2" s="469" t="s">
        <v>1994</v>
      </c>
      <c r="N2" s="470"/>
      <c r="AA2" s="333"/>
      <c r="AB2" s="333"/>
      <c r="AC2" s="333"/>
      <c r="AD2" s="325"/>
    </row>
    <row r="3" spans="1:94" x14ac:dyDescent="0.25">
      <c r="A3" s="19" t="s">
        <v>117</v>
      </c>
      <c r="B3" s="20"/>
      <c r="C3" s="20"/>
      <c r="D3" s="23" t="s">
        <v>1991</v>
      </c>
      <c r="E3" s="24"/>
      <c r="F3" s="25"/>
      <c r="G3" s="25"/>
      <c r="H3" s="25"/>
      <c r="I3" s="26"/>
      <c r="J3" s="20"/>
      <c r="K3" s="20"/>
      <c r="L3" s="22" t="s">
        <v>114</v>
      </c>
      <c r="M3" s="467" t="s">
        <v>167</v>
      </c>
      <c r="N3" s="468"/>
      <c r="AA3" s="363"/>
      <c r="AB3" s="333"/>
      <c r="AC3" s="333"/>
      <c r="AD3" s="325"/>
    </row>
    <row r="4" spans="1:94" x14ac:dyDescent="0.25">
      <c r="A4" s="19"/>
      <c r="B4" s="20"/>
      <c r="C4" s="20"/>
      <c r="D4" s="27"/>
      <c r="E4" s="24"/>
      <c r="F4" s="25"/>
      <c r="G4" s="25"/>
      <c r="H4" s="25"/>
      <c r="I4" s="28"/>
      <c r="J4" s="26"/>
      <c r="K4" s="26"/>
      <c r="L4" s="22" t="s">
        <v>15</v>
      </c>
      <c r="M4" s="467">
        <v>2023</v>
      </c>
      <c r="N4" s="468"/>
      <c r="AA4" s="363"/>
      <c r="AB4" s="333"/>
      <c r="AC4" s="333"/>
      <c r="AD4" s="325"/>
    </row>
    <row r="5" spans="1:94" s="34" customFormat="1" ht="18" customHeight="1" x14ac:dyDescent="0.25">
      <c r="A5" s="19" t="s">
        <v>16</v>
      </c>
      <c r="B5" s="20"/>
      <c r="C5" s="20"/>
      <c r="D5" s="350">
        <v>44440</v>
      </c>
      <c r="E5" s="27"/>
      <c r="F5" s="30"/>
      <c r="G5" s="31"/>
      <c r="H5" s="31" t="s">
        <v>17</v>
      </c>
      <c r="I5" s="469" t="s">
        <v>1992</v>
      </c>
      <c r="J5" s="471"/>
      <c r="K5" s="471"/>
      <c r="L5" s="470"/>
      <c r="M5" s="351" t="s">
        <v>115</v>
      </c>
      <c r="N5" s="32" t="s">
        <v>1993</v>
      </c>
      <c r="O5"/>
      <c r="P5"/>
      <c r="Q5"/>
      <c r="R5"/>
      <c r="S5"/>
      <c r="T5"/>
      <c r="U5"/>
      <c r="V5"/>
      <c r="W5"/>
      <c r="X5"/>
      <c r="Y5"/>
      <c r="Z5" s="344"/>
      <c r="AA5" s="363"/>
      <c r="AB5" s="333"/>
      <c r="AC5" s="333"/>
      <c r="AD5" s="326"/>
      <c r="AE5" s="33"/>
      <c r="AF5" s="33"/>
      <c r="AG5" s="33"/>
      <c r="AH5" s="33"/>
      <c r="AI5" s="33"/>
      <c r="AJ5" s="33"/>
      <c r="AK5" s="33"/>
      <c r="AL5" s="33"/>
      <c r="AM5" s="33"/>
      <c r="AN5" s="33"/>
      <c r="AO5" s="33"/>
      <c r="AP5" s="33"/>
      <c r="AQ5" s="33"/>
      <c r="AR5" s="33"/>
      <c r="AS5" s="33"/>
      <c r="AT5" s="33"/>
      <c r="AU5" s="33"/>
      <c r="AV5" s="33"/>
      <c r="AW5" s="33"/>
      <c r="AX5" s="33"/>
      <c r="AY5" s="33"/>
      <c r="AZ5" s="33"/>
      <c r="BA5" s="33"/>
      <c r="BB5" s="33"/>
      <c r="BC5" s="33"/>
      <c r="BD5" s="33"/>
      <c r="BE5" s="33"/>
      <c r="BF5" s="33"/>
      <c r="BG5" s="33"/>
      <c r="BH5" s="33"/>
      <c r="BI5" s="33"/>
      <c r="BJ5" s="33"/>
      <c r="BK5" s="33"/>
      <c r="BL5" s="33"/>
      <c r="BM5" s="33"/>
      <c r="BN5" s="33"/>
      <c r="BO5" s="33"/>
      <c r="BP5" s="33"/>
      <c r="BQ5" s="33"/>
      <c r="BR5" s="33"/>
      <c r="BS5" s="33"/>
      <c r="BT5" s="33"/>
      <c r="BU5" s="33"/>
      <c r="BV5" s="33"/>
      <c r="BW5" s="33"/>
      <c r="BX5" s="33"/>
      <c r="BY5" s="33"/>
      <c r="BZ5" s="33"/>
      <c r="CA5" s="33"/>
      <c r="CB5" s="33"/>
      <c r="CC5" s="33"/>
      <c r="CD5" s="33"/>
      <c r="CE5" s="33"/>
      <c r="CF5" s="33"/>
      <c r="CG5" s="33"/>
      <c r="CH5" s="33"/>
      <c r="CI5" s="33"/>
      <c r="CJ5" s="33"/>
      <c r="CK5" s="33"/>
      <c r="CL5" s="33"/>
      <c r="CM5" s="33"/>
      <c r="CN5" s="33"/>
      <c r="CO5" s="33"/>
      <c r="CP5" s="33"/>
    </row>
    <row r="6" spans="1:94" ht="23.25" customHeight="1" x14ac:dyDescent="0.25">
      <c r="A6" s="19"/>
      <c r="B6" s="20" t="s">
        <v>18</v>
      </c>
      <c r="C6" s="20"/>
      <c r="D6" s="29"/>
      <c r="E6" s="35" t="s">
        <v>19</v>
      </c>
      <c r="F6" s="36"/>
      <c r="G6" s="25"/>
      <c r="H6" s="25"/>
      <c r="I6" s="37"/>
      <c r="J6" s="31" t="s">
        <v>84</v>
      </c>
      <c r="K6" s="31"/>
      <c r="L6" s="352"/>
      <c r="M6" s="353" t="s">
        <v>85</v>
      </c>
      <c r="N6" s="306"/>
      <c r="AA6" s="363"/>
      <c r="AB6" s="333"/>
      <c r="AC6" s="333"/>
      <c r="AD6" s="325"/>
    </row>
    <row r="7" spans="1:94" x14ac:dyDescent="0.25">
      <c r="A7" s="38"/>
      <c r="B7" s="39"/>
      <c r="C7" s="40"/>
      <c r="D7" s="41"/>
      <c r="E7" s="42"/>
      <c r="F7" s="40"/>
      <c r="G7" s="43"/>
      <c r="H7" s="44"/>
      <c r="I7" s="45"/>
      <c r="J7" s="46"/>
      <c r="K7" s="46"/>
      <c r="L7" s="46"/>
      <c r="M7" s="46"/>
      <c r="N7" s="47"/>
    </row>
    <row r="8" spans="1:94" s="52" customFormat="1" ht="40.5" customHeight="1" x14ac:dyDescent="0.25">
      <c r="A8" s="48" t="s">
        <v>20</v>
      </c>
      <c r="B8" s="369" t="s">
        <v>21</v>
      </c>
      <c r="C8" s="472" t="s">
        <v>22</v>
      </c>
      <c r="D8" s="473"/>
      <c r="E8" s="369" t="s">
        <v>23</v>
      </c>
      <c r="F8" s="49" t="s">
        <v>24</v>
      </c>
      <c r="G8" s="50" t="str">
        <f>"FY "&amp;'TAAA|0001-00'!FiscalYear-1&amp;" SALARY"</f>
        <v>FY 2022 SALARY</v>
      </c>
      <c r="H8" s="50" t="str">
        <f>"FY "&amp;'TAAA|0001-00'!FiscalYear-1&amp;" HEALTH BENEFITS"</f>
        <v>FY 2022 HEALTH BENEFITS</v>
      </c>
      <c r="I8" s="50" t="str">
        <f>"FY "&amp;'TAAA|0001-00'!FiscalYear-1&amp;" VAR BENEFITS"</f>
        <v>FY 2022 VAR BENEFITS</v>
      </c>
      <c r="J8" s="50" t="str">
        <f>"FY "&amp;'TAAA|0001-00'!FiscalYear-1&amp;" TOTAL"</f>
        <v>FY 2022 TOTAL</v>
      </c>
      <c r="K8" s="50" t="str">
        <f>"FY "&amp;'TAAA|0001-00'!FiscalYear&amp;" SALARY CHANGE"</f>
        <v>FY 2023 SALARY CHANGE</v>
      </c>
      <c r="L8" s="50" t="str">
        <f>"FY "&amp;'TAAA|0001-00'!FiscalYear&amp;" CHG HEALTH BENEFITS"</f>
        <v>FY 2023 CHG HEALTH BENEFITS</v>
      </c>
      <c r="M8" s="50" t="str">
        <f>"FY "&amp;'TAAA|0001-00'!FiscalYear&amp;" CHG VAR BENEFITS"</f>
        <v>FY 2023 CHG VAR BENEFITS</v>
      </c>
      <c r="N8" s="50" t="s">
        <v>25</v>
      </c>
      <c r="O8"/>
      <c r="P8"/>
      <c r="Q8"/>
      <c r="R8"/>
      <c r="S8"/>
      <c r="T8"/>
      <c r="U8"/>
      <c r="V8"/>
      <c r="W8"/>
      <c r="X8"/>
      <c r="Y8"/>
      <c r="Z8" s="344"/>
      <c r="AA8" s="463" t="s">
        <v>105</v>
      </c>
      <c r="AB8" s="463"/>
      <c r="AC8" s="463"/>
      <c r="AD8" s="327"/>
      <c r="AE8" s="51"/>
      <c r="AF8" s="51"/>
      <c r="AG8" s="51"/>
      <c r="AH8" s="51"/>
      <c r="AI8" s="51"/>
      <c r="AJ8" s="51"/>
      <c r="AK8" s="51"/>
      <c r="AL8" s="51"/>
      <c r="AM8" s="51"/>
      <c r="AN8" s="51"/>
      <c r="AO8" s="51"/>
      <c r="AP8" s="51"/>
      <c r="AQ8" s="51"/>
      <c r="AR8" s="51"/>
      <c r="AS8" s="51"/>
      <c r="AT8" s="51"/>
      <c r="AU8" s="51"/>
      <c r="AV8" s="51"/>
      <c r="AW8" s="51"/>
      <c r="AX8" s="51"/>
      <c r="AY8" s="51"/>
      <c r="AZ8" s="51"/>
      <c r="BA8" s="51"/>
      <c r="BB8" s="51"/>
      <c r="BC8" s="51"/>
      <c r="BD8" s="51"/>
      <c r="BE8" s="51"/>
      <c r="BF8" s="51"/>
      <c r="BG8" s="51"/>
      <c r="BH8" s="51"/>
      <c r="BI8" s="51"/>
      <c r="BJ8" s="51"/>
      <c r="BK8" s="51"/>
      <c r="BL8" s="51"/>
      <c r="BM8" s="51"/>
      <c r="BN8" s="51"/>
      <c r="BO8" s="51"/>
      <c r="BP8" s="51"/>
      <c r="BQ8" s="51"/>
      <c r="BR8" s="51"/>
      <c r="BS8" s="51"/>
      <c r="BT8" s="51"/>
      <c r="BU8" s="51"/>
      <c r="BV8" s="51"/>
      <c r="BW8" s="51"/>
      <c r="BX8" s="51"/>
      <c r="BY8" s="51"/>
      <c r="BZ8" s="51"/>
      <c r="CA8" s="51"/>
      <c r="CB8" s="51"/>
      <c r="CC8" s="51"/>
      <c r="CD8" s="51"/>
      <c r="CE8" s="51"/>
      <c r="CF8" s="51"/>
      <c r="CG8" s="51"/>
      <c r="CH8" s="51"/>
      <c r="CI8" s="51"/>
      <c r="CJ8" s="51"/>
      <c r="CK8" s="51"/>
      <c r="CL8" s="51"/>
      <c r="CM8" s="51"/>
      <c r="CN8" s="51"/>
      <c r="CO8" s="51"/>
      <c r="CP8" s="51"/>
    </row>
    <row r="9" spans="1:94" s="149" customFormat="1" x14ac:dyDescent="0.25">
      <c r="A9" s="139"/>
      <c r="B9" s="140"/>
      <c r="C9" s="464" t="s">
        <v>26</v>
      </c>
      <c r="D9" s="465"/>
      <c r="E9" s="141"/>
      <c r="F9" s="142"/>
      <c r="G9" s="143"/>
      <c r="H9" s="143"/>
      <c r="I9" s="143"/>
      <c r="J9" s="144"/>
      <c r="K9" s="144"/>
      <c r="L9" s="145"/>
      <c r="M9" s="146"/>
      <c r="N9" s="144"/>
      <c r="O9"/>
      <c r="P9"/>
      <c r="Q9"/>
      <c r="R9"/>
      <c r="S9"/>
      <c r="T9"/>
      <c r="U9"/>
      <c r="V9"/>
      <c r="W9"/>
      <c r="X9"/>
      <c r="Y9"/>
      <c r="Z9" s="344"/>
      <c r="AA9" s="363" t="s">
        <v>94</v>
      </c>
      <c r="AB9" s="333" t="s">
        <v>95</v>
      </c>
      <c r="AC9" s="333" t="s">
        <v>106</v>
      </c>
      <c r="AD9" s="328"/>
      <c r="AE9" s="148"/>
      <c r="AF9" s="148"/>
      <c r="AG9" s="148"/>
      <c r="AH9" s="148"/>
      <c r="AI9" s="148"/>
      <c r="AJ9" s="148"/>
      <c r="AK9" s="148"/>
      <c r="AL9" s="148"/>
      <c r="AM9" s="148"/>
      <c r="AN9" s="148"/>
      <c r="AO9" s="148"/>
      <c r="AP9" s="148"/>
      <c r="AQ9" s="148"/>
      <c r="AR9" s="148"/>
      <c r="AS9" s="148"/>
      <c r="AT9" s="148"/>
      <c r="AU9" s="148"/>
      <c r="AV9" s="148"/>
      <c r="AW9" s="148"/>
      <c r="AX9" s="148"/>
      <c r="AY9" s="148"/>
      <c r="AZ9" s="148"/>
      <c r="BA9" s="148"/>
      <c r="BB9" s="148"/>
      <c r="BC9" s="148"/>
      <c r="BD9" s="148"/>
      <c r="BE9" s="148"/>
      <c r="BF9" s="148"/>
      <c r="BG9" s="148"/>
      <c r="BH9" s="148"/>
      <c r="BI9" s="148"/>
      <c r="BJ9" s="148"/>
      <c r="BK9" s="148"/>
      <c r="BL9" s="148"/>
      <c r="BM9" s="148"/>
      <c r="BN9" s="148"/>
      <c r="BO9" s="148"/>
      <c r="BP9" s="148"/>
      <c r="BQ9" s="148"/>
      <c r="BR9" s="148"/>
      <c r="BS9" s="148"/>
      <c r="BT9" s="148"/>
      <c r="BU9" s="148"/>
      <c r="BV9" s="148"/>
      <c r="BW9" s="148"/>
      <c r="BX9" s="148"/>
      <c r="BY9" s="148"/>
      <c r="BZ9" s="148"/>
      <c r="CA9" s="148"/>
      <c r="CB9" s="148"/>
      <c r="CC9" s="148"/>
      <c r="CD9" s="148"/>
      <c r="CE9" s="148"/>
      <c r="CF9" s="148"/>
      <c r="CG9" s="148"/>
      <c r="CH9" s="148"/>
      <c r="CI9" s="148"/>
      <c r="CJ9" s="148"/>
      <c r="CK9" s="148"/>
      <c r="CL9" s="148"/>
      <c r="CM9" s="148"/>
      <c r="CN9" s="148"/>
      <c r="CO9" s="148"/>
      <c r="CP9" s="148"/>
    </row>
    <row r="10" spans="1:94" s="149" customFormat="1" x14ac:dyDescent="0.25">
      <c r="A10" s="139"/>
      <c r="B10" s="139"/>
      <c r="C10" s="443" t="s">
        <v>27</v>
      </c>
      <c r="D10" s="466"/>
      <c r="E10" s="217">
        <v>1</v>
      </c>
      <c r="F10" s="288">
        <f>[0]!TAAA000100col_INC_FTI</f>
        <v>51.050000000000004</v>
      </c>
      <c r="G10" s="218">
        <f>[0]!TAAA000100col_FTI_SALARY_PERM</f>
        <v>3013384.3999999994</v>
      </c>
      <c r="H10" s="218">
        <f>[0]!TAAA000100col_HEALTH_PERM</f>
        <v>594732.5</v>
      </c>
      <c r="I10" s="218">
        <f>[0]!TAAA000100col_TOT_VB_PERM</f>
        <v>641320.74511600006</v>
      </c>
      <c r="J10" s="219">
        <f>SUM(G10:I10)</f>
        <v>4249437.6451159995</v>
      </c>
      <c r="K10" s="219">
        <f>[0]!TAAA000100col_1_27TH_PP</f>
        <v>0</v>
      </c>
      <c r="L10" s="218">
        <f>[0]!TAAA000100col_HEALTH_PERM_CHG</f>
        <v>0</v>
      </c>
      <c r="M10" s="218">
        <f>[0]!TAAA000100col_TOT_VB_PERM_CHG</f>
        <v>-13439.395359999997</v>
      </c>
      <c r="N10" s="218">
        <f>SUM(L10:M10)</f>
        <v>-13439.395359999997</v>
      </c>
      <c r="O10"/>
      <c r="P10"/>
      <c r="Q10"/>
      <c r="R10"/>
      <c r="S10"/>
      <c r="T10"/>
      <c r="U10"/>
      <c r="V10"/>
      <c r="W10"/>
      <c r="X10"/>
      <c r="Y10"/>
      <c r="Z10" s="344"/>
      <c r="AA10" s="338">
        <f>ROUND(CECPerm*PermSalary,-2)</f>
        <v>30100</v>
      </c>
      <c r="AB10" s="335">
        <f>ROUND(PermVarBen*CECPerm+(CECPerm*PermVarBenChg),-2)</f>
        <v>6300</v>
      </c>
      <c r="AC10" s="335">
        <f>SUM(AA10:AB10)</f>
        <v>36400</v>
      </c>
      <c r="AD10" s="328"/>
      <c r="AE10" s="148"/>
      <c r="AF10" s="148"/>
      <c r="AG10" s="148"/>
      <c r="AH10" s="148"/>
      <c r="AI10" s="148"/>
      <c r="AJ10" s="148"/>
      <c r="AK10" s="148"/>
      <c r="AL10" s="148"/>
      <c r="AM10" s="148"/>
      <c r="AN10" s="148"/>
      <c r="AO10" s="148"/>
      <c r="AP10" s="148"/>
      <c r="AQ10" s="148"/>
      <c r="AR10" s="148"/>
      <c r="AS10" s="148"/>
      <c r="AT10" s="148"/>
      <c r="AU10" s="148"/>
      <c r="AV10" s="148"/>
      <c r="AW10" s="148"/>
      <c r="AX10" s="148"/>
      <c r="AY10" s="148"/>
      <c r="AZ10" s="148"/>
      <c r="BA10" s="148"/>
      <c r="BB10" s="148"/>
      <c r="BC10" s="148"/>
      <c r="BD10" s="148"/>
      <c r="BE10" s="148"/>
      <c r="BF10" s="148"/>
      <c r="BG10" s="148"/>
      <c r="BH10" s="148"/>
      <c r="BI10" s="148"/>
      <c r="BJ10" s="148"/>
      <c r="BK10" s="148"/>
      <c r="BL10" s="148"/>
      <c r="BM10" s="148"/>
      <c r="BN10" s="148"/>
      <c r="BO10" s="148"/>
      <c r="BP10" s="148"/>
      <c r="BQ10" s="148"/>
      <c r="BR10" s="148"/>
      <c r="BS10" s="148"/>
      <c r="BT10" s="148"/>
      <c r="BU10" s="148"/>
      <c r="BV10" s="148"/>
      <c r="BW10" s="148"/>
      <c r="BX10" s="148"/>
      <c r="BY10" s="148"/>
      <c r="BZ10" s="148"/>
      <c r="CA10" s="148"/>
      <c r="CB10" s="148"/>
      <c r="CC10" s="148"/>
      <c r="CD10" s="148"/>
      <c r="CE10" s="148"/>
      <c r="CF10" s="148"/>
      <c r="CG10" s="148"/>
      <c r="CH10" s="148"/>
      <c r="CI10" s="148"/>
      <c r="CJ10" s="148"/>
      <c r="CK10" s="148"/>
      <c r="CL10" s="148"/>
      <c r="CM10" s="148"/>
      <c r="CN10" s="148"/>
      <c r="CO10" s="148"/>
      <c r="CP10" s="148"/>
    </row>
    <row r="11" spans="1:94" s="149" customFormat="1" x14ac:dyDescent="0.25">
      <c r="A11" s="139"/>
      <c r="B11" s="139"/>
      <c r="C11" s="443" t="s">
        <v>28</v>
      </c>
      <c r="D11" s="466"/>
      <c r="E11" s="217">
        <v>2</v>
      </c>
      <c r="F11" s="288"/>
      <c r="G11" s="218">
        <f>[0]!TAAA000100col_Group_Salary</f>
        <v>104419.26000000001</v>
      </c>
      <c r="H11" s="218">
        <v>0</v>
      </c>
      <c r="I11" s="218">
        <f>[0]!TAAA000100col_Group_Ben</f>
        <v>18120.04</v>
      </c>
      <c r="J11" s="219">
        <f>SUM(G11:I11)</f>
        <v>122539.30000000002</v>
      </c>
      <c r="K11" s="268"/>
      <c r="L11" s="218"/>
      <c r="M11" s="218"/>
      <c r="N11" s="218"/>
      <c r="O11"/>
      <c r="P11"/>
      <c r="Q11"/>
      <c r="R11"/>
      <c r="S11"/>
      <c r="T11"/>
      <c r="U11"/>
      <c r="V11"/>
      <c r="W11"/>
      <c r="X11"/>
      <c r="Y11"/>
      <c r="Z11" s="344"/>
      <c r="AA11" s="338">
        <f>ROUND(GroupSalary*CECGroup,-2)</f>
        <v>1000</v>
      </c>
      <c r="AB11" s="335">
        <f>ROUND((GroupSalary*GroupVBBY)*CECGroup,-2)</f>
        <v>100</v>
      </c>
      <c r="AC11" s="335">
        <f>SUM(AA12:AB12)</f>
        <v>0</v>
      </c>
      <c r="AD11" s="328"/>
      <c r="AE11" s="148"/>
      <c r="AF11" s="148"/>
      <c r="AG11" s="148"/>
      <c r="AH11" s="148"/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148"/>
      <c r="AV11" s="148"/>
      <c r="AW11" s="148"/>
      <c r="AX11" s="148"/>
      <c r="AY11" s="148"/>
      <c r="AZ11" s="148"/>
      <c r="BA11" s="148"/>
      <c r="BB11" s="148"/>
      <c r="BC11" s="148"/>
      <c r="BD11" s="148"/>
      <c r="BE11" s="148"/>
      <c r="BF11" s="148"/>
      <c r="BG11" s="148"/>
      <c r="BH11" s="148"/>
      <c r="BI11" s="148"/>
      <c r="BJ11" s="148"/>
      <c r="BK11" s="148"/>
      <c r="BL11" s="148"/>
      <c r="BM11" s="148"/>
      <c r="BN11" s="148"/>
      <c r="BO11" s="148"/>
      <c r="BP11" s="148"/>
      <c r="BQ11" s="148"/>
      <c r="BR11" s="148"/>
      <c r="BS11" s="148"/>
      <c r="BT11" s="148"/>
      <c r="BU11" s="148"/>
      <c r="BV11" s="148"/>
      <c r="BW11" s="148"/>
      <c r="BX11" s="148"/>
      <c r="BY11" s="148"/>
      <c r="BZ11" s="148"/>
      <c r="CA11" s="148"/>
      <c r="CB11" s="148"/>
      <c r="CC11" s="148"/>
      <c r="CD11" s="148"/>
      <c r="CE11" s="148"/>
      <c r="CF11" s="148"/>
      <c r="CG11" s="148"/>
      <c r="CH11" s="148"/>
      <c r="CI11" s="148"/>
      <c r="CJ11" s="148"/>
      <c r="CK11" s="148"/>
      <c r="CL11" s="148"/>
      <c r="CM11" s="148"/>
      <c r="CN11" s="148"/>
      <c r="CO11" s="148"/>
      <c r="CP11" s="148"/>
    </row>
    <row r="12" spans="1:94" s="149" customFormat="1" x14ac:dyDescent="0.25">
      <c r="A12" s="139"/>
      <c r="B12" s="139"/>
      <c r="C12" s="443" t="s">
        <v>29</v>
      </c>
      <c r="D12" s="444"/>
      <c r="E12" s="217">
        <v>3</v>
      </c>
      <c r="F12" s="288">
        <f>[0]!TAAA000100col_TOTAL_ELECT_PCN_FTI</f>
        <v>3</v>
      </c>
      <c r="G12" s="218">
        <f>[0]!TAAA000100col_FTI_SALARY_ELECT</f>
        <v>318216</v>
      </c>
      <c r="H12" s="218">
        <f>[0]!TAAA000100col_HEALTH_ELECT</f>
        <v>34950</v>
      </c>
      <c r="I12" s="218">
        <f>[0]!TAAA000100col_TOT_VB_ELECT</f>
        <v>65396.57016000001</v>
      </c>
      <c r="J12" s="219">
        <f>SUM(G12:I12)</f>
        <v>418562.57016</v>
      </c>
      <c r="K12" s="268"/>
      <c r="L12" s="218">
        <f>[0]!TAAA000100col_HEALTH_ELECT_CHG</f>
        <v>0</v>
      </c>
      <c r="M12" s="218">
        <f>[0]!TAAA000100col_TOT_VB_ELECT_CHG</f>
        <v>31.821600000000082</v>
      </c>
      <c r="N12" s="219">
        <f>SUM(L12:M12)</f>
        <v>31.821600000000082</v>
      </c>
      <c r="O12"/>
      <c r="P12"/>
      <c r="Q12"/>
      <c r="R12"/>
      <c r="S12"/>
      <c r="T12"/>
      <c r="U12"/>
      <c r="V12"/>
      <c r="W12"/>
      <c r="X12"/>
      <c r="Y12"/>
      <c r="Z12" s="344"/>
      <c r="AA12" s="336"/>
      <c r="AB12" s="336"/>
      <c r="AC12" s="336"/>
      <c r="AD12" s="328"/>
      <c r="AE12" s="148"/>
      <c r="AF12" s="148"/>
      <c r="AG12" s="148"/>
      <c r="AH12" s="148"/>
      <c r="AI12" s="148"/>
      <c r="AJ12" s="148"/>
      <c r="AK12" s="148"/>
      <c r="AL12" s="148"/>
      <c r="AM12" s="148"/>
      <c r="AN12" s="148"/>
      <c r="AO12" s="148"/>
      <c r="AP12" s="148"/>
      <c r="AQ12" s="148"/>
      <c r="AR12" s="148"/>
      <c r="AS12" s="148"/>
      <c r="AT12" s="148"/>
      <c r="AU12" s="148"/>
      <c r="AV12" s="148"/>
      <c r="AW12" s="148"/>
      <c r="AX12" s="148"/>
      <c r="AY12" s="148"/>
      <c r="AZ12" s="148"/>
      <c r="BA12" s="148"/>
      <c r="BB12" s="148"/>
      <c r="BC12" s="148"/>
      <c r="BD12" s="148"/>
      <c r="BE12" s="148"/>
      <c r="BF12" s="148"/>
      <c r="BG12" s="148"/>
      <c r="BH12" s="148"/>
      <c r="BI12" s="148"/>
      <c r="BJ12" s="148"/>
      <c r="BK12" s="148"/>
      <c r="BL12" s="148"/>
      <c r="BM12" s="148"/>
      <c r="BN12" s="148"/>
      <c r="BO12" s="148"/>
      <c r="BP12" s="148"/>
      <c r="BQ12" s="148"/>
      <c r="BR12" s="148"/>
      <c r="BS12" s="148"/>
      <c r="BT12" s="148"/>
      <c r="BU12" s="148"/>
      <c r="BV12" s="148"/>
      <c r="BW12" s="148"/>
      <c r="BX12" s="148"/>
      <c r="BY12" s="148"/>
      <c r="BZ12" s="148"/>
      <c r="CA12" s="148"/>
      <c r="CB12" s="148"/>
      <c r="CC12" s="148"/>
      <c r="CD12" s="148"/>
      <c r="CE12" s="148"/>
      <c r="CF12" s="148"/>
      <c r="CG12" s="148"/>
      <c r="CH12" s="148"/>
      <c r="CI12" s="148"/>
      <c r="CJ12" s="148"/>
      <c r="CK12" s="148"/>
      <c r="CL12" s="148"/>
      <c r="CM12" s="148"/>
      <c r="CN12" s="148"/>
      <c r="CO12" s="148"/>
      <c r="CP12" s="148"/>
    </row>
    <row r="13" spans="1:94" s="153" customFormat="1" x14ac:dyDescent="0.25">
      <c r="A13" s="139"/>
      <c r="B13" s="139"/>
      <c r="C13" s="443" t="s">
        <v>30</v>
      </c>
      <c r="D13" s="466"/>
      <c r="E13" s="217"/>
      <c r="F13" s="220">
        <f>SUM(F10:F12)</f>
        <v>54.050000000000004</v>
      </c>
      <c r="G13" s="221">
        <f>SUM(G10:G12)</f>
        <v>3436019.6599999992</v>
      </c>
      <c r="H13" s="221">
        <f>SUM(H10:H12)</f>
        <v>629682.5</v>
      </c>
      <c r="I13" s="221">
        <f>SUM(I10:I12)</f>
        <v>724837.3552760001</v>
      </c>
      <c r="J13" s="219">
        <f>SUM(G13:I13)</f>
        <v>4790539.515275999</v>
      </c>
      <c r="K13" s="268"/>
      <c r="L13" s="219">
        <f>SUM(L10:L12)</f>
        <v>0</v>
      </c>
      <c r="M13" s="219">
        <f>SUM(M10:M12)</f>
        <v>-13407.573759999997</v>
      </c>
      <c r="N13" s="219">
        <f>SUM(N10:N12)</f>
        <v>-13407.573759999997</v>
      </c>
      <c r="O13"/>
      <c r="P13"/>
      <c r="Q13"/>
      <c r="R13"/>
      <c r="S13"/>
      <c r="T13"/>
      <c r="U13"/>
      <c r="V13"/>
      <c r="W13"/>
      <c r="X13"/>
      <c r="Y13"/>
      <c r="Z13" s="344"/>
      <c r="AA13" s="336"/>
      <c r="AB13" s="336"/>
      <c r="AC13" s="336"/>
      <c r="AD13" s="329"/>
      <c r="AE13" s="147"/>
      <c r="AF13" s="147"/>
      <c r="AG13" s="147"/>
      <c r="AH13" s="147"/>
      <c r="AI13" s="147"/>
      <c r="AJ13" s="147"/>
      <c r="AK13" s="147"/>
      <c r="AL13" s="147"/>
      <c r="AM13" s="147"/>
      <c r="AN13" s="147"/>
      <c r="AO13" s="147"/>
      <c r="AP13" s="147"/>
      <c r="AQ13" s="147"/>
      <c r="AR13" s="147"/>
      <c r="AS13" s="147"/>
      <c r="AT13" s="147"/>
      <c r="AU13" s="147"/>
      <c r="AV13" s="147"/>
      <c r="AW13" s="147"/>
      <c r="AX13" s="147"/>
      <c r="AY13" s="147"/>
      <c r="AZ13" s="147"/>
      <c r="BA13" s="147"/>
      <c r="BB13" s="147"/>
      <c r="BC13" s="147"/>
      <c r="BD13" s="147"/>
      <c r="BE13" s="147"/>
      <c r="BF13" s="147"/>
      <c r="BG13" s="147"/>
      <c r="BH13" s="147"/>
      <c r="BI13" s="147"/>
      <c r="BJ13" s="147"/>
      <c r="BK13" s="147"/>
      <c r="BL13" s="147"/>
      <c r="BM13" s="147"/>
      <c r="BN13" s="147"/>
      <c r="BO13" s="147"/>
      <c r="BP13" s="147"/>
      <c r="BQ13" s="147"/>
      <c r="BR13" s="147"/>
      <c r="BS13" s="147"/>
      <c r="BT13" s="147"/>
      <c r="BU13" s="147"/>
      <c r="BV13" s="147"/>
      <c r="BW13" s="147"/>
      <c r="BX13" s="147"/>
      <c r="BY13" s="147"/>
      <c r="BZ13" s="147"/>
      <c r="CA13" s="147"/>
      <c r="CB13" s="147"/>
      <c r="CC13" s="147"/>
      <c r="CD13" s="147"/>
      <c r="CE13" s="147"/>
      <c r="CF13" s="147"/>
      <c r="CG13" s="147"/>
      <c r="CH13" s="147"/>
      <c r="CI13" s="147"/>
      <c r="CJ13" s="147"/>
      <c r="CK13" s="147"/>
      <c r="CL13" s="147"/>
      <c r="CM13" s="147"/>
      <c r="CN13" s="147"/>
      <c r="CO13" s="147"/>
      <c r="CP13" s="147"/>
    </row>
    <row r="14" spans="1:94" s="153" customFormat="1" ht="5.45" customHeight="1" x14ac:dyDescent="0.25">
      <c r="A14" s="139"/>
      <c r="B14" s="139"/>
      <c r="C14" s="364"/>
      <c r="D14" s="370"/>
      <c r="E14" s="217"/>
      <c r="F14" s="220"/>
      <c r="G14" s="219"/>
      <c r="H14" s="219"/>
      <c r="I14" s="219"/>
      <c r="J14" s="219"/>
      <c r="K14" s="268"/>
      <c r="L14" s="219"/>
      <c r="M14" s="222"/>
      <c r="N14" s="222"/>
      <c r="O14"/>
      <c r="P14"/>
      <c r="Q14"/>
      <c r="R14"/>
      <c r="S14"/>
      <c r="T14"/>
      <c r="U14"/>
      <c r="V14"/>
      <c r="W14"/>
      <c r="X14"/>
      <c r="Y14"/>
      <c r="Z14" s="344"/>
      <c r="AA14" s="336"/>
      <c r="AB14" s="336"/>
      <c r="AC14" s="336"/>
      <c r="AD14" s="329"/>
      <c r="AE14" s="147"/>
      <c r="AF14" s="147"/>
      <c r="AG14" s="147"/>
      <c r="AH14" s="147"/>
      <c r="AI14" s="147"/>
      <c r="AJ14" s="147"/>
      <c r="AK14" s="147"/>
      <c r="AL14" s="147"/>
      <c r="AM14" s="147"/>
      <c r="AN14" s="147"/>
      <c r="AO14" s="147"/>
      <c r="AP14" s="147"/>
      <c r="AQ14" s="147"/>
      <c r="AR14" s="147"/>
      <c r="AS14" s="147"/>
      <c r="AT14" s="147"/>
      <c r="AU14" s="147"/>
      <c r="AV14" s="147"/>
      <c r="AW14" s="147"/>
      <c r="AX14" s="147"/>
      <c r="AY14" s="147"/>
      <c r="AZ14" s="147"/>
      <c r="BA14" s="147"/>
      <c r="BB14" s="147"/>
      <c r="BC14" s="147"/>
      <c r="BD14" s="147"/>
      <c r="BE14" s="147"/>
      <c r="BF14" s="147"/>
      <c r="BG14" s="147"/>
      <c r="BH14" s="147"/>
      <c r="BI14" s="147"/>
      <c r="BJ14" s="147"/>
      <c r="BK14" s="147"/>
      <c r="BL14" s="147"/>
      <c r="BM14" s="147"/>
      <c r="BN14" s="147"/>
      <c r="BO14" s="147"/>
      <c r="BP14" s="147"/>
      <c r="BQ14" s="147"/>
      <c r="BR14" s="147"/>
      <c r="BS14" s="147"/>
      <c r="BT14" s="147"/>
      <c r="BU14" s="147"/>
      <c r="BV14" s="147"/>
      <c r="BW14" s="147"/>
      <c r="BX14" s="147"/>
      <c r="BY14" s="147"/>
      <c r="BZ14" s="147"/>
      <c r="CA14" s="147"/>
      <c r="CB14" s="147"/>
      <c r="CC14" s="147"/>
      <c r="CD14" s="147"/>
      <c r="CE14" s="147"/>
      <c r="CF14" s="147"/>
      <c r="CG14" s="147"/>
      <c r="CH14" s="147"/>
      <c r="CI14" s="147"/>
      <c r="CJ14" s="147"/>
      <c r="CK14" s="147"/>
      <c r="CL14" s="147"/>
      <c r="CM14" s="147"/>
      <c r="CN14" s="147"/>
      <c r="CO14" s="147"/>
      <c r="CP14" s="147"/>
    </row>
    <row r="15" spans="1:94" s="153" customFormat="1" ht="15.75" customHeight="1" x14ac:dyDescent="0.25">
      <c r="A15" s="139"/>
      <c r="B15" s="156"/>
      <c r="C15" s="157" t="str">
        <f>"FY "&amp;'TAAA|0001-00'!FiscalYear-1</f>
        <v>FY 2022</v>
      </c>
      <c r="D15" s="158" t="s">
        <v>31</v>
      </c>
      <c r="E15" s="354">
        <v>5313600</v>
      </c>
      <c r="F15" s="55">
        <v>62.3</v>
      </c>
      <c r="G15" s="223">
        <f>IF(OrigApprop=0,0,(G13/$J$13)*OrigApprop)</f>
        <v>3811185.3596356595</v>
      </c>
      <c r="H15" s="223">
        <f>IF(OrigApprop=0,0,(H13/$J$13)*OrigApprop)</f>
        <v>698435.09720162116</v>
      </c>
      <c r="I15" s="223">
        <f>IF(G15=0,0,(I13/$J$13)*OrigApprop)</f>
        <v>803979.5431627197</v>
      </c>
      <c r="J15" s="223">
        <f>SUM(G15:I15)</f>
        <v>5313600</v>
      </c>
      <c r="K15" s="268"/>
      <c r="L15" s="224"/>
      <c r="M15" s="224"/>
      <c r="N15" s="224"/>
      <c r="O15"/>
      <c r="P15"/>
      <c r="Q15"/>
      <c r="R15"/>
      <c r="S15"/>
      <c r="T15"/>
      <c r="U15"/>
      <c r="V15"/>
      <c r="W15"/>
      <c r="X15"/>
      <c r="Y15"/>
      <c r="Z15" s="344"/>
      <c r="AA15" s="336"/>
      <c r="AB15" s="336"/>
      <c r="AC15" s="336"/>
      <c r="AD15" s="329"/>
      <c r="AE15" s="147"/>
      <c r="AF15" s="147"/>
      <c r="AG15" s="147"/>
      <c r="AH15" s="147"/>
      <c r="AI15" s="147"/>
      <c r="AJ15" s="147"/>
      <c r="AK15" s="147"/>
      <c r="AL15" s="147"/>
      <c r="AM15" s="147"/>
      <c r="AN15" s="147"/>
      <c r="AO15" s="147"/>
      <c r="AP15" s="147"/>
      <c r="AQ15" s="147"/>
      <c r="AR15" s="147"/>
      <c r="AS15" s="147"/>
      <c r="AT15" s="147"/>
      <c r="AU15" s="147"/>
      <c r="AV15" s="147"/>
      <c r="AW15" s="147"/>
      <c r="AX15" s="147"/>
      <c r="AY15" s="147"/>
      <c r="AZ15" s="147"/>
      <c r="BA15" s="147"/>
      <c r="BB15" s="147"/>
      <c r="BC15" s="147"/>
      <c r="BD15" s="147"/>
      <c r="BE15" s="147"/>
      <c r="BF15" s="147"/>
      <c r="BG15" s="147"/>
      <c r="BH15" s="147"/>
      <c r="BI15" s="147"/>
      <c r="BJ15" s="147"/>
      <c r="BK15" s="147"/>
      <c r="BL15" s="147"/>
      <c r="BM15" s="147"/>
      <c r="BN15" s="147"/>
      <c r="BO15" s="147"/>
      <c r="BP15" s="147"/>
      <c r="BQ15" s="147"/>
      <c r="BR15" s="147"/>
      <c r="BS15" s="147"/>
      <c r="BT15" s="147"/>
      <c r="BU15" s="147"/>
      <c r="BV15" s="147"/>
      <c r="BW15" s="147"/>
      <c r="BX15" s="147"/>
      <c r="BY15" s="147"/>
      <c r="BZ15" s="147"/>
      <c r="CA15" s="147"/>
      <c r="CB15" s="147"/>
      <c r="CC15" s="147"/>
      <c r="CD15" s="147"/>
      <c r="CE15" s="147"/>
      <c r="CF15" s="147"/>
      <c r="CG15" s="147"/>
      <c r="CH15" s="147"/>
      <c r="CI15" s="147"/>
      <c r="CJ15" s="147"/>
      <c r="CK15" s="147"/>
      <c r="CL15" s="147"/>
      <c r="CM15" s="147"/>
      <c r="CN15" s="147"/>
      <c r="CO15" s="147"/>
      <c r="CP15" s="147"/>
    </row>
    <row r="16" spans="1:94" s="153" customFormat="1" ht="15.75" customHeight="1" x14ac:dyDescent="0.25">
      <c r="A16" s="139"/>
      <c r="B16" s="139"/>
      <c r="C16" s="453" t="s">
        <v>32</v>
      </c>
      <c r="D16" s="454"/>
      <c r="E16" s="160" t="s">
        <v>33</v>
      </c>
      <c r="F16" s="161">
        <f>F15-F13</f>
        <v>8.2499999999999929</v>
      </c>
      <c r="G16" s="162">
        <f>G15-G13</f>
        <v>375165.69963566028</v>
      </c>
      <c r="H16" s="162">
        <f>H15-H13</f>
        <v>68752.59720162116</v>
      </c>
      <c r="I16" s="162">
        <f>I15-I13</f>
        <v>79142.187886719592</v>
      </c>
      <c r="J16" s="162">
        <f>J15-J13</f>
        <v>523060.48472400103</v>
      </c>
      <c r="K16" s="269"/>
      <c r="L16" s="56" t="str">
        <f>IF('TAAA|0001-00'!OrigApprop=0,"ERROR! Enter Original Appropriation amount in DU 3.00!","Calculated "&amp;IF('TAAA|0001-00'!AdjustedTotal&gt;0,"overfunding ","underfunding ")&amp;"is "&amp;TEXT('TAAA|0001-00'!AdjustedTotal/'TAAA|0001-00'!AppropTotal,"#.0%;(#.0% );0% ;")&amp;" of Original Appropriation")</f>
        <v>Calculated overfunding is 9.8% of Original Appropriation</v>
      </c>
      <c r="M16" s="163"/>
      <c r="N16" s="164"/>
      <c r="O16"/>
      <c r="P16"/>
      <c r="Q16"/>
      <c r="R16"/>
      <c r="S16"/>
      <c r="T16"/>
      <c r="U16"/>
      <c r="V16"/>
      <c r="W16"/>
      <c r="X16"/>
      <c r="Y16"/>
      <c r="Z16" s="344"/>
      <c r="AA16" s="336"/>
      <c r="AB16" s="336"/>
      <c r="AC16" s="336"/>
      <c r="AD16" s="329"/>
      <c r="AE16" s="147"/>
      <c r="AF16" s="147"/>
      <c r="AG16" s="147"/>
      <c r="AH16" s="147"/>
      <c r="AI16" s="147"/>
      <c r="AJ16" s="147"/>
      <c r="AK16" s="147"/>
      <c r="AL16" s="147"/>
      <c r="AM16" s="147"/>
      <c r="AN16" s="147"/>
      <c r="AO16" s="147"/>
      <c r="AP16" s="147"/>
      <c r="AQ16" s="147"/>
      <c r="AR16" s="147"/>
      <c r="AS16" s="147"/>
      <c r="AT16" s="147"/>
      <c r="AU16" s="147"/>
      <c r="AV16" s="147"/>
      <c r="AW16" s="147"/>
      <c r="AX16" s="147"/>
      <c r="AY16" s="147"/>
      <c r="AZ16" s="147"/>
      <c r="BA16" s="147"/>
      <c r="BB16" s="147"/>
      <c r="BC16" s="147"/>
      <c r="BD16" s="147"/>
      <c r="BE16" s="147"/>
      <c r="BF16" s="147"/>
      <c r="BG16" s="147"/>
      <c r="BH16" s="147"/>
      <c r="BI16" s="147"/>
      <c r="BJ16" s="147"/>
      <c r="BK16" s="147"/>
      <c r="BL16" s="147"/>
      <c r="BM16" s="147"/>
      <c r="BN16" s="147"/>
      <c r="BO16" s="147"/>
      <c r="BP16" s="147"/>
      <c r="BQ16" s="147"/>
      <c r="BR16" s="147"/>
      <c r="BS16" s="147"/>
      <c r="BT16" s="147"/>
      <c r="BU16" s="147"/>
      <c r="BV16" s="147"/>
      <c r="BW16" s="147"/>
      <c r="BX16" s="147"/>
      <c r="BY16" s="147"/>
      <c r="BZ16" s="147"/>
      <c r="CA16" s="147"/>
      <c r="CB16" s="147"/>
      <c r="CC16" s="147"/>
      <c r="CD16" s="147"/>
      <c r="CE16" s="147"/>
      <c r="CF16" s="147"/>
      <c r="CG16" s="147"/>
      <c r="CH16" s="147"/>
      <c r="CI16" s="147"/>
      <c r="CJ16" s="147"/>
      <c r="CK16" s="147"/>
      <c r="CL16" s="147"/>
      <c r="CM16" s="147"/>
      <c r="CN16" s="147"/>
      <c r="CO16" s="147"/>
      <c r="CP16" s="147"/>
    </row>
    <row r="17" spans="1:94" s="153" customFormat="1" x14ac:dyDescent="0.25">
      <c r="A17" s="139"/>
      <c r="B17" s="139"/>
      <c r="C17" s="455" t="s">
        <v>34</v>
      </c>
      <c r="D17" s="456"/>
      <c r="E17" s="147"/>
      <c r="F17" s="258"/>
      <c r="G17" s="147"/>
      <c r="H17" s="166"/>
      <c r="I17" s="167"/>
      <c r="J17" s="166"/>
      <c r="K17" s="166"/>
      <c r="L17" s="166"/>
      <c r="M17" s="166"/>
      <c r="N17" s="166"/>
      <c r="O17"/>
      <c r="P17"/>
      <c r="Q17"/>
      <c r="R17"/>
      <c r="S17"/>
      <c r="T17"/>
      <c r="U17"/>
      <c r="V17"/>
      <c r="W17"/>
      <c r="X17"/>
      <c r="Y17"/>
      <c r="Z17" s="344"/>
      <c r="AA17" s="336"/>
      <c r="AB17" s="336"/>
      <c r="AC17" s="336"/>
      <c r="AD17" s="329"/>
      <c r="AE17" s="147"/>
      <c r="AF17" s="147"/>
      <c r="AG17" s="147"/>
      <c r="AH17" s="147"/>
      <c r="AI17" s="147"/>
      <c r="AJ17" s="147"/>
      <c r="AK17" s="147"/>
      <c r="AL17" s="147"/>
      <c r="AM17" s="147"/>
      <c r="AN17" s="147"/>
      <c r="AO17" s="147"/>
      <c r="AP17" s="147"/>
      <c r="AQ17" s="147"/>
      <c r="AR17" s="147"/>
      <c r="AS17" s="147"/>
      <c r="AT17" s="147"/>
      <c r="AU17" s="147"/>
      <c r="AV17" s="147"/>
      <c r="AW17" s="147"/>
      <c r="AX17" s="147"/>
      <c r="AY17" s="147"/>
      <c r="AZ17" s="147"/>
      <c r="BA17" s="147"/>
      <c r="BB17" s="147"/>
      <c r="BC17" s="147"/>
      <c r="BD17" s="147"/>
      <c r="BE17" s="147"/>
      <c r="BF17" s="147"/>
      <c r="BG17" s="147"/>
      <c r="BH17" s="147"/>
      <c r="BI17" s="147"/>
      <c r="BJ17" s="147"/>
      <c r="BK17" s="147"/>
      <c r="BL17" s="147"/>
      <c r="BM17" s="147"/>
      <c r="BN17" s="147"/>
      <c r="BO17" s="147"/>
      <c r="BP17" s="147"/>
      <c r="BQ17" s="147"/>
      <c r="BR17" s="147"/>
      <c r="BS17" s="147"/>
      <c r="BT17" s="147"/>
      <c r="BU17" s="147"/>
      <c r="BV17" s="147"/>
      <c r="BW17" s="147"/>
      <c r="BX17" s="147"/>
      <c r="BY17" s="147"/>
      <c r="BZ17" s="147"/>
      <c r="CA17" s="147"/>
      <c r="CB17" s="147"/>
      <c r="CC17" s="147"/>
      <c r="CD17" s="147"/>
      <c r="CE17" s="147"/>
      <c r="CF17" s="147"/>
      <c r="CG17" s="147"/>
      <c r="CH17" s="147"/>
      <c r="CI17" s="147"/>
      <c r="CJ17" s="147"/>
      <c r="CK17" s="147"/>
      <c r="CL17" s="147"/>
      <c r="CM17" s="147"/>
      <c r="CN17" s="147"/>
      <c r="CO17" s="147"/>
      <c r="CP17" s="147"/>
    </row>
    <row r="18" spans="1:94" s="153" customFormat="1" ht="26.25" customHeight="1" x14ac:dyDescent="0.25">
      <c r="A18" s="139"/>
      <c r="B18" s="168"/>
      <c r="C18" s="457" t="s">
        <v>35</v>
      </c>
      <c r="D18" s="458"/>
      <c r="E18" s="150"/>
      <c r="F18" s="165"/>
      <c r="G18" s="166"/>
      <c r="H18" s="169"/>
      <c r="I18" s="166"/>
      <c r="J18" s="166"/>
      <c r="K18" s="166"/>
      <c r="L18" s="166"/>
      <c r="M18" s="166"/>
      <c r="N18" s="166"/>
      <c r="O18"/>
      <c r="P18"/>
      <c r="Q18"/>
      <c r="R18"/>
      <c r="S18"/>
      <c r="T18"/>
      <c r="U18"/>
      <c r="V18"/>
      <c r="W18"/>
      <c r="X18"/>
      <c r="Y18"/>
      <c r="Z18" s="344"/>
      <c r="AA18" s="336"/>
      <c r="AB18" s="336"/>
      <c r="AC18" s="336"/>
      <c r="AD18" s="329"/>
      <c r="AE18" s="147"/>
      <c r="AF18" s="147"/>
      <c r="AG18" s="147"/>
      <c r="AH18" s="147"/>
      <c r="AI18" s="147"/>
      <c r="AJ18" s="147"/>
      <c r="AK18" s="147"/>
      <c r="AL18" s="147"/>
      <c r="AM18" s="147"/>
      <c r="AN18" s="147"/>
      <c r="AO18" s="147"/>
      <c r="AP18" s="147"/>
      <c r="AQ18" s="147"/>
      <c r="AR18" s="147"/>
      <c r="AS18" s="147"/>
      <c r="AT18" s="147"/>
      <c r="AU18" s="147"/>
      <c r="AV18" s="147"/>
      <c r="AW18" s="147"/>
      <c r="AX18" s="147"/>
      <c r="AY18" s="147"/>
      <c r="AZ18" s="147"/>
      <c r="BA18" s="147"/>
      <c r="BB18" s="147"/>
      <c r="BC18" s="147"/>
      <c r="BD18" s="147"/>
      <c r="BE18" s="147"/>
      <c r="BF18" s="147"/>
      <c r="BG18" s="147"/>
      <c r="BH18" s="147"/>
      <c r="BI18" s="147"/>
      <c r="BJ18" s="147"/>
      <c r="BK18" s="147"/>
      <c r="BL18" s="147"/>
      <c r="BM18" s="147"/>
      <c r="BN18" s="147"/>
      <c r="BO18" s="147"/>
      <c r="BP18" s="147"/>
      <c r="BQ18" s="147"/>
      <c r="BR18" s="147"/>
      <c r="BS18" s="147"/>
      <c r="BT18" s="147"/>
      <c r="BU18" s="147"/>
      <c r="BV18" s="147"/>
      <c r="BW18" s="147"/>
      <c r="BX18" s="147"/>
      <c r="BY18" s="147"/>
      <c r="BZ18" s="147"/>
      <c r="CA18" s="147"/>
      <c r="CB18" s="147"/>
      <c r="CC18" s="147"/>
      <c r="CD18" s="147"/>
      <c r="CE18" s="147"/>
      <c r="CF18" s="147"/>
      <c r="CG18" s="147"/>
      <c r="CH18" s="147"/>
      <c r="CI18" s="147"/>
      <c r="CJ18" s="147"/>
      <c r="CK18" s="147"/>
      <c r="CL18" s="147"/>
    </row>
    <row r="19" spans="1:94" s="153" customFormat="1" ht="25.5" x14ac:dyDescent="0.25">
      <c r="A19" s="238"/>
      <c r="B19" s="202"/>
      <c r="C19" s="239" t="s">
        <v>86</v>
      </c>
      <c r="D19" s="240" t="s">
        <v>87</v>
      </c>
      <c r="E19" s="241"/>
      <c r="F19" s="165"/>
      <c r="G19" s="166"/>
      <c r="H19" s="169"/>
      <c r="I19" s="170"/>
      <c r="J19" s="166"/>
      <c r="K19" s="166"/>
      <c r="L19" s="169"/>
      <c r="M19" s="166"/>
      <c r="N19" s="166"/>
      <c r="O19"/>
      <c r="P19"/>
      <c r="Q19"/>
      <c r="R19"/>
      <c r="S19"/>
      <c r="T19"/>
      <c r="U19"/>
      <c r="V19"/>
      <c r="W19"/>
      <c r="X19"/>
      <c r="Y19"/>
      <c r="Z19" s="344"/>
      <c r="AA19" s="363"/>
      <c r="AB19" s="363"/>
      <c r="AC19" s="363"/>
      <c r="AD19" s="329"/>
      <c r="AE19" s="147"/>
      <c r="AF19" s="147"/>
      <c r="AG19" s="147"/>
      <c r="AH19" s="147"/>
      <c r="AI19" s="147"/>
      <c r="AJ19" s="147"/>
      <c r="AK19" s="147"/>
      <c r="AL19" s="147"/>
      <c r="AM19" s="147"/>
      <c r="AN19" s="147"/>
      <c r="AO19" s="147"/>
      <c r="AP19" s="147"/>
      <c r="AQ19" s="147"/>
      <c r="AR19" s="147"/>
      <c r="AS19" s="147"/>
      <c r="AT19" s="147"/>
      <c r="AU19" s="147"/>
      <c r="AV19" s="147"/>
      <c r="AW19" s="147"/>
      <c r="AX19" s="147"/>
      <c r="AY19" s="147"/>
      <c r="AZ19" s="147"/>
      <c r="BA19" s="147"/>
      <c r="BB19" s="147"/>
      <c r="BC19" s="147"/>
      <c r="BD19" s="147"/>
      <c r="BE19" s="147"/>
      <c r="BF19" s="147"/>
      <c r="BG19" s="147"/>
      <c r="BH19" s="147"/>
      <c r="BI19" s="147"/>
      <c r="BJ19" s="147"/>
      <c r="BK19" s="147"/>
      <c r="BL19" s="147"/>
      <c r="BM19" s="147"/>
      <c r="BN19" s="147"/>
      <c r="BO19" s="147"/>
      <c r="BP19" s="147"/>
      <c r="BQ19" s="147"/>
      <c r="BR19" s="147"/>
      <c r="BS19" s="147"/>
      <c r="BT19" s="147"/>
      <c r="BU19" s="147"/>
      <c r="BV19" s="147"/>
      <c r="BW19" s="147"/>
      <c r="BX19" s="147"/>
      <c r="BY19" s="147"/>
      <c r="BZ19" s="147"/>
      <c r="CA19" s="147"/>
      <c r="CB19" s="147"/>
      <c r="CC19" s="147"/>
      <c r="CD19" s="147"/>
      <c r="CE19" s="147"/>
      <c r="CF19" s="147"/>
      <c r="CG19" s="147"/>
      <c r="CH19" s="147"/>
      <c r="CI19" s="147"/>
      <c r="CJ19" s="147"/>
      <c r="CK19" s="147"/>
      <c r="CL19" s="147"/>
      <c r="CM19" s="147"/>
      <c r="CN19" s="147"/>
      <c r="CO19" s="147"/>
      <c r="CP19" s="147"/>
    </row>
    <row r="20" spans="1:94" s="177" customFormat="1" ht="15" x14ac:dyDescent="0.25">
      <c r="A20" s="171"/>
      <c r="B20" s="172"/>
      <c r="C20" s="244"/>
      <c r="D20" s="242"/>
      <c r="E20" s="173"/>
      <c r="F20" s="174">
        <v>0</v>
      </c>
      <c r="G20" s="175">
        <v>0</v>
      </c>
      <c r="H20" s="176">
        <f t="shared" ref="H20:H30" si="0">IF(AND($F20&lt;&gt;0,$G20&lt;&gt;0,OR($E20=1,$E20=3)),$F20*Health,0)</f>
        <v>0</v>
      </c>
      <c r="I20" s="176">
        <f t="shared" ref="I20:I30" si="1">IF(AND($E20=1,$C20=""),$G20*PermVB+$G20*Retire1,IF($E20=1,$G20*PermVB+$G20*VLOOKUP($C20,Retirement_Rates,3,FALSE),IF($E20=2,$G20*GroupVB,IF(AND($E20=3,$C20=""),$G20*ElectVB+$G20*Retire1,IF($E20=3,$G20*ElectVB+$G20*VLOOKUP($C20,Retirement_Rates,3,FALSE),0)))))</f>
        <v>0</v>
      </c>
      <c r="J20" s="159">
        <f>IF($E20&gt;0,SUM($G20:$I20),0)</f>
        <v>0</v>
      </c>
      <c r="K20" s="166"/>
      <c r="L20" s="176">
        <f t="shared" ref="L20:L30" si="2">IF(AND($F20&lt;&gt;0,$G20&lt;&gt;0,OR($E20=1,$E20=3)),$F20*HealthCHG,0)</f>
        <v>0</v>
      </c>
      <c r="M20" s="176">
        <f>IF(AND($E20=1,$C20=""),$G20*PermVBCHG+$G20*Retire1CHG,IF($E20=1,$G20*PermVBCHG+$G20*VLOOKUP($C20,Retirement_Rates,5,FALSE),IF($E20=2,0,IF(AND($E20=3,$C20=""),$G20*ElectVBCHG+$G20*Retire1CHG,IF($E20=3,$G20*ElectVBCHG+$G20*VLOOKUP($C20,Retirement_Rates,5,FALSE),0)))))</f>
        <v>0</v>
      </c>
      <c r="N20" s="176">
        <f>SUM(L20:M20)</f>
        <v>0</v>
      </c>
      <c r="O20"/>
      <c r="P20"/>
      <c r="Q20"/>
      <c r="R20"/>
      <c r="S20"/>
      <c r="T20"/>
      <c r="U20"/>
      <c r="V20"/>
      <c r="W20"/>
      <c r="X20"/>
      <c r="Y20"/>
      <c r="Z20" s="344"/>
      <c r="AA20" s="363"/>
      <c r="AB20" s="363"/>
      <c r="AC20" s="363"/>
      <c r="AD20" s="329"/>
      <c r="AE20" s="147"/>
      <c r="AF20" s="147"/>
      <c r="AG20" s="147"/>
      <c r="AH20" s="147"/>
      <c r="AI20" s="147"/>
      <c r="AJ20" s="147"/>
      <c r="AK20" s="147"/>
      <c r="AL20" s="147"/>
      <c r="AM20" s="147"/>
      <c r="AN20" s="147"/>
      <c r="AO20" s="147"/>
      <c r="AP20" s="147"/>
      <c r="AQ20" s="147"/>
      <c r="AR20" s="147"/>
      <c r="AS20" s="147"/>
      <c r="AT20" s="147"/>
      <c r="AU20" s="147"/>
      <c r="AV20" s="147"/>
      <c r="AW20" s="147"/>
      <c r="AX20" s="147"/>
      <c r="AY20" s="147"/>
      <c r="AZ20" s="147"/>
      <c r="BA20" s="147"/>
      <c r="BB20" s="147"/>
      <c r="BC20" s="147"/>
      <c r="BD20" s="147"/>
      <c r="BE20" s="147"/>
      <c r="BF20" s="147"/>
      <c r="BG20" s="147"/>
      <c r="BH20" s="147"/>
      <c r="BI20" s="147"/>
      <c r="BJ20" s="147"/>
      <c r="BK20" s="147"/>
      <c r="BL20" s="147"/>
      <c r="BM20" s="147"/>
      <c r="BN20" s="147"/>
      <c r="BO20" s="147"/>
      <c r="BP20" s="147"/>
      <c r="BQ20" s="147"/>
      <c r="BR20" s="147"/>
      <c r="BS20" s="147"/>
      <c r="BT20" s="147"/>
      <c r="BU20" s="147"/>
      <c r="BV20" s="147"/>
      <c r="BW20" s="147"/>
      <c r="BX20" s="147"/>
      <c r="BY20" s="147"/>
      <c r="BZ20" s="147"/>
      <c r="CA20" s="147"/>
      <c r="CB20" s="147"/>
      <c r="CC20" s="147"/>
      <c r="CD20" s="147"/>
      <c r="CE20" s="147"/>
      <c r="CF20" s="147"/>
      <c r="CG20" s="147"/>
      <c r="CH20" s="147"/>
      <c r="CI20" s="147"/>
      <c r="CJ20" s="147"/>
      <c r="CK20" s="147"/>
      <c r="CL20" s="147"/>
      <c r="CM20" s="147"/>
      <c r="CN20" s="147"/>
      <c r="CO20" s="147"/>
      <c r="CP20" s="147"/>
    </row>
    <row r="21" spans="1:94" s="177" customFormat="1" ht="15" x14ac:dyDescent="0.25">
      <c r="A21" s="178"/>
      <c r="B21" s="179"/>
      <c r="C21" s="244"/>
      <c r="D21" s="242"/>
      <c r="E21" s="180"/>
      <c r="F21" s="181">
        <v>0</v>
      </c>
      <c r="G21" s="175">
        <v>0</v>
      </c>
      <c r="H21" s="176">
        <f t="shared" si="0"/>
        <v>0</v>
      </c>
      <c r="I21" s="176">
        <f t="shared" si="1"/>
        <v>0</v>
      </c>
      <c r="J21" s="159">
        <f t="shared" ref="J21:J35" si="3">IF($E21&gt;0,SUM($G21:$I21),0)</f>
        <v>0</v>
      </c>
      <c r="K21" s="166"/>
      <c r="L21" s="176">
        <f t="shared" si="2"/>
        <v>0</v>
      </c>
      <c r="M21" s="176">
        <f t="shared" ref="M21:M30" si="4">IF(AND($E21=1,$C21=""),$G21*PermVBCHG+$G21*Retire1CHG,IF($E21=1,$G21*PermVBCHG+$G21*VLOOKUP($C21,Retirement_Rates,5,FALSE),IF($E21=2,0,IF(AND($E21=3,$C21=""),$G21*ElectVBCHG+$G21*Retire1CHG,IF($E21=3,$G21*ElectVBCHG+$G21*VLOOKUP($C21,Retirement_Rates,5,FALSE),0)))))</f>
        <v>0</v>
      </c>
      <c r="N21" s="183">
        <f t="shared" ref="N21:N30" si="5">SUM(L21:M21)</f>
        <v>0</v>
      </c>
      <c r="O21"/>
      <c r="P21"/>
      <c r="Q21"/>
      <c r="R21"/>
      <c r="S21"/>
      <c r="T21"/>
      <c r="U21"/>
      <c r="V21"/>
      <c r="W21"/>
      <c r="X21"/>
      <c r="Y21"/>
      <c r="Z21" s="344"/>
      <c r="AA21" s="363"/>
      <c r="AB21" s="363"/>
      <c r="AC21" s="363"/>
      <c r="AD21" s="329"/>
      <c r="AE21" s="147"/>
      <c r="AF21" s="147"/>
      <c r="AG21" s="147"/>
      <c r="AH21" s="147"/>
      <c r="AI21" s="147"/>
      <c r="AJ21" s="147"/>
      <c r="AK21" s="147"/>
      <c r="AL21" s="147"/>
      <c r="AM21" s="147"/>
      <c r="AN21" s="147"/>
      <c r="AO21" s="147"/>
      <c r="AP21" s="147"/>
      <c r="AQ21" s="147"/>
      <c r="AR21" s="147"/>
      <c r="AS21" s="147"/>
      <c r="AT21" s="147"/>
      <c r="AU21" s="147"/>
      <c r="AV21" s="147"/>
      <c r="AW21" s="147"/>
      <c r="AX21" s="147"/>
      <c r="AY21" s="147"/>
      <c r="AZ21" s="147"/>
      <c r="BA21" s="147"/>
      <c r="BB21" s="147"/>
      <c r="BC21" s="147"/>
      <c r="BD21" s="147"/>
      <c r="BE21" s="147"/>
      <c r="BF21" s="147"/>
      <c r="BG21" s="147"/>
      <c r="BH21" s="147"/>
      <c r="BI21" s="147"/>
      <c r="BJ21" s="147"/>
      <c r="BK21" s="147"/>
      <c r="BL21" s="147"/>
      <c r="BM21" s="147"/>
      <c r="BN21" s="147"/>
      <c r="BO21" s="147"/>
      <c r="BP21" s="147"/>
      <c r="BQ21" s="147"/>
      <c r="BR21" s="147"/>
      <c r="BS21" s="147"/>
      <c r="BT21" s="147"/>
      <c r="BU21" s="147"/>
      <c r="BV21" s="147"/>
      <c r="BW21" s="147"/>
      <c r="BX21" s="147"/>
      <c r="BY21" s="147"/>
      <c r="BZ21" s="147"/>
      <c r="CA21" s="147"/>
      <c r="CB21" s="147"/>
      <c r="CC21" s="147"/>
      <c r="CD21" s="147"/>
      <c r="CE21" s="147"/>
      <c r="CF21" s="147"/>
      <c r="CG21" s="147"/>
      <c r="CH21" s="147"/>
      <c r="CI21" s="147"/>
      <c r="CJ21" s="147"/>
      <c r="CK21" s="147"/>
      <c r="CL21" s="147"/>
      <c r="CM21" s="147"/>
      <c r="CN21" s="147"/>
      <c r="CO21" s="147"/>
      <c r="CP21" s="147"/>
    </row>
    <row r="22" spans="1:94" s="177" customFormat="1" ht="15" x14ac:dyDescent="0.25">
      <c r="A22" s="178"/>
      <c r="B22" s="179"/>
      <c r="C22" s="244"/>
      <c r="D22" s="242"/>
      <c r="E22" s="180"/>
      <c r="F22" s="181">
        <v>0</v>
      </c>
      <c r="G22" s="175">
        <v>0</v>
      </c>
      <c r="H22" s="176">
        <f t="shared" si="0"/>
        <v>0</v>
      </c>
      <c r="I22" s="176">
        <f t="shared" si="1"/>
        <v>0</v>
      </c>
      <c r="J22" s="159">
        <f t="shared" si="3"/>
        <v>0</v>
      </c>
      <c r="K22" s="166"/>
      <c r="L22" s="176">
        <f t="shared" si="2"/>
        <v>0</v>
      </c>
      <c r="M22" s="176">
        <f t="shared" si="4"/>
        <v>0</v>
      </c>
      <c r="N22" s="183">
        <f t="shared" si="5"/>
        <v>0</v>
      </c>
      <c r="O22"/>
      <c r="P22"/>
      <c r="Q22"/>
      <c r="R22"/>
      <c r="S22"/>
      <c r="T22"/>
      <c r="U22"/>
      <c r="V22"/>
      <c r="W22"/>
      <c r="X22"/>
      <c r="Y22"/>
      <c r="Z22" s="344"/>
      <c r="AA22" s="363"/>
      <c r="AB22" s="363"/>
      <c r="AC22" s="363"/>
      <c r="AD22" s="329"/>
      <c r="AE22" s="147"/>
      <c r="AF22" s="147"/>
      <c r="AG22" s="147"/>
      <c r="AH22" s="147"/>
      <c r="AI22" s="147"/>
      <c r="AJ22" s="147"/>
      <c r="AK22" s="147"/>
      <c r="AL22" s="147"/>
      <c r="AM22" s="147"/>
      <c r="AN22" s="147"/>
      <c r="AO22" s="147"/>
      <c r="AP22" s="147"/>
      <c r="AQ22" s="147"/>
      <c r="AR22" s="147"/>
      <c r="AS22" s="147"/>
      <c r="AT22" s="147"/>
      <c r="AU22" s="147"/>
      <c r="AV22" s="147"/>
      <c r="AW22" s="147"/>
      <c r="AX22" s="147"/>
      <c r="AY22" s="147"/>
      <c r="AZ22" s="147"/>
      <c r="BA22" s="147"/>
      <c r="BB22" s="147"/>
      <c r="BC22" s="147"/>
      <c r="BD22" s="147"/>
      <c r="BE22" s="147"/>
      <c r="BF22" s="147"/>
      <c r="BG22" s="147"/>
      <c r="BH22" s="147"/>
      <c r="BI22" s="147"/>
      <c r="BJ22" s="147"/>
      <c r="BK22" s="147"/>
      <c r="BL22" s="147"/>
      <c r="BM22" s="147"/>
      <c r="BN22" s="147"/>
      <c r="BO22" s="147"/>
      <c r="BP22" s="147"/>
      <c r="BQ22" s="147"/>
      <c r="BR22" s="147"/>
      <c r="BS22" s="147"/>
      <c r="BT22" s="147"/>
      <c r="BU22" s="147"/>
      <c r="BV22" s="147"/>
      <c r="BW22" s="147"/>
      <c r="BX22" s="147"/>
      <c r="BY22" s="147"/>
      <c r="BZ22" s="147"/>
      <c r="CA22" s="147"/>
      <c r="CB22" s="147"/>
      <c r="CC22" s="147"/>
      <c r="CD22" s="147"/>
      <c r="CE22" s="147"/>
      <c r="CF22" s="147"/>
      <c r="CG22" s="147"/>
      <c r="CH22" s="147"/>
      <c r="CI22" s="147"/>
      <c r="CJ22" s="147"/>
      <c r="CK22" s="147"/>
      <c r="CL22" s="147"/>
      <c r="CM22" s="147"/>
      <c r="CN22" s="147"/>
      <c r="CO22" s="147"/>
      <c r="CP22" s="147"/>
    </row>
    <row r="23" spans="1:94" s="177" customFormat="1" ht="15" x14ac:dyDescent="0.25">
      <c r="A23" s="178"/>
      <c r="B23" s="179"/>
      <c r="C23" s="244"/>
      <c r="D23" s="242"/>
      <c r="E23" s="180"/>
      <c r="F23" s="181">
        <v>0</v>
      </c>
      <c r="G23" s="175">
        <v>0</v>
      </c>
      <c r="H23" s="176">
        <f t="shared" si="0"/>
        <v>0</v>
      </c>
      <c r="I23" s="176">
        <f t="shared" si="1"/>
        <v>0</v>
      </c>
      <c r="J23" s="159">
        <f t="shared" si="3"/>
        <v>0</v>
      </c>
      <c r="K23" s="166"/>
      <c r="L23" s="176">
        <f t="shared" si="2"/>
        <v>0</v>
      </c>
      <c r="M23" s="176">
        <f t="shared" si="4"/>
        <v>0</v>
      </c>
      <c r="N23" s="183">
        <f t="shared" si="5"/>
        <v>0</v>
      </c>
      <c r="O23"/>
      <c r="P23"/>
      <c r="Q23"/>
      <c r="R23"/>
      <c r="S23"/>
      <c r="T23"/>
      <c r="U23"/>
      <c r="V23"/>
      <c r="W23"/>
      <c r="X23"/>
      <c r="Y23"/>
      <c r="Z23" s="344"/>
      <c r="AA23" s="363"/>
      <c r="AB23" s="363"/>
      <c r="AC23" s="363"/>
      <c r="AD23" s="329"/>
      <c r="AE23" s="147"/>
      <c r="AF23" s="147"/>
      <c r="AG23" s="147"/>
      <c r="AH23" s="147"/>
      <c r="AI23" s="147"/>
      <c r="AJ23" s="147"/>
      <c r="AK23" s="147"/>
      <c r="AL23" s="147"/>
      <c r="AM23" s="147"/>
      <c r="AN23" s="147"/>
      <c r="AO23" s="147"/>
      <c r="AP23" s="147"/>
      <c r="AQ23" s="147"/>
      <c r="AR23" s="147"/>
      <c r="AS23" s="147"/>
      <c r="AT23" s="147"/>
      <c r="AU23" s="147"/>
      <c r="AV23" s="147"/>
      <c r="AW23" s="147"/>
      <c r="AX23" s="147"/>
      <c r="AY23" s="147"/>
      <c r="AZ23" s="147"/>
      <c r="BA23" s="147"/>
      <c r="BB23" s="147"/>
      <c r="BC23" s="147"/>
      <c r="BD23" s="147"/>
      <c r="BE23" s="147"/>
      <c r="BF23" s="147"/>
      <c r="BG23" s="147"/>
      <c r="BH23" s="147"/>
      <c r="BI23" s="147"/>
      <c r="BJ23" s="147"/>
      <c r="BK23" s="147"/>
      <c r="BL23" s="147"/>
      <c r="BM23" s="147"/>
      <c r="BN23" s="147"/>
      <c r="BO23" s="147"/>
      <c r="BP23" s="147"/>
      <c r="BQ23" s="147"/>
      <c r="BR23" s="147"/>
      <c r="BS23" s="147"/>
      <c r="BT23" s="147"/>
      <c r="BU23" s="147"/>
      <c r="BV23" s="147"/>
      <c r="BW23" s="147"/>
      <c r="BX23" s="147"/>
      <c r="BY23" s="147"/>
      <c r="BZ23" s="147"/>
      <c r="CA23" s="147"/>
      <c r="CB23" s="147"/>
      <c r="CC23" s="147"/>
      <c r="CD23" s="147"/>
      <c r="CE23" s="147"/>
      <c r="CF23" s="147"/>
      <c r="CG23" s="147"/>
      <c r="CH23" s="147"/>
      <c r="CI23" s="147"/>
      <c r="CJ23" s="147"/>
      <c r="CK23" s="147"/>
      <c r="CL23" s="147"/>
      <c r="CM23" s="147"/>
      <c r="CN23" s="147"/>
      <c r="CO23" s="147"/>
      <c r="CP23" s="147"/>
    </row>
    <row r="24" spans="1:94" s="177" customFormat="1" ht="15" x14ac:dyDescent="0.25">
      <c r="A24" s="178"/>
      <c r="B24" s="179"/>
      <c r="C24" s="244"/>
      <c r="D24" s="242"/>
      <c r="E24" s="180"/>
      <c r="F24" s="181">
        <v>0</v>
      </c>
      <c r="G24" s="175">
        <v>0</v>
      </c>
      <c r="H24" s="176">
        <f t="shared" si="0"/>
        <v>0</v>
      </c>
      <c r="I24" s="176">
        <f t="shared" si="1"/>
        <v>0</v>
      </c>
      <c r="J24" s="159">
        <f t="shared" si="3"/>
        <v>0</v>
      </c>
      <c r="K24" s="166"/>
      <c r="L24" s="176">
        <f t="shared" si="2"/>
        <v>0</v>
      </c>
      <c r="M24" s="176">
        <f t="shared" si="4"/>
        <v>0</v>
      </c>
      <c r="N24" s="183">
        <f t="shared" si="5"/>
        <v>0</v>
      </c>
      <c r="O24"/>
      <c r="P24"/>
      <c r="Q24"/>
      <c r="R24"/>
      <c r="S24"/>
      <c r="T24"/>
      <c r="U24"/>
      <c r="V24"/>
      <c r="W24"/>
      <c r="X24"/>
      <c r="Y24"/>
      <c r="Z24" s="344"/>
      <c r="AA24" s="345"/>
      <c r="AB24" s="363"/>
      <c r="AC24" s="363"/>
      <c r="AD24" s="329"/>
      <c r="AE24" s="147"/>
      <c r="AF24" s="147"/>
      <c r="AG24" s="147"/>
      <c r="AH24" s="147"/>
      <c r="AI24" s="147"/>
      <c r="AJ24" s="147"/>
      <c r="AK24" s="147"/>
      <c r="AL24" s="147"/>
      <c r="AM24" s="147"/>
      <c r="AN24" s="147"/>
      <c r="AO24" s="147"/>
      <c r="AP24" s="147"/>
      <c r="AQ24" s="147"/>
      <c r="AR24" s="147"/>
      <c r="AS24" s="147"/>
      <c r="AT24" s="147"/>
      <c r="AU24" s="147"/>
      <c r="AV24" s="147"/>
      <c r="AW24" s="147"/>
      <c r="AX24" s="147"/>
      <c r="AY24" s="147"/>
      <c r="AZ24" s="147"/>
      <c r="BA24" s="147"/>
      <c r="BB24" s="147"/>
      <c r="BC24" s="147"/>
      <c r="BD24" s="147"/>
      <c r="BE24" s="147"/>
      <c r="BF24" s="147"/>
      <c r="BG24" s="147"/>
      <c r="BH24" s="147"/>
      <c r="BI24" s="147"/>
      <c r="BJ24" s="147"/>
      <c r="BK24" s="147"/>
      <c r="BL24" s="147"/>
      <c r="BM24" s="147"/>
      <c r="BN24" s="147"/>
      <c r="BO24" s="147"/>
      <c r="BP24" s="147"/>
      <c r="BQ24" s="147"/>
      <c r="BR24" s="147"/>
      <c r="BS24" s="147"/>
      <c r="BT24" s="147"/>
      <c r="BU24" s="147"/>
      <c r="BV24" s="147"/>
      <c r="BW24" s="147"/>
      <c r="BX24" s="147"/>
      <c r="BY24" s="147"/>
      <c r="BZ24" s="147"/>
      <c r="CA24" s="147"/>
      <c r="CB24" s="147"/>
      <c r="CC24" s="147"/>
      <c r="CD24" s="147"/>
      <c r="CE24" s="147"/>
      <c r="CF24" s="147"/>
      <c r="CG24" s="147"/>
      <c r="CH24" s="147"/>
      <c r="CI24" s="147"/>
      <c r="CJ24" s="147"/>
      <c r="CK24" s="147"/>
      <c r="CL24" s="147"/>
      <c r="CM24" s="147"/>
      <c r="CN24" s="147"/>
      <c r="CO24" s="147"/>
      <c r="CP24" s="147"/>
    </row>
    <row r="25" spans="1:94" s="177" customFormat="1" ht="15" x14ac:dyDescent="0.25">
      <c r="A25" s="178"/>
      <c r="B25" s="179"/>
      <c r="C25" s="244"/>
      <c r="D25" s="242"/>
      <c r="E25" s="180"/>
      <c r="F25" s="181">
        <v>0</v>
      </c>
      <c r="G25" s="182">
        <v>0</v>
      </c>
      <c r="H25" s="176">
        <f t="shared" si="0"/>
        <v>0</v>
      </c>
      <c r="I25" s="176">
        <f t="shared" si="1"/>
        <v>0</v>
      </c>
      <c r="J25" s="159">
        <f t="shared" si="3"/>
        <v>0</v>
      </c>
      <c r="K25" s="166"/>
      <c r="L25" s="176">
        <f t="shared" si="2"/>
        <v>0</v>
      </c>
      <c r="M25" s="176">
        <f t="shared" si="4"/>
        <v>0</v>
      </c>
      <c r="N25" s="183">
        <f t="shared" si="5"/>
        <v>0</v>
      </c>
      <c r="O25"/>
      <c r="P25"/>
      <c r="Q25"/>
      <c r="R25"/>
      <c r="S25"/>
      <c r="T25"/>
      <c r="U25"/>
      <c r="V25"/>
      <c r="W25"/>
      <c r="X25"/>
      <c r="Y25"/>
      <c r="Z25" s="344"/>
      <c r="AA25" s="345"/>
      <c r="AB25" s="363"/>
      <c r="AC25" s="363"/>
      <c r="AD25" s="329"/>
      <c r="AE25" s="147"/>
      <c r="AF25" s="147"/>
      <c r="AG25" s="147"/>
      <c r="AH25" s="147"/>
      <c r="AI25" s="147"/>
      <c r="AJ25" s="147"/>
      <c r="AK25" s="147"/>
      <c r="AL25" s="147"/>
      <c r="AM25" s="147"/>
      <c r="AN25" s="147"/>
      <c r="AO25" s="147"/>
      <c r="AP25" s="147"/>
      <c r="AQ25" s="147"/>
      <c r="AR25" s="147"/>
      <c r="AS25" s="147"/>
      <c r="AT25" s="147"/>
      <c r="AU25" s="147"/>
      <c r="AV25" s="147"/>
      <c r="AW25" s="147"/>
      <c r="AX25" s="147"/>
      <c r="AY25" s="147"/>
      <c r="AZ25" s="147"/>
      <c r="BA25" s="147"/>
      <c r="BB25" s="147"/>
      <c r="BC25" s="147"/>
      <c r="BD25" s="147"/>
      <c r="BE25" s="147"/>
      <c r="BF25" s="147"/>
      <c r="BG25" s="147"/>
      <c r="BH25" s="147"/>
      <c r="BI25" s="147"/>
      <c r="BJ25" s="147"/>
      <c r="BK25" s="147"/>
      <c r="BL25" s="147"/>
      <c r="BM25" s="147"/>
      <c r="BN25" s="147"/>
      <c r="BO25" s="147"/>
      <c r="BP25" s="147"/>
      <c r="BQ25" s="147"/>
      <c r="BR25" s="147"/>
      <c r="BS25" s="147"/>
      <c r="BT25" s="147"/>
      <c r="BU25" s="147"/>
      <c r="BV25" s="147"/>
      <c r="BW25" s="147"/>
      <c r="BX25" s="147"/>
      <c r="BY25" s="147"/>
      <c r="BZ25" s="147"/>
      <c r="CA25" s="147"/>
      <c r="CB25" s="147"/>
      <c r="CC25" s="147"/>
      <c r="CD25" s="147"/>
      <c r="CE25" s="147"/>
      <c r="CF25" s="147"/>
      <c r="CG25" s="147"/>
      <c r="CH25" s="147"/>
      <c r="CI25" s="147"/>
      <c r="CJ25" s="147"/>
      <c r="CK25" s="147"/>
      <c r="CL25" s="147"/>
      <c r="CM25" s="147"/>
      <c r="CN25" s="147"/>
      <c r="CO25" s="147"/>
      <c r="CP25" s="147"/>
    </row>
    <row r="26" spans="1:94" s="177" customFormat="1" ht="15" x14ac:dyDescent="0.25">
      <c r="A26" s="178"/>
      <c r="B26" s="179"/>
      <c r="C26" s="244"/>
      <c r="D26" s="242"/>
      <c r="E26" s="180"/>
      <c r="F26" s="181">
        <v>0</v>
      </c>
      <c r="G26" s="182">
        <v>0</v>
      </c>
      <c r="H26" s="176">
        <f t="shared" si="0"/>
        <v>0</v>
      </c>
      <c r="I26" s="176">
        <f t="shared" si="1"/>
        <v>0</v>
      </c>
      <c r="J26" s="159">
        <f t="shared" si="3"/>
        <v>0</v>
      </c>
      <c r="K26" s="166"/>
      <c r="L26" s="176">
        <f t="shared" si="2"/>
        <v>0</v>
      </c>
      <c r="M26" s="176">
        <f t="shared" si="4"/>
        <v>0</v>
      </c>
      <c r="N26" s="183">
        <f t="shared" si="5"/>
        <v>0</v>
      </c>
      <c r="O26"/>
      <c r="P26"/>
      <c r="Q26"/>
      <c r="R26"/>
      <c r="S26"/>
      <c r="T26"/>
      <c r="U26"/>
      <c r="V26"/>
      <c r="W26"/>
      <c r="X26"/>
      <c r="Y26"/>
      <c r="Z26" s="344"/>
      <c r="AA26" s="345"/>
      <c r="AB26" s="363"/>
      <c r="AC26" s="363"/>
      <c r="AD26" s="329"/>
      <c r="AE26" s="147"/>
      <c r="AF26" s="147"/>
      <c r="AG26" s="147"/>
      <c r="AH26" s="147"/>
      <c r="AI26" s="147"/>
      <c r="AJ26" s="147"/>
      <c r="AK26" s="147"/>
      <c r="AL26" s="147"/>
      <c r="AM26" s="147"/>
      <c r="AN26" s="147"/>
      <c r="AO26" s="147"/>
      <c r="AP26" s="147"/>
      <c r="AQ26" s="147"/>
      <c r="AR26" s="147"/>
      <c r="AS26" s="147"/>
      <c r="AT26" s="147"/>
      <c r="AU26" s="147"/>
      <c r="AV26" s="147"/>
      <c r="AW26" s="147"/>
      <c r="AX26" s="147"/>
      <c r="AY26" s="147"/>
      <c r="AZ26" s="147"/>
      <c r="BA26" s="147"/>
      <c r="BB26" s="147"/>
      <c r="BC26" s="147"/>
      <c r="BD26" s="147"/>
      <c r="BE26" s="147"/>
      <c r="BF26" s="147"/>
      <c r="BG26" s="147"/>
      <c r="BH26" s="147"/>
      <c r="BI26" s="147"/>
      <c r="BJ26" s="147"/>
      <c r="BK26" s="147"/>
      <c r="BL26" s="147"/>
      <c r="BM26" s="147"/>
      <c r="BN26" s="147"/>
      <c r="BO26" s="147"/>
      <c r="BP26" s="147"/>
      <c r="BQ26" s="147"/>
      <c r="BR26" s="147"/>
      <c r="BS26" s="147"/>
      <c r="BT26" s="147"/>
      <c r="BU26" s="147"/>
      <c r="BV26" s="147"/>
      <c r="BW26" s="147"/>
      <c r="BX26" s="147"/>
      <c r="BY26" s="147"/>
      <c r="BZ26" s="147"/>
      <c r="CA26" s="147"/>
      <c r="CB26" s="147"/>
      <c r="CC26" s="147"/>
      <c r="CD26" s="147"/>
      <c r="CE26" s="147"/>
      <c r="CF26" s="147"/>
      <c r="CG26" s="147"/>
      <c r="CH26" s="147"/>
      <c r="CI26" s="147"/>
      <c r="CJ26" s="147"/>
      <c r="CK26" s="147"/>
      <c r="CL26" s="147"/>
      <c r="CM26" s="147"/>
      <c r="CN26" s="147"/>
      <c r="CO26" s="147"/>
      <c r="CP26" s="147"/>
    </row>
    <row r="27" spans="1:94" s="177" customFormat="1" ht="15" x14ac:dyDescent="0.25">
      <c r="A27" s="178"/>
      <c r="B27" s="179"/>
      <c r="C27" s="244"/>
      <c r="D27" s="242"/>
      <c r="E27" s="180"/>
      <c r="F27" s="181">
        <v>0</v>
      </c>
      <c r="G27" s="182">
        <v>0</v>
      </c>
      <c r="H27" s="176">
        <f t="shared" si="0"/>
        <v>0</v>
      </c>
      <c r="I27" s="176">
        <f t="shared" si="1"/>
        <v>0</v>
      </c>
      <c r="J27" s="159">
        <f t="shared" si="3"/>
        <v>0</v>
      </c>
      <c r="K27" s="166"/>
      <c r="L27" s="176">
        <f t="shared" si="2"/>
        <v>0</v>
      </c>
      <c r="M27" s="176">
        <f t="shared" si="4"/>
        <v>0</v>
      </c>
      <c r="N27" s="183">
        <f t="shared" si="5"/>
        <v>0</v>
      </c>
      <c r="O27"/>
      <c r="P27"/>
      <c r="Q27"/>
      <c r="R27"/>
      <c r="S27"/>
      <c r="T27"/>
      <c r="U27"/>
      <c r="V27"/>
      <c r="W27"/>
      <c r="X27"/>
      <c r="Y27"/>
      <c r="Z27" s="344"/>
      <c r="AA27" s="363"/>
      <c r="AB27" s="363"/>
      <c r="AC27" s="363"/>
      <c r="AD27" s="329"/>
      <c r="AE27" s="147"/>
      <c r="AF27" s="147"/>
      <c r="AG27" s="147"/>
      <c r="AH27" s="147"/>
      <c r="AI27" s="147"/>
      <c r="AJ27" s="147"/>
      <c r="AK27" s="147"/>
      <c r="AL27" s="147"/>
      <c r="AM27" s="147"/>
      <c r="AN27" s="147"/>
      <c r="AO27" s="147"/>
      <c r="AP27" s="147"/>
      <c r="AQ27" s="147"/>
      <c r="AR27" s="147"/>
      <c r="AS27" s="147"/>
      <c r="AT27" s="147"/>
      <c r="AU27" s="147"/>
      <c r="AV27" s="147"/>
      <c r="AW27" s="147"/>
      <c r="AX27" s="147"/>
      <c r="AY27" s="147"/>
      <c r="AZ27" s="147"/>
      <c r="BA27" s="147"/>
      <c r="BB27" s="147"/>
      <c r="BC27" s="147"/>
      <c r="BD27" s="147"/>
      <c r="BE27" s="147"/>
      <c r="BF27" s="147"/>
      <c r="BG27" s="147"/>
      <c r="BH27" s="147"/>
      <c r="BI27" s="147"/>
      <c r="BJ27" s="147"/>
      <c r="BK27" s="147"/>
      <c r="BL27" s="147"/>
      <c r="BM27" s="147"/>
      <c r="BN27" s="147"/>
      <c r="BO27" s="147"/>
      <c r="BP27" s="147"/>
      <c r="BQ27" s="147"/>
      <c r="BR27" s="147"/>
      <c r="BS27" s="147"/>
      <c r="BT27" s="147"/>
      <c r="BU27" s="147"/>
      <c r="BV27" s="147"/>
      <c r="BW27" s="147"/>
      <c r="BX27" s="147"/>
      <c r="BY27" s="147"/>
      <c r="BZ27" s="147"/>
      <c r="CA27" s="147"/>
      <c r="CB27" s="147"/>
      <c r="CC27" s="147"/>
      <c r="CD27" s="147"/>
      <c r="CE27" s="147"/>
      <c r="CF27" s="147"/>
      <c r="CG27" s="147"/>
      <c r="CH27" s="147"/>
      <c r="CI27" s="147"/>
      <c r="CJ27" s="147"/>
      <c r="CK27" s="147"/>
      <c r="CL27" s="147"/>
      <c r="CM27" s="147"/>
      <c r="CN27" s="147"/>
      <c r="CO27" s="147"/>
      <c r="CP27" s="147"/>
    </row>
    <row r="28" spans="1:94" s="177" customFormat="1" ht="15" x14ac:dyDescent="0.25">
      <c r="A28" s="178"/>
      <c r="B28" s="179"/>
      <c r="C28" s="244"/>
      <c r="D28" s="242"/>
      <c r="E28" s="180"/>
      <c r="F28" s="181">
        <v>0</v>
      </c>
      <c r="G28" s="182">
        <v>0</v>
      </c>
      <c r="H28" s="176">
        <f t="shared" si="0"/>
        <v>0</v>
      </c>
      <c r="I28" s="176">
        <f t="shared" si="1"/>
        <v>0</v>
      </c>
      <c r="J28" s="159">
        <f t="shared" si="3"/>
        <v>0</v>
      </c>
      <c r="K28" s="166"/>
      <c r="L28" s="176">
        <f t="shared" si="2"/>
        <v>0</v>
      </c>
      <c r="M28" s="176">
        <f t="shared" si="4"/>
        <v>0</v>
      </c>
      <c r="N28" s="183">
        <f t="shared" si="5"/>
        <v>0</v>
      </c>
      <c r="O28"/>
      <c r="P28"/>
      <c r="Q28"/>
      <c r="R28"/>
      <c r="S28"/>
      <c r="T28"/>
      <c r="U28"/>
      <c r="V28"/>
      <c r="W28"/>
      <c r="X28"/>
      <c r="Y28"/>
      <c r="Z28" s="344"/>
      <c r="AA28" s="363"/>
      <c r="AB28" s="363"/>
      <c r="AC28" s="363"/>
      <c r="AD28" s="329"/>
      <c r="AE28" s="147"/>
      <c r="AF28" s="147"/>
      <c r="AG28" s="147"/>
      <c r="AH28" s="147"/>
      <c r="AI28" s="147"/>
      <c r="AJ28" s="147"/>
      <c r="AK28" s="147"/>
      <c r="AL28" s="147"/>
      <c r="AM28" s="147"/>
      <c r="AN28" s="147"/>
      <c r="AO28" s="147"/>
      <c r="AP28" s="147"/>
      <c r="AQ28" s="147"/>
      <c r="AR28" s="147"/>
      <c r="AS28" s="147"/>
      <c r="AT28" s="147"/>
      <c r="AU28" s="147"/>
      <c r="AV28" s="147"/>
      <c r="AW28" s="147"/>
      <c r="AX28" s="147"/>
      <c r="AY28" s="147"/>
      <c r="AZ28" s="147"/>
      <c r="BA28" s="147"/>
      <c r="BB28" s="147"/>
      <c r="BC28" s="147"/>
      <c r="BD28" s="147"/>
      <c r="BE28" s="147"/>
      <c r="BF28" s="147"/>
      <c r="BG28" s="147"/>
      <c r="BH28" s="147"/>
      <c r="BI28" s="147"/>
      <c r="BJ28" s="147"/>
      <c r="BK28" s="147"/>
      <c r="BL28" s="147"/>
      <c r="BM28" s="147"/>
      <c r="BN28" s="147"/>
      <c r="BO28" s="147"/>
      <c r="BP28" s="147"/>
      <c r="BQ28" s="147"/>
      <c r="BR28" s="147"/>
      <c r="BS28" s="147"/>
      <c r="BT28" s="147"/>
      <c r="BU28" s="147"/>
      <c r="BV28" s="147"/>
      <c r="BW28" s="147"/>
      <c r="BX28" s="147"/>
      <c r="BY28" s="147"/>
      <c r="BZ28" s="147"/>
      <c r="CA28" s="147"/>
      <c r="CB28" s="147"/>
      <c r="CC28" s="147"/>
      <c r="CD28" s="147"/>
      <c r="CE28" s="147"/>
      <c r="CF28" s="147"/>
      <c r="CG28" s="147"/>
      <c r="CH28" s="147"/>
      <c r="CI28" s="147"/>
      <c r="CJ28" s="147"/>
      <c r="CK28" s="147"/>
      <c r="CL28" s="147"/>
      <c r="CM28" s="147"/>
      <c r="CN28" s="147"/>
      <c r="CO28" s="147"/>
      <c r="CP28" s="147"/>
    </row>
    <row r="29" spans="1:94" s="177" customFormat="1" ht="15" x14ac:dyDescent="0.25">
      <c r="A29" s="179"/>
      <c r="B29" s="179"/>
      <c r="C29" s="171"/>
      <c r="D29" s="243"/>
      <c r="E29" s="180"/>
      <c r="F29" s="181">
        <v>0</v>
      </c>
      <c r="G29" s="182">
        <v>0</v>
      </c>
      <c r="H29" s="176">
        <f t="shared" si="0"/>
        <v>0</v>
      </c>
      <c r="I29" s="176">
        <f t="shared" si="1"/>
        <v>0</v>
      </c>
      <c r="J29" s="159">
        <f t="shared" si="3"/>
        <v>0</v>
      </c>
      <c r="K29" s="166"/>
      <c r="L29" s="176">
        <f t="shared" si="2"/>
        <v>0</v>
      </c>
      <c r="M29" s="176">
        <f t="shared" si="4"/>
        <v>0</v>
      </c>
      <c r="N29" s="183">
        <f t="shared" si="5"/>
        <v>0</v>
      </c>
      <c r="O29"/>
      <c r="P29"/>
      <c r="Q29"/>
      <c r="R29"/>
      <c r="S29"/>
      <c r="T29"/>
      <c r="U29"/>
      <c r="V29"/>
      <c r="W29"/>
      <c r="X29"/>
      <c r="Y29"/>
      <c r="Z29" s="344"/>
      <c r="AA29" s="363"/>
      <c r="AB29" s="363"/>
      <c r="AC29" s="363"/>
      <c r="AD29" s="329"/>
      <c r="AE29" s="147"/>
      <c r="AF29" s="147"/>
      <c r="AG29" s="147"/>
      <c r="AH29" s="147"/>
      <c r="AI29" s="147"/>
      <c r="AJ29" s="147"/>
      <c r="AK29" s="147"/>
      <c r="AL29" s="147"/>
      <c r="AM29" s="147"/>
      <c r="AN29" s="147"/>
      <c r="AO29" s="147"/>
      <c r="AP29" s="147"/>
      <c r="AQ29" s="147"/>
      <c r="AR29" s="147"/>
      <c r="AS29" s="147"/>
      <c r="AT29" s="147"/>
      <c r="AU29" s="147"/>
      <c r="AV29" s="147"/>
      <c r="AW29" s="147"/>
      <c r="AX29" s="147"/>
      <c r="AY29" s="147"/>
      <c r="AZ29" s="147"/>
      <c r="BA29" s="147"/>
      <c r="BB29" s="147"/>
      <c r="BC29" s="147"/>
      <c r="BD29" s="147"/>
      <c r="BE29" s="147"/>
      <c r="BF29" s="147"/>
      <c r="BG29" s="147"/>
      <c r="BH29" s="147"/>
      <c r="BI29" s="147"/>
      <c r="BJ29" s="147"/>
      <c r="BK29" s="147"/>
      <c r="BL29" s="147"/>
      <c r="BM29" s="147"/>
      <c r="BN29" s="147"/>
      <c r="BO29" s="147"/>
      <c r="BP29" s="147"/>
      <c r="BQ29" s="147"/>
      <c r="BR29" s="147"/>
      <c r="BS29" s="147"/>
      <c r="BT29" s="147"/>
      <c r="BU29" s="147"/>
      <c r="BV29" s="147"/>
      <c r="BW29" s="147"/>
      <c r="BX29" s="147"/>
      <c r="BY29" s="147"/>
      <c r="BZ29" s="147"/>
      <c r="CA29" s="147"/>
      <c r="CB29" s="147"/>
      <c r="CC29" s="147"/>
      <c r="CD29" s="147"/>
      <c r="CE29" s="147"/>
      <c r="CF29" s="147"/>
      <c r="CG29" s="147"/>
      <c r="CH29" s="147"/>
      <c r="CI29" s="147"/>
      <c r="CJ29" s="147"/>
      <c r="CK29" s="147"/>
      <c r="CL29" s="147"/>
      <c r="CM29" s="147"/>
      <c r="CN29" s="147"/>
      <c r="CO29" s="147"/>
      <c r="CP29" s="147"/>
    </row>
    <row r="30" spans="1:94" s="177" customFormat="1" ht="15" x14ac:dyDescent="0.25">
      <c r="A30" s="179"/>
      <c r="B30" s="184"/>
      <c r="C30" s="171"/>
      <c r="D30" s="243"/>
      <c r="E30" s="180"/>
      <c r="F30" s="181">
        <v>0</v>
      </c>
      <c r="G30" s="182">
        <v>0</v>
      </c>
      <c r="H30" s="176">
        <f t="shared" si="0"/>
        <v>0</v>
      </c>
      <c r="I30" s="176">
        <f t="shared" si="1"/>
        <v>0</v>
      </c>
      <c r="J30" s="159">
        <f t="shared" si="3"/>
        <v>0</v>
      </c>
      <c r="K30" s="166"/>
      <c r="L30" s="176">
        <f t="shared" si="2"/>
        <v>0</v>
      </c>
      <c r="M30" s="176">
        <f t="shared" si="4"/>
        <v>0</v>
      </c>
      <c r="N30" s="183">
        <f t="shared" si="5"/>
        <v>0</v>
      </c>
      <c r="O30"/>
      <c r="P30"/>
      <c r="Q30"/>
      <c r="R30"/>
      <c r="S30"/>
      <c r="T30"/>
      <c r="U30"/>
      <c r="V30"/>
      <c r="W30"/>
      <c r="X30"/>
      <c r="Y30"/>
      <c r="Z30" s="344"/>
      <c r="AA30" s="363"/>
      <c r="AB30" s="363"/>
      <c r="AC30" s="363"/>
      <c r="AD30" s="329"/>
      <c r="AE30" s="147"/>
      <c r="AF30" s="147"/>
      <c r="AG30" s="147"/>
      <c r="AH30" s="147"/>
      <c r="AI30" s="147"/>
      <c r="AJ30" s="147"/>
      <c r="AK30" s="147"/>
      <c r="AL30" s="147"/>
      <c r="AM30" s="147"/>
      <c r="AN30" s="147"/>
      <c r="AO30" s="147"/>
      <c r="AP30" s="147"/>
      <c r="AQ30" s="147"/>
      <c r="AR30" s="147"/>
      <c r="AS30" s="147"/>
      <c r="AT30" s="147"/>
      <c r="AU30" s="147"/>
      <c r="AV30" s="147"/>
      <c r="AW30" s="147"/>
      <c r="AX30" s="147"/>
      <c r="AY30" s="147"/>
      <c r="AZ30" s="147"/>
      <c r="BA30" s="147"/>
      <c r="BB30" s="147"/>
      <c r="BC30" s="147"/>
      <c r="BD30" s="147"/>
      <c r="BE30" s="147"/>
      <c r="BF30" s="147"/>
      <c r="BG30" s="147"/>
      <c r="BH30" s="147"/>
      <c r="BI30" s="147"/>
      <c r="BJ30" s="147"/>
      <c r="BK30" s="147"/>
      <c r="BL30" s="147"/>
      <c r="BM30" s="147"/>
      <c r="BN30" s="147"/>
      <c r="BO30" s="147"/>
      <c r="BP30" s="147"/>
      <c r="BQ30" s="147"/>
      <c r="BR30" s="147"/>
      <c r="BS30" s="147"/>
      <c r="BT30" s="147"/>
      <c r="BU30" s="147"/>
      <c r="BV30" s="147"/>
      <c r="BW30" s="147"/>
      <c r="BX30" s="147"/>
      <c r="BY30" s="147"/>
      <c r="BZ30" s="147"/>
      <c r="CA30" s="147"/>
      <c r="CB30" s="147"/>
      <c r="CC30" s="147"/>
      <c r="CD30" s="147"/>
      <c r="CE30" s="147"/>
      <c r="CF30" s="147"/>
      <c r="CG30" s="147"/>
      <c r="CH30" s="147"/>
      <c r="CI30" s="147"/>
      <c r="CJ30" s="147"/>
      <c r="CK30" s="147"/>
      <c r="CL30" s="147"/>
      <c r="CM30" s="147"/>
      <c r="CN30" s="147"/>
      <c r="CO30" s="147"/>
      <c r="CP30" s="147"/>
    </row>
    <row r="31" spans="1:94" s="153" customFormat="1" ht="15" x14ac:dyDescent="0.25">
      <c r="A31" s="139"/>
      <c r="B31" s="168"/>
      <c r="C31" s="245"/>
      <c r="D31" s="246" t="s">
        <v>36</v>
      </c>
      <c r="E31" s="150"/>
      <c r="F31" s="165"/>
      <c r="G31" s="166"/>
      <c r="H31" s="166"/>
      <c r="I31" s="166"/>
      <c r="J31" s="166"/>
      <c r="K31" s="166"/>
      <c r="L31" s="166"/>
      <c r="M31" s="166"/>
      <c r="N31" s="166"/>
      <c r="O31"/>
      <c r="P31"/>
      <c r="Q31"/>
      <c r="R31"/>
      <c r="S31"/>
      <c r="T31"/>
      <c r="U31"/>
      <c r="V31"/>
      <c r="W31"/>
      <c r="X31"/>
      <c r="Y31"/>
      <c r="Z31" s="344"/>
      <c r="AA31" s="363"/>
      <c r="AB31" s="363"/>
      <c r="AC31" s="363"/>
      <c r="AD31" s="329"/>
      <c r="AE31" s="147"/>
      <c r="AF31" s="147"/>
      <c r="AG31" s="147"/>
      <c r="AH31" s="147"/>
      <c r="AI31" s="147"/>
      <c r="AJ31" s="147"/>
      <c r="AK31" s="147"/>
      <c r="AL31" s="147"/>
      <c r="AM31" s="147"/>
      <c r="AN31" s="147"/>
      <c r="AO31" s="147"/>
      <c r="AP31" s="147"/>
      <c r="AQ31" s="147"/>
      <c r="AR31" s="147"/>
      <c r="AS31" s="147"/>
      <c r="AT31" s="147"/>
      <c r="AU31" s="147"/>
      <c r="AV31" s="147"/>
      <c r="AW31" s="147"/>
      <c r="AX31" s="147"/>
      <c r="AY31" s="147"/>
      <c r="AZ31" s="147"/>
      <c r="BA31" s="147"/>
      <c r="BB31" s="147"/>
      <c r="BC31" s="147"/>
      <c r="BD31" s="147"/>
      <c r="BE31" s="147"/>
      <c r="BF31" s="147"/>
      <c r="BG31" s="147"/>
      <c r="BH31" s="147"/>
      <c r="BI31" s="147"/>
      <c r="BJ31" s="147"/>
      <c r="BK31" s="147"/>
      <c r="BL31" s="147"/>
      <c r="BM31" s="147"/>
      <c r="BN31" s="147"/>
      <c r="BO31" s="147"/>
      <c r="BP31" s="147"/>
      <c r="BQ31" s="147"/>
      <c r="BR31" s="147"/>
      <c r="BS31" s="147"/>
      <c r="BT31" s="147"/>
      <c r="BU31" s="147"/>
      <c r="BV31" s="147"/>
      <c r="BW31" s="147"/>
      <c r="BX31" s="147"/>
      <c r="BY31" s="147"/>
      <c r="BZ31" s="147"/>
      <c r="CA31" s="147"/>
      <c r="CB31" s="147"/>
      <c r="CC31" s="147"/>
      <c r="CD31" s="147"/>
      <c r="CE31" s="147"/>
      <c r="CF31" s="147"/>
      <c r="CG31" s="147"/>
      <c r="CH31" s="147"/>
      <c r="CI31" s="147"/>
      <c r="CJ31" s="147"/>
      <c r="CK31" s="147"/>
      <c r="CL31" s="147"/>
      <c r="CM31" s="147"/>
      <c r="CN31" s="147"/>
      <c r="CO31" s="147"/>
      <c r="CP31" s="147"/>
    </row>
    <row r="32" spans="1:94" s="177" customFormat="1" ht="15" x14ac:dyDescent="0.25">
      <c r="A32" s="185"/>
      <c r="B32" s="185"/>
      <c r="C32" s="244"/>
      <c r="D32" s="242"/>
      <c r="E32" s="173"/>
      <c r="F32" s="174">
        <v>0</v>
      </c>
      <c r="G32" s="175">
        <v>0</v>
      </c>
      <c r="H32" s="176">
        <f t="shared" ref="H32:H35" si="6">IF(AND($F32&lt;&gt;0,$G32&lt;&gt;0,OR($E32=1,$E32=3)),$F32*Health,0)</f>
        <v>0</v>
      </c>
      <c r="I32" s="176">
        <f t="shared" ref="I32:I34" si="7">IF(AND($E32=1,$C32=""),$G32*PermVB+$G32*Retire1,IF($E32=1,$G32*PermVB+$G32*VLOOKUP($C32,Retirement_Rates,3,FALSE),IF($E32=2,$G32*GroupVB,IF(AND($E32=3,$C32=""),$G32*ElectVB+$G32*Retire1,IF($E32=3,$G32*ElectVB+$G32*VLOOKUP($C32,Retirement_Rates,3,FALSE),0)))))</f>
        <v>0</v>
      </c>
      <c r="J32" s="279">
        <f t="shared" si="3"/>
        <v>0</v>
      </c>
      <c r="K32" s="166"/>
      <c r="L32" s="176">
        <f t="shared" ref="L32:L35" si="8">IF(AND($F32&lt;&gt;0,$G32&lt;&gt;0,OR($E32=1,$E32=3)),$F32*HealthCHG,0)</f>
        <v>0</v>
      </c>
      <c r="M32" s="176">
        <f t="shared" ref="M32:M35" si="9">IF(AND($E32=1,$C32=""),$G32*PermVBCHG+$G32*Retire1CHG,IF($E32=1,$G32*PermVBCHG+$G32*VLOOKUP($C32,Retirement_Rates,5,FALSE),IF($E32=2,0,IF(AND($E32=3,$C32=""),$G32*ElectVBCHG+$G32*Retire1CHG,IF($E32=3,$G32*ElectVBCHG+$G32*VLOOKUP($C32,Retirement_Rates,5,FALSE),0)))))</f>
        <v>0</v>
      </c>
      <c r="N32" s="176">
        <f t="shared" ref="N32:N35" si="10">SUM(L32:M32)</f>
        <v>0</v>
      </c>
      <c r="O32"/>
      <c r="P32"/>
      <c r="Q32"/>
      <c r="R32"/>
      <c r="S32"/>
      <c r="T32"/>
      <c r="U32"/>
      <c r="V32"/>
      <c r="W32"/>
      <c r="X32"/>
      <c r="Y32"/>
      <c r="Z32" s="344"/>
      <c r="AA32" s="363"/>
      <c r="AB32" s="363"/>
      <c r="AC32" s="363"/>
      <c r="AD32" s="329"/>
      <c r="AE32" s="147"/>
      <c r="AF32" s="147"/>
      <c r="AG32" s="147"/>
      <c r="AH32" s="147"/>
      <c r="AI32" s="147"/>
      <c r="AJ32" s="147"/>
      <c r="AK32" s="147"/>
      <c r="AL32" s="147"/>
      <c r="AM32" s="147"/>
      <c r="AN32" s="147"/>
      <c r="AO32" s="147"/>
      <c r="AP32" s="147"/>
      <c r="AQ32" s="147"/>
      <c r="AR32" s="147"/>
      <c r="AS32" s="147"/>
      <c r="AT32" s="147"/>
      <c r="AU32" s="147"/>
      <c r="AV32" s="147"/>
      <c r="AW32" s="147"/>
      <c r="AX32" s="147"/>
      <c r="AY32" s="147"/>
      <c r="AZ32" s="147"/>
      <c r="BA32" s="147"/>
      <c r="BB32" s="147"/>
      <c r="BC32" s="147"/>
      <c r="BD32" s="147"/>
      <c r="BE32" s="147"/>
      <c r="BF32" s="147"/>
      <c r="BG32" s="147"/>
      <c r="BH32" s="147"/>
      <c r="BI32" s="147"/>
      <c r="BJ32" s="147"/>
      <c r="BK32" s="147"/>
      <c r="BL32" s="147"/>
      <c r="BM32" s="147"/>
      <c r="BN32" s="147"/>
      <c r="BO32" s="147"/>
      <c r="BP32" s="147"/>
      <c r="BQ32" s="147"/>
      <c r="BR32" s="147"/>
      <c r="BS32" s="147"/>
      <c r="BT32" s="147"/>
      <c r="BU32" s="147"/>
      <c r="BV32" s="147"/>
      <c r="BW32" s="147"/>
      <c r="BX32" s="147"/>
      <c r="BY32" s="147"/>
      <c r="BZ32" s="147"/>
      <c r="CA32" s="147"/>
      <c r="CB32" s="147"/>
      <c r="CC32" s="147"/>
      <c r="CD32" s="147"/>
      <c r="CE32" s="147"/>
      <c r="CF32" s="147"/>
      <c r="CG32" s="147"/>
      <c r="CH32" s="147"/>
      <c r="CI32" s="147"/>
      <c r="CJ32" s="147"/>
      <c r="CK32" s="147"/>
      <c r="CL32" s="147"/>
      <c r="CM32" s="147"/>
      <c r="CN32" s="147"/>
      <c r="CO32" s="147"/>
      <c r="CP32" s="147"/>
    </row>
    <row r="33" spans="1:94" s="177" customFormat="1" ht="15" x14ac:dyDescent="0.25">
      <c r="A33" s="186"/>
      <c r="B33" s="187"/>
      <c r="C33" s="244"/>
      <c r="D33" s="242"/>
      <c r="E33" s="180"/>
      <c r="F33" s="181">
        <v>0</v>
      </c>
      <c r="G33" s="182">
        <v>0</v>
      </c>
      <c r="H33" s="176">
        <f t="shared" si="6"/>
        <v>0</v>
      </c>
      <c r="I33" s="176">
        <f t="shared" si="7"/>
        <v>0</v>
      </c>
      <c r="J33" s="279">
        <f t="shared" si="3"/>
        <v>0</v>
      </c>
      <c r="K33" s="166"/>
      <c r="L33" s="176">
        <f t="shared" si="8"/>
        <v>0</v>
      </c>
      <c r="M33" s="176">
        <f t="shared" si="9"/>
        <v>0</v>
      </c>
      <c r="N33" s="183">
        <f t="shared" si="10"/>
        <v>0</v>
      </c>
      <c r="O33"/>
      <c r="P33"/>
      <c r="Q33"/>
      <c r="R33"/>
      <c r="S33"/>
      <c r="T33"/>
      <c r="U33"/>
      <c r="V33"/>
      <c r="W33"/>
      <c r="X33"/>
      <c r="Y33"/>
      <c r="Z33" s="344"/>
      <c r="AA33" s="363"/>
      <c r="AB33" s="363"/>
      <c r="AC33" s="363"/>
      <c r="AD33" s="329"/>
      <c r="AE33" s="147"/>
      <c r="AF33" s="147"/>
      <c r="AG33" s="147"/>
      <c r="AH33" s="147"/>
      <c r="AI33" s="147"/>
      <c r="AJ33" s="147"/>
      <c r="AK33" s="147"/>
      <c r="AL33" s="147"/>
      <c r="AM33" s="147"/>
      <c r="AN33" s="147"/>
      <c r="AO33" s="147"/>
      <c r="AP33" s="147"/>
      <c r="AQ33" s="147"/>
      <c r="AR33" s="147"/>
      <c r="AS33" s="147"/>
      <c r="AT33" s="147"/>
      <c r="AU33" s="147"/>
      <c r="AV33" s="147"/>
      <c r="AW33" s="147"/>
      <c r="AX33" s="147"/>
      <c r="AY33" s="147"/>
      <c r="AZ33" s="147"/>
      <c r="BA33" s="147"/>
      <c r="BB33" s="147"/>
      <c r="BC33" s="147"/>
      <c r="BD33" s="147"/>
      <c r="BE33" s="147"/>
      <c r="BF33" s="147"/>
      <c r="BG33" s="147"/>
      <c r="BH33" s="147"/>
      <c r="BI33" s="147"/>
      <c r="BJ33" s="147"/>
      <c r="BK33" s="147"/>
      <c r="BL33" s="147"/>
      <c r="BM33" s="147"/>
      <c r="BN33" s="147"/>
      <c r="BO33" s="147"/>
      <c r="BP33" s="147"/>
      <c r="BQ33" s="147"/>
      <c r="BR33" s="147"/>
      <c r="BS33" s="147"/>
      <c r="BT33" s="147"/>
      <c r="BU33" s="147"/>
      <c r="BV33" s="147"/>
      <c r="BW33" s="147"/>
      <c r="BX33" s="147"/>
      <c r="BY33" s="147"/>
      <c r="BZ33" s="147"/>
      <c r="CA33" s="147"/>
      <c r="CB33" s="147"/>
      <c r="CC33" s="147"/>
      <c r="CD33" s="147"/>
      <c r="CE33" s="147"/>
      <c r="CF33" s="147"/>
      <c r="CG33" s="147"/>
      <c r="CH33" s="147"/>
      <c r="CI33" s="147"/>
      <c r="CJ33" s="147"/>
      <c r="CK33" s="147"/>
      <c r="CL33" s="147"/>
      <c r="CM33" s="147"/>
      <c r="CN33" s="147"/>
      <c r="CO33" s="147"/>
      <c r="CP33" s="147"/>
    </row>
    <row r="34" spans="1:94" s="177" customFormat="1" ht="15" x14ac:dyDescent="0.25">
      <c r="A34" s="186"/>
      <c r="B34" s="187"/>
      <c r="C34" s="244"/>
      <c r="D34" s="242"/>
      <c r="E34" s="180"/>
      <c r="F34" s="181">
        <v>0</v>
      </c>
      <c r="G34" s="182">
        <v>0</v>
      </c>
      <c r="H34" s="176">
        <f t="shared" si="6"/>
        <v>0</v>
      </c>
      <c r="I34" s="176">
        <f t="shared" si="7"/>
        <v>0</v>
      </c>
      <c r="J34" s="279">
        <f t="shared" si="3"/>
        <v>0</v>
      </c>
      <c r="K34" s="280"/>
      <c r="L34" s="176">
        <f t="shared" si="8"/>
        <v>0</v>
      </c>
      <c r="M34" s="176">
        <f t="shared" si="9"/>
        <v>0</v>
      </c>
      <c r="N34" s="183">
        <f t="shared" si="10"/>
        <v>0</v>
      </c>
      <c r="O34"/>
      <c r="P34"/>
      <c r="Q34"/>
      <c r="R34"/>
      <c r="S34"/>
      <c r="T34"/>
      <c r="U34"/>
      <c r="V34"/>
      <c r="W34"/>
      <c r="X34"/>
      <c r="Y34"/>
      <c r="Z34" s="344"/>
      <c r="AA34" s="363"/>
      <c r="AB34" s="363"/>
      <c r="AC34" s="363"/>
      <c r="AD34" s="329"/>
      <c r="AE34" s="147"/>
      <c r="AF34" s="147"/>
      <c r="AG34" s="147"/>
      <c r="AH34" s="147"/>
      <c r="AI34" s="147"/>
      <c r="AJ34" s="147"/>
      <c r="AK34" s="147"/>
      <c r="AL34" s="147"/>
      <c r="AM34" s="147"/>
      <c r="AN34" s="147"/>
      <c r="AO34" s="147"/>
      <c r="AP34" s="147"/>
      <c r="AQ34" s="147"/>
      <c r="AR34" s="147"/>
      <c r="AS34" s="147"/>
      <c r="AT34" s="147"/>
      <c r="AU34" s="147"/>
      <c r="AV34" s="147"/>
      <c r="AW34" s="147"/>
      <c r="AX34" s="147"/>
      <c r="AY34" s="147"/>
      <c r="AZ34" s="147"/>
      <c r="BA34" s="147"/>
      <c r="BB34" s="147"/>
      <c r="BC34" s="147"/>
      <c r="BD34" s="147"/>
      <c r="BE34" s="147"/>
      <c r="BF34" s="147"/>
      <c r="BG34" s="147"/>
      <c r="BH34" s="147"/>
      <c r="BI34" s="147"/>
      <c r="BJ34" s="147"/>
      <c r="BK34" s="147"/>
      <c r="BL34" s="147"/>
      <c r="BM34" s="147"/>
      <c r="BN34" s="147"/>
      <c r="BO34" s="147"/>
      <c r="BP34" s="147"/>
      <c r="BQ34" s="147"/>
      <c r="BR34" s="147"/>
      <c r="BS34" s="147"/>
      <c r="BT34" s="147"/>
      <c r="BU34" s="147"/>
      <c r="BV34" s="147"/>
      <c r="BW34" s="147"/>
      <c r="BX34" s="147"/>
      <c r="BY34" s="147"/>
      <c r="BZ34" s="147"/>
      <c r="CA34" s="147"/>
      <c r="CB34" s="147"/>
      <c r="CC34" s="147"/>
      <c r="CD34" s="147"/>
      <c r="CE34" s="147"/>
      <c r="CF34" s="147"/>
      <c r="CG34" s="147"/>
      <c r="CH34" s="147"/>
      <c r="CI34" s="147"/>
      <c r="CJ34" s="147"/>
      <c r="CK34" s="147"/>
      <c r="CL34" s="147"/>
      <c r="CM34" s="147"/>
      <c r="CN34" s="147"/>
      <c r="CO34" s="147"/>
      <c r="CP34" s="147"/>
    </row>
    <row r="35" spans="1:94" s="177" customFormat="1" ht="15" x14ac:dyDescent="0.25">
      <c r="A35" s="186"/>
      <c r="B35" s="187"/>
      <c r="C35" s="244"/>
      <c r="D35" s="242"/>
      <c r="E35" s="180"/>
      <c r="F35" s="181">
        <v>0</v>
      </c>
      <c r="G35" s="182">
        <v>0</v>
      </c>
      <c r="H35" s="176">
        <f t="shared" si="6"/>
        <v>0</v>
      </c>
      <c r="I35" s="176">
        <f>IF(AND($E35=1,$C35=""),$G35*(PermVB+Retire1),IF($E35=1,$G35*PermVB+$G35*VLOOKUP($C35,Retirement_Rates,3,FALSE),IF($E35=2,$G35*GroupVB,IF(AND($E35=3,$C35=""),$G35*ElectVB+$G35*Retire1,IF($E35=3,$G35*ElectVB+$G35*VLOOKUP($C35,Retirement_Rates,3,FALSE),0)))))</f>
        <v>0</v>
      </c>
      <c r="J35" s="279">
        <f t="shared" si="3"/>
        <v>0</v>
      </c>
      <c r="K35" s="309"/>
      <c r="L35" s="176">
        <f t="shared" si="8"/>
        <v>0</v>
      </c>
      <c r="M35" s="176">
        <f t="shared" si="9"/>
        <v>0</v>
      </c>
      <c r="N35" s="183">
        <f t="shared" si="10"/>
        <v>0</v>
      </c>
      <c r="O35"/>
      <c r="P35"/>
      <c r="Q35"/>
      <c r="R35"/>
      <c r="S35"/>
      <c r="T35"/>
      <c r="U35"/>
      <c r="V35"/>
      <c r="W35"/>
      <c r="X35"/>
      <c r="Y35"/>
      <c r="Z35" s="344"/>
      <c r="AA35" s="363"/>
      <c r="AB35" s="363"/>
      <c r="AC35" s="363"/>
      <c r="AD35" s="329"/>
      <c r="AE35" s="147"/>
      <c r="AF35" s="147"/>
      <c r="AG35" s="147"/>
      <c r="AH35" s="147"/>
      <c r="AI35" s="147"/>
      <c r="AJ35" s="147"/>
      <c r="AK35" s="147"/>
      <c r="AL35" s="147"/>
      <c r="AM35" s="147"/>
      <c r="AN35" s="147"/>
      <c r="AO35" s="147"/>
      <c r="AP35" s="147"/>
      <c r="AQ35" s="147"/>
      <c r="AR35" s="147"/>
      <c r="AS35" s="147"/>
      <c r="AT35" s="147"/>
      <c r="AU35" s="147"/>
      <c r="AV35" s="147"/>
      <c r="AW35" s="147"/>
      <c r="AX35" s="147"/>
      <c r="AY35" s="147"/>
      <c r="AZ35" s="147"/>
      <c r="BA35" s="147"/>
      <c r="BB35" s="147"/>
      <c r="BC35" s="147"/>
      <c r="BD35" s="147"/>
      <c r="BE35" s="147"/>
      <c r="BF35" s="147"/>
      <c r="BG35" s="147"/>
      <c r="BH35" s="147"/>
      <c r="BI35" s="147"/>
      <c r="BJ35" s="147"/>
      <c r="BK35" s="147"/>
      <c r="BL35" s="147"/>
      <c r="BM35" s="147"/>
      <c r="BN35" s="147"/>
      <c r="BO35" s="147"/>
      <c r="BP35" s="147"/>
      <c r="BQ35" s="147"/>
      <c r="BR35" s="147"/>
      <c r="BS35" s="147"/>
      <c r="BT35" s="147"/>
      <c r="BU35" s="147"/>
      <c r="BV35" s="147"/>
      <c r="BW35" s="147"/>
      <c r="BX35" s="147"/>
      <c r="BY35" s="147"/>
      <c r="BZ35" s="147"/>
      <c r="CA35" s="147"/>
      <c r="CB35" s="147"/>
      <c r="CC35" s="147"/>
      <c r="CD35" s="147"/>
      <c r="CE35" s="147"/>
      <c r="CF35" s="147"/>
      <c r="CG35" s="147"/>
      <c r="CH35" s="147"/>
      <c r="CI35" s="147"/>
      <c r="CJ35" s="147"/>
      <c r="CK35" s="147"/>
      <c r="CL35" s="147"/>
      <c r="CM35" s="147"/>
      <c r="CN35" s="147"/>
      <c r="CO35" s="147"/>
      <c r="CP35" s="147"/>
    </row>
    <row r="36" spans="1:94" s="213" customFormat="1" ht="15" x14ac:dyDescent="0.25">
      <c r="A36" s="281"/>
      <c r="B36" s="282"/>
      <c r="C36" s="283"/>
      <c r="D36" s="284"/>
      <c r="E36" s="285"/>
      <c r="F36" s="197"/>
      <c r="G36" s="259"/>
      <c r="H36" s="259"/>
      <c r="I36" s="259"/>
      <c r="J36" s="286"/>
      <c r="K36" s="280"/>
      <c r="L36" s="321"/>
      <c r="M36" s="259"/>
      <c r="N36" s="259"/>
      <c r="O36"/>
      <c r="P36"/>
      <c r="Q36"/>
      <c r="R36"/>
      <c r="S36"/>
      <c r="T36"/>
      <c r="U36"/>
      <c r="V36"/>
      <c r="W36"/>
      <c r="X36"/>
      <c r="Y36"/>
      <c r="Z36" s="344"/>
      <c r="AA36" s="363" t="s">
        <v>94</v>
      </c>
      <c r="AB36" s="333" t="s">
        <v>95</v>
      </c>
      <c r="AC36" s="333" t="s">
        <v>106</v>
      </c>
      <c r="AD36" s="330"/>
    </row>
    <row r="37" spans="1:94" s="153" customFormat="1" ht="17.25" customHeight="1" x14ac:dyDescent="0.25">
      <c r="A37" s="139"/>
      <c r="B37" s="188"/>
      <c r="C37" s="459" t="s">
        <v>37</v>
      </c>
      <c r="D37" s="460"/>
      <c r="E37" s="150"/>
      <c r="F37" s="165"/>
      <c r="G37" s="166"/>
      <c r="H37" s="166"/>
      <c r="I37" s="166"/>
      <c r="J37" s="322"/>
      <c r="K37" s="166"/>
      <c r="L37" s="166"/>
      <c r="M37" s="166"/>
      <c r="N37" s="166"/>
      <c r="O37"/>
      <c r="P37"/>
      <c r="Q37"/>
      <c r="R37"/>
      <c r="S37"/>
      <c r="T37"/>
      <c r="U37"/>
      <c r="V37"/>
      <c r="W37"/>
      <c r="X37"/>
      <c r="Y37"/>
      <c r="Z37" s="344"/>
      <c r="AA37" s="461" t="s">
        <v>107</v>
      </c>
      <c r="AB37" s="462"/>
      <c r="AC37" s="462"/>
      <c r="AD37" s="329"/>
      <c r="AE37" s="147"/>
      <c r="AF37" s="147"/>
      <c r="AG37" s="147"/>
      <c r="AH37" s="147"/>
      <c r="AI37" s="147"/>
      <c r="AJ37" s="147"/>
      <c r="AK37" s="147"/>
      <c r="AL37" s="147"/>
      <c r="AM37" s="147"/>
      <c r="AN37" s="147"/>
      <c r="AO37" s="147"/>
      <c r="AP37" s="147"/>
      <c r="AQ37" s="147"/>
      <c r="AR37" s="147"/>
      <c r="AS37" s="147"/>
      <c r="AT37" s="147"/>
      <c r="AU37" s="147"/>
      <c r="AV37" s="147"/>
      <c r="AW37" s="147"/>
      <c r="AX37" s="147"/>
      <c r="AY37" s="147"/>
      <c r="AZ37" s="147"/>
      <c r="BA37" s="147"/>
      <c r="BB37" s="147"/>
      <c r="BC37" s="147"/>
      <c r="BD37" s="147"/>
      <c r="BE37" s="147"/>
      <c r="BF37" s="147"/>
      <c r="BG37" s="147"/>
      <c r="BH37" s="147"/>
      <c r="BI37" s="147"/>
      <c r="BJ37" s="147"/>
      <c r="BK37" s="147"/>
      <c r="BL37" s="147"/>
      <c r="BM37" s="147"/>
      <c r="BN37" s="147"/>
      <c r="BO37" s="147"/>
      <c r="BP37" s="147"/>
      <c r="BQ37" s="147"/>
      <c r="BR37" s="147"/>
      <c r="BS37" s="147"/>
      <c r="BT37" s="147"/>
      <c r="BU37" s="147"/>
      <c r="BV37" s="147"/>
      <c r="BW37" s="147"/>
      <c r="BX37" s="147"/>
      <c r="BY37" s="147"/>
      <c r="BZ37" s="147"/>
      <c r="CA37" s="147"/>
      <c r="CB37" s="147"/>
      <c r="CC37" s="147"/>
      <c r="CD37" s="147"/>
      <c r="CE37" s="147"/>
      <c r="CF37" s="147"/>
      <c r="CG37" s="147"/>
      <c r="CH37" s="147"/>
      <c r="CI37" s="147"/>
      <c r="CJ37" s="147"/>
      <c r="CK37" s="147"/>
      <c r="CL37" s="147"/>
      <c r="CM37" s="147"/>
      <c r="CN37" s="147"/>
      <c r="CO37" s="147"/>
      <c r="CP37" s="147"/>
    </row>
    <row r="38" spans="1:94" s="153" customFormat="1" ht="15" x14ac:dyDescent="0.25">
      <c r="A38" s="139"/>
      <c r="B38" s="188"/>
      <c r="C38" s="443" t="str">
        <f>perm_name</f>
        <v>Permanent Positions</v>
      </c>
      <c r="D38" s="444"/>
      <c r="E38" s="189">
        <v>1</v>
      </c>
      <c r="F38" s="190">
        <f>SUMIF($E9:$E35,$E38,$F9:$F35)</f>
        <v>51.050000000000004</v>
      </c>
      <c r="G38" s="191">
        <f>SUMIF($E10:$E35,$E38,$G10:$G35)</f>
        <v>3013384.3999999994</v>
      </c>
      <c r="H38" s="192">
        <f>SUMIF($E10:$E35,$E38,$H10:$H35)</f>
        <v>594732.5</v>
      </c>
      <c r="I38" s="192">
        <f>SUMIF($E10:$E35,$E38,$I10:$I35)</f>
        <v>641320.74511600006</v>
      </c>
      <c r="J38" s="192">
        <f>SUM(G38:I38)</f>
        <v>4249437.6451159995</v>
      </c>
      <c r="K38" s="166"/>
      <c r="L38" s="191">
        <f>SUMIF($E10:$E35,$E38,$L10:$L35)</f>
        <v>0</v>
      </c>
      <c r="M38" s="192">
        <f>SUMIF($E10:$E35,$E38,$M10:$M35)</f>
        <v>-13439.395359999997</v>
      </c>
      <c r="N38" s="192">
        <f>SUM(L38:M38)</f>
        <v>-13439.395359999997</v>
      </c>
      <c r="O38"/>
      <c r="P38"/>
      <c r="Q38"/>
      <c r="R38"/>
      <c r="S38"/>
      <c r="T38"/>
      <c r="U38"/>
      <c r="V38"/>
      <c r="W38"/>
      <c r="X38"/>
      <c r="Y38"/>
      <c r="Z38" s="344"/>
      <c r="AA38" s="338">
        <f>ROUND(AdjPermSalary*CECPerm,-2)</f>
        <v>30100</v>
      </c>
      <c r="AB38" s="338">
        <f>ROUND((AdjPermVB*CECPerm+AdjPermVBBY*CECPerm),-2)</f>
        <v>6300</v>
      </c>
      <c r="AC38" s="338">
        <f>SUM(AA38:AB38)</f>
        <v>36400</v>
      </c>
      <c r="AD38" s="329"/>
      <c r="AE38" s="147"/>
      <c r="AF38" s="147"/>
      <c r="AG38" s="147"/>
      <c r="AH38" s="147"/>
      <c r="AI38" s="147"/>
      <c r="AJ38" s="147"/>
      <c r="AK38" s="147"/>
      <c r="AL38" s="147"/>
      <c r="AM38" s="147"/>
      <c r="AN38" s="147"/>
      <c r="AO38" s="147"/>
      <c r="AP38" s="147"/>
      <c r="AQ38" s="147"/>
      <c r="AR38" s="147"/>
      <c r="AS38" s="147"/>
      <c r="AT38" s="147"/>
      <c r="AU38" s="147"/>
      <c r="AV38" s="147"/>
      <c r="AW38" s="147"/>
      <c r="AX38" s="147"/>
      <c r="AY38" s="147"/>
      <c r="AZ38" s="147"/>
      <c r="BA38" s="147"/>
      <c r="BB38" s="147"/>
      <c r="BC38" s="147"/>
      <c r="BD38" s="147"/>
      <c r="BE38" s="147"/>
      <c r="BF38" s="147"/>
      <c r="BG38" s="147"/>
      <c r="BH38" s="147"/>
      <c r="BI38" s="147"/>
      <c r="BJ38" s="147"/>
      <c r="BK38" s="147"/>
      <c r="BL38" s="147"/>
      <c r="BM38" s="147"/>
      <c r="BN38" s="147"/>
      <c r="BO38" s="147"/>
      <c r="BP38" s="147"/>
      <c r="BQ38" s="147"/>
      <c r="BR38" s="147"/>
      <c r="BS38" s="147"/>
      <c r="BT38" s="147"/>
      <c r="BU38" s="147"/>
      <c r="BV38" s="147"/>
      <c r="BW38" s="147"/>
      <c r="BX38" s="147"/>
      <c r="BY38" s="147"/>
      <c r="BZ38" s="147"/>
      <c r="CA38" s="147"/>
      <c r="CB38" s="147"/>
      <c r="CC38" s="147"/>
      <c r="CD38" s="147"/>
      <c r="CE38" s="147"/>
      <c r="CF38" s="147"/>
      <c r="CG38" s="147"/>
      <c r="CH38" s="147"/>
      <c r="CI38" s="147"/>
      <c r="CJ38" s="147"/>
      <c r="CK38" s="147"/>
      <c r="CL38" s="147"/>
      <c r="CM38" s="147"/>
      <c r="CN38" s="147"/>
      <c r="CO38" s="147"/>
      <c r="CP38" s="147"/>
    </row>
    <row r="39" spans="1:94" s="153" customFormat="1" ht="15" x14ac:dyDescent="0.25">
      <c r="A39" s="139"/>
      <c r="B39" s="188"/>
      <c r="C39" s="443" t="str">
        <f>Group_name</f>
        <v>Board &amp; Group Positions</v>
      </c>
      <c r="D39" s="444"/>
      <c r="E39" s="189">
        <v>2</v>
      </c>
      <c r="F39" s="151">
        <f>SUMIF($E9:$E35,$E39,$F9:$F35)</f>
        <v>0</v>
      </c>
      <c r="G39" s="193">
        <f>SUMIF($E10:$E35,$E39,$G10:$G35)</f>
        <v>104419.26000000001</v>
      </c>
      <c r="H39" s="152">
        <f>SUMIF($E10:$E35,$E39,$H10:$H35)</f>
        <v>0</v>
      </c>
      <c r="I39" s="152">
        <f>SUMIF($E10:$E35,$E39,$I10:$I35)</f>
        <v>18120.04</v>
      </c>
      <c r="J39" s="152">
        <f>SUM(G39:I39)</f>
        <v>122539.30000000002</v>
      </c>
      <c r="K39" s="259"/>
      <c r="L39" s="193">
        <f>SUMIF($E10:$E35,$E39,$L10:$L35)</f>
        <v>0</v>
      </c>
      <c r="M39" s="152">
        <f>SUMIF($E11:$E37,$E39,$M11:$M37)</f>
        <v>0</v>
      </c>
      <c r="N39" s="152">
        <f>SUM(L39:M39)</f>
        <v>0</v>
      </c>
      <c r="O39"/>
      <c r="P39"/>
      <c r="Q39"/>
      <c r="R39"/>
      <c r="S39"/>
      <c r="T39"/>
      <c r="U39"/>
      <c r="V39"/>
      <c r="W39"/>
      <c r="X39"/>
      <c r="Y39"/>
      <c r="Z39" s="344"/>
      <c r="AA39" s="338">
        <f>ROUND(AdjGroupSalary*CECGroup,-2)</f>
        <v>1000</v>
      </c>
      <c r="AB39" s="338">
        <f>ROUND(AdjGroupVB*CECGroup,-2)</f>
        <v>200</v>
      </c>
      <c r="AC39" s="338">
        <f>SUM(AA39:AB39)</f>
        <v>1200</v>
      </c>
      <c r="AD39" s="329"/>
      <c r="AE39" s="147"/>
      <c r="AF39" s="147"/>
      <c r="AG39" s="147"/>
      <c r="AH39" s="147"/>
      <c r="AI39" s="147"/>
      <c r="AJ39" s="147"/>
      <c r="AK39" s="147"/>
      <c r="AL39" s="147"/>
      <c r="AM39" s="147"/>
      <c r="AN39" s="147"/>
      <c r="AO39" s="147"/>
      <c r="AP39" s="147"/>
      <c r="AQ39" s="147"/>
      <c r="AR39" s="147"/>
      <c r="AS39" s="147"/>
      <c r="AT39" s="147"/>
      <c r="AU39" s="147"/>
      <c r="AV39" s="147"/>
      <c r="AW39" s="147"/>
      <c r="AX39" s="147"/>
      <c r="AY39" s="147"/>
      <c r="AZ39" s="147"/>
      <c r="BA39" s="147"/>
      <c r="BB39" s="147"/>
      <c r="BC39" s="147"/>
      <c r="BD39" s="147"/>
      <c r="BE39" s="147"/>
      <c r="BF39" s="147"/>
      <c r="BG39" s="147"/>
      <c r="BH39" s="147"/>
      <c r="BI39" s="147"/>
      <c r="BJ39" s="147"/>
      <c r="BK39" s="147"/>
      <c r="BL39" s="147"/>
      <c r="BM39" s="147"/>
      <c r="BN39" s="147"/>
      <c r="BO39" s="147"/>
      <c r="BP39" s="147"/>
      <c r="BQ39" s="147"/>
      <c r="BR39" s="147"/>
      <c r="BS39" s="147"/>
      <c r="BT39" s="147"/>
      <c r="BU39" s="147"/>
      <c r="BV39" s="147"/>
      <c r="BW39" s="147"/>
      <c r="BX39" s="147"/>
      <c r="BY39" s="147"/>
      <c r="BZ39" s="147"/>
      <c r="CA39" s="147"/>
      <c r="CB39" s="147"/>
      <c r="CC39" s="147"/>
      <c r="CD39" s="147"/>
      <c r="CE39" s="147"/>
      <c r="CF39" s="147"/>
      <c r="CG39" s="147"/>
      <c r="CH39" s="147"/>
      <c r="CI39" s="147"/>
      <c r="CJ39" s="147"/>
      <c r="CK39" s="147"/>
      <c r="CL39" s="147"/>
      <c r="CM39" s="147"/>
      <c r="CN39" s="147"/>
      <c r="CO39" s="147"/>
      <c r="CP39" s="147"/>
    </row>
    <row r="40" spans="1:94" s="153" customFormat="1" ht="15" x14ac:dyDescent="0.25">
      <c r="A40" s="139"/>
      <c r="B40" s="188"/>
      <c r="C40" s="364" t="str">
        <f>Elect_name</f>
        <v>Elected Officials &amp; Full Time Commissioners</v>
      </c>
      <c r="D40" s="365"/>
      <c r="E40" s="189">
        <v>3</v>
      </c>
      <c r="F40" s="151">
        <f>SUMIF($E9:$E35,$E40,$F9:$F35)</f>
        <v>3</v>
      </c>
      <c r="G40" s="193">
        <f>SUMIF($E10:$E35,$E40,$G10:$G35)</f>
        <v>318216</v>
      </c>
      <c r="H40" s="152">
        <f>SUMIF($E10:$E35,$E40,$H10:$H35)</f>
        <v>34950</v>
      </c>
      <c r="I40" s="152">
        <f>SUMIF($E10:$E35,$E40,$I10:$I35)</f>
        <v>65396.57016000001</v>
      </c>
      <c r="J40" s="152">
        <f>SUM(G40:I40)</f>
        <v>418562.57016</v>
      </c>
      <c r="K40" s="259"/>
      <c r="L40" s="193">
        <f>SUMIF($E10:$E35,$E40,$L10:$L35)</f>
        <v>0</v>
      </c>
      <c r="M40" s="152">
        <f>SUMIF($E10:$E35,$E40,$M10:$M35)</f>
        <v>31.821600000000082</v>
      </c>
      <c r="N40" s="152">
        <f>SUM(L40:M40)</f>
        <v>31.821600000000082</v>
      </c>
      <c r="O40"/>
      <c r="P40"/>
      <c r="Q40"/>
      <c r="R40"/>
      <c r="S40"/>
      <c r="T40"/>
      <c r="U40"/>
      <c r="V40"/>
      <c r="W40"/>
      <c r="X40"/>
      <c r="Y40"/>
      <c r="Z40" s="344"/>
      <c r="AA40" s="363"/>
      <c r="AB40" s="363"/>
      <c r="AC40" s="363"/>
      <c r="AD40" s="329"/>
      <c r="AE40" s="147"/>
      <c r="AF40" s="147"/>
      <c r="AG40" s="147"/>
      <c r="AH40" s="147"/>
      <c r="AI40" s="147"/>
      <c r="AJ40" s="147"/>
      <c r="AK40" s="147"/>
      <c r="AL40" s="147"/>
      <c r="AM40" s="147"/>
      <c r="AN40" s="147"/>
      <c r="AO40" s="147"/>
      <c r="AP40" s="147"/>
      <c r="AQ40" s="147"/>
      <c r="AR40" s="147"/>
      <c r="AS40" s="147"/>
      <c r="AT40" s="147"/>
      <c r="AU40" s="147"/>
      <c r="AV40" s="147"/>
      <c r="AW40" s="147"/>
      <c r="AX40" s="147"/>
      <c r="AY40" s="147"/>
      <c r="AZ40" s="147"/>
      <c r="BA40" s="147"/>
      <c r="BB40" s="147"/>
      <c r="BC40" s="147"/>
      <c r="BD40" s="147"/>
      <c r="BE40" s="147"/>
      <c r="BF40" s="147"/>
      <c r="BG40" s="147"/>
      <c r="BH40" s="147"/>
      <c r="BI40" s="147"/>
      <c r="BJ40" s="147"/>
      <c r="BK40" s="147"/>
      <c r="BL40" s="147"/>
      <c r="BM40" s="147"/>
      <c r="BN40" s="147"/>
      <c r="BO40" s="147"/>
      <c r="BP40" s="147"/>
      <c r="BQ40" s="147"/>
      <c r="BR40" s="147"/>
      <c r="BS40" s="147"/>
      <c r="BT40" s="147"/>
      <c r="BU40" s="147"/>
      <c r="BV40" s="147"/>
      <c r="BW40" s="147"/>
      <c r="BX40" s="147"/>
      <c r="BY40" s="147"/>
      <c r="BZ40" s="147"/>
      <c r="CA40" s="147"/>
      <c r="CB40" s="147"/>
      <c r="CC40" s="147"/>
      <c r="CD40" s="147"/>
      <c r="CE40" s="147"/>
      <c r="CF40" s="147"/>
      <c r="CG40" s="147"/>
      <c r="CH40" s="147"/>
      <c r="CI40" s="147"/>
      <c r="CJ40" s="147"/>
      <c r="CK40" s="147"/>
      <c r="CL40" s="147"/>
      <c r="CM40" s="147"/>
      <c r="CN40" s="147"/>
      <c r="CO40" s="147"/>
      <c r="CP40" s="147"/>
    </row>
    <row r="41" spans="1:94" s="153" customFormat="1" ht="15" x14ac:dyDescent="0.25">
      <c r="A41" s="139"/>
      <c r="B41" s="188"/>
      <c r="C41" s="443" t="s">
        <v>38</v>
      </c>
      <c r="D41" s="444"/>
      <c r="E41" s="189"/>
      <c r="F41" s="161">
        <f>SUM(F38:F40)</f>
        <v>54.050000000000004</v>
      </c>
      <c r="G41" s="195">
        <f>SUM($G$38:$G$40)</f>
        <v>3436019.6599999992</v>
      </c>
      <c r="H41" s="162">
        <f>SUM($H$38:$H$40)</f>
        <v>629682.5</v>
      </c>
      <c r="I41" s="162">
        <f>SUM($I$38:$I$40)</f>
        <v>724837.3552760001</v>
      </c>
      <c r="J41" s="162">
        <f>SUM($J$38:$J$40)</f>
        <v>4790539.515275999</v>
      </c>
      <c r="K41" s="259"/>
      <c r="L41" s="195">
        <f>SUM($L$38:$L$40)</f>
        <v>0</v>
      </c>
      <c r="M41" s="162">
        <f>SUM($M$38:$M$40)</f>
        <v>-13407.573759999997</v>
      </c>
      <c r="N41" s="162">
        <f>SUM(L41:M41)</f>
        <v>-13407.573759999997</v>
      </c>
      <c r="O41"/>
      <c r="P41"/>
      <c r="Q41"/>
      <c r="R41"/>
      <c r="S41"/>
      <c r="T41"/>
      <c r="U41"/>
      <c r="V41"/>
      <c r="W41"/>
      <c r="X41"/>
      <c r="Y41"/>
      <c r="Z41" s="344"/>
      <c r="AA41" s="363" t="s">
        <v>94</v>
      </c>
      <c r="AB41" s="333" t="s">
        <v>95</v>
      </c>
      <c r="AC41" s="333" t="s">
        <v>106</v>
      </c>
      <c r="AD41" s="329"/>
      <c r="AE41" s="147"/>
      <c r="AF41" s="147"/>
      <c r="AG41" s="147"/>
      <c r="AH41" s="147"/>
      <c r="AI41" s="147"/>
      <c r="AJ41" s="147"/>
      <c r="AK41" s="147"/>
      <c r="AL41" s="147"/>
      <c r="AM41" s="147"/>
      <c r="AN41" s="147"/>
      <c r="AO41" s="147"/>
      <c r="AP41" s="147"/>
      <c r="AQ41" s="147"/>
      <c r="AR41" s="147"/>
      <c r="AS41" s="147"/>
      <c r="AT41" s="147"/>
      <c r="AU41" s="147"/>
      <c r="AV41" s="147"/>
      <c r="AW41" s="147"/>
      <c r="AX41" s="147"/>
      <c r="AY41" s="147"/>
      <c r="AZ41" s="147"/>
      <c r="BA41" s="147"/>
      <c r="BB41" s="147"/>
      <c r="BC41" s="147"/>
      <c r="BD41" s="147"/>
      <c r="BE41" s="147"/>
      <c r="BF41" s="147"/>
      <c r="BG41" s="147"/>
      <c r="BH41" s="147"/>
      <c r="BI41" s="147"/>
      <c r="BJ41" s="147"/>
      <c r="BK41" s="147"/>
      <c r="BL41" s="147"/>
      <c r="BM41" s="147"/>
      <c r="BN41" s="147"/>
      <c r="BO41" s="147"/>
      <c r="BP41" s="147"/>
      <c r="BQ41" s="147"/>
      <c r="BR41" s="147"/>
      <c r="BS41" s="147"/>
      <c r="BT41" s="147"/>
      <c r="BU41" s="147"/>
      <c r="BV41" s="147"/>
      <c r="BW41" s="147"/>
      <c r="BX41" s="147"/>
      <c r="BY41" s="147"/>
      <c r="BZ41" s="147"/>
      <c r="CA41" s="147"/>
      <c r="CB41" s="147"/>
      <c r="CC41" s="147"/>
      <c r="CD41" s="147"/>
      <c r="CE41" s="147"/>
      <c r="CF41" s="147"/>
      <c r="CG41" s="147"/>
      <c r="CH41" s="147"/>
      <c r="CI41" s="147"/>
      <c r="CJ41" s="147"/>
      <c r="CK41" s="147"/>
      <c r="CL41" s="147"/>
      <c r="CM41" s="147"/>
      <c r="CN41" s="147"/>
      <c r="CO41" s="147"/>
      <c r="CP41" s="147"/>
    </row>
    <row r="42" spans="1:94" s="153" customFormat="1" ht="4.5" customHeight="1" x14ac:dyDescent="0.25">
      <c r="A42" s="139"/>
      <c r="B42" s="188"/>
      <c r="C42" s="445"/>
      <c r="D42" s="446"/>
      <c r="E42" s="196"/>
      <c r="F42" s="197"/>
      <c r="G42" s="198"/>
      <c r="H42" s="199"/>
      <c r="I42" s="199"/>
      <c r="J42" s="324"/>
      <c r="K42" s="200"/>
      <c r="L42" s="323"/>
      <c r="M42" s="323"/>
      <c r="N42" s="201"/>
      <c r="O42"/>
      <c r="P42"/>
      <c r="Q42"/>
      <c r="R42"/>
      <c r="S42"/>
      <c r="T42"/>
      <c r="U42"/>
      <c r="V42"/>
      <c r="W42"/>
      <c r="X42"/>
      <c r="Y42"/>
      <c r="Z42" s="344"/>
      <c r="AA42" s="363"/>
      <c r="AB42" s="363"/>
      <c r="AC42" s="363"/>
      <c r="AD42" s="329"/>
      <c r="AE42" s="147"/>
      <c r="AF42" s="147"/>
      <c r="AG42" s="147"/>
      <c r="AH42" s="147"/>
      <c r="AI42" s="147"/>
      <c r="AJ42" s="147"/>
      <c r="AK42" s="147"/>
      <c r="AL42" s="147"/>
      <c r="AM42" s="147"/>
      <c r="AN42" s="147"/>
      <c r="AO42" s="147"/>
      <c r="AP42" s="147"/>
      <c r="AQ42" s="147"/>
      <c r="AR42" s="147"/>
      <c r="AS42" s="147"/>
      <c r="AT42" s="147"/>
      <c r="AU42" s="147"/>
      <c r="AV42" s="147"/>
      <c r="AW42" s="147"/>
      <c r="AX42" s="147"/>
      <c r="AY42" s="147"/>
      <c r="AZ42" s="147"/>
      <c r="BA42" s="147"/>
      <c r="BB42" s="147"/>
      <c r="BC42" s="147"/>
      <c r="BD42" s="147"/>
      <c r="BE42" s="147"/>
      <c r="BF42" s="147"/>
      <c r="BG42" s="147"/>
      <c r="BH42" s="147"/>
      <c r="BI42" s="147"/>
      <c r="BJ42" s="147"/>
      <c r="BK42" s="147"/>
      <c r="BL42" s="147"/>
      <c r="BM42" s="147"/>
      <c r="BN42" s="147"/>
      <c r="BO42" s="147"/>
      <c r="BP42" s="147"/>
      <c r="BQ42" s="147"/>
      <c r="BR42" s="147"/>
      <c r="BS42" s="147"/>
      <c r="BT42" s="147"/>
      <c r="BU42" s="147"/>
      <c r="BV42" s="147"/>
      <c r="BW42" s="147"/>
      <c r="BX42" s="147"/>
      <c r="BY42" s="147"/>
      <c r="BZ42" s="147"/>
      <c r="CA42" s="147"/>
      <c r="CB42" s="147"/>
      <c r="CC42" s="147"/>
      <c r="CD42" s="147"/>
      <c r="CE42" s="147"/>
      <c r="CF42" s="147"/>
      <c r="CG42" s="147"/>
      <c r="CH42" s="147"/>
      <c r="CI42" s="147"/>
      <c r="CJ42" s="147"/>
      <c r="CK42" s="147"/>
      <c r="CL42" s="147"/>
      <c r="CM42" s="147"/>
      <c r="CN42" s="147"/>
      <c r="CO42" s="147"/>
      <c r="CP42" s="147"/>
    </row>
    <row r="43" spans="1:94" s="153" customFormat="1" ht="15.75" customHeight="1" x14ac:dyDescent="0.25">
      <c r="A43" s="139"/>
      <c r="B43" s="202"/>
      <c r="C43" s="447" t="s">
        <v>39</v>
      </c>
      <c r="D43" s="448"/>
      <c r="E43" s="203" t="s">
        <v>40</v>
      </c>
      <c r="F43" s="205">
        <f>ROUND(F51-F41,2)</f>
        <v>8.25</v>
      </c>
      <c r="G43" s="206">
        <f>ROUND(G51-G41,-2)</f>
        <v>375200</v>
      </c>
      <c r="H43" s="159">
        <f>ROUND(H51-H41,-2)</f>
        <v>68800</v>
      </c>
      <c r="I43" s="159">
        <f>ROUND(I51-I41,-2)</f>
        <v>79100</v>
      </c>
      <c r="J43" s="159">
        <f>SUM(G43:I43)</f>
        <v>523100</v>
      </c>
      <c r="K43" s="424" t="str">
        <f>IF(E51=0,"ERROR! Enter Original Appropriation amount in DU 3.00!","Calculated "&amp;IF(J43&gt;0,"overfunding ","underfunding ")&amp;"is "&amp;TEXT(J43/J51,"#.0%;(#.0% );0% ;")&amp;" of Original Appropriation")</f>
        <v>Calculated overfunding is 9.8% of Original Appropriation</v>
      </c>
      <c r="L43" s="425"/>
      <c r="M43" s="425"/>
      <c r="N43" s="426"/>
      <c r="O43"/>
      <c r="P43"/>
      <c r="Q43"/>
      <c r="R43"/>
      <c r="S43"/>
      <c r="T43"/>
      <c r="U43"/>
      <c r="V43"/>
      <c r="W43"/>
      <c r="X43"/>
      <c r="Y43"/>
      <c r="Z43" s="344"/>
      <c r="AA43" s="451" t="s">
        <v>108</v>
      </c>
      <c r="AB43" s="452"/>
      <c r="AC43" s="452"/>
      <c r="AD43" s="329"/>
      <c r="AE43" s="147"/>
      <c r="AF43" s="147"/>
      <c r="AG43" s="147"/>
      <c r="AH43" s="147"/>
      <c r="AI43" s="147"/>
      <c r="AJ43" s="147"/>
      <c r="AK43" s="147"/>
      <c r="AL43" s="147"/>
      <c r="AM43" s="147"/>
      <c r="AN43" s="147"/>
      <c r="AO43" s="147"/>
      <c r="AP43" s="147"/>
      <c r="AQ43" s="147"/>
      <c r="AR43" s="147"/>
      <c r="AS43" s="147"/>
      <c r="AT43" s="147"/>
      <c r="AU43" s="147"/>
      <c r="AV43" s="147"/>
      <c r="AW43" s="147"/>
      <c r="AX43" s="147"/>
      <c r="AY43" s="147"/>
      <c r="AZ43" s="147"/>
      <c r="BA43" s="147"/>
      <c r="BB43" s="147"/>
      <c r="BC43" s="147"/>
      <c r="BD43" s="147"/>
      <c r="BE43" s="147"/>
      <c r="BF43" s="147"/>
      <c r="BG43" s="147"/>
      <c r="BH43" s="147"/>
      <c r="BI43" s="147"/>
      <c r="BJ43" s="147"/>
      <c r="BK43" s="147"/>
      <c r="BL43" s="147"/>
      <c r="BM43" s="147"/>
      <c r="BN43" s="147"/>
      <c r="BO43" s="147"/>
      <c r="BP43" s="147"/>
      <c r="BQ43" s="147"/>
      <c r="BR43" s="147"/>
      <c r="BS43" s="147"/>
      <c r="BT43" s="147"/>
      <c r="BU43" s="147"/>
      <c r="BV43" s="147"/>
      <c r="BW43" s="147"/>
      <c r="BX43" s="147"/>
      <c r="BY43" s="147"/>
      <c r="BZ43" s="147"/>
      <c r="CA43" s="147"/>
      <c r="CB43" s="147"/>
      <c r="CC43" s="147"/>
      <c r="CD43" s="147"/>
      <c r="CE43" s="147"/>
      <c r="CF43" s="147"/>
      <c r="CG43" s="147"/>
      <c r="CH43" s="147"/>
      <c r="CI43" s="147"/>
      <c r="CJ43" s="147"/>
      <c r="CK43" s="147"/>
      <c r="CL43" s="147"/>
      <c r="CM43" s="147"/>
      <c r="CN43" s="147"/>
      <c r="CO43" s="147"/>
      <c r="CP43" s="147"/>
    </row>
    <row r="44" spans="1:94" s="153" customFormat="1" ht="15.75" customHeight="1" x14ac:dyDescent="0.25">
      <c r="A44" s="139"/>
      <c r="B44" s="202"/>
      <c r="C44" s="449"/>
      <c r="D44" s="450"/>
      <c r="E44" s="204" t="s">
        <v>41</v>
      </c>
      <c r="F44" s="205">
        <f>ROUND(F60-F41,2)</f>
        <v>8.25</v>
      </c>
      <c r="G44" s="206">
        <f>ROUND(G60-G41,-2)</f>
        <v>375200</v>
      </c>
      <c r="H44" s="159">
        <f>ROUND(H60-H41,-2)</f>
        <v>68700</v>
      </c>
      <c r="I44" s="159">
        <f>ROUND(I60-I41,-2)</f>
        <v>79200</v>
      </c>
      <c r="J44" s="159">
        <f>SUM(G44:I44)</f>
        <v>523100</v>
      </c>
      <c r="K44" s="424" t="str">
        <f>IF(E51=0,"ERROR! Enter Original Appropriation amount in DU 3.00!","Calculated "&amp;IF(J44&gt;0,"overfunding ","underfunding ")&amp;"is "&amp;TEXT(J44/J60,"#.0%;(#.0% );0% ;")&amp;" of Estimated Expenditures")</f>
        <v>Calculated overfunding is 9.8% of Estimated Expenditures</v>
      </c>
      <c r="L44" s="425"/>
      <c r="M44" s="425"/>
      <c r="N44" s="426"/>
      <c r="O44"/>
      <c r="P44"/>
      <c r="Q44"/>
      <c r="R44"/>
      <c r="S44"/>
      <c r="T44"/>
      <c r="U44"/>
      <c r="V44"/>
      <c r="W44"/>
      <c r="X44"/>
      <c r="Y44"/>
      <c r="Z44" s="344"/>
      <c r="AA44" s="338">
        <f>NEW_AdjPermSalary-NEW_PermSalaryFilled</f>
        <v>0</v>
      </c>
      <c r="AB44" s="338">
        <f>NEW_AdjPermVB-NEW_PermVBFilled</f>
        <v>0</v>
      </c>
      <c r="AC44" s="338">
        <f>SUM(AA44:AB44)</f>
        <v>0</v>
      </c>
      <c r="AD44" s="329"/>
      <c r="AE44" s="147"/>
      <c r="AF44" s="147"/>
      <c r="AG44" s="147"/>
      <c r="AH44" s="147"/>
      <c r="AI44" s="147"/>
      <c r="AJ44" s="147"/>
      <c r="AK44" s="147"/>
      <c r="AL44" s="147"/>
      <c r="AM44" s="147"/>
      <c r="AN44" s="147"/>
      <c r="AO44" s="147"/>
      <c r="AP44" s="147"/>
      <c r="AQ44" s="147"/>
      <c r="AR44" s="147"/>
      <c r="AS44" s="147"/>
      <c r="AT44" s="147"/>
      <c r="AU44" s="147"/>
      <c r="AV44" s="147"/>
      <c r="AW44" s="147"/>
      <c r="AX44" s="147"/>
      <c r="AY44" s="147"/>
      <c r="AZ44" s="147"/>
      <c r="BA44" s="147"/>
      <c r="BB44" s="147"/>
      <c r="BC44" s="147"/>
      <c r="BD44" s="147"/>
      <c r="BE44" s="147"/>
      <c r="BF44" s="147"/>
      <c r="BG44" s="147"/>
      <c r="BH44" s="147"/>
      <c r="BI44" s="147"/>
      <c r="BJ44" s="147"/>
      <c r="BK44" s="147"/>
      <c r="BL44" s="147"/>
      <c r="BM44" s="147"/>
      <c r="BN44" s="147"/>
      <c r="BO44" s="147"/>
      <c r="BP44" s="147"/>
      <c r="BQ44" s="147"/>
      <c r="BR44" s="147"/>
      <c r="BS44" s="147"/>
      <c r="BT44" s="147"/>
      <c r="BU44" s="147"/>
      <c r="BV44" s="147"/>
      <c r="BW44" s="147"/>
      <c r="BX44" s="147"/>
      <c r="BY44" s="147"/>
      <c r="BZ44" s="147"/>
      <c r="CA44" s="147"/>
      <c r="CB44" s="147"/>
      <c r="CC44" s="147"/>
      <c r="CD44" s="147"/>
      <c r="CE44" s="147"/>
      <c r="CF44" s="147"/>
      <c r="CG44" s="147"/>
      <c r="CH44" s="147"/>
      <c r="CI44" s="147"/>
      <c r="CJ44" s="147"/>
      <c r="CK44" s="147"/>
      <c r="CL44" s="147"/>
      <c r="CM44" s="147"/>
      <c r="CN44" s="147"/>
      <c r="CO44" s="147"/>
      <c r="CP44" s="147"/>
    </row>
    <row r="45" spans="1:94" s="153" customFormat="1" ht="15.75" customHeight="1" x14ac:dyDescent="0.25">
      <c r="A45" s="139"/>
      <c r="B45" s="202"/>
      <c r="C45" s="215"/>
      <c r="D45" s="215"/>
      <c r="E45" s="204" t="s">
        <v>99</v>
      </c>
      <c r="F45" s="205">
        <f>ROUND(F67-F41-F63,2)</f>
        <v>8.25</v>
      </c>
      <c r="G45" s="206">
        <f>ROUND(G67-G41-G63,-2)</f>
        <v>375200</v>
      </c>
      <c r="H45" s="206">
        <f>ROUND(H67-H41-H63,-2)</f>
        <v>68700</v>
      </c>
      <c r="I45" s="206">
        <f>ROUND(I67-I41-I63,-2)</f>
        <v>79200</v>
      </c>
      <c r="J45" s="159">
        <f>SUM(G45:I45)</f>
        <v>523100</v>
      </c>
      <c r="K45" s="424" t="str">
        <f>IF(J67=0,"Program has a zero base",IF(E51=0,"ERROR! Enter Original Appropriation amount in DU 3.00!","Calculated "&amp;IF(J45&gt;0,"overfunding ","underfunding ")&amp;"is "&amp;TEXT(J45/J67,"#.0%;(#.0% );0% ;")&amp;" of the Base"))</f>
        <v>Calculated overfunding is 9.8% of the Base</v>
      </c>
      <c r="L45" s="425"/>
      <c r="M45" s="425"/>
      <c r="N45" s="426"/>
      <c r="O45"/>
      <c r="P45"/>
      <c r="Q45"/>
      <c r="R45"/>
      <c r="S45"/>
      <c r="T45"/>
      <c r="U45"/>
      <c r="V45"/>
      <c r="W45"/>
      <c r="X45"/>
      <c r="Y45"/>
      <c r="Z45" s="344"/>
      <c r="AA45" s="338">
        <f>NEW_AdjGroupSalary-NEW_GroupSalaryFilled</f>
        <v>0</v>
      </c>
      <c r="AB45" s="338">
        <f>NEW_AdjGroupVB-NEW_GroupVBFilled</f>
        <v>100</v>
      </c>
      <c r="AC45" s="338">
        <f>SUM(AA45:AB45)</f>
        <v>100</v>
      </c>
      <c r="AD45" s="329"/>
      <c r="AE45" s="147"/>
      <c r="AF45" s="147"/>
      <c r="AG45" s="147"/>
      <c r="AH45" s="147"/>
      <c r="AI45" s="147"/>
      <c r="AJ45" s="147"/>
      <c r="AK45" s="147"/>
      <c r="AL45" s="147"/>
      <c r="AM45" s="147"/>
      <c r="AN45" s="147"/>
      <c r="AO45" s="147"/>
      <c r="AP45" s="147"/>
      <c r="AQ45" s="147"/>
      <c r="AR45" s="147"/>
      <c r="AS45" s="147"/>
      <c r="AT45" s="147"/>
      <c r="AU45" s="147"/>
      <c r="AV45" s="147"/>
      <c r="AW45" s="147"/>
      <c r="AX45" s="147"/>
      <c r="AY45" s="147"/>
      <c r="AZ45" s="147"/>
      <c r="BA45" s="147"/>
      <c r="BB45" s="147"/>
      <c r="BC45" s="147"/>
      <c r="BD45" s="147"/>
      <c r="BE45" s="147"/>
      <c r="BF45" s="147"/>
      <c r="BG45" s="147"/>
      <c r="BH45" s="147"/>
      <c r="BI45" s="147"/>
      <c r="BJ45" s="147"/>
      <c r="BK45" s="147"/>
      <c r="BL45" s="147"/>
      <c r="BM45" s="147"/>
      <c r="BN45" s="147"/>
      <c r="BO45" s="147"/>
      <c r="BP45" s="147"/>
      <c r="BQ45" s="147"/>
      <c r="BR45" s="147"/>
      <c r="BS45" s="147"/>
      <c r="BT45" s="147"/>
      <c r="BU45" s="147"/>
      <c r="BV45" s="147"/>
      <c r="BW45" s="147"/>
      <c r="BX45" s="147"/>
      <c r="BY45" s="147"/>
      <c r="BZ45" s="147"/>
      <c r="CA45" s="147"/>
      <c r="CB45" s="147"/>
      <c r="CC45" s="147"/>
      <c r="CD45" s="147"/>
      <c r="CE45" s="147"/>
      <c r="CF45" s="147"/>
      <c r="CG45" s="147"/>
      <c r="CH45" s="147"/>
      <c r="CI45" s="147"/>
      <c r="CJ45" s="147"/>
      <c r="CK45" s="147"/>
      <c r="CL45" s="147"/>
      <c r="CM45" s="147"/>
      <c r="CN45" s="147"/>
      <c r="CO45" s="147"/>
      <c r="CP45" s="147"/>
    </row>
    <row r="46" spans="1:94" s="153" customFormat="1" ht="28.5" customHeight="1" x14ac:dyDescent="0.25">
      <c r="A46" s="139"/>
      <c r="B46" s="202"/>
      <c r="C46" s="215"/>
      <c r="D46" s="215"/>
      <c r="E46" s="427" t="s">
        <v>100</v>
      </c>
      <c r="F46" s="428"/>
      <c r="G46" s="428"/>
      <c r="H46" s="428"/>
      <c r="I46" s="428"/>
      <c r="J46" s="429"/>
      <c r="K46" s="433" t="str">
        <f>IF(OR(J45&lt;0,F45&lt;0),"You may not have sufficient funding or authorized FTP, and may need to make additional adjustments to finalize this form.  Please contact both your DFM and LSO analysts.","")</f>
        <v/>
      </c>
      <c r="L46" s="434"/>
      <c r="M46" s="434"/>
      <c r="N46" s="435"/>
      <c r="O46"/>
      <c r="P46"/>
      <c r="Q46"/>
      <c r="R46"/>
      <c r="S46"/>
      <c r="T46"/>
      <c r="U46"/>
      <c r="V46"/>
      <c r="W46"/>
      <c r="X46"/>
      <c r="Y46"/>
      <c r="Z46" s="344"/>
      <c r="AA46" s="363"/>
      <c r="AB46" s="363"/>
      <c r="AC46" s="363"/>
      <c r="AD46" s="329"/>
      <c r="AE46" s="147"/>
      <c r="AF46" s="147"/>
      <c r="AG46" s="147"/>
      <c r="AH46" s="147"/>
      <c r="AI46" s="147"/>
      <c r="AJ46" s="147"/>
      <c r="AK46" s="147"/>
      <c r="AL46" s="147"/>
      <c r="AM46" s="147"/>
      <c r="AN46" s="147"/>
      <c r="AO46" s="147"/>
      <c r="AP46" s="147"/>
      <c r="AQ46" s="147"/>
      <c r="AR46" s="147"/>
      <c r="AS46" s="147"/>
      <c r="AT46" s="147"/>
      <c r="AU46" s="147"/>
      <c r="AV46" s="147"/>
      <c r="AW46" s="147"/>
      <c r="AX46" s="147"/>
      <c r="AY46" s="147"/>
      <c r="AZ46" s="147"/>
      <c r="BA46" s="147"/>
      <c r="BB46" s="147"/>
      <c r="BC46" s="147"/>
      <c r="BD46" s="147"/>
      <c r="BE46" s="147"/>
      <c r="BF46" s="147"/>
      <c r="BG46" s="147"/>
      <c r="BH46" s="147"/>
      <c r="BI46" s="147"/>
      <c r="BJ46" s="147"/>
      <c r="BK46" s="147"/>
      <c r="BL46" s="147"/>
      <c r="BM46" s="147"/>
      <c r="BN46" s="147"/>
      <c r="BO46" s="147"/>
      <c r="BP46" s="147"/>
      <c r="BQ46" s="147"/>
      <c r="BR46" s="147"/>
      <c r="BS46" s="147"/>
      <c r="BT46" s="147"/>
      <c r="BU46" s="147"/>
      <c r="BV46" s="147"/>
      <c r="BW46" s="147"/>
      <c r="BX46" s="147"/>
      <c r="BY46" s="147"/>
      <c r="BZ46" s="147"/>
      <c r="CA46" s="147"/>
      <c r="CB46" s="147"/>
      <c r="CC46" s="147"/>
      <c r="CD46" s="147"/>
      <c r="CE46" s="147"/>
      <c r="CF46" s="147"/>
      <c r="CG46" s="147"/>
      <c r="CH46" s="147"/>
      <c r="CI46" s="147"/>
      <c r="CJ46" s="147"/>
      <c r="CK46" s="147"/>
      <c r="CL46" s="147"/>
      <c r="CM46" s="147"/>
      <c r="CN46" s="147"/>
      <c r="CO46" s="147"/>
      <c r="CP46" s="147"/>
    </row>
    <row r="47" spans="1:94" s="153" customFormat="1" ht="21.75" customHeight="1" x14ac:dyDescent="0.25">
      <c r="A47" s="139"/>
      <c r="B47" s="202"/>
      <c r="C47" s="215"/>
      <c r="D47" s="215"/>
      <c r="E47" s="430"/>
      <c r="F47" s="431"/>
      <c r="G47" s="431"/>
      <c r="H47" s="431"/>
      <c r="I47" s="431"/>
      <c r="J47" s="432"/>
      <c r="K47" s="436"/>
      <c r="L47" s="437"/>
      <c r="M47" s="437"/>
      <c r="N47" s="438"/>
      <c r="O47"/>
      <c r="P47"/>
      <c r="Q47"/>
      <c r="R47"/>
      <c r="S47"/>
      <c r="T47"/>
      <c r="U47"/>
      <c r="V47"/>
      <c r="W47"/>
      <c r="X47"/>
      <c r="Y47"/>
      <c r="Z47" s="344"/>
      <c r="AA47" s="363"/>
      <c r="AB47" s="363"/>
      <c r="AC47" s="363"/>
      <c r="AD47" s="329"/>
      <c r="AE47" s="147"/>
      <c r="AF47" s="147"/>
      <c r="AG47" s="147"/>
      <c r="AH47" s="147"/>
      <c r="AI47" s="147"/>
      <c r="AJ47" s="147"/>
      <c r="AK47" s="147"/>
      <c r="AL47" s="147"/>
      <c r="AM47" s="147"/>
      <c r="AN47" s="147"/>
      <c r="AO47" s="147"/>
      <c r="AP47" s="147"/>
      <c r="AQ47" s="147"/>
      <c r="AR47" s="147"/>
      <c r="AS47" s="147"/>
      <c r="AT47" s="147"/>
      <c r="AU47" s="147"/>
      <c r="AV47" s="147"/>
      <c r="AW47" s="147"/>
      <c r="AX47" s="147"/>
      <c r="AY47" s="147"/>
      <c r="AZ47" s="147"/>
      <c r="BA47" s="147"/>
      <c r="BB47" s="147"/>
      <c r="BC47" s="147"/>
      <c r="BD47" s="147"/>
      <c r="BE47" s="147"/>
      <c r="BF47" s="147"/>
      <c r="BG47" s="147"/>
      <c r="BH47" s="147"/>
      <c r="BI47" s="147"/>
      <c r="BJ47" s="147"/>
      <c r="BK47" s="147"/>
      <c r="BL47" s="147"/>
      <c r="BM47" s="147"/>
      <c r="BN47" s="147"/>
      <c r="BO47" s="147"/>
      <c r="BP47" s="147"/>
      <c r="BQ47" s="147"/>
      <c r="BR47" s="147"/>
      <c r="BS47" s="147"/>
      <c r="BT47" s="147"/>
      <c r="BU47" s="147"/>
      <c r="BV47" s="147"/>
      <c r="BW47" s="147"/>
      <c r="BX47" s="147"/>
      <c r="BY47" s="147"/>
      <c r="BZ47" s="147"/>
      <c r="CA47" s="147"/>
      <c r="CB47" s="147"/>
      <c r="CC47" s="147"/>
      <c r="CD47" s="147"/>
      <c r="CE47" s="147"/>
      <c r="CF47" s="147"/>
      <c r="CG47" s="147"/>
      <c r="CH47" s="147"/>
      <c r="CI47" s="147"/>
      <c r="CJ47" s="147"/>
      <c r="CK47" s="147"/>
      <c r="CL47" s="147"/>
      <c r="CM47" s="147"/>
      <c r="CN47" s="147"/>
      <c r="CO47" s="147"/>
      <c r="CP47" s="147"/>
    </row>
    <row r="48" spans="1:94" s="214" customFormat="1" ht="8.25" customHeight="1" x14ac:dyDescent="0.25">
      <c r="A48" s="207"/>
      <c r="B48" s="208"/>
      <c r="C48" s="136"/>
      <c r="D48" s="136"/>
      <c r="E48" s="209"/>
      <c r="F48" s="210"/>
      <c r="G48" s="211"/>
      <c r="H48" s="211"/>
      <c r="I48" s="211"/>
      <c r="J48" s="211"/>
      <c r="K48" s="211"/>
      <c r="L48" s="137"/>
      <c r="M48" s="138"/>
      <c r="N48" s="212"/>
      <c r="O48"/>
      <c r="P48"/>
      <c r="Q48"/>
      <c r="R48"/>
      <c r="S48"/>
      <c r="T48"/>
      <c r="U48"/>
      <c r="V48"/>
      <c r="W48"/>
      <c r="X48"/>
      <c r="Y48"/>
      <c r="Z48" s="344"/>
      <c r="AA48" s="339"/>
      <c r="AB48" s="339"/>
      <c r="AC48" s="339"/>
      <c r="AD48" s="330"/>
      <c r="AE48" s="213"/>
      <c r="AF48" s="213"/>
      <c r="AG48" s="213"/>
      <c r="AH48" s="213"/>
      <c r="AI48" s="213"/>
      <c r="AJ48" s="213"/>
      <c r="AK48" s="213"/>
      <c r="AL48" s="213"/>
      <c r="AM48" s="213"/>
      <c r="AN48" s="213"/>
      <c r="AO48" s="213"/>
      <c r="AP48" s="213"/>
      <c r="AQ48" s="213"/>
      <c r="AR48" s="213"/>
      <c r="AS48" s="213"/>
      <c r="AT48" s="213"/>
      <c r="AU48" s="213"/>
      <c r="AV48" s="213"/>
      <c r="AW48" s="213"/>
      <c r="AX48" s="213"/>
      <c r="AY48" s="213"/>
      <c r="AZ48" s="213"/>
      <c r="BA48" s="213"/>
      <c r="BB48" s="213"/>
      <c r="BC48" s="213"/>
      <c r="BD48" s="213"/>
      <c r="BE48" s="213"/>
      <c r="BF48" s="213"/>
      <c r="BG48" s="213"/>
      <c r="BH48" s="213"/>
      <c r="BI48" s="213"/>
      <c r="BJ48" s="213"/>
      <c r="BK48" s="213"/>
      <c r="BL48" s="213"/>
      <c r="BM48" s="213"/>
      <c r="BN48" s="213"/>
      <c r="BO48" s="213"/>
      <c r="BP48" s="213"/>
      <c r="BQ48" s="213"/>
      <c r="BR48" s="213"/>
      <c r="BS48" s="213"/>
      <c r="BT48" s="213"/>
      <c r="BU48" s="213"/>
      <c r="BV48" s="213"/>
      <c r="BW48" s="213"/>
      <c r="BX48" s="213"/>
      <c r="BY48" s="213"/>
      <c r="BZ48" s="213"/>
      <c r="CA48" s="213"/>
      <c r="CB48" s="213"/>
      <c r="CC48" s="213"/>
      <c r="CD48" s="213"/>
      <c r="CE48" s="213"/>
      <c r="CF48" s="213"/>
      <c r="CG48" s="213"/>
      <c r="CH48" s="213"/>
      <c r="CI48" s="213"/>
      <c r="CJ48" s="213"/>
      <c r="CK48" s="213"/>
      <c r="CL48" s="213"/>
      <c r="CM48" s="213"/>
      <c r="CN48" s="213"/>
      <c r="CO48" s="213"/>
      <c r="CP48" s="213"/>
    </row>
    <row r="49" spans="1:94" s="53" customFormat="1" ht="6" customHeight="1" x14ac:dyDescent="0.25">
      <c r="A49" s="63"/>
      <c r="B49" s="64"/>
      <c r="C49" s="65"/>
      <c r="D49" s="66"/>
      <c r="E49" s="67"/>
      <c r="F49" s="68"/>
      <c r="G49" s="64"/>
      <c r="H49" s="64"/>
      <c r="I49" s="64"/>
      <c r="J49" s="64"/>
      <c r="K49" s="64"/>
      <c r="L49" s="69"/>
      <c r="M49" s="69"/>
      <c r="N49" s="70"/>
      <c r="O49"/>
      <c r="P49"/>
      <c r="Q49"/>
      <c r="R49"/>
      <c r="S49"/>
      <c r="T49"/>
      <c r="U49"/>
      <c r="V49"/>
      <c r="W49"/>
      <c r="X49"/>
      <c r="Y49"/>
      <c r="Z49" s="344"/>
      <c r="AA49" s="363"/>
      <c r="AB49" s="363"/>
      <c r="AC49" s="363"/>
      <c r="AD49" s="110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1"/>
      <c r="AV49" s="41"/>
      <c r="AW49" s="41"/>
      <c r="AX49" s="41"/>
      <c r="AY49" s="41"/>
      <c r="AZ49" s="41"/>
      <c r="BA49" s="41"/>
      <c r="BB49" s="41"/>
      <c r="BC49" s="41"/>
      <c r="BD49" s="41"/>
      <c r="BE49" s="41"/>
      <c r="BF49" s="41"/>
      <c r="BG49" s="41"/>
      <c r="BH49" s="41"/>
      <c r="BI49" s="41"/>
      <c r="BJ49" s="41"/>
      <c r="BK49" s="41"/>
      <c r="BL49" s="41"/>
      <c r="BM49" s="41"/>
      <c r="BN49" s="41"/>
      <c r="BO49" s="41"/>
      <c r="BP49" s="41"/>
      <c r="BQ49" s="41"/>
      <c r="BR49" s="41"/>
      <c r="BS49" s="41"/>
      <c r="BT49" s="41"/>
      <c r="BU49" s="41"/>
      <c r="BV49" s="41"/>
      <c r="BW49" s="41"/>
      <c r="BX49" s="41"/>
      <c r="BY49" s="41"/>
      <c r="BZ49" s="41"/>
      <c r="CA49" s="41"/>
      <c r="CB49" s="41"/>
      <c r="CC49" s="41"/>
      <c r="CD49" s="41"/>
      <c r="CE49" s="41"/>
      <c r="CF49" s="41"/>
      <c r="CG49" s="41"/>
      <c r="CH49" s="41"/>
      <c r="CI49" s="41"/>
      <c r="CJ49" s="41"/>
      <c r="CK49" s="41"/>
      <c r="CL49" s="41"/>
      <c r="CM49" s="41"/>
      <c r="CN49" s="41"/>
      <c r="CO49" s="41"/>
      <c r="CP49" s="41"/>
    </row>
    <row r="50" spans="1:94" s="53" customFormat="1" ht="24.75" customHeight="1" x14ac:dyDescent="0.25">
      <c r="A50" s="257" t="s">
        <v>42</v>
      </c>
      <c r="B50" s="71"/>
      <c r="C50" s="439"/>
      <c r="D50" s="440"/>
      <c r="E50" s="72" t="s">
        <v>43</v>
      </c>
      <c r="F50" s="73" t="s">
        <v>24</v>
      </c>
      <c r="G50" s="72" t="str">
        <f>"FY "&amp;M4-2001&amp;" Salary"</f>
        <v>FY 22 Salary</v>
      </c>
      <c r="H50" s="72" t="str">
        <f>"FY "&amp;M4-2001&amp;" Health Ben"</f>
        <v>FY 22 Health Ben</v>
      </c>
      <c r="I50" s="72" t="str">
        <f>"FY "&amp;M4-2001&amp;" Var Ben"</f>
        <v>FY 22 Var Ben</v>
      </c>
      <c r="J50" s="72" t="str">
        <f>"FY "&amp;M4-1&amp;" Total"</f>
        <v>FY 2022 Total</v>
      </c>
      <c r="K50" s="307" t="str">
        <f>"FY "&amp;FiscalYear&amp;" SALARY CHG"</f>
        <v>FY 2023 SALARY CHG</v>
      </c>
      <c r="L50" s="74" t="str">
        <f>"FY "&amp;M4-2000&amp;" Chg Health Bens"</f>
        <v>FY 23 Chg Health Bens</v>
      </c>
      <c r="M50" s="74" t="str">
        <f>"FY "&amp;M4-2000&amp;" Chg Var Bens"</f>
        <v>FY 23 Chg Var Bens</v>
      </c>
      <c r="N50" s="74" t="s">
        <v>44</v>
      </c>
      <c r="O50"/>
      <c r="P50"/>
      <c r="Q50"/>
      <c r="R50"/>
      <c r="S50"/>
      <c r="T50"/>
      <c r="U50"/>
      <c r="V50"/>
      <c r="W50"/>
      <c r="X50"/>
      <c r="Y50"/>
      <c r="Z50" s="344"/>
      <c r="AA50" s="363"/>
      <c r="AB50" s="363"/>
      <c r="AC50" s="363"/>
      <c r="AD50" s="110"/>
      <c r="AE50" s="41"/>
      <c r="AF50" s="41"/>
      <c r="AG50" s="41"/>
      <c r="AH50" s="41"/>
      <c r="AI50" s="41"/>
      <c r="AJ50" s="41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U50" s="41"/>
      <c r="AV50" s="41"/>
      <c r="AW50" s="41"/>
      <c r="AX50" s="41"/>
      <c r="AY50" s="41"/>
      <c r="AZ50" s="41"/>
      <c r="BA50" s="41"/>
      <c r="BB50" s="41"/>
      <c r="BC50" s="41"/>
      <c r="BD50" s="41"/>
      <c r="BE50" s="41"/>
      <c r="BF50" s="41"/>
      <c r="BG50" s="41"/>
      <c r="BH50" s="41"/>
      <c r="BI50" s="41"/>
      <c r="BJ50" s="41"/>
      <c r="BK50" s="41"/>
      <c r="BL50" s="41"/>
      <c r="BM50" s="41"/>
      <c r="BN50" s="41"/>
      <c r="BO50" s="41"/>
      <c r="BP50" s="41"/>
      <c r="BQ50" s="41"/>
      <c r="BR50" s="41"/>
      <c r="BS50" s="41"/>
      <c r="BT50" s="41"/>
      <c r="BU50" s="41"/>
      <c r="BV50" s="41"/>
      <c r="BW50" s="41"/>
      <c r="BX50" s="41"/>
      <c r="BY50" s="41"/>
      <c r="BZ50" s="41"/>
      <c r="CA50" s="41"/>
      <c r="CB50" s="41"/>
      <c r="CC50" s="41"/>
      <c r="CD50" s="41"/>
      <c r="CE50" s="41"/>
      <c r="CF50" s="41"/>
      <c r="CG50" s="41"/>
      <c r="CH50" s="41"/>
      <c r="CI50" s="41"/>
      <c r="CJ50" s="41"/>
      <c r="CK50" s="41"/>
      <c r="CL50" s="41"/>
      <c r="CM50" s="41"/>
      <c r="CN50" s="41"/>
      <c r="CO50" s="41"/>
      <c r="CP50" s="41"/>
    </row>
    <row r="51" spans="1:94" s="53" customFormat="1" ht="15.75" customHeight="1" x14ac:dyDescent="0.25">
      <c r="A51" s="75">
        <v>3</v>
      </c>
      <c r="B51" s="76" t="s">
        <v>45</v>
      </c>
      <c r="C51" s="54" t="str">
        <f>"FY "&amp;M4-1</f>
        <v>FY 2022</v>
      </c>
      <c r="D51" s="77" t="s">
        <v>31</v>
      </c>
      <c r="E51" s="78">
        <f>OrigApprop</f>
        <v>5313600</v>
      </c>
      <c r="F51" s="272">
        <f>AppropFTP</f>
        <v>62.3</v>
      </c>
      <c r="G51" s="274">
        <f>IF(E51=0,0,(G41/$J$41)*$E$51)</f>
        <v>3811185.3596356595</v>
      </c>
      <c r="H51" s="274">
        <f>IF(E51=0,0,(H41/$J$41)*$E$51)</f>
        <v>698435.09720162116</v>
      </c>
      <c r="I51" s="275">
        <f>IF(E51=0,0,(I41/$J$41)*$E$51)</f>
        <v>803979.5431627197</v>
      </c>
      <c r="J51" s="90">
        <f>SUM(G51:I51)</f>
        <v>5313600</v>
      </c>
      <c r="K51" s="263"/>
      <c r="L51" s="61"/>
      <c r="M51" s="81"/>
      <c r="N51" s="81"/>
      <c r="O51"/>
      <c r="P51"/>
      <c r="Q51"/>
      <c r="R51"/>
      <c r="S51"/>
      <c r="T51"/>
      <c r="U51"/>
      <c r="V51"/>
      <c r="W51"/>
      <c r="X51"/>
      <c r="Y51"/>
      <c r="Z51" s="344"/>
      <c r="AA51" s="346"/>
      <c r="AB51" s="363"/>
      <c r="AC51" s="363"/>
      <c r="AD51" s="110"/>
      <c r="AE51" s="41"/>
      <c r="AF51" s="41"/>
      <c r="AG51" s="41"/>
      <c r="AH51" s="41"/>
      <c r="AI51" s="41"/>
      <c r="AJ51" s="41"/>
      <c r="AK51" s="41"/>
      <c r="AL51" s="41"/>
      <c r="AM51" s="41"/>
      <c r="AN51" s="41"/>
      <c r="AO51" s="41"/>
      <c r="AP51" s="41"/>
      <c r="AQ51" s="41"/>
      <c r="AR51" s="41"/>
      <c r="AS51" s="41"/>
      <c r="AT51" s="41"/>
      <c r="AU51" s="41"/>
      <c r="AV51" s="41"/>
      <c r="AW51" s="41"/>
      <c r="AX51" s="41"/>
      <c r="AY51" s="41"/>
      <c r="AZ51" s="41"/>
      <c r="BA51" s="41"/>
      <c r="BB51" s="41"/>
      <c r="BC51" s="41"/>
      <c r="BD51" s="41"/>
      <c r="BE51" s="41"/>
      <c r="BF51" s="41"/>
      <c r="BG51" s="41"/>
      <c r="BH51" s="41"/>
      <c r="BI51" s="41"/>
      <c r="BJ51" s="41"/>
      <c r="BK51" s="41"/>
      <c r="BL51" s="41"/>
      <c r="BM51" s="41"/>
      <c r="BN51" s="41"/>
      <c r="BO51" s="41"/>
      <c r="BP51" s="41"/>
      <c r="BQ51" s="41"/>
      <c r="BR51" s="41"/>
      <c r="BS51" s="41"/>
      <c r="BT51" s="41"/>
      <c r="BU51" s="41"/>
      <c r="BV51" s="41"/>
      <c r="BW51" s="41"/>
      <c r="BX51" s="41"/>
      <c r="BY51" s="41"/>
      <c r="BZ51" s="41"/>
      <c r="CA51" s="41"/>
      <c r="CB51" s="41"/>
      <c r="CC51" s="41"/>
      <c r="CD51" s="41"/>
      <c r="CE51" s="41"/>
      <c r="CF51" s="41"/>
      <c r="CG51" s="41"/>
      <c r="CH51" s="41"/>
      <c r="CI51" s="41"/>
      <c r="CJ51" s="41"/>
      <c r="CK51" s="41"/>
      <c r="CL51" s="41"/>
      <c r="CM51" s="41"/>
      <c r="CN51" s="41"/>
      <c r="CO51" s="41"/>
      <c r="CP51" s="41"/>
    </row>
    <row r="52" spans="1:94" s="53" customFormat="1" ht="15.75" customHeight="1" x14ac:dyDescent="0.25">
      <c r="A52" s="82"/>
      <c r="B52" s="83"/>
      <c r="C52" s="84"/>
      <c r="D52" s="132" t="s">
        <v>46</v>
      </c>
      <c r="E52" s="133"/>
      <c r="F52" s="55">
        <f>F51</f>
        <v>62.3</v>
      </c>
      <c r="G52" s="79">
        <f>ROUND(G51,-2)</f>
        <v>3811200</v>
      </c>
      <c r="H52" s="79">
        <f>ROUND(H51,-2)</f>
        <v>698400</v>
      </c>
      <c r="I52" s="266">
        <f>ROUND(I51,-2)</f>
        <v>804000</v>
      </c>
      <c r="J52" s="80">
        <f>ROUND(J51,-2)</f>
        <v>5313600</v>
      </c>
      <c r="K52" s="263"/>
      <c r="L52" s="61"/>
      <c r="M52" s="81"/>
      <c r="N52" s="81"/>
      <c r="O52"/>
      <c r="P52"/>
      <c r="Q52"/>
      <c r="R52"/>
      <c r="S52"/>
      <c r="T52"/>
      <c r="U52"/>
      <c r="V52"/>
      <c r="W52"/>
      <c r="X52"/>
      <c r="Y52"/>
      <c r="Z52" s="344"/>
      <c r="AA52" s="347"/>
      <c r="AB52" s="363"/>
      <c r="AC52" s="363"/>
      <c r="AD52" s="110"/>
      <c r="AE52" s="41"/>
      <c r="AF52" s="41"/>
      <c r="AG52" s="41"/>
      <c r="AH52" s="41"/>
      <c r="AI52" s="41"/>
      <c r="AJ52" s="41"/>
      <c r="AK52" s="41"/>
      <c r="AL52" s="41"/>
      <c r="AM52" s="41"/>
      <c r="AN52" s="41"/>
      <c r="AO52" s="41"/>
      <c r="AP52" s="41"/>
      <c r="AQ52" s="41"/>
      <c r="AR52" s="41"/>
      <c r="AS52" s="41"/>
      <c r="AT52" s="41"/>
      <c r="AU52" s="41"/>
      <c r="AV52" s="41"/>
      <c r="AW52" s="41"/>
      <c r="AX52" s="41"/>
      <c r="AY52" s="41"/>
      <c r="AZ52" s="41"/>
      <c r="BA52" s="41"/>
      <c r="BB52" s="41"/>
      <c r="BC52" s="41"/>
      <c r="BD52" s="41"/>
      <c r="BE52" s="41"/>
      <c r="BF52" s="41"/>
      <c r="BG52" s="41"/>
      <c r="BH52" s="41"/>
      <c r="BI52" s="41"/>
      <c r="BJ52" s="41"/>
      <c r="BK52" s="41"/>
      <c r="BL52" s="41"/>
      <c r="BM52" s="41"/>
      <c r="BN52" s="41"/>
      <c r="BO52" s="41"/>
      <c r="BP52" s="41"/>
      <c r="BQ52" s="41"/>
      <c r="BR52" s="41"/>
      <c r="BS52" s="41"/>
      <c r="BT52" s="41"/>
      <c r="BU52" s="41"/>
      <c r="BV52" s="41"/>
      <c r="BW52" s="41"/>
      <c r="BX52" s="41"/>
      <c r="BY52" s="41"/>
      <c r="BZ52" s="41"/>
      <c r="CA52" s="41"/>
      <c r="CB52" s="41"/>
      <c r="CC52" s="41"/>
      <c r="CD52" s="41"/>
      <c r="CE52" s="41"/>
      <c r="CF52" s="41"/>
      <c r="CG52" s="41"/>
      <c r="CH52" s="41"/>
      <c r="CI52" s="41"/>
      <c r="CJ52" s="41"/>
      <c r="CK52" s="41"/>
      <c r="CL52" s="41"/>
      <c r="CM52" s="41"/>
      <c r="CN52" s="41"/>
      <c r="CO52" s="41"/>
      <c r="CP52" s="41"/>
    </row>
    <row r="53" spans="1:94" s="53" customFormat="1" ht="15" x14ac:dyDescent="0.25">
      <c r="A53" s="85"/>
      <c r="B53" s="83"/>
      <c r="C53" s="441" t="s">
        <v>47</v>
      </c>
      <c r="D53" s="442"/>
      <c r="E53" s="271"/>
      <c r="F53" s="273"/>
      <c r="G53" s="62"/>
      <c r="H53" s="62"/>
      <c r="I53" s="62"/>
      <c r="J53" s="62"/>
      <c r="K53" s="62"/>
      <c r="L53" s="61"/>
      <c r="M53" s="86"/>
      <c r="N53" s="86"/>
      <c r="O53"/>
      <c r="P53"/>
      <c r="Q53"/>
      <c r="R53"/>
      <c r="S53"/>
      <c r="T53"/>
      <c r="U53"/>
      <c r="V53"/>
      <c r="W53"/>
      <c r="X53"/>
      <c r="Y53"/>
      <c r="Z53" s="344"/>
      <c r="AA53" s="363"/>
      <c r="AB53" s="363"/>
      <c r="AC53" s="363"/>
      <c r="AD53" s="110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U53" s="41"/>
      <c r="AV53" s="41"/>
      <c r="AW53" s="41"/>
      <c r="AX53" s="41"/>
      <c r="AY53" s="41"/>
      <c r="AZ53" s="41"/>
      <c r="BA53" s="41"/>
      <c r="BB53" s="41"/>
      <c r="BC53" s="41"/>
      <c r="BD53" s="41"/>
      <c r="BE53" s="41"/>
      <c r="BF53" s="41"/>
      <c r="BG53" s="41"/>
      <c r="BH53" s="41"/>
      <c r="BI53" s="41"/>
      <c r="BJ53" s="41"/>
      <c r="BK53" s="41"/>
      <c r="BL53" s="41"/>
      <c r="BM53" s="41"/>
      <c r="BN53" s="41"/>
      <c r="BO53" s="41"/>
      <c r="BP53" s="41"/>
      <c r="BQ53" s="41"/>
      <c r="BR53" s="41"/>
      <c r="BS53" s="41"/>
      <c r="BT53" s="41"/>
      <c r="BU53" s="41"/>
      <c r="BV53" s="41"/>
      <c r="BW53" s="41"/>
      <c r="BX53" s="41"/>
      <c r="BY53" s="41"/>
      <c r="BZ53" s="41"/>
      <c r="CA53" s="41"/>
      <c r="CB53" s="41"/>
      <c r="CC53" s="41"/>
      <c r="CD53" s="41"/>
      <c r="CE53" s="41"/>
      <c r="CF53" s="41"/>
      <c r="CG53" s="41"/>
      <c r="CH53" s="41"/>
      <c r="CI53" s="41"/>
      <c r="CJ53" s="41"/>
      <c r="CK53" s="41"/>
      <c r="CL53" s="41"/>
      <c r="CM53" s="41"/>
      <c r="CN53" s="41"/>
      <c r="CO53" s="41"/>
      <c r="CP53" s="41"/>
    </row>
    <row r="54" spans="1:94" s="53" customFormat="1" ht="15.75" customHeight="1" x14ac:dyDescent="0.25">
      <c r="A54" s="85">
        <v>4.1100000000000003</v>
      </c>
      <c r="B54" s="83"/>
      <c r="C54" s="408" t="s">
        <v>48</v>
      </c>
      <c r="D54" s="409"/>
      <c r="E54" s="59"/>
      <c r="F54" s="58">
        <v>0</v>
      </c>
      <c r="G54" s="88">
        <v>0</v>
      </c>
      <c r="H54" s="88">
        <v>0</v>
      </c>
      <c r="I54" s="265">
        <v>0</v>
      </c>
      <c r="J54" s="89">
        <f>SUM(G54:I54)</f>
        <v>0</v>
      </c>
      <c r="K54" s="62"/>
      <c r="L54" s="61"/>
      <c r="M54" s="86"/>
      <c r="N54" s="86"/>
      <c r="O54"/>
      <c r="P54"/>
      <c r="Q54"/>
      <c r="R54"/>
      <c r="S54"/>
      <c r="T54"/>
      <c r="U54"/>
      <c r="V54"/>
      <c r="W54"/>
      <c r="X54"/>
      <c r="Y54"/>
      <c r="Z54" s="344"/>
      <c r="AA54" s="363"/>
      <c r="AB54" s="363"/>
      <c r="AC54" s="363"/>
      <c r="AD54" s="110"/>
      <c r="AE54" s="41"/>
      <c r="AF54" s="41"/>
      <c r="AG54" s="41"/>
      <c r="AH54" s="41"/>
      <c r="AI54" s="41"/>
      <c r="AJ54" s="41"/>
      <c r="AK54" s="41"/>
      <c r="AL54" s="41"/>
      <c r="AM54" s="41"/>
      <c r="AN54" s="41"/>
      <c r="AO54" s="41"/>
      <c r="AP54" s="41"/>
      <c r="AQ54" s="41"/>
      <c r="AR54" s="41"/>
      <c r="AS54" s="41"/>
      <c r="AT54" s="41"/>
      <c r="AU54" s="41"/>
      <c r="AV54" s="41"/>
      <c r="AW54" s="41"/>
      <c r="AX54" s="41"/>
      <c r="AY54" s="41"/>
      <c r="AZ54" s="41"/>
      <c r="BA54" s="41"/>
      <c r="BB54" s="41"/>
      <c r="BC54" s="41"/>
      <c r="BD54" s="41"/>
      <c r="BE54" s="41"/>
      <c r="BF54" s="41"/>
      <c r="BG54" s="41"/>
      <c r="BH54" s="41"/>
      <c r="BI54" s="41"/>
      <c r="BJ54" s="41"/>
      <c r="BK54" s="41"/>
      <c r="BL54" s="41"/>
      <c r="BM54" s="41"/>
      <c r="BN54" s="41"/>
      <c r="BO54" s="41"/>
      <c r="BP54" s="41"/>
      <c r="BQ54" s="41"/>
      <c r="BR54" s="41"/>
      <c r="BS54" s="41"/>
      <c r="BT54" s="41"/>
      <c r="BU54" s="41"/>
      <c r="BV54" s="41"/>
      <c r="BW54" s="41"/>
      <c r="BX54" s="41"/>
      <c r="BY54" s="41"/>
      <c r="BZ54" s="41"/>
      <c r="CA54" s="41"/>
      <c r="CB54" s="41"/>
      <c r="CC54" s="41"/>
      <c r="CD54" s="41"/>
      <c r="CE54" s="41"/>
      <c r="CF54" s="41"/>
      <c r="CG54" s="41"/>
      <c r="CH54" s="41"/>
      <c r="CI54" s="41"/>
      <c r="CJ54" s="41"/>
      <c r="CK54" s="41"/>
      <c r="CL54" s="41"/>
      <c r="CM54" s="41"/>
      <c r="CN54" s="41"/>
      <c r="CO54" s="41"/>
      <c r="CP54" s="41"/>
    </row>
    <row r="55" spans="1:94" s="53" customFormat="1" ht="15.75" customHeight="1" x14ac:dyDescent="0.25">
      <c r="A55" s="85">
        <v>4.3099999999999996</v>
      </c>
      <c r="B55" s="83"/>
      <c r="C55" s="421" t="s">
        <v>49</v>
      </c>
      <c r="D55" s="422"/>
      <c r="E55" s="59"/>
      <c r="F55" s="277">
        <v>0</v>
      </c>
      <c r="G55" s="92">
        <v>0</v>
      </c>
      <c r="H55" s="92">
        <v>0</v>
      </c>
      <c r="I55" s="264">
        <v>0</v>
      </c>
      <c r="J55" s="287">
        <f>SUM(G55:I55)</f>
        <v>0</v>
      </c>
      <c r="K55" s="62"/>
      <c r="L55" s="88"/>
      <c r="M55" s="261"/>
      <c r="N55" s="89">
        <f>SUM(L55:M55)</f>
        <v>0</v>
      </c>
      <c r="O55"/>
      <c r="P55"/>
      <c r="Q55"/>
      <c r="R55"/>
      <c r="S55"/>
      <c r="T55"/>
      <c r="U55"/>
      <c r="V55"/>
      <c r="W55"/>
      <c r="X55"/>
      <c r="Y55"/>
      <c r="Z55" s="344"/>
      <c r="AA55" s="363"/>
      <c r="AB55" s="363"/>
      <c r="AC55" s="363"/>
      <c r="AD55" s="110"/>
      <c r="AE55" s="41"/>
      <c r="AF55" s="41"/>
      <c r="AG55" s="41"/>
      <c r="AH55" s="41"/>
      <c r="AI55" s="41"/>
      <c r="AJ55" s="41"/>
      <c r="AK55" s="41"/>
      <c r="AL55" s="41"/>
      <c r="AM55" s="41"/>
      <c r="AN55" s="41"/>
      <c r="AO55" s="41"/>
      <c r="AP55" s="41"/>
      <c r="AQ55" s="41"/>
      <c r="AR55" s="41"/>
      <c r="AS55" s="41"/>
      <c r="AT55" s="41"/>
      <c r="AU55" s="41"/>
      <c r="AV55" s="41"/>
      <c r="AW55" s="41"/>
      <c r="AX55" s="41"/>
      <c r="AY55" s="41"/>
      <c r="AZ55" s="41"/>
      <c r="BA55" s="41"/>
      <c r="BB55" s="41"/>
      <c r="BC55" s="41"/>
      <c r="BD55" s="41"/>
      <c r="BE55" s="41"/>
      <c r="BF55" s="41"/>
      <c r="BG55" s="41"/>
      <c r="BH55" s="41"/>
      <c r="BI55" s="41"/>
      <c r="BJ55" s="41"/>
      <c r="BK55" s="41"/>
      <c r="BL55" s="41"/>
      <c r="BM55" s="41"/>
      <c r="BN55" s="41"/>
      <c r="BO55" s="41"/>
      <c r="BP55" s="41"/>
      <c r="BQ55" s="41"/>
      <c r="BR55" s="41"/>
      <c r="BS55" s="41"/>
      <c r="BT55" s="41"/>
      <c r="BU55" s="41"/>
      <c r="BV55" s="41"/>
      <c r="BW55" s="41"/>
      <c r="BX55" s="41"/>
      <c r="BY55" s="41"/>
      <c r="BZ55" s="41"/>
      <c r="CA55" s="41"/>
      <c r="CB55" s="41"/>
      <c r="CC55" s="41"/>
      <c r="CD55" s="41"/>
      <c r="CE55" s="41"/>
      <c r="CF55" s="41"/>
      <c r="CG55" s="41"/>
      <c r="CH55" s="41"/>
      <c r="CI55" s="41"/>
      <c r="CJ55" s="41"/>
      <c r="CK55" s="41"/>
      <c r="CL55" s="41"/>
      <c r="CM55" s="41"/>
      <c r="CN55" s="41"/>
      <c r="CO55" s="41"/>
      <c r="CP55" s="41"/>
    </row>
    <row r="56" spans="1:94" s="53" customFormat="1" ht="15.75" customHeight="1" x14ac:dyDescent="0.25">
      <c r="A56" s="75">
        <v>5</v>
      </c>
      <c r="B56" s="76"/>
      <c r="C56" s="54" t="str">
        <f>"FY "&amp;M4-1</f>
        <v>FY 2022</v>
      </c>
      <c r="D56" s="131" t="s">
        <v>50</v>
      </c>
      <c r="E56" s="135"/>
      <c r="F56" s="55">
        <f>SUM(F52:F55)</f>
        <v>62.3</v>
      </c>
      <c r="G56" s="80">
        <f>SUM(G52:G55)</f>
        <v>3811200</v>
      </c>
      <c r="H56" s="80">
        <f>SUM(H52:H55)</f>
        <v>698400</v>
      </c>
      <c r="I56" s="260">
        <f>SUM(I52:I55)</f>
        <v>804000</v>
      </c>
      <c r="J56" s="80">
        <f>SUM(J52:J55)</f>
        <v>5313600</v>
      </c>
      <c r="K56" s="263"/>
      <c r="L56" s="61"/>
      <c r="M56" s="61"/>
      <c r="N56" s="61"/>
      <c r="O56"/>
      <c r="P56"/>
      <c r="Q56"/>
      <c r="R56"/>
      <c r="S56"/>
      <c r="T56"/>
      <c r="U56"/>
      <c r="V56"/>
      <c r="W56"/>
      <c r="X56"/>
      <c r="Y56"/>
      <c r="Z56" s="344"/>
      <c r="AA56" s="363"/>
      <c r="AB56" s="363"/>
      <c r="AC56" s="363"/>
      <c r="AD56" s="110"/>
      <c r="AE56" s="41"/>
      <c r="AF56" s="41"/>
      <c r="AG56" s="41"/>
      <c r="AH56" s="41"/>
      <c r="AI56" s="41"/>
      <c r="AJ56" s="41"/>
      <c r="AK56" s="41"/>
      <c r="AL56" s="41"/>
      <c r="AM56" s="41"/>
      <c r="AN56" s="41"/>
      <c r="AO56" s="41"/>
      <c r="AP56" s="41"/>
      <c r="AQ56" s="41"/>
      <c r="AR56" s="41"/>
      <c r="AS56" s="41"/>
      <c r="AT56" s="41"/>
      <c r="AU56" s="41"/>
      <c r="AV56" s="41"/>
      <c r="AW56" s="41"/>
      <c r="AX56" s="41"/>
      <c r="AY56" s="41"/>
      <c r="AZ56" s="41"/>
      <c r="BA56" s="41"/>
      <c r="BB56" s="41"/>
      <c r="BC56" s="41"/>
      <c r="BD56" s="41"/>
      <c r="BE56" s="41"/>
      <c r="BF56" s="41"/>
      <c r="BG56" s="41"/>
      <c r="BH56" s="41"/>
      <c r="BI56" s="41"/>
      <c r="BJ56" s="41"/>
      <c r="BK56" s="41"/>
      <c r="BL56" s="41"/>
      <c r="BM56" s="41"/>
      <c r="BN56" s="41"/>
      <c r="BO56" s="41"/>
      <c r="BP56" s="41"/>
      <c r="BQ56" s="41"/>
      <c r="BR56" s="41"/>
      <c r="BS56" s="41"/>
      <c r="BT56" s="41"/>
      <c r="BU56" s="41"/>
      <c r="BV56" s="41"/>
      <c r="BW56" s="41"/>
      <c r="BX56" s="41"/>
      <c r="BY56" s="41"/>
      <c r="BZ56" s="41"/>
      <c r="CA56" s="41"/>
      <c r="CB56" s="41"/>
      <c r="CC56" s="41"/>
      <c r="CD56" s="41"/>
      <c r="CE56" s="41"/>
      <c r="CF56" s="41"/>
      <c r="CG56" s="41"/>
      <c r="CH56" s="41"/>
      <c r="CI56" s="41"/>
      <c r="CJ56" s="41"/>
      <c r="CK56" s="41"/>
      <c r="CL56" s="41"/>
      <c r="CM56" s="41"/>
      <c r="CN56" s="41"/>
      <c r="CO56" s="41"/>
      <c r="CP56" s="41"/>
    </row>
    <row r="57" spans="1:94" s="53" customFormat="1" ht="15.75" customHeight="1" x14ac:dyDescent="0.25">
      <c r="A57" s="85"/>
      <c r="B57" s="83"/>
      <c r="C57" s="419" t="s">
        <v>51</v>
      </c>
      <c r="D57" s="423"/>
      <c r="E57" s="367"/>
      <c r="F57" s="273"/>
      <c r="G57" s="62"/>
      <c r="H57" s="62"/>
      <c r="I57" s="62"/>
      <c r="J57" s="62"/>
      <c r="K57" s="62"/>
      <c r="L57" s="61"/>
      <c r="M57" s="61"/>
      <c r="N57" s="61"/>
      <c r="O57"/>
      <c r="P57"/>
      <c r="Q57"/>
      <c r="R57"/>
      <c r="S57"/>
      <c r="T57"/>
      <c r="U57"/>
      <c r="V57"/>
      <c r="W57"/>
      <c r="X57"/>
      <c r="Y57"/>
      <c r="Z57" s="344"/>
      <c r="AA57" s="363"/>
      <c r="AB57" s="363"/>
      <c r="AC57" s="363"/>
      <c r="AD57" s="110"/>
      <c r="AE57" s="41"/>
      <c r="AF57" s="41"/>
      <c r="AG57" s="41"/>
      <c r="AH57" s="41"/>
      <c r="AI57" s="41"/>
      <c r="AJ57" s="41"/>
      <c r="AK57" s="41"/>
      <c r="AL57" s="41"/>
      <c r="AM57" s="41"/>
      <c r="AN57" s="41"/>
      <c r="AO57" s="41"/>
      <c r="AP57" s="41"/>
      <c r="AQ57" s="41"/>
      <c r="AR57" s="41"/>
      <c r="AS57" s="41"/>
      <c r="AT57" s="41"/>
      <c r="AU57" s="41"/>
      <c r="AV57" s="41"/>
      <c r="AW57" s="41"/>
      <c r="AX57" s="41"/>
      <c r="AY57" s="41"/>
      <c r="AZ57" s="41"/>
      <c r="BA57" s="41"/>
      <c r="BB57" s="41"/>
      <c r="BC57" s="41"/>
      <c r="BD57" s="41"/>
      <c r="BE57" s="41"/>
      <c r="BF57" s="41"/>
      <c r="BG57" s="41"/>
      <c r="BH57" s="41"/>
      <c r="BI57" s="41"/>
      <c r="BJ57" s="41"/>
      <c r="BK57" s="41"/>
      <c r="BL57" s="41"/>
      <c r="BM57" s="41"/>
      <c r="BN57" s="41"/>
      <c r="BO57" s="41"/>
      <c r="BP57" s="41"/>
      <c r="BQ57" s="41"/>
      <c r="BR57" s="41"/>
      <c r="BS57" s="41"/>
      <c r="BT57" s="41"/>
      <c r="BU57" s="41"/>
      <c r="BV57" s="41"/>
      <c r="BW57" s="41"/>
      <c r="BX57" s="41"/>
      <c r="BY57" s="41"/>
      <c r="BZ57" s="41"/>
      <c r="CA57" s="41"/>
      <c r="CB57" s="41"/>
      <c r="CC57" s="41"/>
      <c r="CD57" s="41"/>
      <c r="CE57" s="41"/>
      <c r="CF57" s="41"/>
      <c r="CG57" s="41"/>
      <c r="CH57" s="41"/>
      <c r="CI57" s="41"/>
      <c r="CJ57" s="41"/>
      <c r="CK57" s="41"/>
      <c r="CL57" s="41"/>
      <c r="CM57" s="41"/>
      <c r="CN57" s="41"/>
      <c r="CO57" s="41"/>
      <c r="CP57" s="41"/>
    </row>
    <row r="58" spans="1:94" s="53" customFormat="1" ht="15.75" customHeight="1" x14ac:dyDescent="0.25">
      <c r="A58" s="85">
        <v>6.31</v>
      </c>
      <c r="B58" s="83"/>
      <c r="C58" s="408" t="s">
        <v>52</v>
      </c>
      <c r="D58" s="409"/>
      <c r="E58" s="102"/>
      <c r="F58" s="58">
        <v>0</v>
      </c>
      <c r="G58" s="88">
        <v>0</v>
      </c>
      <c r="H58" s="88">
        <v>0</v>
      </c>
      <c r="I58" s="265">
        <v>0</v>
      </c>
      <c r="J58" s="89">
        <f>SUM(G58:I58)</f>
        <v>0</v>
      </c>
      <c r="K58" s="62"/>
      <c r="L58" s="88"/>
      <c r="M58" s="262"/>
      <c r="N58" s="89">
        <f>SUM(L58:M58)</f>
        <v>0</v>
      </c>
      <c r="O58"/>
      <c r="P58"/>
      <c r="Q58"/>
      <c r="R58"/>
      <c r="S58"/>
      <c r="T58"/>
      <c r="U58"/>
      <c r="V58"/>
      <c r="W58"/>
      <c r="X58"/>
      <c r="Y58"/>
      <c r="Z58" s="344"/>
      <c r="AA58" s="363"/>
      <c r="AB58" s="363"/>
      <c r="AC58" s="363"/>
      <c r="AD58" s="110"/>
      <c r="AE58" s="41"/>
      <c r="AF58" s="41"/>
      <c r="AG58" s="41"/>
      <c r="AH58" s="41"/>
      <c r="AI58" s="41"/>
      <c r="AJ58" s="41"/>
      <c r="AK58" s="41"/>
      <c r="AL58" s="41"/>
      <c r="AM58" s="41"/>
      <c r="AN58" s="41"/>
      <c r="AO58" s="41"/>
      <c r="AP58" s="41"/>
      <c r="AQ58" s="41"/>
      <c r="AR58" s="41"/>
      <c r="AS58" s="41"/>
      <c r="AT58" s="41"/>
      <c r="AU58" s="41"/>
      <c r="AV58" s="41"/>
      <c r="AW58" s="41"/>
      <c r="AX58" s="41"/>
      <c r="AY58" s="41"/>
      <c r="AZ58" s="41"/>
      <c r="BA58" s="41"/>
      <c r="BB58" s="41"/>
      <c r="BC58" s="41"/>
      <c r="BD58" s="41"/>
      <c r="BE58" s="41"/>
      <c r="BF58" s="41"/>
      <c r="BG58" s="41"/>
      <c r="BH58" s="41"/>
      <c r="BI58" s="41"/>
      <c r="BJ58" s="41"/>
      <c r="BK58" s="41"/>
      <c r="BL58" s="41"/>
      <c r="BM58" s="41"/>
      <c r="BN58" s="41"/>
      <c r="BO58" s="41"/>
      <c r="BP58" s="41"/>
      <c r="BQ58" s="41"/>
      <c r="BR58" s="41"/>
      <c r="BS58" s="41"/>
      <c r="BT58" s="41"/>
      <c r="BU58" s="41"/>
      <c r="BV58" s="41"/>
      <c r="BW58" s="41"/>
      <c r="BX58" s="41"/>
      <c r="BY58" s="41"/>
      <c r="BZ58" s="41"/>
      <c r="CA58" s="41"/>
      <c r="CB58" s="41"/>
      <c r="CC58" s="41"/>
      <c r="CD58" s="41"/>
      <c r="CE58" s="41"/>
      <c r="CF58" s="41"/>
      <c r="CG58" s="41"/>
      <c r="CH58" s="41"/>
      <c r="CI58" s="41"/>
      <c r="CJ58" s="41"/>
      <c r="CK58" s="41"/>
      <c r="CL58" s="41"/>
      <c r="CM58" s="41"/>
      <c r="CN58" s="41"/>
      <c r="CO58" s="41"/>
      <c r="CP58" s="41"/>
    </row>
    <row r="59" spans="1:94" s="53" customFormat="1" ht="15.75" customHeight="1" x14ac:dyDescent="0.25">
      <c r="A59" s="85">
        <v>6.51</v>
      </c>
      <c r="B59" s="83"/>
      <c r="C59" s="421" t="s">
        <v>66</v>
      </c>
      <c r="D59" s="422"/>
      <c r="E59" s="102"/>
      <c r="F59" s="58">
        <v>0</v>
      </c>
      <c r="G59" s="88">
        <v>0</v>
      </c>
      <c r="H59" s="92">
        <v>0</v>
      </c>
      <c r="I59" s="264">
        <v>0</v>
      </c>
      <c r="J59" s="267">
        <f>SUM(G59:I59)</f>
        <v>0</v>
      </c>
      <c r="K59" s="62"/>
      <c r="L59" s="88"/>
      <c r="M59" s="261"/>
      <c r="N59" s="89">
        <f>SUM(L59:M59)</f>
        <v>0</v>
      </c>
      <c r="O59"/>
      <c r="P59"/>
      <c r="Q59"/>
      <c r="R59"/>
      <c r="S59"/>
      <c r="T59"/>
      <c r="U59"/>
      <c r="V59"/>
      <c r="W59"/>
      <c r="X59"/>
      <c r="Y59"/>
      <c r="Z59" s="344"/>
      <c r="AA59" s="363"/>
      <c r="AB59" s="363"/>
      <c r="AC59" s="363"/>
      <c r="AD59" s="110"/>
      <c r="AE59" s="41"/>
      <c r="AF59" s="41"/>
      <c r="AG59" s="41"/>
      <c r="AH59" s="41"/>
      <c r="AI59" s="41"/>
      <c r="AJ59" s="41"/>
      <c r="AK59" s="41"/>
      <c r="AL59" s="41"/>
      <c r="AM59" s="41"/>
      <c r="AN59" s="41"/>
      <c r="AO59" s="41"/>
      <c r="AP59" s="41"/>
      <c r="AQ59" s="41"/>
      <c r="AR59" s="41"/>
      <c r="AS59" s="41"/>
      <c r="AT59" s="41"/>
      <c r="AU59" s="41"/>
      <c r="AV59" s="41"/>
      <c r="AW59" s="41"/>
      <c r="AX59" s="41"/>
      <c r="AY59" s="41"/>
      <c r="AZ59" s="41"/>
      <c r="BA59" s="41"/>
      <c r="BB59" s="41"/>
      <c r="BC59" s="41"/>
      <c r="BD59" s="41"/>
      <c r="BE59" s="41"/>
      <c r="BF59" s="41"/>
      <c r="BG59" s="41"/>
      <c r="BH59" s="41"/>
      <c r="BI59" s="41"/>
      <c r="BJ59" s="41"/>
      <c r="BK59" s="41"/>
      <c r="BL59" s="41"/>
      <c r="BM59" s="41"/>
      <c r="BN59" s="41"/>
      <c r="BO59" s="41"/>
      <c r="BP59" s="41"/>
      <c r="BQ59" s="41"/>
      <c r="BR59" s="41"/>
      <c r="BS59" s="41"/>
      <c r="BT59" s="41"/>
      <c r="BU59" s="41"/>
      <c r="BV59" s="41"/>
      <c r="BW59" s="41"/>
      <c r="BX59" s="41"/>
      <c r="BY59" s="41"/>
      <c r="BZ59" s="41"/>
      <c r="CA59" s="41"/>
      <c r="CB59" s="41"/>
      <c r="CC59" s="41"/>
      <c r="CD59" s="41"/>
      <c r="CE59" s="41"/>
      <c r="CF59" s="41"/>
      <c r="CG59" s="41"/>
      <c r="CH59" s="41"/>
      <c r="CI59" s="41"/>
      <c r="CJ59" s="41"/>
      <c r="CK59" s="41"/>
      <c r="CL59" s="41"/>
      <c r="CM59" s="41"/>
      <c r="CN59" s="41"/>
      <c r="CO59" s="41"/>
      <c r="CP59" s="41"/>
    </row>
    <row r="60" spans="1:94" s="53" customFormat="1" ht="15.75" customHeight="1" x14ac:dyDescent="0.25">
      <c r="A60" s="75">
        <v>7</v>
      </c>
      <c r="B60" s="76"/>
      <c r="C60" s="54" t="str">
        <f>"FY "&amp;M4-1</f>
        <v>FY 2022</v>
      </c>
      <c r="D60" s="131" t="s">
        <v>53</v>
      </c>
      <c r="E60" s="135"/>
      <c r="F60" s="55">
        <f>SUM(F56:F59)</f>
        <v>62.3</v>
      </c>
      <c r="G60" s="80">
        <f>SUM(G56:G59)</f>
        <v>3811200</v>
      </c>
      <c r="H60" s="80">
        <f>SUM(H56:H59)</f>
        <v>698400</v>
      </c>
      <c r="I60" s="260">
        <f>SUM(I56:I59)</f>
        <v>804000</v>
      </c>
      <c r="J60" s="80">
        <f>SUM(J56:J59)</f>
        <v>5313600</v>
      </c>
      <c r="K60" s="263"/>
      <c r="L60" s="61"/>
      <c r="M60" s="61"/>
      <c r="N60" s="60"/>
      <c r="O60"/>
      <c r="P60"/>
      <c r="Q60"/>
      <c r="R60"/>
      <c r="S60"/>
      <c r="T60"/>
      <c r="U60"/>
      <c r="V60"/>
      <c r="W60"/>
      <c r="X60"/>
      <c r="Y60"/>
      <c r="Z60" s="344"/>
      <c r="AA60" s="363"/>
      <c r="AB60" s="363"/>
      <c r="AC60" s="363"/>
      <c r="AD60" s="110"/>
      <c r="AE60" s="41"/>
      <c r="AF60" s="41"/>
      <c r="AG60" s="41"/>
      <c r="AH60" s="41"/>
      <c r="AI60" s="41"/>
      <c r="AJ60" s="41"/>
      <c r="AK60" s="41"/>
      <c r="AL60" s="41"/>
      <c r="AM60" s="41"/>
      <c r="AN60" s="41"/>
      <c r="AO60" s="41"/>
      <c r="AP60" s="41"/>
      <c r="AQ60" s="41"/>
      <c r="AR60" s="41"/>
      <c r="AS60" s="41"/>
      <c r="AT60" s="41"/>
      <c r="AU60" s="41"/>
      <c r="AV60" s="41"/>
      <c r="AW60" s="41"/>
      <c r="AX60" s="41"/>
      <c r="AY60" s="41"/>
      <c r="AZ60" s="41"/>
      <c r="BA60" s="41"/>
      <c r="BB60" s="41"/>
      <c r="BC60" s="41"/>
      <c r="BD60" s="41"/>
      <c r="BE60" s="41"/>
      <c r="BF60" s="41"/>
      <c r="BG60" s="41"/>
      <c r="BH60" s="41"/>
      <c r="BI60" s="41"/>
      <c r="BJ60" s="41"/>
      <c r="BK60" s="41"/>
      <c r="BL60" s="41"/>
      <c r="BM60" s="41"/>
      <c r="BN60" s="41"/>
      <c r="BO60" s="41"/>
      <c r="BP60" s="41"/>
      <c r="BQ60" s="41"/>
      <c r="BR60" s="41"/>
      <c r="BS60" s="41"/>
      <c r="BT60" s="41"/>
      <c r="BU60" s="41"/>
      <c r="BV60" s="41"/>
      <c r="BW60" s="41"/>
      <c r="BX60" s="41"/>
      <c r="BY60" s="41"/>
      <c r="BZ60" s="41"/>
      <c r="CA60" s="41"/>
      <c r="CB60" s="41"/>
      <c r="CC60" s="41"/>
      <c r="CD60" s="41"/>
      <c r="CE60" s="41"/>
      <c r="CF60" s="41"/>
      <c r="CG60" s="41"/>
      <c r="CH60" s="41"/>
      <c r="CI60" s="41"/>
      <c r="CJ60" s="41"/>
      <c r="CK60" s="41"/>
      <c r="CL60" s="41"/>
      <c r="CM60" s="41"/>
      <c r="CN60" s="41"/>
      <c r="CO60" s="41"/>
      <c r="CP60" s="41"/>
    </row>
    <row r="61" spans="1:94" s="53" customFormat="1" ht="15.75" customHeight="1" x14ac:dyDescent="0.25">
      <c r="A61" s="85"/>
      <c r="B61" s="83"/>
      <c r="C61" s="419" t="s">
        <v>54</v>
      </c>
      <c r="D61" s="423"/>
      <c r="E61" s="367"/>
      <c r="F61" s="273"/>
      <c r="G61" s="62"/>
      <c r="H61" s="62"/>
      <c r="I61" s="62"/>
      <c r="J61" s="62"/>
      <c r="K61" s="62"/>
      <c r="L61" s="61"/>
      <c r="M61" s="61"/>
      <c r="N61" s="60"/>
      <c r="O61"/>
      <c r="P61"/>
      <c r="Q61"/>
      <c r="R61"/>
      <c r="S61"/>
      <c r="T61"/>
      <c r="U61"/>
      <c r="V61"/>
      <c r="W61"/>
      <c r="X61"/>
      <c r="Y61"/>
      <c r="Z61" s="344"/>
      <c r="AA61" s="363"/>
      <c r="AB61" s="363"/>
      <c r="AC61" s="363"/>
      <c r="AD61" s="110"/>
      <c r="AE61" s="41"/>
      <c r="AF61" s="41"/>
      <c r="AG61" s="41"/>
      <c r="AH61" s="41"/>
      <c r="AI61" s="41"/>
      <c r="AJ61" s="41"/>
      <c r="AK61" s="41"/>
      <c r="AL61" s="41"/>
      <c r="AM61" s="41"/>
      <c r="AN61" s="41"/>
      <c r="AO61" s="41"/>
      <c r="AP61" s="41"/>
      <c r="AQ61" s="41"/>
      <c r="AR61" s="41"/>
      <c r="AS61" s="41"/>
      <c r="AT61" s="41"/>
      <c r="AU61" s="41"/>
      <c r="AV61" s="41"/>
      <c r="AW61" s="41"/>
      <c r="AX61" s="41"/>
      <c r="AY61" s="41"/>
      <c r="AZ61" s="41"/>
      <c r="BA61" s="41"/>
      <c r="BB61" s="41"/>
      <c r="BC61" s="41"/>
      <c r="BD61" s="41"/>
      <c r="BE61" s="41"/>
      <c r="BF61" s="41"/>
      <c r="BG61" s="41"/>
      <c r="BH61" s="41"/>
      <c r="BI61" s="41"/>
      <c r="BJ61" s="41"/>
      <c r="BK61" s="41"/>
      <c r="BL61" s="41"/>
      <c r="BM61" s="41"/>
      <c r="BN61" s="41"/>
      <c r="BO61" s="41"/>
      <c r="BP61" s="41"/>
      <c r="BQ61" s="41"/>
      <c r="BR61" s="41"/>
      <c r="BS61" s="41"/>
      <c r="BT61" s="41"/>
      <c r="BU61" s="41"/>
      <c r="BV61" s="41"/>
      <c r="BW61" s="41"/>
      <c r="BX61" s="41"/>
      <c r="BY61" s="41"/>
      <c r="BZ61" s="41"/>
      <c r="CA61" s="41"/>
      <c r="CB61" s="41"/>
      <c r="CC61" s="41"/>
      <c r="CD61" s="41"/>
      <c r="CE61" s="41"/>
      <c r="CF61" s="41"/>
      <c r="CG61" s="41"/>
      <c r="CH61" s="41"/>
      <c r="CI61" s="41"/>
      <c r="CJ61" s="41"/>
      <c r="CK61" s="41"/>
      <c r="CL61" s="41"/>
      <c r="CM61" s="41"/>
      <c r="CN61" s="41"/>
      <c r="CO61" s="41"/>
      <c r="CP61" s="41"/>
    </row>
    <row r="62" spans="1:94" s="53" customFormat="1" ht="15.75" customHeight="1" x14ac:dyDescent="0.25">
      <c r="A62" s="85">
        <v>8.31</v>
      </c>
      <c r="B62" s="83"/>
      <c r="C62" s="408" t="s">
        <v>67</v>
      </c>
      <c r="D62" s="409"/>
      <c r="E62" s="102"/>
      <c r="F62" s="58">
        <v>0</v>
      </c>
      <c r="G62" s="88">
        <v>0</v>
      </c>
      <c r="H62" s="91">
        <v>0</v>
      </c>
      <c r="I62" s="276">
        <v>0</v>
      </c>
      <c r="J62" s="89">
        <f>SUM(G62:I62)</f>
        <v>0</v>
      </c>
      <c r="K62" s="62"/>
      <c r="L62" s="88"/>
      <c r="M62" s="261"/>
      <c r="N62" s="89">
        <f>SUM(L62:M62)</f>
        <v>0</v>
      </c>
      <c r="O62"/>
      <c r="P62"/>
      <c r="Q62"/>
      <c r="R62"/>
      <c r="S62"/>
      <c r="T62"/>
      <c r="U62"/>
      <c r="V62"/>
      <c r="W62"/>
      <c r="X62"/>
      <c r="Y62"/>
      <c r="Z62" s="344"/>
      <c r="AA62" s="363"/>
      <c r="AB62" s="363"/>
      <c r="AC62" s="363"/>
      <c r="AD62" s="110"/>
      <c r="AE62" s="41"/>
      <c r="AF62" s="41"/>
      <c r="AG62" s="41"/>
      <c r="AH62" s="41"/>
      <c r="AI62" s="41"/>
      <c r="AJ62" s="41"/>
      <c r="AK62" s="41"/>
      <c r="AL62" s="41"/>
      <c r="AM62" s="41"/>
      <c r="AN62" s="41"/>
      <c r="AO62" s="41"/>
      <c r="AP62" s="41"/>
      <c r="AQ62" s="41"/>
      <c r="AR62" s="41"/>
      <c r="AS62" s="41"/>
      <c r="AT62" s="41"/>
      <c r="AU62" s="41"/>
      <c r="AV62" s="41"/>
      <c r="AW62" s="41"/>
      <c r="AX62" s="41"/>
      <c r="AY62" s="41"/>
      <c r="AZ62" s="41"/>
      <c r="BA62" s="41"/>
      <c r="BB62" s="41"/>
      <c r="BC62" s="41"/>
      <c r="BD62" s="41"/>
      <c r="BE62" s="41"/>
      <c r="BF62" s="41"/>
      <c r="BG62" s="41"/>
      <c r="BH62" s="41"/>
      <c r="BI62" s="41"/>
      <c r="BJ62" s="41"/>
      <c r="BK62" s="41"/>
      <c r="BL62" s="41"/>
      <c r="BM62" s="41"/>
      <c r="BN62" s="41"/>
      <c r="BO62" s="41"/>
      <c r="BP62" s="41"/>
      <c r="BQ62" s="41"/>
      <c r="BR62" s="41"/>
      <c r="BS62" s="41"/>
      <c r="BT62" s="41"/>
      <c r="BU62" s="41"/>
      <c r="BV62" s="41"/>
      <c r="BW62" s="41"/>
      <c r="BX62" s="41"/>
      <c r="BY62" s="41"/>
      <c r="BZ62" s="41"/>
      <c r="CA62" s="41"/>
      <c r="CB62" s="41"/>
      <c r="CC62" s="41"/>
      <c r="CD62" s="41"/>
      <c r="CE62" s="41"/>
      <c r="CF62" s="41"/>
      <c r="CG62" s="41"/>
      <c r="CH62" s="41"/>
      <c r="CI62" s="41"/>
      <c r="CJ62" s="41"/>
      <c r="CK62" s="41"/>
      <c r="CL62" s="41"/>
      <c r="CM62" s="41"/>
      <c r="CN62" s="41"/>
      <c r="CO62" s="41"/>
      <c r="CP62" s="41"/>
    </row>
    <row r="63" spans="1:94" s="53" customFormat="1" ht="15.75" customHeight="1" x14ac:dyDescent="0.25">
      <c r="A63" s="85">
        <v>8.41</v>
      </c>
      <c r="B63" s="83"/>
      <c r="C63" s="408" t="s">
        <v>55</v>
      </c>
      <c r="D63" s="409"/>
      <c r="E63" s="102"/>
      <c r="F63" s="58">
        <v>0</v>
      </c>
      <c r="G63" s="89">
        <f>ROUND((OneTimePC_Total-H63)/(1+(PermVB+Retire1)),-2)</f>
        <v>0</v>
      </c>
      <c r="H63" s="89">
        <f>ROUND(IF(AND(F63&lt;0,OneTimePC_Total&lt;0),F63*Health,0),-2)</f>
        <v>0</v>
      </c>
      <c r="I63" s="310">
        <f>OneTimePC_Total-G63-H63</f>
        <v>0</v>
      </c>
      <c r="J63" s="89">
        <v>0</v>
      </c>
      <c r="K63" s="308"/>
      <c r="L63" s="88"/>
      <c r="M63" s="261"/>
      <c r="N63" s="89">
        <f>SUM(L63:M63)</f>
        <v>0</v>
      </c>
      <c r="O63"/>
      <c r="P63"/>
      <c r="Q63"/>
      <c r="R63"/>
      <c r="S63"/>
      <c r="T63"/>
      <c r="U63"/>
      <c r="V63"/>
      <c r="W63"/>
      <c r="X63"/>
      <c r="Y63"/>
      <c r="Z63" s="344"/>
      <c r="AA63" s="363"/>
      <c r="AB63" s="363"/>
      <c r="AC63" s="363"/>
      <c r="AD63" s="110"/>
      <c r="AE63" s="41"/>
      <c r="AF63" s="41"/>
      <c r="AG63" s="41"/>
      <c r="AH63" s="41"/>
      <c r="AI63" s="41"/>
      <c r="AJ63" s="41"/>
      <c r="AK63" s="41"/>
      <c r="AL63" s="41"/>
      <c r="AM63" s="41"/>
      <c r="AN63" s="41"/>
      <c r="AO63" s="41"/>
      <c r="AP63" s="41"/>
      <c r="AQ63" s="41"/>
      <c r="AR63" s="41"/>
      <c r="AS63" s="41"/>
      <c r="AT63" s="41"/>
      <c r="AU63" s="41"/>
      <c r="AV63" s="41"/>
      <c r="AW63" s="41"/>
      <c r="AX63" s="41"/>
      <c r="AY63" s="41"/>
      <c r="AZ63" s="41"/>
      <c r="BA63" s="41"/>
      <c r="BB63" s="41"/>
      <c r="BC63" s="41"/>
      <c r="BD63" s="41"/>
      <c r="BE63" s="41"/>
      <c r="BF63" s="41"/>
      <c r="BG63" s="41"/>
      <c r="BH63" s="41"/>
      <c r="BI63" s="41"/>
      <c r="BJ63" s="41"/>
      <c r="BK63" s="41"/>
      <c r="BL63" s="41"/>
      <c r="BM63" s="41"/>
      <c r="BN63" s="41"/>
      <c r="BO63" s="41"/>
      <c r="BP63" s="41"/>
      <c r="BQ63" s="41"/>
      <c r="BR63" s="41"/>
      <c r="BS63" s="41"/>
      <c r="BT63" s="41"/>
      <c r="BU63" s="41"/>
      <c r="BV63" s="41"/>
      <c r="BW63" s="41"/>
      <c r="BX63" s="41"/>
      <c r="BY63" s="41"/>
      <c r="BZ63" s="41"/>
      <c r="CA63" s="41"/>
      <c r="CB63" s="41"/>
      <c r="CC63" s="41"/>
      <c r="CD63" s="41"/>
      <c r="CE63" s="41"/>
      <c r="CF63" s="41"/>
      <c r="CG63" s="41"/>
      <c r="CH63" s="41"/>
      <c r="CI63" s="41"/>
      <c r="CJ63" s="41"/>
      <c r="CK63" s="41"/>
      <c r="CL63" s="41"/>
      <c r="CM63" s="41"/>
      <c r="CN63" s="41"/>
      <c r="CO63" s="41"/>
      <c r="CP63" s="41"/>
    </row>
    <row r="64" spans="1:94" s="53" customFormat="1" ht="15.75" customHeight="1" thickBot="1" x14ac:dyDescent="0.3">
      <c r="A64" s="93">
        <v>8.51</v>
      </c>
      <c r="B64" s="93"/>
      <c r="C64" s="413" t="s">
        <v>56</v>
      </c>
      <c r="D64" s="414"/>
      <c r="E64" s="134"/>
      <c r="F64" s="58">
        <v>0</v>
      </c>
      <c r="G64" s="88"/>
      <c r="H64" s="88">
        <v>0</v>
      </c>
      <c r="I64" s="265"/>
      <c r="J64" s="89">
        <f>SUM(G64:I64)</f>
        <v>0</v>
      </c>
      <c r="K64" s="62"/>
      <c r="L64" s="88"/>
      <c r="M64" s="261"/>
      <c r="N64" s="89">
        <f>SUM(L64:M64)</f>
        <v>0</v>
      </c>
      <c r="O64"/>
      <c r="P64"/>
      <c r="Q64"/>
      <c r="R64"/>
      <c r="S64"/>
      <c r="T64"/>
      <c r="U64"/>
      <c r="V64"/>
      <c r="W64"/>
      <c r="X64"/>
      <c r="Y64"/>
      <c r="Z64" s="344"/>
      <c r="AA64" s="363"/>
      <c r="AB64" s="363"/>
      <c r="AC64" s="363"/>
      <c r="AD64" s="110"/>
      <c r="AE64" s="41"/>
      <c r="AF64" s="41"/>
      <c r="AG64" s="41"/>
      <c r="AH64" s="41"/>
      <c r="AI64" s="41"/>
      <c r="AJ64" s="41"/>
      <c r="AK64" s="41"/>
      <c r="AL64" s="41"/>
      <c r="AM64" s="41"/>
      <c r="AN64" s="41"/>
      <c r="AO64" s="41"/>
      <c r="AP64" s="41"/>
      <c r="AQ64" s="41"/>
      <c r="AR64" s="41"/>
      <c r="AS64" s="41"/>
      <c r="AT64" s="41"/>
      <c r="AU64" s="41"/>
      <c r="AV64" s="41"/>
      <c r="AW64" s="41"/>
      <c r="AX64" s="41"/>
      <c r="AY64" s="41"/>
      <c r="AZ64" s="41"/>
      <c r="BA64" s="41"/>
      <c r="BB64" s="41"/>
      <c r="BC64" s="41"/>
      <c r="BD64" s="41"/>
      <c r="BE64" s="41"/>
      <c r="BF64" s="41"/>
      <c r="BG64" s="41"/>
      <c r="BH64" s="41"/>
      <c r="BI64" s="41"/>
      <c r="BJ64" s="41"/>
      <c r="BK64" s="41"/>
      <c r="BL64" s="41"/>
      <c r="BM64" s="41"/>
      <c r="BN64" s="41"/>
      <c r="BO64" s="41"/>
      <c r="BP64" s="41"/>
      <c r="BQ64" s="41"/>
      <c r="BR64" s="41"/>
      <c r="BS64" s="41"/>
      <c r="BT64" s="41"/>
      <c r="BU64" s="41"/>
      <c r="BV64" s="41"/>
      <c r="BW64" s="41"/>
      <c r="BX64" s="41"/>
      <c r="BY64" s="41"/>
      <c r="BZ64" s="41"/>
      <c r="CA64" s="41"/>
      <c r="CB64" s="41"/>
      <c r="CC64" s="41"/>
      <c r="CD64" s="41"/>
      <c r="CE64" s="41"/>
      <c r="CF64" s="41"/>
      <c r="CG64" s="41"/>
      <c r="CH64" s="41"/>
      <c r="CI64" s="41"/>
      <c r="CJ64" s="41"/>
      <c r="CK64" s="41"/>
      <c r="CL64" s="41"/>
      <c r="CM64" s="41"/>
      <c r="CN64" s="41"/>
      <c r="CO64" s="41"/>
      <c r="CP64" s="41"/>
    </row>
    <row r="65" spans="1:94" s="53" customFormat="1" ht="6" customHeight="1" thickTop="1" x14ac:dyDescent="0.25">
      <c r="A65" s="94"/>
      <c r="B65" s="95"/>
      <c r="C65" s="415"/>
      <c r="D65" s="416"/>
      <c r="E65" s="96"/>
      <c r="F65" s="97"/>
      <c r="G65" s="98"/>
      <c r="H65" s="98"/>
      <c r="I65" s="98"/>
      <c r="J65" s="98"/>
      <c r="K65" s="98"/>
      <c r="L65" s="98"/>
      <c r="M65" s="99"/>
      <c r="N65" s="95"/>
      <c r="O65"/>
      <c r="P65"/>
      <c r="Q65"/>
      <c r="R65"/>
      <c r="S65"/>
      <c r="T65"/>
      <c r="U65"/>
      <c r="V65"/>
      <c r="W65"/>
      <c r="X65"/>
      <c r="Y65"/>
      <c r="Z65" s="344"/>
      <c r="AA65" s="363"/>
      <c r="AB65" s="363"/>
      <c r="AC65" s="363"/>
      <c r="AD65" s="110"/>
      <c r="AE65" s="41"/>
      <c r="AF65" s="41"/>
      <c r="AG65" s="41"/>
      <c r="AH65" s="41"/>
      <c r="AI65" s="41"/>
      <c r="AJ65" s="41"/>
      <c r="AK65" s="41"/>
      <c r="AL65" s="41"/>
      <c r="AM65" s="41"/>
      <c r="AN65" s="41"/>
      <c r="AO65" s="41"/>
      <c r="AP65" s="41"/>
      <c r="AQ65" s="41"/>
      <c r="AR65" s="41"/>
      <c r="AS65" s="41"/>
      <c r="AT65" s="41"/>
      <c r="AU65" s="41"/>
      <c r="AV65" s="41"/>
      <c r="AW65" s="41"/>
      <c r="AX65" s="41"/>
      <c r="AY65" s="41"/>
      <c r="AZ65" s="41"/>
      <c r="BA65" s="41"/>
      <c r="BB65" s="41"/>
      <c r="BC65" s="41"/>
      <c r="BD65" s="41"/>
      <c r="BE65" s="41"/>
      <c r="BF65" s="41"/>
      <c r="BG65" s="41"/>
      <c r="BH65" s="41"/>
      <c r="BI65" s="41"/>
      <c r="BJ65" s="41"/>
      <c r="BK65" s="41"/>
      <c r="BL65" s="41"/>
      <c r="BM65" s="41"/>
      <c r="BN65" s="41"/>
      <c r="BO65" s="41"/>
      <c r="BP65" s="41"/>
      <c r="BQ65" s="41"/>
      <c r="BR65" s="41"/>
      <c r="BS65" s="41"/>
      <c r="BT65" s="41"/>
      <c r="BU65" s="41"/>
      <c r="BV65" s="41"/>
      <c r="BW65" s="41"/>
      <c r="BX65" s="41"/>
      <c r="BY65" s="41"/>
      <c r="BZ65" s="41"/>
      <c r="CA65" s="41"/>
      <c r="CB65" s="41"/>
      <c r="CC65" s="41"/>
      <c r="CD65" s="41"/>
      <c r="CE65" s="41"/>
      <c r="CF65" s="41"/>
      <c r="CG65" s="41"/>
      <c r="CH65" s="41"/>
      <c r="CI65" s="41"/>
      <c r="CJ65" s="41"/>
      <c r="CK65" s="41"/>
      <c r="CL65" s="41"/>
      <c r="CM65" s="41"/>
      <c r="CN65" s="41"/>
      <c r="CO65" s="41"/>
      <c r="CP65" s="41"/>
    </row>
    <row r="66" spans="1:94" s="107" customFormat="1" ht="15" x14ac:dyDescent="0.25">
      <c r="A66" s="100"/>
      <c r="B66" s="101"/>
      <c r="C66" s="417"/>
      <c r="D66" s="418"/>
      <c r="E66" s="102"/>
      <c r="F66" s="103" t="s">
        <v>24</v>
      </c>
      <c r="G66" s="104" t="str">
        <f>"FY "&amp;M4-2000&amp;" Salary"</f>
        <v>FY 23 Salary</v>
      </c>
      <c r="H66" s="104" t="str">
        <f>"FY"&amp;M4-2000&amp;" Health Ben"</f>
        <v>FY23 Health Ben</v>
      </c>
      <c r="I66" s="104" t="str">
        <f>"FY "&amp;M4-2000&amp;" Var Ben"</f>
        <v>FY 23 Var Ben</v>
      </c>
      <c r="J66" s="104" t="str">
        <f>"FY "&amp;M4&amp;" Total"</f>
        <v>FY 2023 Total</v>
      </c>
      <c r="K66" s="104"/>
      <c r="L66" s="105"/>
      <c r="M66" s="105"/>
      <c r="N66" s="101"/>
      <c r="O66"/>
      <c r="P66"/>
      <c r="Q66"/>
      <c r="R66"/>
      <c r="S66"/>
      <c r="T66"/>
      <c r="U66"/>
      <c r="V66"/>
      <c r="W66"/>
      <c r="X66"/>
      <c r="Y66"/>
      <c r="Z66" s="344"/>
      <c r="AA66" s="339"/>
      <c r="AB66" s="339"/>
      <c r="AC66" s="339"/>
      <c r="AD66" s="105"/>
      <c r="AE66" s="106"/>
      <c r="AF66" s="106"/>
      <c r="AG66" s="106"/>
      <c r="AH66" s="106"/>
      <c r="AI66" s="106"/>
      <c r="AJ66" s="106"/>
      <c r="AK66" s="106"/>
      <c r="AL66" s="106"/>
      <c r="AM66" s="106"/>
      <c r="AN66" s="106"/>
      <c r="AO66" s="106"/>
      <c r="AP66" s="106"/>
      <c r="AQ66" s="106"/>
      <c r="AR66" s="106"/>
      <c r="AS66" s="106"/>
      <c r="AT66" s="106"/>
      <c r="AU66" s="106"/>
      <c r="AV66" s="106"/>
      <c r="AW66" s="106"/>
      <c r="AX66" s="106"/>
      <c r="AY66" s="106"/>
      <c r="AZ66" s="106"/>
      <c r="BA66" s="106"/>
      <c r="BB66" s="106"/>
      <c r="BC66" s="106"/>
      <c r="BD66" s="106"/>
      <c r="BE66" s="106"/>
      <c r="BF66" s="106"/>
      <c r="BG66" s="106"/>
      <c r="BH66" s="106"/>
      <c r="BI66" s="106"/>
      <c r="BJ66" s="106"/>
      <c r="BK66" s="106"/>
      <c r="BL66" s="106"/>
      <c r="BM66" s="106"/>
      <c r="BN66" s="106"/>
      <c r="BO66" s="106"/>
      <c r="BP66" s="106"/>
      <c r="BQ66" s="106"/>
      <c r="BR66" s="106"/>
      <c r="BS66" s="106"/>
      <c r="BT66" s="106"/>
      <c r="BU66" s="106"/>
      <c r="BV66" s="106"/>
      <c r="BW66" s="106"/>
      <c r="BX66" s="106"/>
      <c r="BY66" s="106"/>
      <c r="BZ66" s="106"/>
      <c r="CA66" s="106"/>
      <c r="CB66" s="106"/>
      <c r="CC66" s="106"/>
      <c r="CD66" s="106"/>
      <c r="CE66" s="106"/>
      <c r="CF66" s="106"/>
      <c r="CG66" s="106"/>
      <c r="CH66" s="106"/>
      <c r="CI66" s="106"/>
      <c r="CJ66" s="106"/>
      <c r="CK66" s="106"/>
      <c r="CL66" s="106"/>
      <c r="CM66" s="106"/>
      <c r="CN66" s="106"/>
      <c r="CO66" s="106"/>
      <c r="CP66" s="106"/>
    </row>
    <row r="67" spans="1:94" s="53" customFormat="1" ht="15" x14ac:dyDescent="0.25">
      <c r="A67" s="82">
        <v>9</v>
      </c>
      <c r="B67" s="83"/>
      <c r="C67" s="84" t="str">
        <f>"FY "&amp;M4</f>
        <v>FY 2023</v>
      </c>
      <c r="D67" s="108" t="s">
        <v>57</v>
      </c>
      <c r="E67" s="109"/>
      <c r="F67" s="55">
        <f>SUM(F60:F64)</f>
        <v>62.3</v>
      </c>
      <c r="G67" s="80">
        <f>SUM(G60:G64)</f>
        <v>3811200</v>
      </c>
      <c r="H67" s="80">
        <f>SUM(H60:H64)</f>
        <v>698400</v>
      </c>
      <c r="I67" s="80">
        <f>SUM(I60:I64)</f>
        <v>804000</v>
      </c>
      <c r="J67" s="80">
        <f>SUM(J60:J64)</f>
        <v>5313600</v>
      </c>
      <c r="K67" s="263"/>
      <c r="L67" s="110"/>
      <c r="M67" s="110"/>
      <c r="N67" s="111"/>
      <c r="O67"/>
      <c r="P67"/>
      <c r="Q67"/>
      <c r="R67"/>
      <c r="S67"/>
      <c r="T67"/>
      <c r="U67"/>
      <c r="V67"/>
      <c r="W67"/>
      <c r="X67"/>
      <c r="Y67"/>
      <c r="Z67" s="344"/>
      <c r="AA67" s="363"/>
      <c r="AB67" s="363"/>
      <c r="AC67" s="363"/>
      <c r="AD67" s="110"/>
      <c r="AE67" s="41"/>
      <c r="AF67" s="41"/>
      <c r="AG67" s="41"/>
      <c r="AH67" s="41"/>
      <c r="AI67" s="41"/>
      <c r="AJ67" s="41"/>
      <c r="AK67" s="41"/>
      <c r="AL67" s="41"/>
      <c r="AM67" s="41"/>
      <c r="AN67" s="41"/>
      <c r="AO67" s="41"/>
      <c r="AP67" s="41"/>
      <c r="AQ67" s="41"/>
      <c r="AR67" s="41"/>
      <c r="AS67" s="41"/>
      <c r="AT67" s="41"/>
      <c r="AU67" s="41"/>
      <c r="AV67" s="41"/>
      <c r="AW67" s="41"/>
      <c r="AX67" s="41"/>
      <c r="AY67" s="41"/>
      <c r="AZ67" s="41"/>
      <c r="BA67" s="41"/>
      <c r="BB67" s="41"/>
      <c r="BC67" s="41"/>
      <c r="BD67" s="41"/>
      <c r="BE67" s="41"/>
      <c r="BF67" s="41"/>
      <c r="BG67" s="41"/>
      <c r="BH67" s="41"/>
      <c r="BI67" s="41"/>
      <c r="BJ67" s="41"/>
      <c r="BK67" s="41"/>
      <c r="BL67" s="41"/>
      <c r="BM67" s="41"/>
      <c r="BN67" s="41"/>
      <c r="BO67" s="41"/>
      <c r="BP67" s="41"/>
      <c r="BQ67" s="41"/>
      <c r="BR67" s="41"/>
      <c r="BS67" s="41"/>
      <c r="BT67" s="41"/>
      <c r="BU67" s="41"/>
      <c r="BV67" s="41"/>
      <c r="BW67" s="41"/>
      <c r="BX67" s="41"/>
      <c r="BY67" s="41"/>
      <c r="BZ67" s="41"/>
      <c r="CA67" s="41"/>
      <c r="CB67" s="41"/>
      <c r="CC67" s="41"/>
      <c r="CD67" s="41"/>
      <c r="CE67" s="41"/>
      <c r="CF67" s="41"/>
      <c r="CG67" s="41"/>
      <c r="CH67" s="41"/>
      <c r="CI67" s="41"/>
      <c r="CJ67" s="41"/>
      <c r="CK67" s="41"/>
      <c r="CL67" s="41"/>
      <c r="CM67" s="41"/>
      <c r="CN67" s="41"/>
      <c r="CO67" s="41"/>
      <c r="CP67" s="41"/>
    </row>
    <row r="68" spans="1:94" s="53" customFormat="1" ht="15.75" customHeight="1" x14ac:dyDescent="0.25">
      <c r="A68" s="85">
        <v>10.11</v>
      </c>
      <c r="B68" s="83"/>
      <c r="C68" s="419" t="s">
        <v>58</v>
      </c>
      <c r="D68" s="420"/>
      <c r="E68" s="112"/>
      <c r="F68" s="288"/>
      <c r="G68" s="287"/>
      <c r="H68" s="113">
        <f>IF(DUNine=0,0,ROUND(SUM(L41:L65),-2))</f>
        <v>0</v>
      </c>
      <c r="I68" s="113"/>
      <c r="J68" s="287">
        <f>SUM(G68:I68)</f>
        <v>0</v>
      </c>
      <c r="K68" s="291"/>
      <c r="L68" s="292"/>
      <c r="M68" s="292"/>
      <c r="N68" s="293"/>
      <c r="O68"/>
      <c r="P68"/>
      <c r="Q68"/>
      <c r="R68"/>
      <c r="S68"/>
      <c r="T68"/>
      <c r="U68"/>
      <c r="V68"/>
      <c r="W68"/>
      <c r="X68"/>
      <c r="Y68"/>
      <c r="Z68" s="344"/>
      <c r="AA68" s="363"/>
      <c r="AB68" s="363"/>
      <c r="AC68" s="363"/>
      <c r="AD68" s="110"/>
      <c r="AE68" s="41"/>
      <c r="AF68" s="41"/>
      <c r="AG68" s="41"/>
      <c r="AH68" s="41"/>
      <c r="AI68" s="41"/>
      <c r="AJ68" s="41"/>
      <c r="AK68" s="41"/>
      <c r="AL68" s="41"/>
      <c r="AM68" s="41"/>
      <c r="AN68" s="41"/>
      <c r="AO68" s="41"/>
      <c r="AP68" s="41"/>
      <c r="AQ68" s="41"/>
      <c r="AR68" s="41"/>
      <c r="AS68" s="41"/>
      <c r="AT68" s="41"/>
      <c r="AU68" s="41"/>
      <c r="AV68" s="41"/>
      <c r="AW68" s="41"/>
      <c r="AX68" s="41"/>
      <c r="AY68" s="41"/>
      <c r="AZ68" s="41"/>
      <c r="BA68" s="41"/>
      <c r="BB68" s="41"/>
      <c r="BC68" s="41"/>
      <c r="BD68" s="41"/>
      <c r="BE68" s="41"/>
      <c r="BF68" s="41"/>
      <c r="BG68" s="41"/>
      <c r="BH68" s="41"/>
      <c r="BI68" s="41"/>
      <c r="BJ68" s="41"/>
      <c r="BK68" s="41"/>
      <c r="BL68" s="41"/>
      <c r="BM68" s="41"/>
      <c r="BN68" s="41"/>
      <c r="BO68" s="41"/>
      <c r="BP68" s="41"/>
      <c r="BQ68" s="41"/>
      <c r="BR68" s="41"/>
      <c r="BS68" s="41"/>
      <c r="BT68" s="41"/>
      <c r="BU68" s="41"/>
      <c r="BV68" s="41"/>
      <c r="BW68" s="41"/>
      <c r="BX68" s="41"/>
      <c r="BY68" s="41"/>
      <c r="BZ68" s="41"/>
      <c r="CA68" s="41"/>
      <c r="CB68" s="41"/>
      <c r="CC68" s="41"/>
      <c r="CD68" s="41"/>
      <c r="CE68" s="41"/>
      <c r="CF68" s="41"/>
      <c r="CG68" s="41"/>
      <c r="CH68" s="41"/>
      <c r="CI68" s="41"/>
      <c r="CJ68" s="41"/>
      <c r="CK68" s="41"/>
      <c r="CL68" s="41"/>
      <c r="CM68" s="41"/>
      <c r="CN68" s="41"/>
      <c r="CO68" s="41"/>
      <c r="CP68" s="41"/>
    </row>
    <row r="69" spans="1:94" s="53" customFormat="1" ht="15" x14ac:dyDescent="0.25">
      <c r="A69" s="85">
        <v>10.119999999999999</v>
      </c>
      <c r="B69" s="83"/>
      <c r="C69" s="419" t="s">
        <v>59</v>
      </c>
      <c r="D69" s="420"/>
      <c r="E69" s="112"/>
      <c r="F69" s="288"/>
      <c r="G69" s="113"/>
      <c r="H69" s="113"/>
      <c r="I69" s="113">
        <f>IF(DUNine=0,0,ROUND(SUM(M41:M64),-2))</f>
        <v>-13400</v>
      </c>
      <c r="J69" s="287">
        <f>SUM(G69:I69)</f>
        <v>-13400</v>
      </c>
      <c r="K69" s="291"/>
      <c r="L69" s="292"/>
      <c r="M69" s="292"/>
      <c r="N69" s="293"/>
      <c r="O69"/>
      <c r="P69"/>
      <c r="Q69"/>
      <c r="R69"/>
      <c r="S69"/>
      <c r="T69"/>
      <c r="U69"/>
      <c r="V69"/>
      <c r="W69"/>
      <c r="X69"/>
      <c r="Y69"/>
      <c r="Z69" s="344"/>
      <c r="AA69" s="363"/>
      <c r="AB69" s="363"/>
      <c r="AC69" s="363"/>
      <c r="AD69" s="110"/>
      <c r="AE69" s="41"/>
      <c r="AF69" s="41"/>
      <c r="AG69" s="41"/>
      <c r="AH69" s="41"/>
      <c r="AI69" s="41"/>
      <c r="AJ69" s="41"/>
      <c r="AK69" s="41"/>
      <c r="AL69" s="41"/>
      <c r="AM69" s="41"/>
      <c r="AN69" s="41"/>
      <c r="AO69" s="41"/>
      <c r="AP69" s="41"/>
      <c r="AQ69" s="41"/>
      <c r="AR69" s="41"/>
      <c r="AS69" s="41"/>
      <c r="AT69" s="41"/>
      <c r="AU69" s="41"/>
      <c r="AV69" s="41"/>
      <c r="AW69" s="41"/>
      <c r="AX69" s="41"/>
      <c r="AY69" s="41"/>
      <c r="AZ69" s="41"/>
      <c r="BA69" s="41"/>
      <c r="BB69" s="41"/>
      <c r="BC69" s="41"/>
      <c r="BD69" s="41"/>
      <c r="BE69" s="41"/>
      <c r="BF69" s="41"/>
      <c r="BG69" s="41"/>
      <c r="BH69" s="41"/>
      <c r="BI69" s="41"/>
      <c r="BJ69" s="41"/>
      <c r="BK69" s="41"/>
      <c r="BL69" s="41"/>
      <c r="BM69" s="41"/>
      <c r="BN69" s="41"/>
      <c r="BO69" s="41"/>
      <c r="BP69" s="41"/>
      <c r="BQ69" s="41"/>
      <c r="BR69" s="41"/>
      <c r="BS69" s="41"/>
      <c r="BT69" s="41"/>
      <c r="BU69" s="41"/>
      <c r="BV69" s="41"/>
      <c r="BW69" s="41"/>
      <c r="BX69" s="41"/>
      <c r="BY69" s="41"/>
      <c r="BZ69" s="41"/>
      <c r="CA69" s="41"/>
      <c r="CB69" s="41"/>
      <c r="CC69" s="41"/>
      <c r="CD69" s="41"/>
      <c r="CE69" s="41"/>
      <c r="CF69" s="41"/>
      <c r="CG69" s="41"/>
      <c r="CH69" s="41"/>
      <c r="CI69" s="41"/>
      <c r="CJ69" s="41"/>
      <c r="CK69" s="41"/>
      <c r="CL69" s="41"/>
      <c r="CM69" s="41"/>
      <c r="CN69" s="41"/>
      <c r="CO69" s="41"/>
      <c r="CP69" s="41"/>
    </row>
    <row r="70" spans="1:94" s="53" customFormat="1" ht="15" x14ac:dyDescent="0.25">
      <c r="A70" s="85"/>
      <c r="B70" s="83"/>
      <c r="C70" s="406"/>
      <c r="D70" s="407"/>
      <c r="E70" s="236" t="s">
        <v>23</v>
      </c>
      <c r="F70" s="288"/>
      <c r="G70" s="113"/>
      <c r="H70" s="113"/>
      <c r="I70" s="113"/>
      <c r="J70" s="287">
        <f>SUM(G70:I70)</f>
        <v>0</v>
      </c>
      <c r="K70" s="291"/>
      <c r="L70" s="292"/>
      <c r="M70" s="294"/>
      <c r="N70" s="295"/>
      <c r="O70"/>
      <c r="P70"/>
      <c r="Q70"/>
      <c r="R70"/>
      <c r="S70"/>
      <c r="T70"/>
      <c r="U70"/>
      <c r="V70"/>
      <c r="W70"/>
      <c r="X70"/>
      <c r="Y70"/>
      <c r="Z70" s="344"/>
      <c r="AA70" s="363"/>
      <c r="AB70" s="363"/>
      <c r="AC70" s="363"/>
      <c r="AD70" s="110"/>
      <c r="AE70" s="41"/>
      <c r="AF70" s="41"/>
      <c r="AG70" s="41"/>
      <c r="AH70" s="41"/>
      <c r="AI70" s="41"/>
      <c r="AJ70" s="41"/>
      <c r="AK70" s="41"/>
      <c r="AL70" s="41"/>
      <c r="AM70" s="41"/>
      <c r="AN70" s="41"/>
      <c r="AO70" s="41"/>
      <c r="AP70" s="41"/>
      <c r="AQ70" s="41"/>
      <c r="AR70" s="41"/>
      <c r="AS70" s="41"/>
      <c r="AT70" s="41"/>
      <c r="AU70" s="41"/>
      <c r="AV70" s="41"/>
      <c r="AW70" s="41"/>
      <c r="AX70" s="41"/>
      <c r="AY70" s="41"/>
      <c r="AZ70" s="41"/>
      <c r="BA70" s="41"/>
      <c r="BB70" s="41"/>
      <c r="BC70" s="41"/>
      <c r="BD70" s="41"/>
      <c r="BE70" s="41"/>
      <c r="BF70" s="41"/>
      <c r="BG70" s="41"/>
      <c r="BH70" s="41"/>
      <c r="BI70" s="41"/>
      <c r="BJ70" s="41"/>
      <c r="BK70" s="41"/>
      <c r="BL70" s="41"/>
      <c r="BM70" s="41"/>
      <c r="BN70" s="41"/>
      <c r="BO70" s="41"/>
      <c r="BP70" s="41"/>
      <c r="BQ70" s="41"/>
      <c r="BR70" s="41"/>
      <c r="BS70" s="41"/>
      <c r="BT70" s="41"/>
      <c r="BU70" s="41"/>
      <c r="BV70" s="41"/>
      <c r="BW70" s="41"/>
      <c r="BX70" s="41"/>
      <c r="BY70" s="41"/>
      <c r="BZ70" s="41"/>
      <c r="CA70" s="41"/>
      <c r="CB70" s="41"/>
      <c r="CC70" s="41"/>
      <c r="CD70" s="41"/>
      <c r="CE70" s="41"/>
      <c r="CF70" s="41"/>
      <c r="CG70" s="41"/>
      <c r="CH70" s="41"/>
      <c r="CI70" s="41"/>
      <c r="CJ70" s="41"/>
      <c r="CK70" s="41"/>
      <c r="CL70" s="41"/>
      <c r="CM70" s="41"/>
      <c r="CN70" s="41"/>
      <c r="CO70" s="41"/>
      <c r="CP70" s="41"/>
    </row>
    <row r="71" spans="1:94" s="53" customFormat="1" ht="15.75" customHeight="1" x14ac:dyDescent="0.25">
      <c r="A71" s="85">
        <v>10.51</v>
      </c>
      <c r="B71" s="83"/>
      <c r="C71" s="408" t="s">
        <v>60</v>
      </c>
      <c r="D71" s="409"/>
      <c r="E71" s="237"/>
      <c r="F71" s="288"/>
      <c r="G71" s="92">
        <v>0</v>
      </c>
      <c r="H71" s="92">
        <v>0</v>
      </c>
      <c r="I71" s="287">
        <f>ROUND(IF(AND($G71&lt;&gt;0,$E71=1),$G71*PermVBBY+$G71*Retire1BY,IF(AND($G71&lt;&gt;0,$E71=2),$G71*GroupVBBY,IF(AND($G71&lt;&gt;0,$E71=3),$G71*ElectVBBY+$G71*Retire1BY,0))),-2)</f>
        <v>0</v>
      </c>
      <c r="J71" s="113">
        <f t="shared" ref="J71:J74" si="11">SUM(G71:I71)</f>
        <v>0</v>
      </c>
      <c r="K71" s="296"/>
      <c r="L71" s="297"/>
      <c r="M71" s="348" t="s">
        <v>112</v>
      </c>
      <c r="N71" s="356"/>
      <c r="O71" s="357"/>
      <c r="P71" s="357"/>
      <c r="Q71"/>
      <c r="R71"/>
      <c r="S71"/>
      <c r="T71"/>
      <c r="U71"/>
      <c r="V71"/>
      <c r="W71"/>
      <c r="X71"/>
      <c r="Y71"/>
      <c r="Z71" s="344"/>
      <c r="AA71" s="363"/>
      <c r="AB71" s="363"/>
      <c r="AC71" s="363"/>
      <c r="AD71" s="110"/>
      <c r="AE71" s="41"/>
      <c r="AF71" s="41"/>
      <c r="AG71" s="41"/>
      <c r="AH71" s="41"/>
      <c r="AI71" s="41"/>
      <c r="AJ71" s="41"/>
      <c r="AK71" s="41"/>
      <c r="AL71" s="41"/>
      <c r="AM71" s="41"/>
      <c r="AN71" s="41"/>
      <c r="AO71" s="41"/>
      <c r="AP71" s="41"/>
      <c r="AQ71" s="41"/>
      <c r="AR71" s="41"/>
      <c r="AS71" s="41"/>
      <c r="AT71" s="41"/>
      <c r="AU71" s="41"/>
      <c r="AV71" s="41"/>
      <c r="AW71" s="41"/>
      <c r="AX71" s="41"/>
      <c r="AY71" s="41"/>
      <c r="AZ71" s="41"/>
      <c r="BA71" s="41"/>
      <c r="BB71" s="41"/>
      <c r="BC71" s="41"/>
      <c r="BD71" s="41"/>
      <c r="BE71" s="41"/>
      <c r="BF71" s="41"/>
      <c r="BG71" s="41"/>
      <c r="BH71" s="41"/>
      <c r="BI71" s="41"/>
      <c r="BJ71" s="41"/>
      <c r="BK71" s="41"/>
      <c r="BL71" s="41"/>
      <c r="BM71" s="41"/>
      <c r="BN71" s="41"/>
      <c r="BO71" s="41"/>
      <c r="BP71" s="41"/>
      <c r="BQ71" s="41"/>
      <c r="BR71" s="41"/>
      <c r="BS71" s="41"/>
      <c r="BT71" s="41"/>
      <c r="BU71" s="41"/>
      <c r="BV71" s="41"/>
      <c r="BW71" s="41"/>
      <c r="BX71" s="41"/>
      <c r="BY71" s="41"/>
      <c r="BZ71" s="41"/>
      <c r="CA71" s="41"/>
      <c r="CB71" s="41"/>
      <c r="CC71" s="41"/>
      <c r="CD71" s="41"/>
      <c r="CE71" s="41"/>
      <c r="CF71" s="41"/>
      <c r="CG71" s="41"/>
      <c r="CH71" s="41"/>
      <c r="CI71" s="41"/>
      <c r="CJ71" s="41"/>
      <c r="CK71" s="41"/>
      <c r="CL71" s="41"/>
      <c r="CM71" s="41"/>
      <c r="CN71" s="41"/>
      <c r="CO71" s="41"/>
      <c r="CP71" s="41"/>
    </row>
    <row r="72" spans="1:94" s="53" customFormat="1" ht="15.75" customHeight="1" x14ac:dyDescent="0.25">
      <c r="A72" s="85">
        <v>10.61</v>
      </c>
      <c r="B72" s="83"/>
      <c r="C72" s="408" t="s">
        <v>101</v>
      </c>
      <c r="D72" s="410"/>
      <c r="E72" s="290">
        <f>CECPerm</f>
        <v>0.01</v>
      </c>
      <c r="F72" s="288"/>
      <c r="G72" s="355">
        <f>IF(DUNine=0,0,IF(DUNine&lt;0,0,ROUND(AdjPermSalary*CECPerm,-2)))</f>
        <v>30100</v>
      </c>
      <c r="H72" s="287"/>
      <c r="I72" s="287">
        <f>ROUND(($G72*PermVBBY+$G72*Retire1BY),-2)</f>
        <v>6300</v>
      </c>
      <c r="J72" s="113">
        <f>SUM(G72:I72)</f>
        <v>36400</v>
      </c>
      <c r="K72" s="296"/>
      <c r="L72" s="298"/>
      <c r="M72" s="349" t="e">
        <f>IF(DUNine=0,0,IF(((#REF!-G39-G40)*E72)&lt;0,0,ROUND(((#REF!-G39-G40)*E72),-2)))</f>
        <v>#REF!</v>
      </c>
      <c r="N72" s="358"/>
      <c r="O72" s="357" t="e">
        <f>IF(DUNine=0,0,IF(DUNine&lt;0,0,IF(SubCECBase&lt;RoundedAppropSalary,ROUND(AdjPermSalary*CECpermCalc,-2)+((SubCECBase-RoundedAppropSalary)*CECpermCalc),IF(SubCECBase&gt;RoundedAppropSalary,ROUND(AdjPermSalary*CECpermCalc,-2)+((SubCECBase-RoundedAppropSalary)*CECpermCalc),ROUND(AdjPermSalary*CECpermCalc,-2)))))</f>
        <v>#REF!</v>
      </c>
      <c r="P72" s="357"/>
      <c r="Q72"/>
      <c r="R72"/>
      <c r="S72"/>
      <c r="T72"/>
      <c r="U72"/>
      <c r="V72"/>
      <c r="W72"/>
      <c r="X72"/>
      <c r="Y72"/>
      <c r="Z72" s="344"/>
      <c r="AA72" s="363"/>
      <c r="AB72" s="363"/>
      <c r="AC72" s="363"/>
      <c r="AD72" s="110"/>
      <c r="AE72" s="41"/>
      <c r="AF72" s="41"/>
      <c r="AG72" s="41"/>
      <c r="AH72" s="41"/>
      <c r="AI72" s="41"/>
      <c r="AJ72" s="41"/>
      <c r="AK72" s="41"/>
      <c r="AL72" s="41"/>
      <c r="AM72" s="41"/>
      <c r="AN72" s="41"/>
      <c r="AO72" s="41"/>
      <c r="AP72" s="41"/>
      <c r="AQ72" s="41"/>
      <c r="AR72" s="41"/>
      <c r="AS72" s="41"/>
      <c r="AT72" s="41"/>
      <c r="AU72" s="41"/>
      <c r="AV72" s="41"/>
      <c r="AW72" s="41"/>
      <c r="AX72" s="41"/>
      <c r="AY72" s="41"/>
      <c r="AZ72" s="41"/>
      <c r="BA72" s="41"/>
      <c r="BB72" s="41"/>
      <c r="BC72" s="41"/>
      <c r="BD72" s="41"/>
      <c r="BE72" s="41"/>
      <c r="BF72" s="41"/>
      <c r="BG72" s="41"/>
      <c r="BH72" s="41"/>
      <c r="BI72" s="41"/>
      <c r="BJ72" s="41"/>
      <c r="BK72" s="41"/>
      <c r="BL72" s="41"/>
      <c r="BM72" s="41"/>
      <c r="BN72" s="41"/>
      <c r="BO72" s="41"/>
      <c r="BP72" s="41"/>
      <c r="BQ72" s="41"/>
      <c r="BR72" s="41"/>
      <c r="BS72" s="41"/>
      <c r="BT72" s="41"/>
      <c r="BU72" s="41"/>
      <c r="BV72" s="41"/>
      <c r="BW72" s="41"/>
      <c r="BX72" s="41"/>
      <c r="BY72" s="41"/>
      <c r="BZ72" s="41"/>
      <c r="CA72" s="41"/>
      <c r="CB72" s="41"/>
      <c r="CC72" s="41"/>
      <c r="CD72" s="41"/>
      <c r="CE72" s="41"/>
      <c r="CF72" s="41"/>
      <c r="CG72" s="41"/>
      <c r="CH72" s="41"/>
      <c r="CI72" s="41"/>
      <c r="CJ72" s="41"/>
      <c r="CK72" s="41"/>
      <c r="CL72" s="41"/>
      <c r="CM72" s="41"/>
      <c r="CN72" s="41"/>
      <c r="CO72" s="41"/>
      <c r="CP72" s="41"/>
    </row>
    <row r="73" spans="1:94" s="53" customFormat="1" ht="15.6" customHeight="1" x14ac:dyDescent="0.25">
      <c r="A73" s="85">
        <v>10.62</v>
      </c>
      <c r="B73" s="83"/>
      <c r="C73" s="408" t="s">
        <v>61</v>
      </c>
      <c r="D73" s="410"/>
      <c r="E73" s="289">
        <f>CECGroup</f>
        <v>0.01</v>
      </c>
      <c r="F73" s="288"/>
      <c r="G73" s="355">
        <f>IF(DUNine=0,0,IF(DUNine&lt;0,0,ROUND(AdjGroupSalary*CECGroup,-2)))</f>
        <v>1000</v>
      </c>
      <c r="H73" s="287"/>
      <c r="I73" s="287">
        <f>ROUND(($G73*GroupVBBY),-2)</f>
        <v>100</v>
      </c>
      <c r="J73" s="113">
        <f t="shared" si="11"/>
        <v>1100</v>
      </c>
      <c r="K73" s="301"/>
      <c r="L73" s="302"/>
      <c r="M73" s="359"/>
      <c r="N73" s="360"/>
      <c r="O73" s="357"/>
      <c r="P73" s="357"/>
      <c r="Q73"/>
      <c r="R73"/>
      <c r="S73"/>
      <c r="T73"/>
      <c r="U73"/>
      <c r="V73"/>
      <c r="W73"/>
      <c r="X73"/>
      <c r="Y73"/>
      <c r="Z73" s="344"/>
      <c r="AA73" s="363"/>
      <c r="AB73" s="363"/>
      <c r="AC73" s="363"/>
      <c r="AD73" s="110"/>
      <c r="AE73" s="41"/>
      <c r="AF73" s="41"/>
      <c r="AG73" s="41"/>
      <c r="AH73" s="41"/>
      <c r="AI73" s="41"/>
      <c r="AJ73" s="41"/>
      <c r="AK73" s="41"/>
      <c r="AL73" s="41"/>
      <c r="AM73" s="41"/>
      <c r="AN73" s="41"/>
      <c r="AO73" s="41"/>
      <c r="AP73" s="41"/>
      <c r="AQ73" s="41"/>
      <c r="AR73" s="41"/>
      <c r="AS73" s="41"/>
      <c r="AT73" s="41"/>
      <c r="AU73" s="41"/>
      <c r="AV73" s="41"/>
      <c r="AW73" s="41"/>
      <c r="AX73" s="41"/>
      <c r="AY73" s="41"/>
      <c r="AZ73" s="41"/>
      <c r="BA73" s="41"/>
      <c r="BB73" s="41"/>
      <c r="BC73" s="41"/>
      <c r="BD73" s="41"/>
      <c r="BE73" s="41"/>
      <c r="BF73" s="41"/>
      <c r="BG73" s="41"/>
      <c r="BH73" s="41"/>
      <c r="BI73" s="41"/>
      <c r="BJ73" s="41"/>
      <c r="BK73" s="41"/>
      <c r="BL73" s="41"/>
      <c r="BM73" s="41"/>
      <c r="BN73" s="41"/>
      <c r="BO73" s="41"/>
      <c r="BP73" s="41"/>
      <c r="BQ73" s="41"/>
      <c r="BR73" s="41"/>
      <c r="BS73" s="41"/>
      <c r="BT73" s="41"/>
      <c r="BU73" s="41"/>
      <c r="BV73" s="41"/>
      <c r="BW73" s="41"/>
      <c r="BX73" s="41"/>
      <c r="BY73" s="41"/>
      <c r="BZ73" s="41"/>
      <c r="CA73" s="41"/>
      <c r="CB73" s="41"/>
      <c r="CC73" s="41"/>
      <c r="CD73" s="41"/>
      <c r="CE73" s="41"/>
      <c r="CF73" s="41"/>
      <c r="CG73" s="41"/>
      <c r="CH73" s="41"/>
      <c r="CI73" s="41"/>
      <c r="CJ73" s="41"/>
      <c r="CK73" s="41"/>
      <c r="CL73" s="41"/>
      <c r="CM73" s="41"/>
      <c r="CN73" s="41"/>
      <c r="CO73" s="41"/>
      <c r="CP73" s="41"/>
    </row>
    <row r="74" spans="1:94" s="53" customFormat="1" ht="15.6" customHeight="1" x14ac:dyDescent="0.25">
      <c r="A74" s="85">
        <v>10.63</v>
      </c>
      <c r="B74" s="83"/>
      <c r="C74" s="366" t="s">
        <v>62</v>
      </c>
      <c r="D74" s="368"/>
      <c r="E74" s="112"/>
      <c r="F74" s="288"/>
      <c r="G74" s="92">
        <v>0</v>
      </c>
      <c r="H74" s="287"/>
      <c r="I74" s="287">
        <f>ROUND(($G74*ElectVBBY+$G74*Retire1BY),-2)</f>
        <v>0</v>
      </c>
      <c r="J74" s="113">
        <f t="shared" si="11"/>
        <v>0</v>
      </c>
      <c r="K74" s="301"/>
      <c r="L74" s="302"/>
      <c r="M74" s="303"/>
      <c r="N74" s="304"/>
      <c r="O74"/>
      <c r="P74"/>
      <c r="Q74"/>
      <c r="R74"/>
      <c r="S74"/>
      <c r="T74"/>
      <c r="U74"/>
      <c r="V74"/>
      <c r="W74"/>
      <c r="X74"/>
      <c r="Y74"/>
      <c r="Z74" s="344"/>
      <c r="AA74" s="363"/>
      <c r="AB74" s="363"/>
      <c r="AC74" s="363"/>
      <c r="AD74" s="110"/>
      <c r="AE74" s="41"/>
      <c r="AF74" s="41"/>
      <c r="AG74" s="41"/>
      <c r="AH74" s="41"/>
      <c r="AI74" s="41"/>
      <c r="AJ74" s="41"/>
      <c r="AK74" s="41"/>
      <c r="AL74" s="41"/>
      <c r="AM74" s="41"/>
      <c r="AN74" s="41"/>
      <c r="AO74" s="41"/>
      <c r="AP74" s="41"/>
      <c r="AQ74" s="41"/>
      <c r="AR74" s="41"/>
      <c r="AS74" s="41"/>
      <c r="AT74" s="41"/>
      <c r="AU74" s="41"/>
      <c r="AV74" s="41"/>
      <c r="AW74" s="41"/>
      <c r="AX74" s="41"/>
      <c r="AY74" s="41"/>
      <c r="AZ74" s="41"/>
      <c r="BA74" s="41"/>
      <c r="BB74" s="41"/>
      <c r="BC74" s="41"/>
      <c r="BD74" s="41"/>
      <c r="BE74" s="41"/>
      <c r="BF74" s="41"/>
      <c r="BG74" s="41"/>
      <c r="BH74" s="41"/>
      <c r="BI74" s="41"/>
      <c r="BJ74" s="41"/>
      <c r="BK74" s="41"/>
      <c r="BL74" s="41"/>
      <c r="BM74" s="41"/>
      <c r="BN74" s="41"/>
      <c r="BO74" s="41"/>
      <c r="BP74" s="41"/>
      <c r="BQ74" s="41"/>
      <c r="BR74" s="41"/>
      <c r="BS74" s="41"/>
      <c r="BT74" s="41"/>
      <c r="BU74" s="41"/>
      <c r="BV74" s="41"/>
      <c r="BW74" s="41"/>
      <c r="BX74" s="41"/>
      <c r="BY74" s="41"/>
      <c r="BZ74" s="41"/>
      <c r="CA74" s="41"/>
      <c r="CB74" s="41"/>
      <c r="CC74" s="41"/>
      <c r="CD74" s="41"/>
      <c r="CE74" s="41"/>
      <c r="CF74" s="41"/>
      <c r="CG74" s="41"/>
      <c r="CH74" s="41"/>
      <c r="CI74" s="41"/>
      <c r="CJ74" s="41"/>
      <c r="CK74" s="41"/>
      <c r="CL74" s="41"/>
      <c r="CM74" s="41"/>
      <c r="CN74" s="41"/>
      <c r="CO74" s="41"/>
      <c r="CP74" s="41"/>
    </row>
    <row r="75" spans="1:94" s="53" customFormat="1" ht="15.75" customHeight="1" x14ac:dyDescent="0.25">
      <c r="A75" s="75">
        <v>11</v>
      </c>
      <c r="B75" s="76"/>
      <c r="C75" s="54" t="str">
        <f>"FY "&amp;M4</f>
        <v>FY 2023</v>
      </c>
      <c r="D75" s="77" t="s">
        <v>63</v>
      </c>
      <c r="E75" s="112"/>
      <c r="F75" s="55">
        <f>SUM(F67:F74)</f>
        <v>62.3</v>
      </c>
      <c r="G75" s="80">
        <f>SUM(G67:G74)</f>
        <v>3842300</v>
      </c>
      <c r="H75" s="80">
        <f>SUM(H67:H74)</f>
        <v>698400</v>
      </c>
      <c r="I75" s="80">
        <f>SUM(I67:I74)</f>
        <v>797000</v>
      </c>
      <c r="J75" s="80">
        <f>SUM(J67:K74)</f>
        <v>5337700</v>
      </c>
      <c r="K75" s="296"/>
      <c r="L75" s="299"/>
      <c r="M75" s="299"/>
      <c r="N75" s="300"/>
      <c r="O75"/>
      <c r="P75"/>
      <c r="Q75"/>
      <c r="R75"/>
      <c r="S75"/>
      <c r="T75"/>
      <c r="U75"/>
      <c r="V75"/>
      <c r="W75"/>
      <c r="X75"/>
      <c r="Y75"/>
      <c r="Z75" s="344"/>
      <c r="AA75" s="363"/>
      <c r="AB75" s="363"/>
      <c r="AC75" s="363"/>
      <c r="AD75" s="110"/>
      <c r="AE75" s="41"/>
      <c r="AF75" s="41"/>
      <c r="AG75" s="41"/>
      <c r="AH75" s="41"/>
      <c r="AI75" s="41"/>
      <c r="AJ75" s="41"/>
      <c r="AK75" s="41"/>
      <c r="AL75" s="41"/>
      <c r="AM75" s="41"/>
      <c r="AN75" s="41"/>
      <c r="AO75" s="41"/>
      <c r="AP75" s="41"/>
      <c r="AQ75" s="41"/>
      <c r="AR75" s="41"/>
      <c r="AS75" s="41"/>
      <c r="AT75" s="41"/>
      <c r="AU75" s="41"/>
      <c r="AV75" s="41"/>
      <c r="AW75" s="41"/>
      <c r="AX75" s="41"/>
      <c r="AY75" s="41"/>
      <c r="AZ75" s="41"/>
      <c r="BA75" s="41"/>
      <c r="BB75" s="41"/>
      <c r="BC75" s="41"/>
      <c r="BD75" s="41"/>
      <c r="BE75" s="41"/>
      <c r="BF75" s="41"/>
      <c r="BG75" s="41"/>
      <c r="BH75" s="41"/>
      <c r="BI75" s="41"/>
      <c r="BJ75" s="41"/>
      <c r="BK75" s="41"/>
      <c r="BL75" s="41"/>
      <c r="BM75" s="41"/>
      <c r="BN75" s="41"/>
      <c r="BO75" s="41"/>
      <c r="BP75" s="41"/>
      <c r="BQ75" s="41"/>
      <c r="BR75" s="41"/>
      <c r="BS75" s="41"/>
      <c r="BT75" s="41"/>
      <c r="BU75" s="41"/>
      <c r="BV75" s="41"/>
      <c r="BW75" s="41"/>
      <c r="BX75" s="41"/>
      <c r="BY75" s="41"/>
      <c r="BZ75" s="41"/>
      <c r="CA75" s="41"/>
      <c r="CB75" s="41"/>
      <c r="CC75" s="41"/>
      <c r="CD75" s="41"/>
      <c r="CE75" s="41"/>
      <c r="CF75" s="41"/>
      <c r="CG75" s="41"/>
      <c r="CH75" s="41"/>
      <c r="CI75" s="41"/>
      <c r="CJ75" s="41"/>
      <c r="CK75" s="41"/>
      <c r="CL75" s="41"/>
      <c r="CM75" s="41"/>
      <c r="CN75" s="41"/>
      <c r="CO75" s="41"/>
      <c r="CP75" s="41"/>
    </row>
    <row r="76" spans="1:94" s="53" customFormat="1" ht="28.5" customHeight="1" x14ac:dyDescent="0.25">
      <c r="A76" s="85"/>
      <c r="B76" s="83"/>
      <c r="C76" s="411" t="s">
        <v>64</v>
      </c>
      <c r="D76" s="412"/>
      <c r="E76" s="59"/>
      <c r="F76" s="59"/>
      <c r="G76" s="61"/>
      <c r="H76" s="61"/>
      <c r="I76" s="61"/>
      <c r="J76" s="61"/>
      <c r="K76" s="291"/>
      <c r="L76" s="292"/>
      <c r="M76" s="305"/>
      <c r="N76" s="293"/>
      <c r="O76"/>
      <c r="P76"/>
      <c r="Q76"/>
      <c r="R76"/>
      <c r="S76"/>
      <c r="T76"/>
      <c r="U76"/>
      <c r="V76"/>
      <c r="W76"/>
      <c r="X76"/>
      <c r="Y76"/>
      <c r="Z76" s="344"/>
      <c r="AA76" s="363"/>
      <c r="AB76" s="363"/>
      <c r="AC76" s="363"/>
      <c r="AD76" s="110"/>
      <c r="AE76" s="41"/>
      <c r="AF76" s="41"/>
      <c r="AG76" s="41"/>
      <c r="AH76" s="41"/>
      <c r="AI76" s="41"/>
      <c r="AJ76" s="41"/>
      <c r="AK76" s="41"/>
      <c r="AL76" s="41"/>
      <c r="AM76" s="41"/>
      <c r="AN76" s="41"/>
      <c r="AO76" s="41"/>
      <c r="AP76" s="41"/>
      <c r="AQ76" s="41"/>
      <c r="AR76" s="41"/>
      <c r="AS76" s="41"/>
      <c r="AT76" s="41"/>
      <c r="AU76" s="41"/>
      <c r="AV76" s="41"/>
      <c r="AW76" s="41"/>
      <c r="AX76" s="41"/>
      <c r="AY76" s="41"/>
      <c r="AZ76" s="41"/>
      <c r="BA76" s="41"/>
      <c r="BB76" s="41"/>
      <c r="BC76" s="41"/>
      <c r="BD76" s="41"/>
      <c r="BE76" s="41"/>
      <c r="BF76" s="41"/>
      <c r="BG76" s="41"/>
      <c r="BH76" s="41"/>
      <c r="BI76" s="41"/>
      <c r="BJ76" s="41"/>
      <c r="BK76" s="41"/>
      <c r="BL76" s="41"/>
      <c r="BM76" s="41"/>
      <c r="BN76" s="41"/>
      <c r="BO76" s="41"/>
      <c r="BP76" s="41"/>
      <c r="BQ76" s="41"/>
      <c r="BR76" s="41"/>
      <c r="BS76" s="41"/>
      <c r="BT76" s="41"/>
      <c r="BU76" s="41"/>
      <c r="BV76" s="41"/>
      <c r="BW76" s="41"/>
      <c r="BX76" s="41"/>
      <c r="BY76" s="41"/>
      <c r="BZ76" s="41"/>
      <c r="CA76" s="41"/>
      <c r="CB76" s="41"/>
      <c r="CC76" s="41"/>
      <c r="CD76" s="41"/>
      <c r="CE76" s="41"/>
      <c r="CF76" s="41"/>
      <c r="CG76" s="41"/>
      <c r="CH76" s="41"/>
      <c r="CI76" s="41"/>
      <c r="CJ76" s="41"/>
      <c r="CK76" s="41"/>
      <c r="CL76" s="41"/>
      <c r="CM76" s="41"/>
      <c r="CN76" s="41"/>
      <c r="CO76" s="41"/>
      <c r="CP76" s="41"/>
    </row>
    <row r="77" spans="1:94" s="53" customFormat="1" ht="15" x14ac:dyDescent="0.25">
      <c r="A77" s="116">
        <v>12.01</v>
      </c>
      <c r="B77" s="57"/>
      <c r="C77" s="404"/>
      <c r="D77" s="405"/>
      <c r="E77" s="87"/>
      <c r="F77" s="58"/>
      <c r="G77" s="88"/>
      <c r="H77" s="88"/>
      <c r="I77" s="88"/>
      <c r="J77" s="80">
        <f>ROUND(SUM(G77:I77),-2)</f>
        <v>0</v>
      </c>
      <c r="K77" s="296"/>
      <c r="L77" s="292"/>
      <c r="M77" s="292"/>
      <c r="N77" s="293"/>
      <c r="O77"/>
      <c r="P77"/>
      <c r="Q77"/>
      <c r="R77"/>
      <c r="S77"/>
      <c r="T77"/>
      <c r="U77"/>
      <c r="V77"/>
      <c r="W77"/>
      <c r="X77"/>
      <c r="Y77"/>
      <c r="Z77" s="344"/>
      <c r="AA77" s="363"/>
      <c r="AB77" s="363"/>
      <c r="AC77" s="363"/>
      <c r="AD77" s="110"/>
      <c r="AE77" s="41"/>
      <c r="AF77" s="41"/>
      <c r="AG77" s="41"/>
      <c r="AH77" s="41"/>
      <c r="AI77" s="41"/>
      <c r="AJ77" s="41"/>
      <c r="AK77" s="41"/>
      <c r="AL77" s="41"/>
      <c r="AM77" s="41"/>
      <c r="AN77" s="41"/>
      <c r="AO77" s="41"/>
      <c r="AP77" s="41"/>
      <c r="AQ77" s="41"/>
      <c r="AR77" s="41"/>
      <c r="AS77" s="41"/>
      <c r="AT77" s="41"/>
      <c r="AU77" s="41"/>
      <c r="AV77" s="41"/>
      <c r="AW77" s="41"/>
      <c r="AX77" s="41"/>
      <c r="AY77" s="41"/>
      <c r="AZ77" s="41"/>
      <c r="BA77" s="41"/>
      <c r="BB77" s="41"/>
      <c r="BC77" s="41"/>
      <c r="BD77" s="41"/>
      <c r="BE77" s="41"/>
      <c r="BF77" s="41"/>
      <c r="BG77" s="41"/>
      <c r="BH77" s="41"/>
      <c r="BI77" s="41"/>
      <c r="BJ77" s="41"/>
      <c r="BK77" s="41"/>
      <c r="BL77" s="41"/>
      <c r="BM77" s="41"/>
      <c r="BN77" s="41"/>
      <c r="BO77" s="41"/>
      <c r="BP77" s="41"/>
      <c r="BQ77" s="41"/>
      <c r="BR77" s="41"/>
      <c r="BS77" s="41"/>
      <c r="BT77" s="41"/>
      <c r="BU77" s="41"/>
      <c r="BV77" s="41"/>
      <c r="BW77" s="41"/>
      <c r="BX77" s="41"/>
      <c r="BY77" s="41"/>
      <c r="BZ77" s="41"/>
      <c r="CA77" s="41"/>
      <c r="CB77" s="41"/>
      <c r="CC77" s="41"/>
      <c r="CD77" s="41"/>
      <c r="CE77" s="41"/>
      <c r="CF77" s="41"/>
      <c r="CG77" s="41"/>
      <c r="CH77" s="41"/>
      <c r="CI77" s="41"/>
      <c r="CJ77" s="41"/>
      <c r="CK77" s="41"/>
      <c r="CL77" s="41"/>
      <c r="CM77" s="41"/>
      <c r="CN77" s="41"/>
      <c r="CO77" s="41"/>
      <c r="CP77" s="41"/>
    </row>
    <row r="78" spans="1:94" s="53" customFormat="1" ht="15" x14ac:dyDescent="0.25">
      <c r="A78" s="116">
        <v>12.02</v>
      </c>
      <c r="B78" s="57"/>
      <c r="C78" s="404"/>
      <c r="D78" s="405"/>
      <c r="E78" s="87"/>
      <c r="F78" s="58"/>
      <c r="G78" s="88"/>
      <c r="H78" s="88"/>
      <c r="I78" s="88"/>
      <c r="J78" s="80">
        <f>ROUND(SUM(G78:I78),-2)</f>
        <v>0</v>
      </c>
      <c r="K78" s="296"/>
      <c r="L78" s="292"/>
      <c r="M78" s="292"/>
      <c r="N78" s="293"/>
      <c r="O78"/>
      <c r="P78"/>
      <c r="Q78"/>
      <c r="R78"/>
      <c r="S78"/>
      <c r="T78"/>
      <c r="U78"/>
      <c r="V78"/>
      <c r="W78"/>
      <c r="X78"/>
      <c r="Y78"/>
      <c r="Z78" s="344"/>
      <c r="AA78" s="363"/>
      <c r="AB78" s="363"/>
      <c r="AC78" s="363"/>
      <c r="AD78" s="110"/>
      <c r="AE78" s="41"/>
      <c r="AF78" s="41"/>
      <c r="AG78" s="41"/>
      <c r="AH78" s="41"/>
      <c r="AI78" s="41"/>
      <c r="AJ78" s="41"/>
      <c r="AK78" s="41"/>
      <c r="AL78" s="41"/>
      <c r="AM78" s="41"/>
      <c r="AN78" s="41"/>
      <c r="AO78" s="41"/>
      <c r="AP78" s="41"/>
      <c r="AQ78" s="41"/>
      <c r="AR78" s="41"/>
      <c r="AS78" s="41"/>
      <c r="AT78" s="41"/>
      <c r="AU78" s="41"/>
      <c r="AV78" s="41"/>
      <c r="AW78" s="41"/>
      <c r="AX78" s="41"/>
      <c r="AY78" s="41"/>
      <c r="AZ78" s="41"/>
      <c r="BA78" s="41"/>
      <c r="BB78" s="41"/>
      <c r="BC78" s="41"/>
      <c r="BD78" s="41"/>
      <c r="BE78" s="41"/>
      <c r="BF78" s="41"/>
      <c r="BG78" s="41"/>
      <c r="BH78" s="41"/>
      <c r="BI78" s="41"/>
      <c r="BJ78" s="41"/>
      <c r="BK78" s="41"/>
      <c r="BL78" s="41"/>
      <c r="BM78" s="41"/>
      <c r="BN78" s="41"/>
      <c r="BO78" s="41"/>
      <c r="BP78" s="41"/>
      <c r="BQ78" s="41"/>
      <c r="BR78" s="41"/>
      <c r="BS78" s="41"/>
      <c r="BT78" s="41"/>
      <c r="BU78" s="41"/>
      <c r="BV78" s="41"/>
      <c r="BW78" s="41"/>
      <c r="BX78" s="41"/>
      <c r="BY78" s="41"/>
      <c r="BZ78" s="41"/>
      <c r="CA78" s="41"/>
      <c r="CB78" s="41"/>
      <c r="CC78" s="41"/>
      <c r="CD78" s="41"/>
      <c r="CE78" s="41"/>
      <c r="CF78" s="41"/>
      <c r="CG78" s="41"/>
      <c r="CH78" s="41"/>
      <c r="CI78" s="41"/>
      <c r="CJ78" s="41"/>
      <c r="CK78" s="41"/>
      <c r="CL78" s="41"/>
      <c r="CM78" s="41"/>
      <c r="CN78" s="41"/>
      <c r="CO78" s="41"/>
      <c r="CP78" s="41"/>
    </row>
    <row r="79" spans="1:94" s="53" customFormat="1" ht="15" x14ac:dyDescent="0.25">
      <c r="A79" s="116">
        <v>12.03</v>
      </c>
      <c r="B79" s="57" t="s">
        <v>45</v>
      </c>
      <c r="C79" s="404"/>
      <c r="D79" s="405"/>
      <c r="E79" s="87"/>
      <c r="F79" s="58"/>
      <c r="G79" s="88"/>
      <c r="H79" s="88"/>
      <c r="I79" s="88"/>
      <c r="J79" s="80">
        <f>ROUND(SUM(G79:I79),-2)</f>
        <v>0</v>
      </c>
      <c r="K79" s="296"/>
      <c r="L79" s="292"/>
      <c r="M79" s="292"/>
      <c r="N79" s="293"/>
      <c r="O79"/>
      <c r="P79"/>
      <c r="Q79"/>
      <c r="R79"/>
      <c r="S79"/>
      <c r="T79"/>
      <c r="U79"/>
      <c r="V79"/>
      <c r="W79"/>
      <c r="X79"/>
      <c r="Y79"/>
      <c r="Z79" s="344"/>
      <c r="AA79" s="363"/>
      <c r="AB79" s="363"/>
      <c r="AC79" s="363"/>
      <c r="AD79" s="110"/>
      <c r="AE79" s="41"/>
      <c r="AF79" s="41"/>
      <c r="AG79" s="41"/>
      <c r="AH79" s="41"/>
      <c r="AI79" s="41"/>
      <c r="AJ79" s="41"/>
      <c r="AK79" s="41"/>
      <c r="AL79" s="41"/>
      <c r="AM79" s="41"/>
      <c r="AN79" s="41"/>
      <c r="AO79" s="41"/>
      <c r="AP79" s="41"/>
      <c r="AQ79" s="41"/>
      <c r="AR79" s="41"/>
      <c r="AS79" s="41"/>
      <c r="AT79" s="41"/>
      <c r="AU79" s="41"/>
      <c r="AV79" s="41"/>
      <c r="AW79" s="41"/>
      <c r="AX79" s="41"/>
      <c r="AY79" s="41"/>
      <c r="AZ79" s="41"/>
      <c r="BA79" s="41"/>
      <c r="BB79" s="41"/>
      <c r="BC79" s="41"/>
      <c r="BD79" s="41"/>
      <c r="BE79" s="41"/>
      <c r="BF79" s="41"/>
      <c r="BG79" s="41"/>
      <c r="BH79" s="41"/>
      <c r="BI79" s="41"/>
      <c r="BJ79" s="41"/>
      <c r="BK79" s="41"/>
      <c r="BL79" s="41"/>
      <c r="BM79" s="41"/>
      <c r="BN79" s="41"/>
      <c r="BO79" s="41"/>
      <c r="BP79" s="41"/>
      <c r="BQ79" s="41"/>
      <c r="BR79" s="41"/>
      <c r="BS79" s="41"/>
      <c r="BT79" s="41"/>
      <c r="BU79" s="41"/>
      <c r="BV79" s="41"/>
      <c r="BW79" s="41"/>
      <c r="BX79" s="41"/>
      <c r="BY79" s="41"/>
      <c r="BZ79" s="41"/>
      <c r="CA79" s="41"/>
      <c r="CB79" s="41"/>
      <c r="CC79" s="41"/>
      <c r="CD79" s="41"/>
      <c r="CE79" s="41"/>
      <c r="CF79" s="41"/>
      <c r="CG79" s="41"/>
      <c r="CH79" s="41"/>
      <c r="CI79" s="41"/>
      <c r="CJ79" s="41"/>
      <c r="CK79" s="41"/>
      <c r="CL79" s="41"/>
      <c r="CM79" s="41"/>
      <c r="CN79" s="41"/>
      <c r="CO79" s="41"/>
      <c r="CP79" s="41"/>
    </row>
    <row r="80" spans="1:94" s="53" customFormat="1" ht="15.75" customHeight="1" x14ac:dyDescent="0.25">
      <c r="A80" s="117">
        <v>13</v>
      </c>
      <c r="B80" s="118"/>
      <c r="C80" s="119" t="str">
        <f>"FY "&amp;M4</f>
        <v>FY 2023</v>
      </c>
      <c r="D80" s="120" t="s">
        <v>65</v>
      </c>
      <c r="E80" s="121"/>
      <c r="F80" s="55">
        <f>SUM(F75:F79)</f>
        <v>62.3</v>
      </c>
      <c r="G80" s="80">
        <f>SUM(G75:G79)</f>
        <v>3842300</v>
      </c>
      <c r="H80" s="80">
        <f>SUM(H75:H79)</f>
        <v>698400</v>
      </c>
      <c r="I80" s="80">
        <f>SUM(I75:I79)</f>
        <v>797000</v>
      </c>
      <c r="J80" s="80">
        <f>SUM(J75:J79)</f>
        <v>5337700</v>
      </c>
      <c r="K80" s="270"/>
      <c r="L80" s="122"/>
      <c r="M80" s="122"/>
      <c r="N80" s="123"/>
      <c r="O80"/>
      <c r="P80"/>
      <c r="Q80"/>
      <c r="R80"/>
      <c r="S80"/>
      <c r="T80"/>
      <c r="U80"/>
      <c r="V80"/>
      <c r="W80"/>
      <c r="X80"/>
      <c r="Y80"/>
      <c r="Z80" s="344"/>
      <c r="AA80" s="363"/>
      <c r="AB80" s="363"/>
      <c r="AC80" s="363"/>
      <c r="AD80" s="110"/>
      <c r="AE80" s="41"/>
      <c r="AF80" s="41"/>
      <c r="AG80" s="41"/>
      <c r="AH80" s="41"/>
      <c r="AI80" s="41"/>
      <c r="AJ80" s="41"/>
      <c r="AK80" s="41"/>
      <c r="AL80" s="41"/>
      <c r="AM80" s="41"/>
      <c r="AN80" s="41"/>
      <c r="AO80" s="41"/>
      <c r="AP80" s="41"/>
      <c r="AQ80" s="41"/>
      <c r="AR80" s="41"/>
      <c r="AS80" s="41"/>
      <c r="AT80" s="41"/>
      <c r="AU80" s="41"/>
      <c r="AV80" s="41"/>
      <c r="AW80" s="41"/>
      <c r="AX80" s="41"/>
      <c r="AY80" s="41"/>
      <c r="AZ80" s="41"/>
      <c r="BA80" s="41"/>
      <c r="BB80" s="41"/>
      <c r="BC80" s="41"/>
      <c r="BD80" s="41"/>
      <c r="BE80" s="41"/>
      <c r="BF80" s="41"/>
      <c r="BG80" s="41"/>
      <c r="BH80" s="41"/>
      <c r="BI80" s="41"/>
      <c r="BJ80" s="41"/>
      <c r="BK80" s="41"/>
      <c r="BL80" s="41"/>
      <c r="BM80" s="41"/>
      <c r="BN80" s="41"/>
      <c r="BO80" s="41"/>
      <c r="BP80" s="41"/>
      <c r="BQ80" s="41"/>
      <c r="BR80" s="41"/>
      <c r="BS80" s="41"/>
      <c r="BT80" s="41"/>
      <c r="BU80" s="41"/>
      <c r="BV80" s="41"/>
      <c r="BW80" s="41"/>
      <c r="BX80" s="41"/>
      <c r="BY80" s="41"/>
      <c r="BZ80" s="41"/>
      <c r="CA80" s="41"/>
      <c r="CB80" s="41"/>
      <c r="CC80" s="41"/>
      <c r="CD80" s="41"/>
      <c r="CE80" s="41"/>
      <c r="CF80" s="41"/>
      <c r="CG80" s="41"/>
      <c r="CH80" s="41"/>
      <c r="CI80" s="41"/>
      <c r="CJ80" s="41"/>
      <c r="CK80" s="41"/>
      <c r="CL80" s="41"/>
      <c r="CM80" s="41"/>
      <c r="CN80" s="41"/>
      <c r="CO80" s="41"/>
      <c r="CP80" s="41"/>
    </row>
  </sheetData>
  <mergeCells count="51">
    <mergeCell ref="C13:D13"/>
    <mergeCell ref="M1:N1"/>
    <mergeCell ref="M2:N2"/>
    <mergeCell ref="M3:N3"/>
    <mergeCell ref="M4:N4"/>
    <mergeCell ref="I5:L5"/>
    <mergeCell ref="C8:D8"/>
    <mergeCell ref="AA8:AC8"/>
    <mergeCell ref="C9:D9"/>
    <mergeCell ref="C10:D10"/>
    <mergeCell ref="C11:D11"/>
    <mergeCell ref="C12:D12"/>
    <mergeCell ref="K43:N43"/>
    <mergeCell ref="AA43:AC43"/>
    <mergeCell ref="K44:N44"/>
    <mergeCell ref="C16:D16"/>
    <mergeCell ref="C17:D17"/>
    <mergeCell ref="C18:D18"/>
    <mergeCell ref="C37:D37"/>
    <mergeCell ref="AA37:AC37"/>
    <mergeCell ref="C38:D38"/>
    <mergeCell ref="C54:D54"/>
    <mergeCell ref="C39:D39"/>
    <mergeCell ref="C41:D41"/>
    <mergeCell ref="C42:D42"/>
    <mergeCell ref="C43:D44"/>
    <mergeCell ref="K45:N45"/>
    <mergeCell ref="E46:J47"/>
    <mergeCell ref="K46:N47"/>
    <mergeCell ref="C50:D50"/>
    <mergeCell ref="C53:D53"/>
    <mergeCell ref="C69:D69"/>
    <mergeCell ref="C55:D55"/>
    <mergeCell ref="C57:D57"/>
    <mergeCell ref="C58:D58"/>
    <mergeCell ref="C59:D59"/>
    <mergeCell ref="C61:D61"/>
    <mergeCell ref="C62:D62"/>
    <mergeCell ref="C63:D63"/>
    <mergeCell ref="C64:D64"/>
    <mergeCell ref="C65:D65"/>
    <mergeCell ref="C66:D66"/>
    <mergeCell ref="C68:D68"/>
    <mergeCell ref="C78:D78"/>
    <mergeCell ref="C79:D79"/>
    <mergeCell ref="C70:D70"/>
    <mergeCell ref="C71:D71"/>
    <mergeCell ref="C72:D72"/>
    <mergeCell ref="C73:D73"/>
    <mergeCell ref="C76:D76"/>
    <mergeCell ref="C77:D77"/>
  </mergeCells>
  <conditionalFormatting sqref="K44">
    <cfRule type="expression" dxfId="88" priority="5">
      <formula>$J$44&lt;0</formula>
    </cfRule>
  </conditionalFormatting>
  <conditionalFormatting sqref="K43">
    <cfRule type="expression" dxfId="87" priority="4">
      <formula>$J$43&lt;0</formula>
    </cfRule>
  </conditionalFormatting>
  <conditionalFormatting sqref="L16">
    <cfRule type="expression" dxfId="86" priority="3">
      <formula>$J$16&lt;0</formula>
    </cfRule>
  </conditionalFormatting>
  <conditionalFormatting sqref="K45">
    <cfRule type="expression" dxfId="85" priority="2">
      <formula>$J$44&lt;0</formula>
    </cfRule>
  </conditionalFormatting>
  <conditionalFormatting sqref="K43:N45">
    <cfRule type="containsText" dxfId="84" priority="1" operator="containsText" text="underfunding">
      <formula>NOT(ISERROR(SEARCH("underfunding",K43)))</formula>
    </cfRule>
  </conditionalFormatting>
  <printOptions horizontalCentered="1"/>
  <pageMargins left="0.5" right="0.5" top="0.65" bottom="0.65" header="0.26" footer="0.31"/>
  <pageSetup scale="63" fitToHeight="2" orientation="landscape" r:id="rId1"/>
  <headerFooter>
    <oddHeader>&amp;L&amp;"Helv,Bold"FORM B6:  WAGE &amp;&amp; SALARY RECONCILIATION</oddHeader>
    <oddFooter>&amp;LPrinted: &amp;D, &amp;T&amp;RPage &amp;P of &amp;N</oddFooter>
  </headerFooter>
  <rowBreaks count="1" manualBreakCount="1">
    <brk id="64" max="12" man="1"/>
  </rowBreaks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5DD4CE72-F346-426E-BEDD-68E82B64D0F2}">
          <x14:formula1>
            <xm:f>Benefits!$A$20:$A$26</xm:f>
          </x14:formula1>
          <xm:sqref>C20:C30 C32:C36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C42AD6-98E9-4C5F-926D-3552F94A4F57}">
  <sheetPr>
    <tabColor rgb="FF92D050"/>
    <pageSetUpPr fitToPage="1"/>
  </sheetPr>
  <dimension ref="A1:CP80"/>
  <sheetViews>
    <sheetView showGridLines="0" zoomScaleNormal="100" workbookViewId="0">
      <selection activeCell="C8" sqref="C8:N16"/>
    </sheetView>
  </sheetViews>
  <sheetFormatPr defaultColWidth="9.140625" defaultRowHeight="15.75" x14ac:dyDescent="0.25"/>
  <cols>
    <col min="1" max="1" width="7.85546875" style="124" customWidth="1"/>
    <col min="2" max="2" width="7.7109375" style="125" customWidth="1"/>
    <col min="3" max="3" width="9" style="125" customWidth="1"/>
    <col min="4" max="4" width="39.28515625" style="53" customWidth="1"/>
    <col min="5" max="5" width="13" style="126" customWidth="1"/>
    <col min="6" max="6" width="12.28515625" style="127" customWidth="1"/>
    <col min="7" max="7" width="12.140625" style="127" bestFit="1" customWidth="1"/>
    <col min="8" max="8" width="14.5703125" style="127" customWidth="1"/>
    <col min="9" max="9" width="19.5703125" style="128" bestFit="1" customWidth="1"/>
    <col min="10" max="10" width="13.7109375" style="129" customWidth="1"/>
    <col min="11" max="11" width="13.7109375" style="129" hidden="1" customWidth="1"/>
    <col min="12" max="12" width="18.42578125" style="129" customWidth="1"/>
    <col min="13" max="13" width="16.42578125" style="129" customWidth="1"/>
    <col min="14" max="14" width="16.140625" style="128" customWidth="1"/>
    <col min="15" max="25" width="16.140625" customWidth="1"/>
    <col min="26" max="26" width="16.140625" style="344" customWidth="1"/>
    <col min="27" max="27" width="22.140625" style="334" bestFit="1" customWidth="1"/>
    <col min="28" max="28" width="31.140625" style="334" bestFit="1" customWidth="1"/>
    <col min="29" max="29" width="7.85546875" style="334" bestFit="1" customWidth="1"/>
    <col min="30" max="30" width="9.140625" style="110" customWidth="1"/>
    <col min="31" max="94" width="9.140625" style="17"/>
    <col min="95" max="16384" width="9.140625" style="18"/>
  </cols>
  <sheetData>
    <row r="1" spans="1:94" x14ac:dyDescent="0.25">
      <c r="A1" s="12" t="s">
        <v>13</v>
      </c>
      <c r="B1" s="13"/>
      <c r="C1" s="13"/>
      <c r="D1" s="14" t="s">
        <v>1989</v>
      </c>
      <c r="E1" s="15"/>
      <c r="F1" s="15"/>
      <c r="G1" s="15"/>
      <c r="H1" s="15"/>
      <c r="I1" s="15"/>
      <c r="J1" s="15"/>
      <c r="K1" s="15"/>
      <c r="L1" s="16" t="s">
        <v>14</v>
      </c>
      <c r="M1" s="467">
        <v>352</v>
      </c>
      <c r="N1" s="468"/>
      <c r="AA1" s="363"/>
      <c r="AB1" s="333"/>
      <c r="AC1" s="333"/>
      <c r="AD1" s="325"/>
    </row>
    <row r="2" spans="1:94" ht="20.25" x14ac:dyDescent="0.25">
      <c r="A2" s="19" t="s">
        <v>116</v>
      </c>
      <c r="B2" s="20"/>
      <c r="C2" s="20"/>
      <c r="D2" s="14" t="s">
        <v>1990</v>
      </c>
      <c r="E2" s="21"/>
      <c r="F2" s="21"/>
      <c r="G2" s="21"/>
      <c r="H2" s="21"/>
      <c r="I2" s="21"/>
      <c r="J2" s="20"/>
      <c r="K2" s="20"/>
      <c r="L2" s="22" t="s">
        <v>113</v>
      </c>
      <c r="M2" s="469" t="s">
        <v>2000</v>
      </c>
      <c r="N2" s="470"/>
      <c r="AA2" s="333"/>
      <c r="AB2" s="333"/>
      <c r="AC2" s="333"/>
      <c r="AD2" s="325"/>
    </row>
    <row r="3" spans="1:94" x14ac:dyDescent="0.25">
      <c r="A3" s="19" t="s">
        <v>117</v>
      </c>
      <c r="B3" s="20"/>
      <c r="C3" s="20"/>
      <c r="D3" s="23" t="s">
        <v>2018</v>
      </c>
      <c r="E3" s="24"/>
      <c r="F3" s="25"/>
      <c r="G3" s="25"/>
      <c r="H3" s="25"/>
      <c r="I3" s="26"/>
      <c r="J3" s="20"/>
      <c r="K3" s="20"/>
      <c r="L3" s="22" t="s">
        <v>114</v>
      </c>
      <c r="M3" s="467" t="s">
        <v>1069</v>
      </c>
      <c r="N3" s="468"/>
      <c r="AA3" s="363"/>
      <c r="AB3" s="333"/>
      <c r="AC3" s="333"/>
      <c r="AD3" s="325"/>
    </row>
    <row r="4" spans="1:94" x14ac:dyDescent="0.25">
      <c r="A4" s="19"/>
      <c r="B4" s="20"/>
      <c r="C4" s="20"/>
      <c r="D4" s="27"/>
      <c r="E4" s="24"/>
      <c r="F4" s="25"/>
      <c r="G4" s="25"/>
      <c r="H4" s="25"/>
      <c r="I4" s="28"/>
      <c r="J4" s="26"/>
      <c r="K4" s="26"/>
      <c r="L4" s="22" t="s">
        <v>15</v>
      </c>
      <c r="M4" s="467">
        <v>2023</v>
      </c>
      <c r="N4" s="468"/>
      <c r="AA4" s="363"/>
      <c r="AB4" s="333"/>
      <c r="AC4" s="333"/>
      <c r="AD4" s="325"/>
    </row>
    <row r="5" spans="1:94" s="34" customFormat="1" ht="18" customHeight="1" x14ac:dyDescent="0.25">
      <c r="A5" s="19" t="s">
        <v>16</v>
      </c>
      <c r="B5" s="20"/>
      <c r="C5" s="20"/>
      <c r="D5" s="350">
        <v>44440</v>
      </c>
      <c r="E5" s="27"/>
      <c r="F5" s="30"/>
      <c r="G5" s="31"/>
      <c r="H5" s="31" t="s">
        <v>17</v>
      </c>
      <c r="I5" s="469" t="s">
        <v>1998</v>
      </c>
      <c r="J5" s="471"/>
      <c r="K5" s="471"/>
      <c r="L5" s="470"/>
      <c r="M5" s="351" t="s">
        <v>115</v>
      </c>
      <c r="N5" s="32" t="s">
        <v>1999</v>
      </c>
      <c r="O5"/>
      <c r="P5"/>
      <c r="Q5"/>
      <c r="R5"/>
      <c r="S5"/>
      <c r="T5"/>
      <c r="U5"/>
      <c r="V5"/>
      <c r="W5"/>
      <c r="X5"/>
      <c r="Y5"/>
      <c r="Z5" s="344"/>
      <c r="AA5" s="363"/>
      <c r="AB5" s="333"/>
      <c r="AC5" s="333"/>
      <c r="AD5" s="326"/>
      <c r="AE5" s="33"/>
      <c r="AF5" s="33"/>
      <c r="AG5" s="33"/>
      <c r="AH5" s="33"/>
      <c r="AI5" s="33"/>
      <c r="AJ5" s="33"/>
      <c r="AK5" s="33"/>
      <c r="AL5" s="33"/>
      <c r="AM5" s="33"/>
      <c r="AN5" s="33"/>
      <c r="AO5" s="33"/>
      <c r="AP5" s="33"/>
      <c r="AQ5" s="33"/>
      <c r="AR5" s="33"/>
      <c r="AS5" s="33"/>
      <c r="AT5" s="33"/>
      <c r="AU5" s="33"/>
      <c r="AV5" s="33"/>
      <c r="AW5" s="33"/>
      <c r="AX5" s="33"/>
      <c r="AY5" s="33"/>
      <c r="AZ5" s="33"/>
      <c r="BA5" s="33"/>
      <c r="BB5" s="33"/>
      <c r="BC5" s="33"/>
      <c r="BD5" s="33"/>
      <c r="BE5" s="33"/>
      <c r="BF5" s="33"/>
      <c r="BG5" s="33"/>
      <c r="BH5" s="33"/>
      <c r="BI5" s="33"/>
      <c r="BJ5" s="33"/>
      <c r="BK5" s="33"/>
      <c r="BL5" s="33"/>
      <c r="BM5" s="33"/>
      <c r="BN5" s="33"/>
      <c r="BO5" s="33"/>
      <c r="BP5" s="33"/>
      <c r="BQ5" s="33"/>
      <c r="BR5" s="33"/>
      <c r="BS5" s="33"/>
      <c r="BT5" s="33"/>
      <c r="BU5" s="33"/>
      <c r="BV5" s="33"/>
      <c r="BW5" s="33"/>
      <c r="BX5" s="33"/>
      <c r="BY5" s="33"/>
      <c r="BZ5" s="33"/>
      <c r="CA5" s="33"/>
      <c r="CB5" s="33"/>
      <c r="CC5" s="33"/>
      <c r="CD5" s="33"/>
      <c r="CE5" s="33"/>
      <c r="CF5" s="33"/>
      <c r="CG5" s="33"/>
      <c r="CH5" s="33"/>
      <c r="CI5" s="33"/>
      <c r="CJ5" s="33"/>
      <c r="CK5" s="33"/>
      <c r="CL5" s="33"/>
      <c r="CM5" s="33"/>
      <c r="CN5" s="33"/>
      <c r="CO5" s="33"/>
      <c r="CP5" s="33"/>
    </row>
    <row r="6" spans="1:94" ht="23.25" customHeight="1" x14ac:dyDescent="0.25">
      <c r="A6" s="19"/>
      <c r="B6" s="20" t="s">
        <v>18</v>
      </c>
      <c r="C6" s="20"/>
      <c r="D6" s="29"/>
      <c r="E6" s="35" t="s">
        <v>19</v>
      </c>
      <c r="F6" s="36"/>
      <c r="G6" s="25"/>
      <c r="H6" s="25"/>
      <c r="I6" s="37"/>
      <c r="J6" s="31" t="s">
        <v>84</v>
      </c>
      <c r="K6" s="31"/>
      <c r="L6" s="352"/>
      <c r="M6" s="353" t="s">
        <v>85</v>
      </c>
      <c r="N6" s="306"/>
      <c r="AA6" s="363"/>
      <c r="AB6" s="333"/>
      <c r="AC6" s="333"/>
      <c r="AD6" s="325"/>
    </row>
    <row r="7" spans="1:94" x14ac:dyDescent="0.25">
      <c r="A7" s="38"/>
      <c r="B7" s="39"/>
      <c r="C7" s="40"/>
      <c r="D7" s="41"/>
      <c r="E7" s="42"/>
      <c r="F7" s="40"/>
      <c r="G7" s="43"/>
      <c r="H7" s="44"/>
      <c r="I7" s="45"/>
      <c r="J7" s="46"/>
      <c r="K7" s="46"/>
      <c r="L7" s="46"/>
      <c r="M7" s="46"/>
      <c r="N7" s="47"/>
    </row>
    <row r="8" spans="1:94" s="52" customFormat="1" ht="40.5" customHeight="1" x14ac:dyDescent="0.25">
      <c r="A8" s="48" t="s">
        <v>20</v>
      </c>
      <c r="B8" s="369" t="s">
        <v>21</v>
      </c>
      <c r="C8" s="472" t="s">
        <v>22</v>
      </c>
      <c r="D8" s="473"/>
      <c r="E8" s="369" t="s">
        <v>23</v>
      </c>
      <c r="F8" s="49" t="s">
        <v>24</v>
      </c>
      <c r="G8" s="50" t="str">
        <f>"FY "&amp;'TAAC|0338-01'!FiscalYear-1&amp;" SALARY"</f>
        <v>FY 2022 SALARY</v>
      </c>
      <c r="H8" s="50" t="str">
        <f>"FY "&amp;'TAAC|0338-01'!FiscalYear-1&amp;" HEALTH BENEFITS"</f>
        <v>FY 2022 HEALTH BENEFITS</v>
      </c>
      <c r="I8" s="50" t="str">
        <f>"FY "&amp;'TAAC|0338-01'!FiscalYear-1&amp;" VAR BENEFITS"</f>
        <v>FY 2022 VAR BENEFITS</v>
      </c>
      <c r="J8" s="50" t="str">
        <f>"FY "&amp;'TAAC|0338-01'!FiscalYear-1&amp;" TOTAL"</f>
        <v>FY 2022 TOTAL</v>
      </c>
      <c r="K8" s="50" t="str">
        <f>"FY "&amp;'TAAC|0338-01'!FiscalYear&amp;" SALARY CHANGE"</f>
        <v>FY 2023 SALARY CHANGE</v>
      </c>
      <c r="L8" s="50" t="str">
        <f>"FY "&amp;'TAAC|0338-01'!FiscalYear&amp;" CHG HEALTH BENEFITS"</f>
        <v>FY 2023 CHG HEALTH BENEFITS</v>
      </c>
      <c r="M8" s="50" t="str">
        <f>"FY "&amp;'TAAC|0338-01'!FiscalYear&amp;" CHG VAR BENEFITS"</f>
        <v>FY 2023 CHG VAR BENEFITS</v>
      </c>
      <c r="N8" s="50" t="s">
        <v>25</v>
      </c>
      <c r="O8"/>
      <c r="P8"/>
      <c r="Q8"/>
      <c r="R8"/>
      <c r="S8"/>
      <c r="T8"/>
      <c r="U8"/>
      <c r="V8"/>
      <c r="W8"/>
      <c r="X8"/>
      <c r="Y8"/>
      <c r="Z8" s="344"/>
      <c r="AA8" s="463" t="s">
        <v>105</v>
      </c>
      <c r="AB8" s="463"/>
      <c r="AC8" s="463"/>
      <c r="AD8" s="327"/>
      <c r="AE8" s="51"/>
      <c r="AF8" s="51"/>
      <c r="AG8" s="51"/>
      <c r="AH8" s="51"/>
      <c r="AI8" s="51"/>
      <c r="AJ8" s="51"/>
      <c r="AK8" s="51"/>
      <c r="AL8" s="51"/>
      <c r="AM8" s="51"/>
      <c r="AN8" s="51"/>
      <c r="AO8" s="51"/>
      <c r="AP8" s="51"/>
      <c r="AQ8" s="51"/>
      <c r="AR8" s="51"/>
      <c r="AS8" s="51"/>
      <c r="AT8" s="51"/>
      <c r="AU8" s="51"/>
      <c r="AV8" s="51"/>
      <c r="AW8" s="51"/>
      <c r="AX8" s="51"/>
      <c r="AY8" s="51"/>
      <c r="AZ8" s="51"/>
      <c r="BA8" s="51"/>
      <c r="BB8" s="51"/>
      <c r="BC8" s="51"/>
      <c r="BD8" s="51"/>
      <c r="BE8" s="51"/>
      <c r="BF8" s="51"/>
      <c r="BG8" s="51"/>
      <c r="BH8" s="51"/>
      <c r="BI8" s="51"/>
      <c r="BJ8" s="51"/>
      <c r="BK8" s="51"/>
      <c r="BL8" s="51"/>
      <c r="BM8" s="51"/>
      <c r="BN8" s="51"/>
      <c r="BO8" s="51"/>
      <c r="BP8" s="51"/>
      <c r="BQ8" s="51"/>
      <c r="BR8" s="51"/>
      <c r="BS8" s="51"/>
      <c r="BT8" s="51"/>
      <c r="BU8" s="51"/>
      <c r="BV8" s="51"/>
      <c r="BW8" s="51"/>
      <c r="BX8" s="51"/>
      <c r="BY8" s="51"/>
      <c r="BZ8" s="51"/>
      <c r="CA8" s="51"/>
      <c r="CB8" s="51"/>
      <c r="CC8" s="51"/>
      <c r="CD8" s="51"/>
      <c r="CE8" s="51"/>
      <c r="CF8" s="51"/>
      <c r="CG8" s="51"/>
      <c r="CH8" s="51"/>
      <c r="CI8" s="51"/>
      <c r="CJ8" s="51"/>
      <c r="CK8" s="51"/>
      <c r="CL8" s="51"/>
      <c r="CM8" s="51"/>
      <c r="CN8" s="51"/>
      <c r="CO8" s="51"/>
      <c r="CP8" s="51"/>
    </row>
    <row r="9" spans="1:94" s="149" customFormat="1" x14ac:dyDescent="0.25">
      <c r="A9" s="139"/>
      <c r="B9" s="140"/>
      <c r="C9" s="464" t="s">
        <v>26</v>
      </c>
      <c r="D9" s="465"/>
      <c r="E9" s="141"/>
      <c r="F9" s="142"/>
      <c r="G9" s="143"/>
      <c r="H9" s="143"/>
      <c r="I9" s="143"/>
      <c r="J9" s="144"/>
      <c r="K9" s="144"/>
      <c r="L9" s="145"/>
      <c r="M9" s="146"/>
      <c r="N9" s="144"/>
      <c r="O9"/>
      <c r="P9"/>
      <c r="Q9"/>
      <c r="R9"/>
      <c r="S9"/>
      <c r="T9"/>
      <c r="U9"/>
      <c r="V9"/>
      <c r="W9"/>
      <c r="X9"/>
      <c r="Y9"/>
      <c r="Z9" s="344"/>
      <c r="AA9" s="363" t="s">
        <v>94</v>
      </c>
      <c r="AB9" s="333" t="s">
        <v>95</v>
      </c>
      <c r="AC9" s="333" t="s">
        <v>106</v>
      </c>
      <c r="AD9" s="328"/>
      <c r="AE9" s="148"/>
      <c r="AF9" s="148"/>
      <c r="AG9" s="148"/>
      <c r="AH9" s="148"/>
      <c r="AI9" s="148"/>
      <c r="AJ9" s="148"/>
      <c r="AK9" s="148"/>
      <c r="AL9" s="148"/>
      <c r="AM9" s="148"/>
      <c r="AN9" s="148"/>
      <c r="AO9" s="148"/>
      <c r="AP9" s="148"/>
      <c r="AQ9" s="148"/>
      <c r="AR9" s="148"/>
      <c r="AS9" s="148"/>
      <c r="AT9" s="148"/>
      <c r="AU9" s="148"/>
      <c r="AV9" s="148"/>
      <c r="AW9" s="148"/>
      <c r="AX9" s="148"/>
      <c r="AY9" s="148"/>
      <c r="AZ9" s="148"/>
      <c r="BA9" s="148"/>
      <c r="BB9" s="148"/>
      <c r="BC9" s="148"/>
      <c r="BD9" s="148"/>
      <c r="BE9" s="148"/>
      <c r="BF9" s="148"/>
      <c r="BG9" s="148"/>
      <c r="BH9" s="148"/>
      <c r="BI9" s="148"/>
      <c r="BJ9" s="148"/>
      <c r="BK9" s="148"/>
      <c r="BL9" s="148"/>
      <c r="BM9" s="148"/>
      <c r="BN9" s="148"/>
      <c r="BO9" s="148"/>
      <c r="BP9" s="148"/>
      <c r="BQ9" s="148"/>
      <c r="BR9" s="148"/>
      <c r="BS9" s="148"/>
      <c r="BT9" s="148"/>
      <c r="BU9" s="148"/>
      <c r="BV9" s="148"/>
      <c r="BW9" s="148"/>
      <c r="BX9" s="148"/>
      <c r="BY9" s="148"/>
      <c r="BZ9" s="148"/>
      <c r="CA9" s="148"/>
      <c r="CB9" s="148"/>
      <c r="CC9" s="148"/>
      <c r="CD9" s="148"/>
      <c r="CE9" s="148"/>
      <c r="CF9" s="148"/>
      <c r="CG9" s="148"/>
      <c r="CH9" s="148"/>
      <c r="CI9" s="148"/>
      <c r="CJ9" s="148"/>
      <c r="CK9" s="148"/>
      <c r="CL9" s="148"/>
      <c r="CM9" s="148"/>
      <c r="CN9" s="148"/>
      <c r="CO9" s="148"/>
      <c r="CP9" s="148"/>
    </row>
    <row r="10" spans="1:94" s="149" customFormat="1" x14ac:dyDescent="0.25">
      <c r="A10" s="139"/>
      <c r="B10" s="139"/>
      <c r="C10" s="443" t="s">
        <v>27</v>
      </c>
      <c r="D10" s="466"/>
      <c r="E10" s="217">
        <v>1</v>
      </c>
      <c r="F10" s="288">
        <f>[0]!TAAC033801col_INC_FTI</f>
        <v>0.28999999999999998</v>
      </c>
      <c r="G10" s="218">
        <f>[0]!TAAC033801col_FTI_SALARY_PERM</f>
        <v>8716.24</v>
      </c>
      <c r="H10" s="218">
        <f>[0]!TAAC033801col_HEALTH_PERM</f>
        <v>3378.4999999999995</v>
      </c>
      <c r="I10" s="218">
        <f>[0]!TAAC033801col_TOT_VB_PERM</f>
        <v>1860.6557528000001</v>
      </c>
      <c r="J10" s="219">
        <f>SUM(G10:I10)</f>
        <v>13955.395752799999</v>
      </c>
      <c r="K10" s="219">
        <f>[0]!TAAC033801col_1_27TH_PP</f>
        <v>0</v>
      </c>
      <c r="L10" s="218">
        <f>[0]!TAAC033801col_HEALTH_PERM_CHG</f>
        <v>0</v>
      </c>
      <c r="M10" s="218">
        <f>[0]!TAAC033801col_TOT_VB_PERM_CHG</f>
        <v>-41.837951999999994</v>
      </c>
      <c r="N10" s="218">
        <f>SUM(L10:M10)</f>
        <v>-41.837951999999994</v>
      </c>
      <c r="O10"/>
      <c r="P10"/>
      <c r="Q10"/>
      <c r="R10"/>
      <c r="S10"/>
      <c r="T10"/>
      <c r="U10"/>
      <c r="V10"/>
      <c r="W10"/>
      <c r="X10"/>
      <c r="Y10"/>
      <c r="Z10" s="344"/>
      <c r="AA10" s="338">
        <f>ROUND(CECPerm*PermSalary,-2)</f>
        <v>100</v>
      </c>
      <c r="AB10" s="335">
        <f>ROUND(PermVarBen*CECPerm+(CECPerm*PermVarBenChg),-2)</f>
        <v>0</v>
      </c>
      <c r="AC10" s="335">
        <f>SUM(AA10:AB10)</f>
        <v>100</v>
      </c>
      <c r="AD10" s="328"/>
      <c r="AE10" s="148"/>
      <c r="AF10" s="148"/>
      <c r="AG10" s="148"/>
      <c r="AH10" s="148"/>
      <c r="AI10" s="148"/>
      <c r="AJ10" s="148"/>
      <c r="AK10" s="148"/>
      <c r="AL10" s="148"/>
      <c r="AM10" s="148"/>
      <c r="AN10" s="148"/>
      <c r="AO10" s="148"/>
      <c r="AP10" s="148"/>
      <c r="AQ10" s="148"/>
      <c r="AR10" s="148"/>
      <c r="AS10" s="148"/>
      <c r="AT10" s="148"/>
      <c r="AU10" s="148"/>
      <c r="AV10" s="148"/>
      <c r="AW10" s="148"/>
      <c r="AX10" s="148"/>
      <c r="AY10" s="148"/>
      <c r="AZ10" s="148"/>
      <c r="BA10" s="148"/>
      <c r="BB10" s="148"/>
      <c r="BC10" s="148"/>
      <c r="BD10" s="148"/>
      <c r="BE10" s="148"/>
      <c r="BF10" s="148"/>
      <c r="BG10" s="148"/>
      <c r="BH10" s="148"/>
      <c r="BI10" s="148"/>
      <c r="BJ10" s="148"/>
      <c r="BK10" s="148"/>
      <c r="BL10" s="148"/>
      <c r="BM10" s="148"/>
      <c r="BN10" s="148"/>
      <c r="BO10" s="148"/>
      <c r="BP10" s="148"/>
      <c r="BQ10" s="148"/>
      <c r="BR10" s="148"/>
      <c r="BS10" s="148"/>
      <c r="BT10" s="148"/>
      <c r="BU10" s="148"/>
      <c r="BV10" s="148"/>
      <c r="BW10" s="148"/>
      <c r="BX10" s="148"/>
      <c r="BY10" s="148"/>
      <c r="BZ10" s="148"/>
      <c r="CA10" s="148"/>
      <c r="CB10" s="148"/>
      <c r="CC10" s="148"/>
      <c r="CD10" s="148"/>
      <c r="CE10" s="148"/>
      <c r="CF10" s="148"/>
      <c r="CG10" s="148"/>
      <c r="CH10" s="148"/>
      <c r="CI10" s="148"/>
      <c r="CJ10" s="148"/>
      <c r="CK10" s="148"/>
      <c r="CL10" s="148"/>
      <c r="CM10" s="148"/>
      <c r="CN10" s="148"/>
      <c r="CO10" s="148"/>
      <c r="CP10" s="148"/>
    </row>
    <row r="11" spans="1:94" s="149" customFormat="1" x14ac:dyDescent="0.25">
      <c r="A11" s="139"/>
      <c r="B11" s="139"/>
      <c r="C11" s="443" t="s">
        <v>28</v>
      </c>
      <c r="D11" s="466"/>
      <c r="E11" s="217">
        <v>2</v>
      </c>
      <c r="F11" s="288"/>
      <c r="G11" s="218">
        <f>[0]!TAAC033801col_Group_Salary</f>
        <v>0</v>
      </c>
      <c r="H11" s="218">
        <v>0</v>
      </c>
      <c r="I11" s="218">
        <f>[0]!TAAC033801col_Group_Ben</f>
        <v>0</v>
      </c>
      <c r="J11" s="219">
        <f>SUM(G11:I11)</f>
        <v>0</v>
      </c>
      <c r="K11" s="268"/>
      <c r="L11" s="218"/>
      <c r="M11" s="218"/>
      <c r="N11" s="218"/>
      <c r="O11"/>
      <c r="P11"/>
      <c r="Q11"/>
      <c r="R11"/>
      <c r="S11"/>
      <c r="T11"/>
      <c r="U11"/>
      <c r="V11"/>
      <c r="W11"/>
      <c r="X11"/>
      <c r="Y11"/>
      <c r="Z11" s="344"/>
      <c r="AA11" s="338">
        <f>ROUND(GroupSalary*CECGroup,-2)</f>
        <v>0</v>
      </c>
      <c r="AB11" s="335">
        <f>ROUND((GroupSalary*GroupVBBY)*CECGroup,-2)</f>
        <v>0</v>
      </c>
      <c r="AC11" s="335">
        <f>SUM(AA12:AB12)</f>
        <v>0</v>
      </c>
      <c r="AD11" s="328"/>
      <c r="AE11" s="148"/>
      <c r="AF11" s="148"/>
      <c r="AG11" s="148"/>
      <c r="AH11" s="148"/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148"/>
      <c r="AV11" s="148"/>
      <c r="AW11" s="148"/>
      <c r="AX11" s="148"/>
      <c r="AY11" s="148"/>
      <c r="AZ11" s="148"/>
      <c r="BA11" s="148"/>
      <c r="BB11" s="148"/>
      <c r="BC11" s="148"/>
      <c r="BD11" s="148"/>
      <c r="BE11" s="148"/>
      <c r="BF11" s="148"/>
      <c r="BG11" s="148"/>
      <c r="BH11" s="148"/>
      <c r="BI11" s="148"/>
      <c r="BJ11" s="148"/>
      <c r="BK11" s="148"/>
      <c r="BL11" s="148"/>
      <c r="BM11" s="148"/>
      <c r="BN11" s="148"/>
      <c r="BO11" s="148"/>
      <c r="BP11" s="148"/>
      <c r="BQ11" s="148"/>
      <c r="BR11" s="148"/>
      <c r="BS11" s="148"/>
      <c r="BT11" s="148"/>
      <c r="BU11" s="148"/>
      <c r="BV11" s="148"/>
      <c r="BW11" s="148"/>
      <c r="BX11" s="148"/>
      <c r="BY11" s="148"/>
      <c r="BZ11" s="148"/>
      <c r="CA11" s="148"/>
      <c r="CB11" s="148"/>
      <c r="CC11" s="148"/>
      <c r="CD11" s="148"/>
      <c r="CE11" s="148"/>
      <c r="CF11" s="148"/>
      <c r="CG11" s="148"/>
      <c r="CH11" s="148"/>
      <c r="CI11" s="148"/>
      <c r="CJ11" s="148"/>
      <c r="CK11" s="148"/>
      <c r="CL11" s="148"/>
      <c r="CM11" s="148"/>
      <c r="CN11" s="148"/>
      <c r="CO11" s="148"/>
      <c r="CP11" s="148"/>
    </row>
    <row r="12" spans="1:94" s="149" customFormat="1" x14ac:dyDescent="0.25">
      <c r="A12" s="139"/>
      <c r="B12" s="139"/>
      <c r="C12" s="443" t="s">
        <v>29</v>
      </c>
      <c r="D12" s="444"/>
      <c r="E12" s="217">
        <v>3</v>
      </c>
      <c r="F12" s="288">
        <f>[0]!TAAC033801col_TOTAL_ELECT_PCN_FTI</f>
        <v>0</v>
      </c>
      <c r="G12" s="218">
        <f>[0]!TAAC033801col_FTI_SALARY_ELECT</f>
        <v>0</v>
      </c>
      <c r="H12" s="218">
        <f>[0]!TAAC033801col_HEALTH_ELECT</f>
        <v>0</v>
      </c>
      <c r="I12" s="218">
        <f>[0]!TAAC033801col_TOT_VB_ELECT</f>
        <v>0</v>
      </c>
      <c r="J12" s="219">
        <f>SUM(G12:I12)</f>
        <v>0</v>
      </c>
      <c r="K12" s="268"/>
      <c r="L12" s="218">
        <f>[0]!TAAC033801col_HEALTH_ELECT_CHG</f>
        <v>0</v>
      </c>
      <c r="M12" s="218">
        <f>[0]!TAAC033801col_TOT_VB_ELECT_CHG</f>
        <v>0</v>
      </c>
      <c r="N12" s="219">
        <f>SUM(L12:M12)</f>
        <v>0</v>
      </c>
      <c r="O12"/>
      <c r="P12"/>
      <c r="Q12"/>
      <c r="R12"/>
      <c r="S12"/>
      <c r="T12"/>
      <c r="U12"/>
      <c r="V12"/>
      <c r="W12"/>
      <c r="X12"/>
      <c r="Y12"/>
      <c r="Z12" s="344"/>
      <c r="AA12" s="336"/>
      <c r="AB12" s="336"/>
      <c r="AC12" s="336"/>
      <c r="AD12" s="328"/>
      <c r="AE12" s="148"/>
      <c r="AF12" s="148"/>
      <c r="AG12" s="148"/>
      <c r="AH12" s="148"/>
      <c r="AI12" s="148"/>
      <c r="AJ12" s="148"/>
      <c r="AK12" s="148"/>
      <c r="AL12" s="148"/>
      <c r="AM12" s="148"/>
      <c r="AN12" s="148"/>
      <c r="AO12" s="148"/>
      <c r="AP12" s="148"/>
      <c r="AQ12" s="148"/>
      <c r="AR12" s="148"/>
      <c r="AS12" s="148"/>
      <c r="AT12" s="148"/>
      <c r="AU12" s="148"/>
      <c r="AV12" s="148"/>
      <c r="AW12" s="148"/>
      <c r="AX12" s="148"/>
      <c r="AY12" s="148"/>
      <c r="AZ12" s="148"/>
      <c r="BA12" s="148"/>
      <c r="BB12" s="148"/>
      <c r="BC12" s="148"/>
      <c r="BD12" s="148"/>
      <c r="BE12" s="148"/>
      <c r="BF12" s="148"/>
      <c r="BG12" s="148"/>
      <c r="BH12" s="148"/>
      <c r="BI12" s="148"/>
      <c r="BJ12" s="148"/>
      <c r="BK12" s="148"/>
      <c r="BL12" s="148"/>
      <c r="BM12" s="148"/>
      <c r="BN12" s="148"/>
      <c r="BO12" s="148"/>
      <c r="BP12" s="148"/>
      <c r="BQ12" s="148"/>
      <c r="BR12" s="148"/>
      <c r="BS12" s="148"/>
      <c r="BT12" s="148"/>
      <c r="BU12" s="148"/>
      <c r="BV12" s="148"/>
      <c r="BW12" s="148"/>
      <c r="BX12" s="148"/>
      <c r="BY12" s="148"/>
      <c r="BZ12" s="148"/>
      <c r="CA12" s="148"/>
      <c r="CB12" s="148"/>
      <c r="CC12" s="148"/>
      <c r="CD12" s="148"/>
      <c r="CE12" s="148"/>
      <c r="CF12" s="148"/>
      <c r="CG12" s="148"/>
      <c r="CH12" s="148"/>
      <c r="CI12" s="148"/>
      <c r="CJ12" s="148"/>
      <c r="CK12" s="148"/>
      <c r="CL12" s="148"/>
      <c r="CM12" s="148"/>
      <c r="CN12" s="148"/>
      <c r="CO12" s="148"/>
      <c r="CP12" s="148"/>
    </row>
    <row r="13" spans="1:94" s="153" customFormat="1" x14ac:dyDescent="0.25">
      <c r="A13" s="139"/>
      <c r="B13" s="139"/>
      <c r="C13" s="443" t="s">
        <v>30</v>
      </c>
      <c r="D13" s="466"/>
      <c r="E13" s="217"/>
      <c r="F13" s="220">
        <f>SUM(F10:F12)</f>
        <v>0.28999999999999998</v>
      </c>
      <c r="G13" s="221">
        <f>SUM(G10:G12)</f>
        <v>8716.24</v>
      </c>
      <c r="H13" s="221">
        <f>SUM(H10:H12)</f>
        <v>3378.4999999999995</v>
      </c>
      <c r="I13" s="221">
        <f>SUM(I10:I12)</f>
        <v>1860.6557528000001</v>
      </c>
      <c r="J13" s="219">
        <f>SUM(G13:I13)</f>
        <v>13955.395752799999</v>
      </c>
      <c r="K13" s="268"/>
      <c r="L13" s="219">
        <f>SUM(L10:L12)</f>
        <v>0</v>
      </c>
      <c r="M13" s="219">
        <f>SUM(M10:M12)</f>
        <v>-41.837951999999994</v>
      </c>
      <c r="N13" s="219">
        <f>SUM(N10:N12)</f>
        <v>-41.837951999999994</v>
      </c>
      <c r="O13"/>
      <c r="P13"/>
      <c r="Q13"/>
      <c r="R13"/>
      <c r="S13"/>
      <c r="T13"/>
      <c r="U13"/>
      <c r="V13"/>
      <c r="W13"/>
      <c r="X13"/>
      <c r="Y13"/>
      <c r="Z13" s="344"/>
      <c r="AA13" s="336"/>
      <c r="AB13" s="336"/>
      <c r="AC13" s="336"/>
      <c r="AD13" s="329"/>
      <c r="AE13" s="147"/>
      <c r="AF13" s="147"/>
      <c r="AG13" s="147"/>
      <c r="AH13" s="147"/>
      <c r="AI13" s="147"/>
      <c r="AJ13" s="147"/>
      <c r="AK13" s="147"/>
      <c r="AL13" s="147"/>
      <c r="AM13" s="147"/>
      <c r="AN13" s="147"/>
      <c r="AO13" s="147"/>
      <c r="AP13" s="147"/>
      <c r="AQ13" s="147"/>
      <c r="AR13" s="147"/>
      <c r="AS13" s="147"/>
      <c r="AT13" s="147"/>
      <c r="AU13" s="147"/>
      <c r="AV13" s="147"/>
      <c r="AW13" s="147"/>
      <c r="AX13" s="147"/>
      <c r="AY13" s="147"/>
      <c r="AZ13" s="147"/>
      <c r="BA13" s="147"/>
      <c r="BB13" s="147"/>
      <c r="BC13" s="147"/>
      <c r="BD13" s="147"/>
      <c r="BE13" s="147"/>
      <c r="BF13" s="147"/>
      <c r="BG13" s="147"/>
      <c r="BH13" s="147"/>
      <c r="BI13" s="147"/>
      <c r="BJ13" s="147"/>
      <c r="BK13" s="147"/>
      <c r="BL13" s="147"/>
      <c r="BM13" s="147"/>
      <c r="BN13" s="147"/>
      <c r="BO13" s="147"/>
      <c r="BP13" s="147"/>
      <c r="BQ13" s="147"/>
      <c r="BR13" s="147"/>
      <c r="BS13" s="147"/>
      <c r="BT13" s="147"/>
      <c r="BU13" s="147"/>
      <c r="BV13" s="147"/>
      <c r="BW13" s="147"/>
      <c r="BX13" s="147"/>
      <c r="BY13" s="147"/>
      <c r="BZ13" s="147"/>
      <c r="CA13" s="147"/>
      <c r="CB13" s="147"/>
      <c r="CC13" s="147"/>
      <c r="CD13" s="147"/>
      <c r="CE13" s="147"/>
      <c r="CF13" s="147"/>
      <c r="CG13" s="147"/>
      <c r="CH13" s="147"/>
      <c r="CI13" s="147"/>
      <c r="CJ13" s="147"/>
      <c r="CK13" s="147"/>
      <c r="CL13" s="147"/>
      <c r="CM13" s="147"/>
      <c r="CN13" s="147"/>
      <c r="CO13" s="147"/>
      <c r="CP13" s="147"/>
    </row>
    <row r="14" spans="1:94" s="153" customFormat="1" ht="5.45" customHeight="1" x14ac:dyDescent="0.25">
      <c r="A14" s="139"/>
      <c r="B14" s="139"/>
      <c r="C14" s="364"/>
      <c r="D14" s="370"/>
      <c r="E14" s="217"/>
      <c r="F14" s="220"/>
      <c r="G14" s="219"/>
      <c r="H14" s="219"/>
      <c r="I14" s="219"/>
      <c r="J14" s="219"/>
      <c r="K14" s="268"/>
      <c r="L14" s="219"/>
      <c r="M14" s="222"/>
      <c r="N14" s="222"/>
      <c r="O14"/>
      <c r="P14"/>
      <c r="Q14"/>
      <c r="R14"/>
      <c r="S14"/>
      <c r="T14"/>
      <c r="U14"/>
      <c r="V14"/>
      <c r="W14"/>
      <c r="X14"/>
      <c r="Y14"/>
      <c r="Z14" s="344"/>
      <c r="AA14" s="336"/>
      <c r="AB14" s="336"/>
      <c r="AC14" s="336"/>
      <c r="AD14" s="329"/>
      <c r="AE14" s="147"/>
      <c r="AF14" s="147"/>
      <c r="AG14" s="147"/>
      <c r="AH14" s="147"/>
      <c r="AI14" s="147"/>
      <c r="AJ14" s="147"/>
      <c r="AK14" s="147"/>
      <c r="AL14" s="147"/>
      <c r="AM14" s="147"/>
      <c r="AN14" s="147"/>
      <c r="AO14" s="147"/>
      <c r="AP14" s="147"/>
      <c r="AQ14" s="147"/>
      <c r="AR14" s="147"/>
      <c r="AS14" s="147"/>
      <c r="AT14" s="147"/>
      <c r="AU14" s="147"/>
      <c r="AV14" s="147"/>
      <c r="AW14" s="147"/>
      <c r="AX14" s="147"/>
      <c r="AY14" s="147"/>
      <c r="AZ14" s="147"/>
      <c r="BA14" s="147"/>
      <c r="BB14" s="147"/>
      <c r="BC14" s="147"/>
      <c r="BD14" s="147"/>
      <c r="BE14" s="147"/>
      <c r="BF14" s="147"/>
      <c r="BG14" s="147"/>
      <c r="BH14" s="147"/>
      <c r="BI14" s="147"/>
      <c r="BJ14" s="147"/>
      <c r="BK14" s="147"/>
      <c r="BL14" s="147"/>
      <c r="BM14" s="147"/>
      <c r="BN14" s="147"/>
      <c r="BO14" s="147"/>
      <c r="BP14" s="147"/>
      <c r="BQ14" s="147"/>
      <c r="BR14" s="147"/>
      <c r="BS14" s="147"/>
      <c r="BT14" s="147"/>
      <c r="BU14" s="147"/>
      <c r="BV14" s="147"/>
      <c r="BW14" s="147"/>
      <c r="BX14" s="147"/>
      <c r="BY14" s="147"/>
      <c r="BZ14" s="147"/>
      <c r="CA14" s="147"/>
      <c r="CB14" s="147"/>
      <c r="CC14" s="147"/>
      <c r="CD14" s="147"/>
      <c r="CE14" s="147"/>
      <c r="CF14" s="147"/>
      <c r="CG14" s="147"/>
      <c r="CH14" s="147"/>
      <c r="CI14" s="147"/>
      <c r="CJ14" s="147"/>
      <c r="CK14" s="147"/>
      <c r="CL14" s="147"/>
      <c r="CM14" s="147"/>
      <c r="CN14" s="147"/>
      <c r="CO14" s="147"/>
      <c r="CP14" s="147"/>
    </row>
    <row r="15" spans="1:94" s="153" customFormat="1" ht="15.75" customHeight="1" x14ac:dyDescent="0.25">
      <c r="A15" s="139"/>
      <c r="B15" s="156"/>
      <c r="C15" s="157" t="str">
        <f>"FY "&amp;'TAAC|0338-01'!FiscalYear-1</f>
        <v>FY 2022</v>
      </c>
      <c r="D15" s="158" t="s">
        <v>31</v>
      </c>
      <c r="E15" s="354">
        <v>90400</v>
      </c>
      <c r="F15" s="55">
        <v>0.3</v>
      </c>
      <c r="G15" s="223">
        <f>IF(OrigApprop=0,0,(G13/$J$13)*OrigApprop)</f>
        <v>56461.895453011908</v>
      </c>
      <c r="H15" s="223">
        <f>IF(OrigApprop=0,0,(H13/$J$13)*OrigApprop)</f>
        <v>21885.18372463364</v>
      </c>
      <c r="I15" s="223">
        <f>IF(G15=0,0,(I13/$J$13)*OrigApprop)</f>
        <v>12052.920822354452</v>
      </c>
      <c r="J15" s="223">
        <f>SUM(G15:I15)</f>
        <v>90400</v>
      </c>
      <c r="K15" s="268"/>
      <c r="L15" s="224"/>
      <c r="M15" s="224"/>
      <c r="N15" s="224"/>
      <c r="O15"/>
      <c r="P15"/>
      <c r="Q15"/>
      <c r="R15"/>
      <c r="S15"/>
      <c r="T15"/>
      <c r="U15"/>
      <c r="V15"/>
      <c r="W15"/>
      <c r="X15"/>
      <c r="Y15"/>
      <c r="Z15" s="344"/>
      <c r="AA15" s="336"/>
      <c r="AB15" s="336"/>
      <c r="AC15" s="336"/>
      <c r="AD15" s="329"/>
      <c r="AE15" s="147"/>
      <c r="AF15" s="147"/>
      <c r="AG15" s="147"/>
      <c r="AH15" s="147"/>
      <c r="AI15" s="147"/>
      <c r="AJ15" s="147"/>
      <c r="AK15" s="147"/>
      <c r="AL15" s="147"/>
      <c r="AM15" s="147"/>
      <c r="AN15" s="147"/>
      <c r="AO15" s="147"/>
      <c r="AP15" s="147"/>
      <c r="AQ15" s="147"/>
      <c r="AR15" s="147"/>
      <c r="AS15" s="147"/>
      <c r="AT15" s="147"/>
      <c r="AU15" s="147"/>
      <c r="AV15" s="147"/>
      <c r="AW15" s="147"/>
      <c r="AX15" s="147"/>
      <c r="AY15" s="147"/>
      <c r="AZ15" s="147"/>
      <c r="BA15" s="147"/>
      <c r="BB15" s="147"/>
      <c r="BC15" s="147"/>
      <c r="BD15" s="147"/>
      <c r="BE15" s="147"/>
      <c r="BF15" s="147"/>
      <c r="BG15" s="147"/>
      <c r="BH15" s="147"/>
      <c r="BI15" s="147"/>
      <c r="BJ15" s="147"/>
      <c r="BK15" s="147"/>
      <c r="BL15" s="147"/>
      <c r="BM15" s="147"/>
      <c r="BN15" s="147"/>
      <c r="BO15" s="147"/>
      <c r="BP15" s="147"/>
      <c r="BQ15" s="147"/>
      <c r="BR15" s="147"/>
      <c r="BS15" s="147"/>
      <c r="BT15" s="147"/>
      <c r="BU15" s="147"/>
      <c r="BV15" s="147"/>
      <c r="BW15" s="147"/>
      <c r="BX15" s="147"/>
      <c r="BY15" s="147"/>
      <c r="BZ15" s="147"/>
      <c r="CA15" s="147"/>
      <c r="CB15" s="147"/>
      <c r="CC15" s="147"/>
      <c r="CD15" s="147"/>
      <c r="CE15" s="147"/>
      <c r="CF15" s="147"/>
      <c r="CG15" s="147"/>
      <c r="CH15" s="147"/>
      <c r="CI15" s="147"/>
      <c r="CJ15" s="147"/>
      <c r="CK15" s="147"/>
      <c r="CL15" s="147"/>
      <c r="CM15" s="147"/>
      <c r="CN15" s="147"/>
      <c r="CO15" s="147"/>
      <c r="CP15" s="147"/>
    </row>
    <row r="16" spans="1:94" s="153" customFormat="1" ht="15.75" customHeight="1" x14ac:dyDescent="0.25">
      <c r="A16" s="139"/>
      <c r="B16" s="139"/>
      <c r="C16" s="453" t="s">
        <v>32</v>
      </c>
      <c r="D16" s="454"/>
      <c r="E16" s="160" t="s">
        <v>33</v>
      </c>
      <c r="F16" s="161">
        <f>F15-F13</f>
        <v>1.0000000000000009E-2</v>
      </c>
      <c r="G16" s="162">
        <f>G15-G13</f>
        <v>47745.65545301191</v>
      </c>
      <c r="H16" s="162">
        <f>H15-H13</f>
        <v>18506.68372463364</v>
      </c>
      <c r="I16" s="162">
        <f>I15-I13</f>
        <v>10192.265069554453</v>
      </c>
      <c r="J16" s="162">
        <f>J15-J13</f>
        <v>76444.604247199997</v>
      </c>
      <c r="K16" s="269"/>
      <c r="L16" s="56" t="str">
        <f>IF('TAAC|0338-01'!OrigApprop=0,"ERROR! Enter Original Appropriation amount in DU 3.00!","Calculated "&amp;IF('TAAC|0338-01'!AdjustedTotal&gt;0,"overfunding ","underfunding ")&amp;"is "&amp;TEXT('TAAC|0338-01'!AdjustedTotal/'TAAC|0338-01'!AppropTotal,"#.0%;(#.0% );0% ;")&amp;" of Original Appropriation")</f>
        <v>Calculated overfunding is 84.6% of Original Appropriation</v>
      </c>
      <c r="M16" s="163"/>
      <c r="N16" s="164"/>
      <c r="O16"/>
      <c r="P16"/>
      <c r="Q16"/>
      <c r="R16"/>
      <c r="S16"/>
      <c r="T16"/>
      <c r="U16"/>
      <c r="V16"/>
      <c r="W16"/>
      <c r="X16"/>
      <c r="Y16"/>
      <c r="Z16" s="344"/>
      <c r="AA16" s="336"/>
      <c r="AB16" s="336"/>
      <c r="AC16" s="336"/>
      <c r="AD16" s="329"/>
      <c r="AE16" s="147"/>
      <c r="AF16" s="147"/>
      <c r="AG16" s="147"/>
      <c r="AH16" s="147"/>
      <c r="AI16" s="147"/>
      <c r="AJ16" s="147"/>
      <c r="AK16" s="147"/>
      <c r="AL16" s="147"/>
      <c r="AM16" s="147"/>
      <c r="AN16" s="147"/>
      <c r="AO16" s="147"/>
      <c r="AP16" s="147"/>
      <c r="AQ16" s="147"/>
      <c r="AR16" s="147"/>
      <c r="AS16" s="147"/>
      <c r="AT16" s="147"/>
      <c r="AU16" s="147"/>
      <c r="AV16" s="147"/>
      <c r="AW16" s="147"/>
      <c r="AX16" s="147"/>
      <c r="AY16" s="147"/>
      <c r="AZ16" s="147"/>
      <c r="BA16" s="147"/>
      <c r="BB16" s="147"/>
      <c r="BC16" s="147"/>
      <c r="BD16" s="147"/>
      <c r="BE16" s="147"/>
      <c r="BF16" s="147"/>
      <c r="BG16" s="147"/>
      <c r="BH16" s="147"/>
      <c r="BI16" s="147"/>
      <c r="BJ16" s="147"/>
      <c r="BK16" s="147"/>
      <c r="BL16" s="147"/>
      <c r="BM16" s="147"/>
      <c r="BN16" s="147"/>
      <c r="BO16" s="147"/>
      <c r="BP16" s="147"/>
      <c r="BQ16" s="147"/>
      <c r="BR16" s="147"/>
      <c r="BS16" s="147"/>
      <c r="BT16" s="147"/>
      <c r="BU16" s="147"/>
      <c r="BV16" s="147"/>
      <c r="BW16" s="147"/>
      <c r="BX16" s="147"/>
      <c r="BY16" s="147"/>
      <c r="BZ16" s="147"/>
      <c r="CA16" s="147"/>
      <c r="CB16" s="147"/>
      <c r="CC16" s="147"/>
      <c r="CD16" s="147"/>
      <c r="CE16" s="147"/>
      <c r="CF16" s="147"/>
      <c r="CG16" s="147"/>
      <c r="CH16" s="147"/>
      <c r="CI16" s="147"/>
      <c r="CJ16" s="147"/>
      <c r="CK16" s="147"/>
      <c r="CL16" s="147"/>
      <c r="CM16" s="147"/>
      <c r="CN16" s="147"/>
      <c r="CO16" s="147"/>
      <c r="CP16" s="147"/>
    </row>
    <row r="17" spans="1:94" s="153" customFormat="1" x14ac:dyDescent="0.25">
      <c r="A17" s="139"/>
      <c r="B17" s="139"/>
      <c r="C17" s="455" t="s">
        <v>34</v>
      </c>
      <c r="D17" s="456"/>
      <c r="E17" s="147"/>
      <c r="F17" s="258"/>
      <c r="G17" s="147"/>
      <c r="H17" s="166"/>
      <c r="I17" s="167"/>
      <c r="J17" s="166"/>
      <c r="K17" s="166"/>
      <c r="L17" s="166"/>
      <c r="M17" s="166"/>
      <c r="N17" s="166"/>
      <c r="O17"/>
      <c r="P17"/>
      <c r="Q17"/>
      <c r="R17"/>
      <c r="S17"/>
      <c r="T17"/>
      <c r="U17"/>
      <c r="V17"/>
      <c r="W17"/>
      <c r="X17"/>
      <c r="Y17"/>
      <c r="Z17" s="344"/>
      <c r="AA17" s="336"/>
      <c r="AB17" s="336"/>
      <c r="AC17" s="336"/>
      <c r="AD17" s="329"/>
      <c r="AE17" s="147"/>
      <c r="AF17" s="147"/>
      <c r="AG17" s="147"/>
      <c r="AH17" s="147"/>
      <c r="AI17" s="147"/>
      <c r="AJ17" s="147"/>
      <c r="AK17" s="147"/>
      <c r="AL17" s="147"/>
      <c r="AM17" s="147"/>
      <c r="AN17" s="147"/>
      <c r="AO17" s="147"/>
      <c r="AP17" s="147"/>
      <c r="AQ17" s="147"/>
      <c r="AR17" s="147"/>
      <c r="AS17" s="147"/>
      <c r="AT17" s="147"/>
      <c r="AU17" s="147"/>
      <c r="AV17" s="147"/>
      <c r="AW17" s="147"/>
      <c r="AX17" s="147"/>
      <c r="AY17" s="147"/>
      <c r="AZ17" s="147"/>
      <c r="BA17" s="147"/>
      <c r="BB17" s="147"/>
      <c r="BC17" s="147"/>
      <c r="BD17" s="147"/>
      <c r="BE17" s="147"/>
      <c r="BF17" s="147"/>
      <c r="BG17" s="147"/>
      <c r="BH17" s="147"/>
      <c r="BI17" s="147"/>
      <c r="BJ17" s="147"/>
      <c r="BK17" s="147"/>
      <c r="BL17" s="147"/>
      <c r="BM17" s="147"/>
      <c r="BN17" s="147"/>
      <c r="BO17" s="147"/>
      <c r="BP17" s="147"/>
      <c r="BQ17" s="147"/>
      <c r="BR17" s="147"/>
      <c r="BS17" s="147"/>
      <c r="BT17" s="147"/>
      <c r="BU17" s="147"/>
      <c r="BV17" s="147"/>
      <c r="BW17" s="147"/>
      <c r="BX17" s="147"/>
      <c r="BY17" s="147"/>
      <c r="BZ17" s="147"/>
      <c r="CA17" s="147"/>
      <c r="CB17" s="147"/>
      <c r="CC17" s="147"/>
      <c r="CD17" s="147"/>
      <c r="CE17" s="147"/>
      <c r="CF17" s="147"/>
      <c r="CG17" s="147"/>
      <c r="CH17" s="147"/>
      <c r="CI17" s="147"/>
      <c r="CJ17" s="147"/>
      <c r="CK17" s="147"/>
      <c r="CL17" s="147"/>
      <c r="CM17" s="147"/>
      <c r="CN17" s="147"/>
      <c r="CO17" s="147"/>
      <c r="CP17" s="147"/>
    </row>
    <row r="18" spans="1:94" s="153" customFormat="1" ht="26.25" customHeight="1" x14ac:dyDescent="0.25">
      <c r="A18" s="139"/>
      <c r="B18" s="168"/>
      <c r="C18" s="457" t="s">
        <v>35</v>
      </c>
      <c r="D18" s="458"/>
      <c r="E18" s="150"/>
      <c r="F18" s="165"/>
      <c r="G18" s="166"/>
      <c r="H18" s="169"/>
      <c r="I18" s="166"/>
      <c r="J18" s="166"/>
      <c r="K18" s="166"/>
      <c r="L18" s="166"/>
      <c r="M18" s="166"/>
      <c r="N18" s="166"/>
      <c r="O18"/>
      <c r="P18"/>
      <c r="Q18"/>
      <c r="R18"/>
      <c r="S18"/>
      <c r="T18"/>
      <c r="U18"/>
      <c r="V18"/>
      <c r="W18"/>
      <c r="X18"/>
      <c r="Y18"/>
      <c r="Z18" s="344"/>
      <c r="AA18" s="336"/>
      <c r="AB18" s="336"/>
      <c r="AC18" s="336"/>
      <c r="AD18" s="329"/>
      <c r="AE18" s="147"/>
      <c r="AF18" s="147"/>
      <c r="AG18" s="147"/>
      <c r="AH18" s="147"/>
      <c r="AI18" s="147"/>
      <c r="AJ18" s="147"/>
      <c r="AK18" s="147"/>
      <c r="AL18" s="147"/>
      <c r="AM18" s="147"/>
      <c r="AN18" s="147"/>
      <c r="AO18" s="147"/>
      <c r="AP18" s="147"/>
      <c r="AQ18" s="147"/>
      <c r="AR18" s="147"/>
      <c r="AS18" s="147"/>
      <c r="AT18" s="147"/>
      <c r="AU18" s="147"/>
      <c r="AV18" s="147"/>
      <c r="AW18" s="147"/>
      <c r="AX18" s="147"/>
      <c r="AY18" s="147"/>
      <c r="AZ18" s="147"/>
      <c r="BA18" s="147"/>
      <c r="BB18" s="147"/>
      <c r="BC18" s="147"/>
      <c r="BD18" s="147"/>
      <c r="BE18" s="147"/>
      <c r="BF18" s="147"/>
      <c r="BG18" s="147"/>
      <c r="BH18" s="147"/>
      <c r="BI18" s="147"/>
      <c r="BJ18" s="147"/>
      <c r="BK18" s="147"/>
      <c r="BL18" s="147"/>
      <c r="BM18" s="147"/>
      <c r="BN18" s="147"/>
      <c r="BO18" s="147"/>
      <c r="BP18" s="147"/>
      <c r="BQ18" s="147"/>
      <c r="BR18" s="147"/>
      <c r="BS18" s="147"/>
      <c r="BT18" s="147"/>
      <c r="BU18" s="147"/>
      <c r="BV18" s="147"/>
      <c r="BW18" s="147"/>
      <c r="BX18" s="147"/>
      <c r="BY18" s="147"/>
      <c r="BZ18" s="147"/>
      <c r="CA18" s="147"/>
      <c r="CB18" s="147"/>
      <c r="CC18" s="147"/>
      <c r="CD18" s="147"/>
      <c r="CE18" s="147"/>
      <c r="CF18" s="147"/>
      <c r="CG18" s="147"/>
      <c r="CH18" s="147"/>
      <c r="CI18" s="147"/>
      <c r="CJ18" s="147"/>
      <c r="CK18" s="147"/>
      <c r="CL18" s="147"/>
    </row>
    <row r="19" spans="1:94" s="153" customFormat="1" ht="25.5" x14ac:dyDescent="0.25">
      <c r="A19" s="238"/>
      <c r="B19" s="202"/>
      <c r="C19" s="239" t="s">
        <v>86</v>
      </c>
      <c r="D19" s="240" t="s">
        <v>87</v>
      </c>
      <c r="E19" s="241"/>
      <c r="F19" s="165"/>
      <c r="G19" s="166"/>
      <c r="H19" s="169"/>
      <c r="I19" s="170"/>
      <c r="J19" s="166"/>
      <c r="K19" s="166"/>
      <c r="L19" s="169"/>
      <c r="M19" s="166"/>
      <c r="N19" s="166"/>
      <c r="O19"/>
      <c r="P19"/>
      <c r="Q19"/>
      <c r="R19"/>
      <c r="S19"/>
      <c r="T19"/>
      <c r="U19"/>
      <c r="V19"/>
      <c r="W19"/>
      <c r="X19"/>
      <c r="Y19"/>
      <c r="Z19" s="344"/>
      <c r="AA19" s="363"/>
      <c r="AB19" s="363"/>
      <c r="AC19" s="363"/>
      <c r="AD19" s="329"/>
      <c r="AE19" s="147"/>
      <c r="AF19" s="147"/>
      <c r="AG19" s="147"/>
      <c r="AH19" s="147"/>
      <c r="AI19" s="147"/>
      <c r="AJ19" s="147"/>
      <c r="AK19" s="147"/>
      <c r="AL19" s="147"/>
      <c r="AM19" s="147"/>
      <c r="AN19" s="147"/>
      <c r="AO19" s="147"/>
      <c r="AP19" s="147"/>
      <c r="AQ19" s="147"/>
      <c r="AR19" s="147"/>
      <c r="AS19" s="147"/>
      <c r="AT19" s="147"/>
      <c r="AU19" s="147"/>
      <c r="AV19" s="147"/>
      <c r="AW19" s="147"/>
      <c r="AX19" s="147"/>
      <c r="AY19" s="147"/>
      <c r="AZ19" s="147"/>
      <c r="BA19" s="147"/>
      <c r="BB19" s="147"/>
      <c r="BC19" s="147"/>
      <c r="BD19" s="147"/>
      <c r="BE19" s="147"/>
      <c r="BF19" s="147"/>
      <c r="BG19" s="147"/>
      <c r="BH19" s="147"/>
      <c r="BI19" s="147"/>
      <c r="BJ19" s="147"/>
      <c r="BK19" s="147"/>
      <c r="BL19" s="147"/>
      <c r="BM19" s="147"/>
      <c r="BN19" s="147"/>
      <c r="BO19" s="147"/>
      <c r="BP19" s="147"/>
      <c r="BQ19" s="147"/>
      <c r="BR19" s="147"/>
      <c r="BS19" s="147"/>
      <c r="BT19" s="147"/>
      <c r="BU19" s="147"/>
      <c r="BV19" s="147"/>
      <c r="BW19" s="147"/>
      <c r="BX19" s="147"/>
      <c r="BY19" s="147"/>
      <c r="BZ19" s="147"/>
      <c r="CA19" s="147"/>
      <c r="CB19" s="147"/>
      <c r="CC19" s="147"/>
      <c r="CD19" s="147"/>
      <c r="CE19" s="147"/>
      <c r="CF19" s="147"/>
      <c r="CG19" s="147"/>
      <c r="CH19" s="147"/>
      <c r="CI19" s="147"/>
      <c r="CJ19" s="147"/>
      <c r="CK19" s="147"/>
      <c r="CL19" s="147"/>
      <c r="CM19" s="147"/>
      <c r="CN19" s="147"/>
      <c r="CO19" s="147"/>
      <c r="CP19" s="147"/>
    </row>
    <row r="20" spans="1:94" s="177" customFormat="1" ht="15" x14ac:dyDescent="0.25">
      <c r="A20" s="171"/>
      <c r="B20" s="172"/>
      <c r="C20" s="244"/>
      <c r="D20" s="242"/>
      <c r="E20" s="173"/>
      <c r="F20" s="174">
        <v>0</v>
      </c>
      <c r="G20" s="175">
        <v>0</v>
      </c>
      <c r="H20" s="176">
        <f t="shared" ref="H20:H30" si="0">IF(AND($F20&lt;&gt;0,$G20&lt;&gt;0,OR($E20=1,$E20=3)),$F20*Health,0)</f>
        <v>0</v>
      </c>
      <c r="I20" s="176">
        <f t="shared" ref="I20:I30" si="1">IF(AND($E20=1,$C20=""),$G20*PermVB+$G20*Retire1,IF($E20=1,$G20*PermVB+$G20*VLOOKUP($C20,Retirement_Rates,3,FALSE),IF($E20=2,$G20*GroupVB,IF(AND($E20=3,$C20=""),$G20*ElectVB+$G20*Retire1,IF($E20=3,$G20*ElectVB+$G20*VLOOKUP($C20,Retirement_Rates,3,FALSE),0)))))</f>
        <v>0</v>
      </c>
      <c r="J20" s="159">
        <f>IF($E20&gt;0,SUM($G20:$I20),0)</f>
        <v>0</v>
      </c>
      <c r="K20" s="166"/>
      <c r="L20" s="176">
        <f t="shared" ref="L20:L30" si="2">IF(AND($F20&lt;&gt;0,$G20&lt;&gt;0,OR($E20=1,$E20=3)),$F20*HealthCHG,0)</f>
        <v>0</v>
      </c>
      <c r="M20" s="176">
        <f>IF(AND($E20=1,$C20=""),$G20*PermVBCHG+$G20*Retire1CHG,IF($E20=1,$G20*PermVBCHG+$G20*VLOOKUP($C20,Retirement_Rates,5,FALSE),IF($E20=2,0,IF(AND($E20=3,$C20=""),$G20*ElectVBCHG+$G20*Retire1CHG,IF($E20=3,$G20*ElectVBCHG+$G20*VLOOKUP($C20,Retirement_Rates,5,FALSE),0)))))</f>
        <v>0</v>
      </c>
      <c r="N20" s="176">
        <f>SUM(L20:M20)</f>
        <v>0</v>
      </c>
      <c r="O20"/>
      <c r="P20"/>
      <c r="Q20"/>
      <c r="R20"/>
      <c r="S20"/>
      <c r="T20"/>
      <c r="U20"/>
      <c r="V20"/>
      <c r="W20"/>
      <c r="X20"/>
      <c r="Y20"/>
      <c r="Z20" s="344"/>
      <c r="AA20" s="363"/>
      <c r="AB20" s="363"/>
      <c r="AC20" s="363"/>
      <c r="AD20" s="329"/>
      <c r="AE20" s="147"/>
      <c r="AF20" s="147"/>
      <c r="AG20" s="147"/>
      <c r="AH20" s="147"/>
      <c r="AI20" s="147"/>
      <c r="AJ20" s="147"/>
      <c r="AK20" s="147"/>
      <c r="AL20" s="147"/>
      <c r="AM20" s="147"/>
      <c r="AN20" s="147"/>
      <c r="AO20" s="147"/>
      <c r="AP20" s="147"/>
      <c r="AQ20" s="147"/>
      <c r="AR20" s="147"/>
      <c r="AS20" s="147"/>
      <c r="AT20" s="147"/>
      <c r="AU20" s="147"/>
      <c r="AV20" s="147"/>
      <c r="AW20" s="147"/>
      <c r="AX20" s="147"/>
      <c r="AY20" s="147"/>
      <c r="AZ20" s="147"/>
      <c r="BA20" s="147"/>
      <c r="BB20" s="147"/>
      <c r="BC20" s="147"/>
      <c r="BD20" s="147"/>
      <c r="BE20" s="147"/>
      <c r="BF20" s="147"/>
      <c r="BG20" s="147"/>
      <c r="BH20" s="147"/>
      <c r="BI20" s="147"/>
      <c r="BJ20" s="147"/>
      <c r="BK20" s="147"/>
      <c r="BL20" s="147"/>
      <c r="BM20" s="147"/>
      <c r="BN20" s="147"/>
      <c r="BO20" s="147"/>
      <c r="BP20" s="147"/>
      <c r="BQ20" s="147"/>
      <c r="BR20" s="147"/>
      <c r="BS20" s="147"/>
      <c r="BT20" s="147"/>
      <c r="BU20" s="147"/>
      <c r="BV20" s="147"/>
      <c r="BW20" s="147"/>
      <c r="BX20" s="147"/>
      <c r="BY20" s="147"/>
      <c r="BZ20" s="147"/>
      <c r="CA20" s="147"/>
      <c r="CB20" s="147"/>
      <c r="CC20" s="147"/>
      <c r="CD20" s="147"/>
      <c r="CE20" s="147"/>
      <c r="CF20" s="147"/>
      <c r="CG20" s="147"/>
      <c r="CH20" s="147"/>
      <c r="CI20" s="147"/>
      <c r="CJ20" s="147"/>
      <c r="CK20" s="147"/>
      <c r="CL20" s="147"/>
      <c r="CM20" s="147"/>
      <c r="CN20" s="147"/>
      <c r="CO20" s="147"/>
      <c r="CP20" s="147"/>
    </row>
    <row r="21" spans="1:94" s="177" customFormat="1" ht="15" x14ac:dyDescent="0.25">
      <c r="A21" s="178"/>
      <c r="B21" s="179"/>
      <c r="C21" s="244"/>
      <c r="D21" s="242"/>
      <c r="E21" s="180"/>
      <c r="F21" s="181">
        <v>0</v>
      </c>
      <c r="G21" s="175">
        <v>0</v>
      </c>
      <c r="H21" s="176">
        <f t="shared" si="0"/>
        <v>0</v>
      </c>
      <c r="I21" s="176">
        <f t="shared" si="1"/>
        <v>0</v>
      </c>
      <c r="J21" s="159">
        <f t="shared" ref="J21:J35" si="3">IF($E21&gt;0,SUM($G21:$I21),0)</f>
        <v>0</v>
      </c>
      <c r="K21" s="166"/>
      <c r="L21" s="176">
        <f t="shared" si="2"/>
        <v>0</v>
      </c>
      <c r="M21" s="176">
        <f t="shared" ref="M21:M30" si="4">IF(AND($E21=1,$C21=""),$G21*PermVBCHG+$G21*Retire1CHG,IF($E21=1,$G21*PermVBCHG+$G21*VLOOKUP($C21,Retirement_Rates,5,FALSE),IF($E21=2,0,IF(AND($E21=3,$C21=""),$G21*ElectVBCHG+$G21*Retire1CHG,IF($E21=3,$G21*ElectVBCHG+$G21*VLOOKUP($C21,Retirement_Rates,5,FALSE),0)))))</f>
        <v>0</v>
      </c>
      <c r="N21" s="183">
        <f t="shared" ref="N21:N30" si="5">SUM(L21:M21)</f>
        <v>0</v>
      </c>
      <c r="O21"/>
      <c r="P21"/>
      <c r="Q21"/>
      <c r="R21"/>
      <c r="S21"/>
      <c r="T21"/>
      <c r="U21"/>
      <c r="V21"/>
      <c r="W21"/>
      <c r="X21"/>
      <c r="Y21"/>
      <c r="Z21" s="344"/>
      <c r="AA21" s="363"/>
      <c r="AB21" s="363"/>
      <c r="AC21" s="363"/>
      <c r="AD21" s="329"/>
      <c r="AE21" s="147"/>
      <c r="AF21" s="147"/>
      <c r="AG21" s="147"/>
      <c r="AH21" s="147"/>
      <c r="AI21" s="147"/>
      <c r="AJ21" s="147"/>
      <c r="AK21" s="147"/>
      <c r="AL21" s="147"/>
      <c r="AM21" s="147"/>
      <c r="AN21" s="147"/>
      <c r="AO21" s="147"/>
      <c r="AP21" s="147"/>
      <c r="AQ21" s="147"/>
      <c r="AR21" s="147"/>
      <c r="AS21" s="147"/>
      <c r="AT21" s="147"/>
      <c r="AU21" s="147"/>
      <c r="AV21" s="147"/>
      <c r="AW21" s="147"/>
      <c r="AX21" s="147"/>
      <c r="AY21" s="147"/>
      <c r="AZ21" s="147"/>
      <c r="BA21" s="147"/>
      <c r="BB21" s="147"/>
      <c r="BC21" s="147"/>
      <c r="BD21" s="147"/>
      <c r="BE21" s="147"/>
      <c r="BF21" s="147"/>
      <c r="BG21" s="147"/>
      <c r="BH21" s="147"/>
      <c r="BI21" s="147"/>
      <c r="BJ21" s="147"/>
      <c r="BK21" s="147"/>
      <c r="BL21" s="147"/>
      <c r="BM21" s="147"/>
      <c r="BN21" s="147"/>
      <c r="BO21" s="147"/>
      <c r="BP21" s="147"/>
      <c r="BQ21" s="147"/>
      <c r="BR21" s="147"/>
      <c r="BS21" s="147"/>
      <c r="BT21" s="147"/>
      <c r="BU21" s="147"/>
      <c r="BV21" s="147"/>
      <c r="BW21" s="147"/>
      <c r="BX21" s="147"/>
      <c r="BY21" s="147"/>
      <c r="BZ21" s="147"/>
      <c r="CA21" s="147"/>
      <c r="CB21" s="147"/>
      <c r="CC21" s="147"/>
      <c r="CD21" s="147"/>
      <c r="CE21" s="147"/>
      <c r="CF21" s="147"/>
      <c r="CG21" s="147"/>
      <c r="CH21" s="147"/>
      <c r="CI21" s="147"/>
      <c r="CJ21" s="147"/>
      <c r="CK21" s="147"/>
      <c r="CL21" s="147"/>
      <c r="CM21" s="147"/>
      <c r="CN21" s="147"/>
      <c r="CO21" s="147"/>
      <c r="CP21" s="147"/>
    </row>
    <row r="22" spans="1:94" s="177" customFormat="1" ht="15" x14ac:dyDescent="0.25">
      <c r="A22" s="178"/>
      <c r="B22" s="179"/>
      <c r="C22" s="244"/>
      <c r="D22" s="242"/>
      <c r="E22" s="180"/>
      <c r="F22" s="181">
        <v>0</v>
      </c>
      <c r="G22" s="175">
        <v>0</v>
      </c>
      <c r="H22" s="176">
        <f t="shared" si="0"/>
        <v>0</v>
      </c>
      <c r="I22" s="176">
        <f t="shared" si="1"/>
        <v>0</v>
      </c>
      <c r="J22" s="159">
        <f t="shared" si="3"/>
        <v>0</v>
      </c>
      <c r="K22" s="166"/>
      <c r="L22" s="176">
        <f t="shared" si="2"/>
        <v>0</v>
      </c>
      <c r="M22" s="176">
        <f t="shared" si="4"/>
        <v>0</v>
      </c>
      <c r="N22" s="183">
        <f t="shared" si="5"/>
        <v>0</v>
      </c>
      <c r="O22"/>
      <c r="P22"/>
      <c r="Q22"/>
      <c r="R22"/>
      <c r="S22"/>
      <c r="T22"/>
      <c r="U22"/>
      <c r="V22"/>
      <c r="W22"/>
      <c r="X22"/>
      <c r="Y22"/>
      <c r="Z22" s="344"/>
      <c r="AA22" s="363"/>
      <c r="AB22" s="363"/>
      <c r="AC22" s="363"/>
      <c r="AD22" s="329"/>
      <c r="AE22" s="147"/>
      <c r="AF22" s="147"/>
      <c r="AG22" s="147"/>
      <c r="AH22" s="147"/>
      <c r="AI22" s="147"/>
      <c r="AJ22" s="147"/>
      <c r="AK22" s="147"/>
      <c r="AL22" s="147"/>
      <c r="AM22" s="147"/>
      <c r="AN22" s="147"/>
      <c r="AO22" s="147"/>
      <c r="AP22" s="147"/>
      <c r="AQ22" s="147"/>
      <c r="AR22" s="147"/>
      <c r="AS22" s="147"/>
      <c r="AT22" s="147"/>
      <c r="AU22" s="147"/>
      <c r="AV22" s="147"/>
      <c r="AW22" s="147"/>
      <c r="AX22" s="147"/>
      <c r="AY22" s="147"/>
      <c r="AZ22" s="147"/>
      <c r="BA22" s="147"/>
      <c r="BB22" s="147"/>
      <c r="BC22" s="147"/>
      <c r="BD22" s="147"/>
      <c r="BE22" s="147"/>
      <c r="BF22" s="147"/>
      <c r="BG22" s="147"/>
      <c r="BH22" s="147"/>
      <c r="BI22" s="147"/>
      <c r="BJ22" s="147"/>
      <c r="BK22" s="147"/>
      <c r="BL22" s="147"/>
      <c r="BM22" s="147"/>
      <c r="BN22" s="147"/>
      <c r="BO22" s="147"/>
      <c r="BP22" s="147"/>
      <c r="BQ22" s="147"/>
      <c r="BR22" s="147"/>
      <c r="BS22" s="147"/>
      <c r="BT22" s="147"/>
      <c r="BU22" s="147"/>
      <c r="BV22" s="147"/>
      <c r="BW22" s="147"/>
      <c r="BX22" s="147"/>
      <c r="BY22" s="147"/>
      <c r="BZ22" s="147"/>
      <c r="CA22" s="147"/>
      <c r="CB22" s="147"/>
      <c r="CC22" s="147"/>
      <c r="CD22" s="147"/>
      <c r="CE22" s="147"/>
      <c r="CF22" s="147"/>
      <c r="CG22" s="147"/>
      <c r="CH22" s="147"/>
      <c r="CI22" s="147"/>
      <c r="CJ22" s="147"/>
      <c r="CK22" s="147"/>
      <c r="CL22" s="147"/>
      <c r="CM22" s="147"/>
      <c r="CN22" s="147"/>
      <c r="CO22" s="147"/>
      <c r="CP22" s="147"/>
    </row>
    <row r="23" spans="1:94" s="177" customFormat="1" ht="15" x14ac:dyDescent="0.25">
      <c r="A23" s="178"/>
      <c r="B23" s="179"/>
      <c r="C23" s="244"/>
      <c r="D23" s="242"/>
      <c r="E23" s="180"/>
      <c r="F23" s="181">
        <v>0</v>
      </c>
      <c r="G23" s="175">
        <v>0</v>
      </c>
      <c r="H23" s="176">
        <f t="shared" si="0"/>
        <v>0</v>
      </c>
      <c r="I23" s="176">
        <f t="shared" si="1"/>
        <v>0</v>
      </c>
      <c r="J23" s="159">
        <f t="shared" si="3"/>
        <v>0</v>
      </c>
      <c r="K23" s="166"/>
      <c r="L23" s="176">
        <f t="shared" si="2"/>
        <v>0</v>
      </c>
      <c r="M23" s="176">
        <f t="shared" si="4"/>
        <v>0</v>
      </c>
      <c r="N23" s="183">
        <f t="shared" si="5"/>
        <v>0</v>
      </c>
      <c r="O23"/>
      <c r="P23"/>
      <c r="Q23"/>
      <c r="R23"/>
      <c r="S23"/>
      <c r="T23"/>
      <c r="U23"/>
      <c r="V23"/>
      <c r="W23"/>
      <c r="X23"/>
      <c r="Y23"/>
      <c r="Z23" s="344"/>
      <c r="AA23" s="363"/>
      <c r="AB23" s="363"/>
      <c r="AC23" s="363"/>
      <c r="AD23" s="329"/>
      <c r="AE23" s="147"/>
      <c r="AF23" s="147"/>
      <c r="AG23" s="147"/>
      <c r="AH23" s="147"/>
      <c r="AI23" s="147"/>
      <c r="AJ23" s="147"/>
      <c r="AK23" s="147"/>
      <c r="AL23" s="147"/>
      <c r="AM23" s="147"/>
      <c r="AN23" s="147"/>
      <c r="AO23" s="147"/>
      <c r="AP23" s="147"/>
      <c r="AQ23" s="147"/>
      <c r="AR23" s="147"/>
      <c r="AS23" s="147"/>
      <c r="AT23" s="147"/>
      <c r="AU23" s="147"/>
      <c r="AV23" s="147"/>
      <c r="AW23" s="147"/>
      <c r="AX23" s="147"/>
      <c r="AY23" s="147"/>
      <c r="AZ23" s="147"/>
      <c r="BA23" s="147"/>
      <c r="BB23" s="147"/>
      <c r="BC23" s="147"/>
      <c r="BD23" s="147"/>
      <c r="BE23" s="147"/>
      <c r="BF23" s="147"/>
      <c r="BG23" s="147"/>
      <c r="BH23" s="147"/>
      <c r="BI23" s="147"/>
      <c r="BJ23" s="147"/>
      <c r="BK23" s="147"/>
      <c r="BL23" s="147"/>
      <c r="BM23" s="147"/>
      <c r="BN23" s="147"/>
      <c r="BO23" s="147"/>
      <c r="BP23" s="147"/>
      <c r="BQ23" s="147"/>
      <c r="BR23" s="147"/>
      <c r="BS23" s="147"/>
      <c r="BT23" s="147"/>
      <c r="BU23" s="147"/>
      <c r="BV23" s="147"/>
      <c r="BW23" s="147"/>
      <c r="BX23" s="147"/>
      <c r="BY23" s="147"/>
      <c r="BZ23" s="147"/>
      <c r="CA23" s="147"/>
      <c r="CB23" s="147"/>
      <c r="CC23" s="147"/>
      <c r="CD23" s="147"/>
      <c r="CE23" s="147"/>
      <c r="CF23" s="147"/>
      <c r="CG23" s="147"/>
      <c r="CH23" s="147"/>
      <c r="CI23" s="147"/>
      <c r="CJ23" s="147"/>
      <c r="CK23" s="147"/>
      <c r="CL23" s="147"/>
      <c r="CM23" s="147"/>
      <c r="CN23" s="147"/>
      <c r="CO23" s="147"/>
      <c r="CP23" s="147"/>
    </row>
    <row r="24" spans="1:94" s="177" customFormat="1" ht="15" x14ac:dyDescent="0.25">
      <c r="A24" s="178"/>
      <c r="B24" s="179"/>
      <c r="C24" s="244"/>
      <c r="D24" s="242"/>
      <c r="E24" s="180"/>
      <c r="F24" s="181">
        <v>0</v>
      </c>
      <c r="G24" s="175">
        <v>0</v>
      </c>
      <c r="H24" s="176">
        <f t="shared" si="0"/>
        <v>0</v>
      </c>
      <c r="I24" s="176">
        <f t="shared" si="1"/>
        <v>0</v>
      </c>
      <c r="J24" s="159">
        <f t="shared" si="3"/>
        <v>0</v>
      </c>
      <c r="K24" s="166"/>
      <c r="L24" s="176">
        <f t="shared" si="2"/>
        <v>0</v>
      </c>
      <c r="M24" s="176">
        <f t="shared" si="4"/>
        <v>0</v>
      </c>
      <c r="N24" s="183">
        <f t="shared" si="5"/>
        <v>0</v>
      </c>
      <c r="O24"/>
      <c r="P24"/>
      <c r="Q24"/>
      <c r="R24"/>
      <c r="S24"/>
      <c r="T24"/>
      <c r="U24"/>
      <c r="V24"/>
      <c r="W24"/>
      <c r="X24"/>
      <c r="Y24"/>
      <c r="Z24" s="344"/>
      <c r="AA24" s="345"/>
      <c r="AB24" s="363"/>
      <c r="AC24" s="363"/>
      <c r="AD24" s="329"/>
      <c r="AE24" s="147"/>
      <c r="AF24" s="147"/>
      <c r="AG24" s="147"/>
      <c r="AH24" s="147"/>
      <c r="AI24" s="147"/>
      <c r="AJ24" s="147"/>
      <c r="AK24" s="147"/>
      <c r="AL24" s="147"/>
      <c r="AM24" s="147"/>
      <c r="AN24" s="147"/>
      <c r="AO24" s="147"/>
      <c r="AP24" s="147"/>
      <c r="AQ24" s="147"/>
      <c r="AR24" s="147"/>
      <c r="AS24" s="147"/>
      <c r="AT24" s="147"/>
      <c r="AU24" s="147"/>
      <c r="AV24" s="147"/>
      <c r="AW24" s="147"/>
      <c r="AX24" s="147"/>
      <c r="AY24" s="147"/>
      <c r="AZ24" s="147"/>
      <c r="BA24" s="147"/>
      <c r="BB24" s="147"/>
      <c r="BC24" s="147"/>
      <c r="BD24" s="147"/>
      <c r="BE24" s="147"/>
      <c r="BF24" s="147"/>
      <c r="BG24" s="147"/>
      <c r="BH24" s="147"/>
      <c r="BI24" s="147"/>
      <c r="BJ24" s="147"/>
      <c r="BK24" s="147"/>
      <c r="BL24" s="147"/>
      <c r="BM24" s="147"/>
      <c r="BN24" s="147"/>
      <c r="BO24" s="147"/>
      <c r="BP24" s="147"/>
      <c r="BQ24" s="147"/>
      <c r="BR24" s="147"/>
      <c r="BS24" s="147"/>
      <c r="BT24" s="147"/>
      <c r="BU24" s="147"/>
      <c r="BV24" s="147"/>
      <c r="BW24" s="147"/>
      <c r="BX24" s="147"/>
      <c r="BY24" s="147"/>
      <c r="BZ24" s="147"/>
      <c r="CA24" s="147"/>
      <c r="CB24" s="147"/>
      <c r="CC24" s="147"/>
      <c r="CD24" s="147"/>
      <c r="CE24" s="147"/>
      <c r="CF24" s="147"/>
      <c r="CG24" s="147"/>
      <c r="CH24" s="147"/>
      <c r="CI24" s="147"/>
      <c r="CJ24" s="147"/>
      <c r="CK24" s="147"/>
      <c r="CL24" s="147"/>
      <c r="CM24" s="147"/>
      <c r="CN24" s="147"/>
      <c r="CO24" s="147"/>
      <c r="CP24" s="147"/>
    </row>
    <row r="25" spans="1:94" s="177" customFormat="1" ht="15" x14ac:dyDescent="0.25">
      <c r="A25" s="178"/>
      <c r="B25" s="179"/>
      <c r="C25" s="244"/>
      <c r="D25" s="242"/>
      <c r="E25" s="180"/>
      <c r="F25" s="181">
        <v>0</v>
      </c>
      <c r="G25" s="182">
        <v>0</v>
      </c>
      <c r="H25" s="176">
        <f t="shared" si="0"/>
        <v>0</v>
      </c>
      <c r="I25" s="176">
        <f t="shared" si="1"/>
        <v>0</v>
      </c>
      <c r="J25" s="159">
        <f t="shared" si="3"/>
        <v>0</v>
      </c>
      <c r="K25" s="166"/>
      <c r="L25" s="176">
        <f t="shared" si="2"/>
        <v>0</v>
      </c>
      <c r="M25" s="176">
        <f t="shared" si="4"/>
        <v>0</v>
      </c>
      <c r="N25" s="183">
        <f t="shared" si="5"/>
        <v>0</v>
      </c>
      <c r="O25"/>
      <c r="P25"/>
      <c r="Q25"/>
      <c r="R25"/>
      <c r="S25"/>
      <c r="T25"/>
      <c r="U25"/>
      <c r="V25"/>
      <c r="W25"/>
      <c r="X25"/>
      <c r="Y25"/>
      <c r="Z25" s="344"/>
      <c r="AA25" s="345"/>
      <c r="AB25" s="363"/>
      <c r="AC25" s="363"/>
      <c r="AD25" s="329"/>
      <c r="AE25" s="147"/>
      <c r="AF25" s="147"/>
      <c r="AG25" s="147"/>
      <c r="AH25" s="147"/>
      <c r="AI25" s="147"/>
      <c r="AJ25" s="147"/>
      <c r="AK25" s="147"/>
      <c r="AL25" s="147"/>
      <c r="AM25" s="147"/>
      <c r="AN25" s="147"/>
      <c r="AO25" s="147"/>
      <c r="AP25" s="147"/>
      <c r="AQ25" s="147"/>
      <c r="AR25" s="147"/>
      <c r="AS25" s="147"/>
      <c r="AT25" s="147"/>
      <c r="AU25" s="147"/>
      <c r="AV25" s="147"/>
      <c r="AW25" s="147"/>
      <c r="AX25" s="147"/>
      <c r="AY25" s="147"/>
      <c r="AZ25" s="147"/>
      <c r="BA25" s="147"/>
      <c r="BB25" s="147"/>
      <c r="BC25" s="147"/>
      <c r="BD25" s="147"/>
      <c r="BE25" s="147"/>
      <c r="BF25" s="147"/>
      <c r="BG25" s="147"/>
      <c r="BH25" s="147"/>
      <c r="BI25" s="147"/>
      <c r="BJ25" s="147"/>
      <c r="BK25" s="147"/>
      <c r="BL25" s="147"/>
      <c r="BM25" s="147"/>
      <c r="BN25" s="147"/>
      <c r="BO25" s="147"/>
      <c r="BP25" s="147"/>
      <c r="BQ25" s="147"/>
      <c r="BR25" s="147"/>
      <c r="BS25" s="147"/>
      <c r="BT25" s="147"/>
      <c r="BU25" s="147"/>
      <c r="BV25" s="147"/>
      <c r="BW25" s="147"/>
      <c r="BX25" s="147"/>
      <c r="BY25" s="147"/>
      <c r="BZ25" s="147"/>
      <c r="CA25" s="147"/>
      <c r="CB25" s="147"/>
      <c r="CC25" s="147"/>
      <c r="CD25" s="147"/>
      <c r="CE25" s="147"/>
      <c r="CF25" s="147"/>
      <c r="CG25" s="147"/>
      <c r="CH25" s="147"/>
      <c r="CI25" s="147"/>
      <c r="CJ25" s="147"/>
      <c r="CK25" s="147"/>
      <c r="CL25" s="147"/>
      <c r="CM25" s="147"/>
      <c r="CN25" s="147"/>
      <c r="CO25" s="147"/>
      <c r="CP25" s="147"/>
    </row>
    <row r="26" spans="1:94" s="177" customFormat="1" ht="15" x14ac:dyDescent="0.25">
      <c r="A26" s="178"/>
      <c r="B26" s="179"/>
      <c r="C26" s="244"/>
      <c r="D26" s="242"/>
      <c r="E26" s="180"/>
      <c r="F26" s="181">
        <v>0</v>
      </c>
      <c r="G26" s="182">
        <v>0</v>
      </c>
      <c r="H26" s="176">
        <f t="shared" si="0"/>
        <v>0</v>
      </c>
      <c r="I26" s="176">
        <f t="shared" si="1"/>
        <v>0</v>
      </c>
      <c r="J26" s="159">
        <f t="shared" si="3"/>
        <v>0</v>
      </c>
      <c r="K26" s="166"/>
      <c r="L26" s="176">
        <f t="shared" si="2"/>
        <v>0</v>
      </c>
      <c r="M26" s="176">
        <f t="shared" si="4"/>
        <v>0</v>
      </c>
      <c r="N26" s="183">
        <f t="shared" si="5"/>
        <v>0</v>
      </c>
      <c r="O26"/>
      <c r="P26"/>
      <c r="Q26"/>
      <c r="R26"/>
      <c r="S26"/>
      <c r="T26"/>
      <c r="U26"/>
      <c r="V26"/>
      <c r="W26"/>
      <c r="X26"/>
      <c r="Y26"/>
      <c r="Z26" s="344"/>
      <c r="AA26" s="345"/>
      <c r="AB26" s="363"/>
      <c r="AC26" s="363"/>
      <c r="AD26" s="329"/>
      <c r="AE26" s="147"/>
      <c r="AF26" s="147"/>
      <c r="AG26" s="147"/>
      <c r="AH26" s="147"/>
      <c r="AI26" s="147"/>
      <c r="AJ26" s="147"/>
      <c r="AK26" s="147"/>
      <c r="AL26" s="147"/>
      <c r="AM26" s="147"/>
      <c r="AN26" s="147"/>
      <c r="AO26" s="147"/>
      <c r="AP26" s="147"/>
      <c r="AQ26" s="147"/>
      <c r="AR26" s="147"/>
      <c r="AS26" s="147"/>
      <c r="AT26" s="147"/>
      <c r="AU26" s="147"/>
      <c r="AV26" s="147"/>
      <c r="AW26" s="147"/>
      <c r="AX26" s="147"/>
      <c r="AY26" s="147"/>
      <c r="AZ26" s="147"/>
      <c r="BA26" s="147"/>
      <c r="BB26" s="147"/>
      <c r="BC26" s="147"/>
      <c r="BD26" s="147"/>
      <c r="BE26" s="147"/>
      <c r="BF26" s="147"/>
      <c r="BG26" s="147"/>
      <c r="BH26" s="147"/>
      <c r="BI26" s="147"/>
      <c r="BJ26" s="147"/>
      <c r="BK26" s="147"/>
      <c r="BL26" s="147"/>
      <c r="BM26" s="147"/>
      <c r="BN26" s="147"/>
      <c r="BO26" s="147"/>
      <c r="BP26" s="147"/>
      <c r="BQ26" s="147"/>
      <c r="BR26" s="147"/>
      <c r="BS26" s="147"/>
      <c r="BT26" s="147"/>
      <c r="BU26" s="147"/>
      <c r="BV26" s="147"/>
      <c r="BW26" s="147"/>
      <c r="BX26" s="147"/>
      <c r="BY26" s="147"/>
      <c r="BZ26" s="147"/>
      <c r="CA26" s="147"/>
      <c r="CB26" s="147"/>
      <c r="CC26" s="147"/>
      <c r="CD26" s="147"/>
      <c r="CE26" s="147"/>
      <c r="CF26" s="147"/>
      <c r="CG26" s="147"/>
      <c r="CH26" s="147"/>
      <c r="CI26" s="147"/>
      <c r="CJ26" s="147"/>
      <c r="CK26" s="147"/>
      <c r="CL26" s="147"/>
      <c r="CM26" s="147"/>
      <c r="CN26" s="147"/>
      <c r="CO26" s="147"/>
      <c r="CP26" s="147"/>
    </row>
    <row r="27" spans="1:94" s="177" customFormat="1" ht="15" x14ac:dyDescent="0.25">
      <c r="A27" s="178"/>
      <c r="B27" s="179"/>
      <c r="C27" s="244"/>
      <c r="D27" s="242"/>
      <c r="E27" s="180"/>
      <c r="F27" s="181">
        <v>0</v>
      </c>
      <c r="G27" s="182">
        <v>0</v>
      </c>
      <c r="H27" s="176">
        <f t="shared" si="0"/>
        <v>0</v>
      </c>
      <c r="I27" s="176">
        <f t="shared" si="1"/>
        <v>0</v>
      </c>
      <c r="J27" s="159">
        <f t="shared" si="3"/>
        <v>0</v>
      </c>
      <c r="K27" s="166"/>
      <c r="L27" s="176">
        <f t="shared" si="2"/>
        <v>0</v>
      </c>
      <c r="M27" s="176">
        <f t="shared" si="4"/>
        <v>0</v>
      </c>
      <c r="N27" s="183">
        <f t="shared" si="5"/>
        <v>0</v>
      </c>
      <c r="O27"/>
      <c r="P27"/>
      <c r="Q27"/>
      <c r="R27"/>
      <c r="S27"/>
      <c r="T27"/>
      <c r="U27"/>
      <c r="V27"/>
      <c r="W27"/>
      <c r="X27"/>
      <c r="Y27"/>
      <c r="Z27" s="344"/>
      <c r="AA27" s="363"/>
      <c r="AB27" s="363"/>
      <c r="AC27" s="363"/>
      <c r="AD27" s="329"/>
      <c r="AE27" s="147"/>
      <c r="AF27" s="147"/>
      <c r="AG27" s="147"/>
      <c r="AH27" s="147"/>
      <c r="AI27" s="147"/>
      <c r="AJ27" s="147"/>
      <c r="AK27" s="147"/>
      <c r="AL27" s="147"/>
      <c r="AM27" s="147"/>
      <c r="AN27" s="147"/>
      <c r="AO27" s="147"/>
      <c r="AP27" s="147"/>
      <c r="AQ27" s="147"/>
      <c r="AR27" s="147"/>
      <c r="AS27" s="147"/>
      <c r="AT27" s="147"/>
      <c r="AU27" s="147"/>
      <c r="AV27" s="147"/>
      <c r="AW27" s="147"/>
      <c r="AX27" s="147"/>
      <c r="AY27" s="147"/>
      <c r="AZ27" s="147"/>
      <c r="BA27" s="147"/>
      <c r="BB27" s="147"/>
      <c r="BC27" s="147"/>
      <c r="BD27" s="147"/>
      <c r="BE27" s="147"/>
      <c r="BF27" s="147"/>
      <c r="BG27" s="147"/>
      <c r="BH27" s="147"/>
      <c r="BI27" s="147"/>
      <c r="BJ27" s="147"/>
      <c r="BK27" s="147"/>
      <c r="BL27" s="147"/>
      <c r="BM27" s="147"/>
      <c r="BN27" s="147"/>
      <c r="BO27" s="147"/>
      <c r="BP27" s="147"/>
      <c r="BQ27" s="147"/>
      <c r="BR27" s="147"/>
      <c r="BS27" s="147"/>
      <c r="BT27" s="147"/>
      <c r="BU27" s="147"/>
      <c r="BV27" s="147"/>
      <c r="BW27" s="147"/>
      <c r="BX27" s="147"/>
      <c r="BY27" s="147"/>
      <c r="BZ27" s="147"/>
      <c r="CA27" s="147"/>
      <c r="CB27" s="147"/>
      <c r="CC27" s="147"/>
      <c r="CD27" s="147"/>
      <c r="CE27" s="147"/>
      <c r="CF27" s="147"/>
      <c r="CG27" s="147"/>
      <c r="CH27" s="147"/>
      <c r="CI27" s="147"/>
      <c r="CJ27" s="147"/>
      <c r="CK27" s="147"/>
      <c r="CL27" s="147"/>
      <c r="CM27" s="147"/>
      <c r="CN27" s="147"/>
      <c r="CO27" s="147"/>
      <c r="CP27" s="147"/>
    </row>
    <row r="28" spans="1:94" s="177" customFormat="1" ht="15" x14ac:dyDescent="0.25">
      <c r="A28" s="178"/>
      <c r="B28" s="179"/>
      <c r="C28" s="244"/>
      <c r="D28" s="242"/>
      <c r="E28" s="180"/>
      <c r="F28" s="181">
        <v>0</v>
      </c>
      <c r="G28" s="182">
        <v>0</v>
      </c>
      <c r="H28" s="176">
        <f t="shared" si="0"/>
        <v>0</v>
      </c>
      <c r="I28" s="176">
        <f t="shared" si="1"/>
        <v>0</v>
      </c>
      <c r="J28" s="159">
        <f t="shared" si="3"/>
        <v>0</v>
      </c>
      <c r="K28" s="166"/>
      <c r="L28" s="176">
        <f t="shared" si="2"/>
        <v>0</v>
      </c>
      <c r="M28" s="176">
        <f t="shared" si="4"/>
        <v>0</v>
      </c>
      <c r="N28" s="183">
        <f t="shared" si="5"/>
        <v>0</v>
      </c>
      <c r="O28"/>
      <c r="P28"/>
      <c r="Q28"/>
      <c r="R28"/>
      <c r="S28"/>
      <c r="T28"/>
      <c r="U28"/>
      <c r="V28"/>
      <c r="W28"/>
      <c r="X28"/>
      <c r="Y28"/>
      <c r="Z28" s="344"/>
      <c r="AA28" s="363"/>
      <c r="AB28" s="363"/>
      <c r="AC28" s="363"/>
      <c r="AD28" s="329"/>
      <c r="AE28" s="147"/>
      <c r="AF28" s="147"/>
      <c r="AG28" s="147"/>
      <c r="AH28" s="147"/>
      <c r="AI28" s="147"/>
      <c r="AJ28" s="147"/>
      <c r="AK28" s="147"/>
      <c r="AL28" s="147"/>
      <c r="AM28" s="147"/>
      <c r="AN28" s="147"/>
      <c r="AO28" s="147"/>
      <c r="AP28" s="147"/>
      <c r="AQ28" s="147"/>
      <c r="AR28" s="147"/>
      <c r="AS28" s="147"/>
      <c r="AT28" s="147"/>
      <c r="AU28" s="147"/>
      <c r="AV28" s="147"/>
      <c r="AW28" s="147"/>
      <c r="AX28" s="147"/>
      <c r="AY28" s="147"/>
      <c r="AZ28" s="147"/>
      <c r="BA28" s="147"/>
      <c r="BB28" s="147"/>
      <c r="BC28" s="147"/>
      <c r="BD28" s="147"/>
      <c r="BE28" s="147"/>
      <c r="BF28" s="147"/>
      <c r="BG28" s="147"/>
      <c r="BH28" s="147"/>
      <c r="BI28" s="147"/>
      <c r="BJ28" s="147"/>
      <c r="BK28" s="147"/>
      <c r="BL28" s="147"/>
      <c r="BM28" s="147"/>
      <c r="BN28" s="147"/>
      <c r="BO28" s="147"/>
      <c r="BP28" s="147"/>
      <c r="BQ28" s="147"/>
      <c r="BR28" s="147"/>
      <c r="BS28" s="147"/>
      <c r="BT28" s="147"/>
      <c r="BU28" s="147"/>
      <c r="BV28" s="147"/>
      <c r="BW28" s="147"/>
      <c r="BX28" s="147"/>
      <c r="BY28" s="147"/>
      <c r="BZ28" s="147"/>
      <c r="CA28" s="147"/>
      <c r="CB28" s="147"/>
      <c r="CC28" s="147"/>
      <c r="CD28" s="147"/>
      <c r="CE28" s="147"/>
      <c r="CF28" s="147"/>
      <c r="CG28" s="147"/>
      <c r="CH28" s="147"/>
      <c r="CI28" s="147"/>
      <c r="CJ28" s="147"/>
      <c r="CK28" s="147"/>
      <c r="CL28" s="147"/>
      <c r="CM28" s="147"/>
      <c r="CN28" s="147"/>
      <c r="CO28" s="147"/>
      <c r="CP28" s="147"/>
    </row>
    <row r="29" spans="1:94" s="177" customFormat="1" ht="15" x14ac:dyDescent="0.25">
      <c r="A29" s="179"/>
      <c r="B29" s="179"/>
      <c r="C29" s="171"/>
      <c r="D29" s="243"/>
      <c r="E29" s="180"/>
      <c r="F29" s="181">
        <v>0</v>
      </c>
      <c r="G29" s="182">
        <v>0</v>
      </c>
      <c r="H29" s="176">
        <f t="shared" si="0"/>
        <v>0</v>
      </c>
      <c r="I29" s="176">
        <f t="shared" si="1"/>
        <v>0</v>
      </c>
      <c r="J29" s="159">
        <f t="shared" si="3"/>
        <v>0</v>
      </c>
      <c r="K29" s="166"/>
      <c r="L29" s="176">
        <f t="shared" si="2"/>
        <v>0</v>
      </c>
      <c r="M29" s="176">
        <f t="shared" si="4"/>
        <v>0</v>
      </c>
      <c r="N29" s="183">
        <f t="shared" si="5"/>
        <v>0</v>
      </c>
      <c r="O29"/>
      <c r="P29"/>
      <c r="Q29"/>
      <c r="R29"/>
      <c r="S29"/>
      <c r="T29"/>
      <c r="U29"/>
      <c r="V29"/>
      <c r="W29"/>
      <c r="X29"/>
      <c r="Y29"/>
      <c r="Z29" s="344"/>
      <c r="AA29" s="363"/>
      <c r="AB29" s="363"/>
      <c r="AC29" s="363"/>
      <c r="AD29" s="329"/>
      <c r="AE29" s="147"/>
      <c r="AF29" s="147"/>
      <c r="AG29" s="147"/>
      <c r="AH29" s="147"/>
      <c r="AI29" s="147"/>
      <c r="AJ29" s="147"/>
      <c r="AK29" s="147"/>
      <c r="AL29" s="147"/>
      <c r="AM29" s="147"/>
      <c r="AN29" s="147"/>
      <c r="AO29" s="147"/>
      <c r="AP29" s="147"/>
      <c r="AQ29" s="147"/>
      <c r="AR29" s="147"/>
      <c r="AS29" s="147"/>
      <c r="AT29" s="147"/>
      <c r="AU29" s="147"/>
      <c r="AV29" s="147"/>
      <c r="AW29" s="147"/>
      <c r="AX29" s="147"/>
      <c r="AY29" s="147"/>
      <c r="AZ29" s="147"/>
      <c r="BA29" s="147"/>
      <c r="BB29" s="147"/>
      <c r="BC29" s="147"/>
      <c r="BD29" s="147"/>
      <c r="BE29" s="147"/>
      <c r="BF29" s="147"/>
      <c r="BG29" s="147"/>
      <c r="BH29" s="147"/>
      <c r="BI29" s="147"/>
      <c r="BJ29" s="147"/>
      <c r="BK29" s="147"/>
      <c r="BL29" s="147"/>
      <c r="BM29" s="147"/>
      <c r="BN29" s="147"/>
      <c r="BO29" s="147"/>
      <c r="BP29" s="147"/>
      <c r="BQ29" s="147"/>
      <c r="BR29" s="147"/>
      <c r="BS29" s="147"/>
      <c r="BT29" s="147"/>
      <c r="BU29" s="147"/>
      <c r="BV29" s="147"/>
      <c r="BW29" s="147"/>
      <c r="BX29" s="147"/>
      <c r="BY29" s="147"/>
      <c r="BZ29" s="147"/>
      <c r="CA29" s="147"/>
      <c r="CB29" s="147"/>
      <c r="CC29" s="147"/>
      <c r="CD29" s="147"/>
      <c r="CE29" s="147"/>
      <c r="CF29" s="147"/>
      <c r="CG29" s="147"/>
      <c r="CH29" s="147"/>
      <c r="CI29" s="147"/>
      <c r="CJ29" s="147"/>
      <c r="CK29" s="147"/>
      <c r="CL29" s="147"/>
      <c r="CM29" s="147"/>
      <c r="CN29" s="147"/>
      <c r="CO29" s="147"/>
      <c r="CP29" s="147"/>
    </row>
    <row r="30" spans="1:94" s="177" customFormat="1" ht="15" x14ac:dyDescent="0.25">
      <c r="A30" s="179"/>
      <c r="B30" s="184"/>
      <c r="C30" s="171"/>
      <c r="D30" s="243"/>
      <c r="E30" s="180"/>
      <c r="F30" s="181">
        <v>0</v>
      </c>
      <c r="G30" s="182">
        <v>0</v>
      </c>
      <c r="H30" s="176">
        <f t="shared" si="0"/>
        <v>0</v>
      </c>
      <c r="I30" s="176">
        <f t="shared" si="1"/>
        <v>0</v>
      </c>
      <c r="J30" s="159">
        <f t="shared" si="3"/>
        <v>0</v>
      </c>
      <c r="K30" s="166"/>
      <c r="L30" s="176">
        <f t="shared" si="2"/>
        <v>0</v>
      </c>
      <c r="M30" s="176">
        <f t="shared" si="4"/>
        <v>0</v>
      </c>
      <c r="N30" s="183">
        <f t="shared" si="5"/>
        <v>0</v>
      </c>
      <c r="O30"/>
      <c r="P30"/>
      <c r="Q30"/>
      <c r="R30"/>
      <c r="S30"/>
      <c r="T30"/>
      <c r="U30"/>
      <c r="V30"/>
      <c r="W30"/>
      <c r="X30"/>
      <c r="Y30"/>
      <c r="Z30" s="344"/>
      <c r="AA30" s="363"/>
      <c r="AB30" s="363"/>
      <c r="AC30" s="363"/>
      <c r="AD30" s="329"/>
      <c r="AE30" s="147"/>
      <c r="AF30" s="147"/>
      <c r="AG30" s="147"/>
      <c r="AH30" s="147"/>
      <c r="AI30" s="147"/>
      <c r="AJ30" s="147"/>
      <c r="AK30" s="147"/>
      <c r="AL30" s="147"/>
      <c r="AM30" s="147"/>
      <c r="AN30" s="147"/>
      <c r="AO30" s="147"/>
      <c r="AP30" s="147"/>
      <c r="AQ30" s="147"/>
      <c r="AR30" s="147"/>
      <c r="AS30" s="147"/>
      <c r="AT30" s="147"/>
      <c r="AU30" s="147"/>
      <c r="AV30" s="147"/>
      <c r="AW30" s="147"/>
      <c r="AX30" s="147"/>
      <c r="AY30" s="147"/>
      <c r="AZ30" s="147"/>
      <c r="BA30" s="147"/>
      <c r="BB30" s="147"/>
      <c r="BC30" s="147"/>
      <c r="BD30" s="147"/>
      <c r="BE30" s="147"/>
      <c r="BF30" s="147"/>
      <c r="BG30" s="147"/>
      <c r="BH30" s="147"/>
      <c r="BI30" s="147"/>
      <c r="BJ30" s="147"/>
      <c r="BK30" s="147"/>
      <c r="BL30" s="147"/>
      <c r="BM30" s="147"/>
      <c r="BN30" s="147"/>
      <c r="BO30" s="147"/>
      <c r="BP30" s="147"/>
      <c r="BQ30" s="147"/>
      <c r="BR30" s="147"/>
      <c r="BS30" s="147"/>
      <c r="BT30" s="147"/>
      <c r="BU30" s="147"/>
      <c r="BV30" s="147"/>
      <c r="BW30" s="147"/>
      <c r="BX30" s="147"/>
      <c r="BY30" s="147"/>
      <c r="BZ30" s="147"/>
      <c r="CA30" s="147"/>
      <c r="CB30" s="147"/>
      <c r="CC30" s="147"/>
      <c r="CD30" s="147"/>
      <c r="CE30" s="147"/>
      <c r="CF30" s="147"/>
      <c r="CG30" s="147"/>
      <c r="CH30" s="147"/>
      <c r="CI30" s="147"/>
      <c r="CJ30" s="147"/>
      <c r="CK30" s="147"/>
      <c r="CL30" s="147"/>
      <c r="CM30" s="147"/>
      <c r="CN30" s="147"/>
      <c r="CO30" s="147"/>
      <c r="CP30" s="147"/>
    </row>
    <row r="31" spans="1:94" s="153" customFormat="1" ht="15" x14ac:dyDescent="0.25">
      <c r="A31" s="139"/>
      <c r="B31" s="168"/>
      <c r="C31" s="245"/>
      <c r="D31" s="246" t="s">
        <v>36</v>
      </c>
      <c r="E31" s="150"/>
      <c r="F31" s="165"/>
      <c r="G31" s="166"/>
      <c r="H31" s="166"/>
      <c r="I31" s="166"/>
      <c r="J31" s="166"/>
      <c r="K31" s="166"/>
      <c r="L31" s="166"/>
      <c r="M31" s="166"/>
      <c r="N31" s="166"/>
      <c r="O31"/>
      <c r="P31"/>
      <c r="Q31"/>
      <c r="R31"/>
      <c r="S31"/>
      <c r="T31"/>
      <c r="U31"/>
      <c r="V31"/>
      <c r="W31"/>
      <c r="X31"/>
      <c r="Y31"/>
      <c r="Z31" s="344"/>
      <c r="AA31" s="363"/>
      <c r="AB31" s="363"/>
      <c r="AC31" s="363"/>
      <c r="AD31" s="329"/>
      <c r="AE31" s="147"/>
      <c r="AF31" s="147"/>
      <c r="AG31" s="147"/>
      <c r="AH31" s="147"/>
      <c r="AI31" s="147"/>
      <c r="AJ31" s="147"/>
      <c r="AK31" s="147"/>
      <c r="AL31" s="147"/>
      <c r="AM31" s="147"/>
      <c r="AN31" s="147"/>
      <c r="AO31" s="147"/>
      <c r="AP31" s="147"/>
      <c r="AQ31" s="147"/>
      <c r="AR31" s="147"/>
      <c r="AS31" s="147"/>
      <c r="AT31" s="147"/>
      <c r="AU31" s="147"/>
      <c r="AV31" s="147"/>
      <c r="AW31" s="147"/>
      <c r="AX31" s="147"/>
      <c r="AY31" s="147"/>
      <c r="AZ31" s="147"/>
      <c r="BA31" s="147"/>
      <c r="BB31" s="147"/>
      <c r="BC31" s="147"/>
      <c r="BD31" s="147"/>
      <c r="BE31" s="147"/>
      <c r="BF31" s="147"/>
      <c r="BG31" s="147"/>
      <c r="BH31" s="147"/>
      <c r="BI31" s="147"/>
      <c r="BJ31" s="147"/>
      <c r="BK31" s="147"/>
      <c r="BL31" s="147"/>
      <c r="BM31" s="147"/>
      <c r="BN31" s="147"/>
      <c r="BO31" s="147"/>
      <c r="BP31" s="147"/>
      <c r="BQ31" s="147"/>
      <c r="BR31" s="147"/>
      <c r="BS31" s="147"/>
      <c r="BT31" s="147"/>
      <c r="BU31" s="147"/>
      <c r="BV31" s="147"/>
      <c r="BW31" s="147"/>
      <c r="BX31" s="147"/>
      <c r="BY31" s="147"/>
      <c r="BZ31" s="147"/>
      <c r="CA31" s="147"/>
      <c r="CB31" s="147"/>
      <c r="CC31" s="147"/>
      <c r="CD31" s="147"/>
      <c r="CE31" s="147"/>
      <c r="CF31" s="147"/>
      <c r="CG31" s="147"/>
      <c r="CH31" s="147"/>
      <c r="CI31" s="147"/>
      <c r="CJ31" s="147"/>
      <c r="CK31" s="147"/>
      <c r="CL31" s="147"/>
      <c r="CM31" s="147"/>
      <c r="CN31" s="147"/>
      <c r="CO31" s="147"/>
      <c r="CP31" s="147"/>
    </row>
    <row r="32" spans="1:94" s="177" customFormat="1" ht="15" x14ac:dyDescent="0.25">
      <c r="A32" s="185"/>
      <c r="B32" s="185"/>
      <c r="C32" s="244"/>
      <c r="D32" s="242"/>
      <c r="E32" s="173"/>
      <c r="F32" s="174">
        <v>0</v>
      </c>
      <c r="G32" s="175">
        <v>0</v>
      </c>
      <c r="H32" s="176">
        <f t="shared" ref="H32:H35" si="6">IF(AND($F32&lt;&gt;0,$G32&lt;&gt;0,OR($E32=1,$E32=3)),$F32*Health,0)</f>
        <v>0</v>
      </c>
      <c r="I32" s="176">
        <f t="shared" ref="I32:I34" si="7">IF(AND($E32=1,$C32=""),$G32*PermVB+$G32*Retire1,IF($E32=1,$G32*PermVB+$G32*VLOOKUP($C32,Retirement_Rates,3,FALSE),IF($E32=2,$G32*GroupVB,IF(AND($E32=3,$C32=""),$G32*ElectVB+$G32*Retire1,IF($E32=3,$G32*ElectVB+$G32*VLOOKUP($C32,Retirement_Rates,3,FALSE),0)))))</f>
        <v>0</v>
      </c>
      <c r="J32" s="279">
        <f t="shared" si="3"/>
        <v>0</v>
      </c>
      <c r="K32" s="166"/>
      <c r="L32" s="176">
        <f t="shared" ref="L32:L35" si="8">IF(AND($F32&lt;&gt;0,$G32&lt;&gt;0,OR($E32=1,$E32=3)),$F32*HealthCHG,0)</f>
        <v>0</v>
      </c>
      <c r="M32" s="176">
        <f t="shared" ref="M32:M35" si="9">IF(AND($E32=1,$C32=""),$G32*PermVBCHG+$G32*Retire1CHG,IF($E32=1,$G32*PermVBCHG+$G32*VLOOKUP($C32,Retirement_Rates,5,FALSE),IF($E32=2,0,IF(AND($E32=3,$C32=""),$G32*ElectVBCHG+$G32*Retire1CHG,IF($E32=3,$G32*ElectVBCHG+$G32*VLOOKUP($C32,Retirement_Rates,5,FALSE),0)))))</f>
        <v>0</v>
      </c>
      <c r="N32" s="176">
        <f t="shared" ref="N32:N35" si="10">SUM(L32:M32)</f>
        <v>0</v>
      </c>
      <c r="O32"/>
      <c r="P32"/>
      <c r="Q32"/>
      <c r="R32"/>
      <c r="S32"/>
      <c r="T32"/>
      <c r="U32"/>
      <c r="V32"/>
      <c r="W32"/>
      <c r="X32"/>
      <c r="Y32"/>
      <c r="Z32" s="344"/>
      <c r="AA32" s="363"/>
      <c r="AB32" s="363"/>
      <c r="AC32" s="363"/>
      <c r="AD32" s="329"/>
      <c r="AE32" s="147"/>
      <c r="AF32" s="147"/>
      <c r="AG32" s="147"/>
      <c r="AH32" s="147"/>
      <c r="AI32" s="147"/>
      <c r="AJ32" s="147"/>
      <c r="AK32" s="147"/>
      <c r="AL32" s="147"/>
      <c r="AM32" s="147"/>
      <c r="AN32" s="147"/>
      <c r="AO32" s="147"/>
      <c r="AP32" s="147"/>
      <c r="AQ32" s="147"/>
      <c r="AR32" s="147"/>
      <c r="AS32" s="147"/>
      <c r="AT32" s="147"/>
      <c r="AU32" s="147"/>
      <c r="AV32" s="147"/>
      <c r="AW32" s="147"/>
      <c r="AX32" s="147"/>
      <c r="AY32" s="147"/>
      <c r="AZ32" s="147"/>
      <c r="BA32" s="147"/>
      <c r="BB32" s="147"/>
      <c r="BC32" s="147"/>
      <c r="BD32" s="147"/>
      <c r="BE32" s="147"/>
      <c r="BF32" s="147"/>
      <c r="BG32" s="147"/>
      <c r="BH32" s="147"/>
      <c r="BI32" s="147"/>
      <c r="BJ32" s="147"/>
      <c r="BK32" s="147"/>
      <c r="BL32" s="147"/>
      <c r="BM32" s="147"/>
      <c r="BN32" s="147"/>
      <c r="BO32" s="147"/>
      <c r="BP32" s="147"/>
      <c r="BQ32" s="147"/>
      <c r="BR32" s="147"/>
      <c r="BS32" s="147"/>
      <c r="BT32" s="147"/>
      <c r="BU32" s="147"/>
      <c r="BV32" s="147"/>
      <c r="BW32" s="147"/>
      <c r="BX32" s="147"/>
      <c r="BY32" s="147"/>
      <c r="BZ32" s="147"/>
      <c r="CA32" s="147"/>
      <c r="CB32" s="147"/>
      <c r="CC32" s="147"/>
      <c r="CD32" s="147"/>
      <c r="CE32" s="147"/>
      <c r="CF32" s="147"/>
      <c r="CG32" s="147"/>
      <c r="CH32" s="147"/>
      <c r="CI32" s="147"/>
      <c r="CJ32" s="147"/>
      <c r="CK32" s="147"/>
      <c r="CL32" s="147"/>
      <c r="CM32" s="147"/>
      <c r="CN32" s="147"/>
      <c r="CO32" s="147"/>
      <c r="CP32" s="147"/>
    </row>
    <row r="33" spans="1:94" s="177" customFormat="1" ht="15" x14ac:dyDescent="0.25">
      <c r="A33" s="186"/>
      <c r="B33" s="187"/>
      <c r="C33" s="244"/>
      <c r="D33" s="242"/>
      <c r="E33" s="180"/>
      <c r="F33" s="181">
        <v>0</v>
      </c>
      <c r="G33" s="182">
        <v>0</v>
      </c>
      <c r="H33" s="176">
        <f t="shared" si="6"/>
        <v>0</v>
      </c>
      <c r="I33" s="176">
        <f t="shared" si="7"/>
        <v>0</v>
      </c>
      <c r="J33" s="279">
        <f t="shared" si="3"/>
        <v>0</v>
      </c>
      <c r="K33" s="166"/>
      <c r="L33" s="176">
        <f t="shared" si="8"/>
        <v>0</v>
      </c>
      <c r="M33" s="176">
        <f t="shared" si="9"/>
        <v>0</v>
      </c>
      <c r="N33" s="183">
        <f t="shared" si="10"/>
        <v>0</v>
      </c>
      <c r="O33"/>
      <c r="P33"/>
      <c r="Q33"/>
      <c r="R33"/>
      <c r="S33"/>
      <c r="T33"/>
      <c r="U33"/>
      <c r="V33"/>
      <c r="W33"/>
      <c r="X33"/>
      <c r="Y33"/>
      <c r="Z33" s="344"/>
      <c r="AA33" s="363"/>
      <c r="AB33" s="363"/>
      <c r="AC33" s="363"/>
      <c r="AD33" s="329"/>
      <c r="AE33" s="147"/>
      <c r="AF33" s="147"/>
      <c r="AG33" s="147"/>
      <c r="AH33" s="147"/>
      <c r="AI33" s="147"/>
      <c r="AJ33" s="147"/>
      <c r="AK33" s="147"/>
      <c r="AL33" s="147"/>
      <c r="AM33" s="147"/>
      <c r="AN33" s="147"/>
      <c r="AO33" s="147"/>
      <c r="AP33" s="147"/>
      <c r="AQ33" s="147"/>
      <c r="AR33" s="147"/>
      <c r="AS33" s="147"/>
      <c r="AT33" s="147"/>
      <c r="AU33" s="147"/>
      <c r="AV33" s="147"/>
      <c r="AW33" s="147"/>
      <c r="AX33" s="147"/>
      <c r="AY33" s="147"/>
      <c r="AZ33" s="147"/>
      <c r="BA33" s="147"/>
      <c r="BB33" s="147"/>
      <c r="BC33" s="147"/>
      <c r="BD33" s="147"/>
      <c r="BE33" s="147"/>
      <c r="BF33" s="147"/>
      <c r="BG33" s="147"/>
      <c r="BH33" s="147"/>
      <c r="BI33" s="147"/>
      <c r="BJ33" s="147"/>
      <c r="BK33" s="147"/>
      <c r="BL33" s="147"/>
      <c r="BM33" s="147"/>
      <c r="BN33" s="147"/>
      <c r="BO33" s="147"/>
      <c r="BP33" s="147"/>
      <c r="BQ33" s="147"/>
      <c r="BR33" s="147"/>
      <c r="BS33" s="147"/>
      <c r="BT33" s="147"/>
      <c r="BU33" s="147"/>
      <c r="BV33" s="147"/>
      <c r="BW33" s="147"/>
      <c r="BX33" s="147"/>
      <c r="BY33" s="147"/>
      <c r="BZ33" s="147"/>
      <c r="CA33" s="147"/>
      <c r="CB33" s="147"/>
      <c r="CC33" s="147"/>
      <c r="CD33" s="147"/>
      <c r="CE33" s="147"/>
      <c r="CF33" s="147"/>
      <c r="CG33" s="147"/>
      <c r="CH33" s="147"/>
      <c r="CI33" s="147"/>
      <c r="CJ33" s="147"/>
      <c r="CK33" s="147"/>
      <c r="CL33" s="147"/>
      <c r="CM33" s="147"/>
      <c r="CN33" s="147"/>
      <c r="CO33" s="147"/>
      <c r="CP33" s="147"/>
    </row>
    <row r="34" spans="1:94" s="177" customFormat="1" ht="15" x14ac:dyDescent="0.25">
      <c r="A34" s="186"/>
      <c r="B34" s="187"/>
      <c r="C34" s="244"/>
      <c r="D34" s="242"/>
      <c r="E34" s="180"/>
      <c r="F34" s="181">
        <v>0</v>
      </c>
      <c r="G34" s="182">
        <v>0</v>
      </c>
      <c r="H34" s="176">
        <f t="shared" si="6"/>
        <v>0</v>
      </c>
      <c r="I34" s="176">
        <f t="shared" si="7"/>
        <v>0</v>
      </c>
      <c r="J34" s="279">
        <f t="shared" si="3"/>
        <v>0</v>
      </c>
      <c r="K34" s="280"/>
      <c r="L34" s="176">
        <f t="shared" si="8"/>
        <v>0</v>
      </c>
      <c r="M34" s="176">
        <f t="shared" si="9"/>
        <v>0</v>
      </c>
      <c r="N34" s="183">
        <f t="shared" si="10"/>
        <v>0</v>
      </c>
      <c r="O34"/>
      <c r="P34"/>
      <c r="Q34"/>
      <c r="R34"/>
      <c r="S34"/>
      <c r="T34"/>
      <c r="U34"/>
      <c r="V34"/>
      <c r="W34"/>
      <c r="X34"/>
      <c r="Y34"/>
      <c r="Z34" s="344"/>
      <c r="AA34" s="363"/>
      <c r="AB34" s="363"/>
      <c r="AC34" s="363"/>
      <c r="AD34" s="329"/>
      <c r="AE34" s="147"/>
      <c r="AF34" s="147"/>
      <c r="AG34" s="147"/>
      <c r="AH34" s="147"/>
      <c r="AI34" s="147"/>
      <c r="AJ34" s="147"/>
      <c r="AK34" s="147"/>
      <c r="AL34" s="147"/>
      <c r="AM34" s="147"/>
      <c r="AN34" s="147"/>
      <c r="AO34" s="147"/>
      <c r="AP34" s="147"/>
      <c r="AQ34" s="147"/>
      <c r="AR34" s="147"/>
      <c r="AS34" s="147"/>
      <c r="AT34" s="147"/>
      <c r="AU34" s="147"/>
      <c r="AV34" s="147"/>
      <c r="AW34" s="147"/>
      <c r="AX34" s="147"/>
      <c r="AY34" s="147"/>
      <c r="AZ34" s="147"/>
      <c r="BA34" s="147"/>
      <c r="BB34" s="147"/>
      <c r="BC34" s="147"/>
      <c r="BD34" s="147"/>
      <c r="BE34" s="147"/>
      <c r="BF34" s="147"/>
      <c r="BG34" s="147"/>
      <c r="BH34" s="147"/>
      <c r="BI34" s="147"/>
      <c r="BJ34" s="147"/>
      <c r="BK34" s="147"/>
      <c r="BL34" s="147"/>
      <c r="BM34" s="147"/>
      <c r="BN34" s="147"/>
      <c r="BO34" s="147"/>
      <c r="BP34" s="147"/>
      <c r="BQ34" s="147"/>
      <c r="BR34" s="147"/>
      <c r="BS34" s="147"/>
      <c r="BT34" s="147"/>
      <c r="BU34" s="147"/>
      <c r="BV34" s="147"/>
      <c r="BW34" s="147"/>
      <c r="BX34" s="147"/>
      <c r="BY34" s="147"/>
      <c r="BZ34" s="147"/>
      <c r="CA34" s="147"/>
      <c r="CB34" s="147"/>
      <c r="CC34" s="147"/>
      <c r="CD34" s="147"/>
      <c r="CE34" s="147"/>
      <c r="CF34" s="147"/>
      <c r="CG34" s="147"/>
      <c r="CH34" s="147"/>
      <c r="CI34" s="147"/>
      <c r="CJ34" s="147"/>
      <c r="CK34" s="147"/>
      <c r="CL34" s="147"/>
      <c r="CM34" s="147"/>
      <c r="CN34" s="147"/>
      <c r="CO34" s="147"/>
      <c r="CP34" s="147"/>
    </row>
    <row r="35" spans="1:94" s="177" customFormat="1" ht="15" x14ac:dyDescent="0.25">
      <c r="A35" s="186"/>
      <c r="B35" s="187"/>
      <c r="C35" s="244"/>
      <c r="D35" s="242"/>
      <c r="E35" s="180"/>
      <c r="F35" s="181">
        <v>0</v>
      </c>
      <c r="G35" s="182">
        <v>0</v>
      </c>
      <c r="H35" s="176">
        <f t="shared" si="6"/>
        <v>0</v>
      </c>
      <c r="I35" s="176">
        <f>IF(AND($E35=1,$C35=""),$G35*(PermVB+Retire1),IF($E35=1,$G35*PermVB+$G35*VLOOKUP($C35,Retirement_Rates,3,FALSE),IF($E35=2,$G35*GroupVB,IF(AND($E35=3,$C35=""),$G35*ElectVB+$G35*Retire1,IF($E35=3,$G35*ElectVB+$G35*VLOOKUP($C35,Retirement_Rates,3,FALSE),0)))))</f>
        <v>0</v>
      </c>
      <c r="J35" s="279">
        <f t="shared" si="3"/>
        <v>0</v>
      </c>
      <c r="K35" s="309"/>
      <c r="L35" s="176">
        <f t="shared" si="8"/>
        <v>0</v>
      </c>
      <c r="M35" s="176">
        <f t="shared" si="9"/>
        <v>0</v>
      </c>
      <c r="N35" s="183">
        <f t="shared" si="10"/>
        <v>0</v>
      </c>
      <c r="O35"/>
      <c r="P35"/>
      <c r="Q35"/>
      <c r="R35"/>
      <c r="S35"/>
      <c r="T35"/>
      <c r="U35"/>
      <c r="V35"/>
      <c r="W35"/>
      <c r="X35"/>
      <c r="Y35"/>
      <c r="Z35" s="344"/>
      <c r="AA35" s="363"/>
      <c r="AB35" s="363"/>
      <c r="AC35" s="363"/>
      <c r="AD35" s="329"/>
      <c r="AE35" s="147"/>
      <c r="AF35" s="147"/>
      <c r="AG35" s="147"/>
      <c r="AH35" s="147"/>
      <c r="AI35" s="147"/>
      <c r="AJ35" s="147"/>
      <c r="AK35" s="147"/>
      <c r="AL35" s="147"/>
      <c r="AM35" s="147"/>
      <c r="AN35" s="147"/>
      <c r="AO35" s="147"/>
      <c r="AP35" s="147"/>
      <c r="AQ35" s="147"/>
      <c r="AR35" s="147"/>
      <c r="AS35" s="147"/>
      <c r="AT35" s="147"/>
      <c r="AU35" s="147"/>
      <c r="AV35" s="147"/>
      <c r="AW35" s="147"/>
      <c r="AX35" s="147"/>
      <c r="AY35" s="147"/>
      <c r="AZ35" s="147"/>
      <c r="BA35" s="147"/>
      <c r="BB35" s="147"/>
      <c r="BC35" s="147"/>
      <c r="BD35" s="147"/>
      <c r="BE35" s="147"/>
      <c r="BF35" s="147"/>
      <c r="BG35" s="147"/>
      <c r="BH35" s="147"/>
      <c r="BI35" s="147"/>
      <c r="BJ35" s="147"/>
      <c r="BK35" s="147"/>
      <c r="BL35" s="147"/>
      <c r="BM35" s="147"/>
      <c r="BN35" s="147"/>
      <c r="BO35" s="147"/>
      <c r="BP35" s="147"/>
      <c r="BQ35" s="147"/>
      <c r="BR35" s="147"/>
      <c r="BS35" s="147"/>
      <c r="BT35" s="147"/>
      <c r="BU35" s="147"/>
      <c r="BV35" s="147"/>
      <c r="BW35" s="147"/>
      <c r="BX35" s="147"/>
      <c r="BY35" s="147"/>
      <c r="BZ35" s="147"/>
      <c r="CA35" s="147"/>
      <c r="CB35" s="147"/>
      <c r="CC35" s="147"/>
      <c r="CD35" s="147"/>
      <c r="CE35" s="147"/>
      <c r="CF35" s="147"/>
      <c r="CG35" s="147"/>
      <c r="CH35" s="147"/>
      <c r="CI35" s="147"/>
      <c r="CJ35" s="147"/>
      <c r="CK35" s="147"/>
      <c r="CL35" s="147"/>
      <c r="CM35" s="147"/>
      <c r="CN35" s="147"/>
      <c r="CO35" s="147"/>
      <c r="CP35" s="147"/>
    </row>
    <row r="36" spans="1:94" s="213" customFormat="1" ht="15" x14ac:dyDescent="0.25">
      <c r="A36" s="281"/>
      <c r="B36" s="282"/>
      <c r="C36" s="283"/>
      <c r="D36" s="284"/>
      <c r="E36" s="285"/>
      <c r="F36" s="197"/>
      <c r="G36" s="259"/>
      <c r="H36" s="259"/>
      <c r="I36" s="259"/>
      <c r="J36" s="286"/>
      <c r="K36" s="280"/>
      <c r="L36" s="321"/>
      <c r="M36" s="259"/>
      <c r="N36" s="259"/>
      <c r="O36"/>
      <c r="P36"/>
      <c r="Q36"/>
      <c r="R36"/>
      <c r="S36"/>
      <c r="T36"/>
      <c r="U36"/>
      <c r="V36"/>
      <c r="W36"/>
      <c r="X36"/>
      <c r="Y36"/>
      <c r="Z36" s="344"/>
      <c r="AA36" s="363" t="s">
        <v>94</v>
      </c>
      <c r="AB36" s="333" t="s">
        <v>95</v>
      </c>
      <c r="AC36" s="333" t="s">
        <v>106</v>
      </c>
      <c r="AD36" s="330"/>
    </row>
    <row r="37" spans="1:94" s="153" customFormat="1" ht="17.25" customHeight="1" x14ac:dyDescent="0.25">
      <c r="A37" s="139"/>
      <c r="B37" s="188"/>
      <c r="C37" s="459" t="s">
        <v>37</v>
      </c>
      <c r="D37" s="460"/>
      <c r="E37" s="150"/>
      <c r="F37" s="165"/>
      <c r="G37" s="166"/>
      <c r="H37" s="166"/>
      <c r="I37" s="166"/>
      <c r="J37" s="322"/>
      <c r="K37" s="166"/>
      <c r="L37" s="166"/>
      <c r="M37" s="166"/>
      <c r="N37" s="166"/>
      <c r="O37"/>
      <c r="P37"/>
      <c r="Q37"/>
      <c r="R37"/>
      <c r="S37"/>
      <c r="T37"/>
      <c r="U37"/>
      <c r="V37"/>
      <c r="W37"/>
      <c r="X37"/>
      <c r="Y37"/>
      <c r="Z37" s="344"/>
      <c r="AA37" s="461" t="s">
        <v>107</v>
      </c>
      <c r="AB37" s="462"/>
      <c r="AC37" s="462"/>
      <c r="AD37" s="329"/>
      <c r="AE37" s="147"/>
      <c r="AF37" s="147"/>
      <c r="AG37" s="147"/>
      <c r="AH37" s="147"/>
      <c r="AI37" s="147"/>
      <c r="AJ37" s="147"/>
      <c r="AK37" s="147"/>
      <c r="AL37" s="147"/>
      <c r="AM37" s="147"/>
      <c r="AN37" s="147"/>
      <c r="AO37" s="147"/>
      <c r="AP37" s="147"/>
      <c r="AQ37" s="147"/>
      <c r="AR37" s="147"/>
      <c r="AS37" s="147"/>
      <c r="AT37" s="147"/>
      <c r="AU37" s="147"/>
      <c r="AV37" s="147"/>
      <c r="AW37" s="147"/>
      <c r="AX37" s="147"/>
      <c r="AY37" s="147"/>
      <c r="AZ37" s="147"/>
      <c r="BA37" s="147"/>
      <c r="BB37" s="147"/>
      <c r="BC37" s="147"/>
      <c r="BD37" s="147"/>
      <c r="BE37" s="147"/>
      <c r="BF37" s="147"/>
      <c r="BG37" s="147"/>
      <c r="BH37" s="147"/>
      <c r="BI37" s="147"/>
      <c r="BJ37" s="147"/>
      <c r="BK37" s="147"/>
      <c r="BL37" s="147"/>
      <c r="BM37" s="147"/>
      <c r="BN37" s="147"/>
      <c r="BO37" s="147"/>
      <c r="BP37" s="147"/>
      <c r="BQ37" s="147"/>
      <c r="BR37" s="147"/>
      <c r="BS37" s="147"/>
      <c r="BT37" s="147"/>
      <c r="BU37" s="147"/>
      <c r="BV37" s="147"/>
      <c r="BW37" s="147"/>
      <c r="BX37" s="147"/>
      <c r="BY37" s="147"/>
      <c r="BZ37" s="147"/>
      <c r="CA37" s="147"/>
      <c r="CB37" s="147"/>
      <c r="CC37" s="147"/>
      <c r="CD37" s="147"/>
      <c r="CE37" s="147"/>
      <c r="CF37" s="147"/>
      <c r="CG37" s="147"/>
      <c r="CH37" s="147"/>
      <c r="CI37" s="147"/>
      <c r="CJ37" s="147"/>
      <c r="CK37" s="147"/>
      <c r="CL37" s="147"/>
      <c r="CM37" s="147"/>
      <c r="CN37" s="147"/>
      <c r="CO37" s="147"/>
      <c r="CP37" s="147"/>
    </row>
    <row r="38" spans="1:94" s="153" customFormat="1" ht="15" x14ac:dyDescent="0.25">
      <c r="A38" s="139"/>
      <c r="B38" s="188"/>
      <c r="C38" s="443" t="str">
        <f>perm_name</f>
        <v>Permanent Positions</v>
      </c>
      <c r="D38" s="444"/>
      <c r="E38" s="189">
        <v>1</v>
      </c>
      <c r="F38" s="190">
        <f>SUMIF($E9:$E35,$E38,$F9:$F35)</f>
        <v>0.28999999999999998</v>
      </c>
      <c r="G38" s="191">
        <f>SUMIF($E10:$E35,$E38,$G10:$G35)</f>
        <v>8716.24</v>
      </c>
      <c r="H38" s="192">
        <f>SUMIF($E10:$E35,$E38,$H10:$H35)</f>
        <v>3378.4999999999995</v>
      </c>
      <c r="I38" s="192">
        <f>SUMIF($E10:$E35,$E38,$I10:$I35)</f>
        <v>1860.6557528000001</v>
      </c>
      <c r="J38" s="192">
        <f>SUM(G38:I38)</f>
        <v>13955.395752799999</v>
      </c>
      <c r="K38" s="166"/>
      <c r="L38" s="191">
        <f>SUMIF($E10:$E35,$E38,$L10:$L35)</f>
        <v>0</v>
      </c>
      <c r="M38" s="192">
        <f>SUMIF($E10:$E35,$E38,$M10:$M35)</f>
        <v>-41.837951999999994</v>
      </c>
      <c r="N38" s="192">
        <f>SUM(L38:M38)</f>
        <v>-41.837951999999994</v>
      </c>
      <c r="O38"/>
      <c r="P38"/>
      <c r="Q38"/>
      <c r="R38"/>
      <c r="S38"/>
      <c r="T38"/>
      <c r="U38"/>
      <c r="V38"/>
      <c r="W38"/>
      <c r="X38"/>
      <c r="Y38"/>
      <c r="Z38" s="344"/>
      <c r="AA38" s="338">
        <f>ROUND(AdjPermSalary*CECPerm,-2)</f>
        <v>100</v>
      </c>
      <c r="AB38" s="338">
        <f>ROUND((AdjPermVB*CECPerm+AdjPermVBBY*CECPerm),-2)</f>
        <v>0</v>
      </c>
      <c r="AC38" s="338">
        <f>SUM(AA38:AB38)</f>
        <v>100</v>
      </c>
      <c r="AD38" s="329"/>
      <c r="AE38" s="147"/>
      <c r="AF38" s="147"/>
      <c r="AG38" s="147"/>
      <c r="AH38" s="147"/>
      <c r="AI38" s="147"/>
      <c r="AJ38" s="147"/>
      <c r="AK38" s="147"/>
      <c r="AL38" s="147"/>
      <c r="AM38" s="147"/>
      <c r="AN38" s="147"/>
      <c r="AO38" s="147"/>
      <c r="AP38" s="147"/>
      <c r="AQ38" s="147"/>
      <c r="AR38" s="147"/>
      <c r="AS38" s="147"/>
      <c r="AT38" s="147"/>
      <c r="AU38" s="147"/>
      <c r="AV38" s="147"/>
      <c r="AW38" s="147"/>
      <c r="AX38" s="147"/>
      <c r="AY38" s="147"/>
      <c r="AZ38" s="147"/>
      <c r="BA38" s="147"/>
      <c r="BB38" s="147"/>
      <c r="BC38" s="147"/>
      <c r="BD38" s="147"/>
      <c r="BE38" s="147"/>
      <c r="BF38" s="147"/>
      <c r="BG38" s="147"/>
      <c r="BH38" s="147"/>
      <c r="BI38" s="147"/>
      <c r="BJ38" s="147"/>
      <c r="BK38" s="147"/>
      <c r="BL38" s="147"/>
      <c r="BM38" s="147"/>
      <c r="BN38" s="147"/>
      <c r="BO38" s="147"/>
      <c r="BP38" s="147"/>
      <c r="BQ38" s="147"/>
      <c r="BR38" s="147"/>
      <c r="BS38" s="147"/>
      <c r="BT38" s="147"/>
      <c r="BU38" s="147"/>
      <c r="BV38" s="147"/>
      <c r="BW38" s="147"/>
      <c r="BX38" s="147"/>
      <c r="BY38" s="147"/>
      <c r="BZ38" s="147"/>
      <c r="CA38" s="147"/>
      <c r="CB38" s="147"/>
      <c r="CC38" s="147"/>
      <c r="CD38" s="147"/>
      <c r="CE38" s="147"/>
      <c r="CF38" s="147"/>
      <c r="CG38" s="147"/>
      <c r="CH38" s="147"/>
      <c r="CI38" s="147"/>
      <c r="CJ38" s="147"/>
      <c r="CK38" s="147"/>
      <c r="CL38" s="147"/>
      <c r="CM38" s="147"/>
      <c r="CN38" s="147"/>
      <c r="CO38" s="147"/>
      <c r="CP38" s="147"/>
    </row>
    <row r="39" spans="1:94" s="153" customFormat="1" ht="15" x14ac:dyDescent="0.25">
      <c r="A39" s="139"/>
      <c r="B39" s="188"/>
      <c r="C39" s="443" t="str">
        <f>Group_name</f>
        <v>Board &amp; Group Positions</v>
      </c>
      <c r="D39" s="444"/>
      <c r="E39" s="189">
        <v>2</v>
      </c>
      <c r="F39" s="151">
        <f>SUMIF($E9:$E35,$E39,$F9:$F35)</f>
        <v>0</v>
      </c>
      <c r="G39" s="193">
        <f>SUMIF($E10:$E35,$E39,$G10:$G35)</f>
        <v>0</v>
      </c>
      <c r="H39" s="152">
        <f>SUMIF($E10:$E35,$E39,$H10:$H35)</f>
        <v>0</v>
      </c>
      <c r="I39" s="152">
        <f>SUMIF($E10:$E35,$E39,$I10:$I35)</f>
        <v>0</v>
      </c>
      <c r="J39" s="152">
        <f>SUM(G39:I39)</f>
        <v>0</v>
      </c>
      <c r="K39" s="259"/>
      <c r="L39" s="193">
        <f>SUMIF($E10:$E35,$E39,$L10:$L35)</f>
        <v>0</v>
      </c>
      <c r="M39" s="152">
        <f>SUMIF($E11:$E37,$E39,$M11:$M37)</f>
        <v>0</v>
      </c>
      <c r="N39" s="152">
        <f>SUM(L39:M39)</f>
        <v>0</v>
      </c>
      <c r="O39"/>
      <c r="P39"/>
      <c r="Q39"/>
      <c r="R39"/>
      <c r="S39"/>
      <c r="T39"/>
      <c r="U39"/>
      <c r="V39"/>
      <c r="W39"/>
      <c r="X39"/>
      <c r="Y39"/>
      <c r="Z39" s="344"/>
      <c r="AA39" s="338">
        <f>ROUND(AdjGroupSalary*CECGroup,-2)</f>
        <v>0</v>
      </c>
      <c r="AB39" s="338">
        <f>ROUND(AdjGroupVB*CECGroup,-2)</f>
        <v>0</v>
      </c>
      <c r="AC39" s="338">
        <f>SUM(AA39:AB39)</f>
        <v>0</v>
      </c>
      <c r="AD39" s="329"/>
      <c r="AE39" s="147"/>
      <c r="AF39" s="147"/>
      <c r="AG39" s="147"/>
      <c r="AH39" s="147"/>
      <c r="AI39" s="147"/>
      <c r="AJ39" s="147"/>
      <c r="AK39" s="147"/>
      <c r="AL39" s="147"/>
      <c r="AM39" s="147"/>
      <c r="AN39" s="147"/>
      <c r="AO39" s="147"/>
      <c r="AP39" s="147"/>
      <c r="AQ39" s="147"/>
      <c r="AR39" s="147"/>
      <c r="AS39" s="147"/>
      <c r="AT39" s="147"/>
      <c r="AU39" s="147"/>
      <c r="AV39" s="147"/>
      <c r="AW39" s="147"/>
      <c r="AX39" s="147"/>
      <c r="AY39" s="147"/>
      <c r="AZ39" s="147"/>
      <c r="BA39" s="147"/>
      <c r="BB39" s="147"/>
      <c r="BC39" s="147"/>
      <c r="BD39" s="147"/>
      <c r="BE39" s="147"/>
      <c r="BF39" s="147"/>
      <c r="BG39" s="147"/>
      <c r="BH39" s="147"/>
      <c r="BI39" s="147"/>
      <c r="BJ39" s="147"/>
      <c r="BK39" s="147"/>
      <c r="BL39" s="147"/>
      <c r="BM39" s="147"/>
      <c r="BN39" s="147"/>
      <c r="BO39" s="147"/>
      <c r="BP39" s="147"/>
      <c r="BQ39" s="147"/>
      <c r="BR39" s="147"/>
      <c r="BS39" s="147"/>
      <c r="BT39" s="147"/>
      <c r="BU39" s="147"/>
      <c r="BV39" s="147"/>
      <c r="BW39" s="147"/>
      <c r="BX39" s="147"/>
      <c r="BY39" s="147"/>
      <c r="BZ39" s="147"/>
      <c r="CA39" s="147"/>
      <c r="CB39" s="147"/>
      <c r="CC39" s="147"/>
      <c r="CD39" s="147"/>
      <c r="CE39" s="147"/>
      <c r="CF39" s="147"/>
      <c r="CG39" s="147"/>
      <c r="CH39" s="147"/>
      <c r="CI39" s="147"/>
      <c r="CJ39" s="147"/>
      <c r="CK39" s="147"/>
      <c r="CL39" s="147"/>
      <c r="CM39" s="147"/>
      <c r="CN39" s="147"/>
      <c r="CO39" s="147"/>
      <c r="CP39" s="147"/>
    </row>
    <row r="40" spans="1:94" s="153" customFormat="1" ht="15" x14ac:dyDescent="0.25">
      <c r="A40" s="139"/>
      <c r="B40" s="188"/>
      <c r="C40" s="364" t="str">
        <f>Elect_name</f>
        <v>Elected Officials &amp; Full Time Commissioners</v>
      </c>
      <c r="D40" s="365"/>
      <c r="E40" s="189">
        <v>3</v>
      </c>
      <c r="F40" s="151">
        <f>SUMIF($E9:$E35,$E40,$F9:$F35)</f>
        <v>0</v>
      </c>
      <c r="G40" s="193">
        <f>SUMIF($E10:$E35,$E40,$G10:$G35)</f>
        <v>0</v>
      </c>
      <c r="H40" s="152">
        <f>SUMIF($E10:$E35,$E40,$H10:$H35)</f>
        <v>0</v>
      </c>
      <c r="I40" s="152">
        <f>SUMIF($E10:$E35,$E40,$I10:$I35)</f>
        <v>0</v>
      </c>
      <c r="J40" s="152">
        <f>SUM(G40:I40)</f>
        <v>0</v>
      </c>
      <c r="K40" s="259"/>
      <c r="L40" s="193">
        <f>SUMIF($E10:$E35,$E40,$L10:$L35)</f>
        <v>0</v>
      </c>
      <c r="M40" s="152">
        <f>SUMIF($E10:$E35,$E40,$M10:$M35)</f>
        <v>0</v>
      </c>
      <c r="N40" s="152">
        <f>SUM(L40:M40)</f>
        <v>0</v>
      </c>
      <c r="O40"/>
      <c r="P40"/>
      <c r="Q40"/>
      <c r="R40"/>
      <c r="S40"/>
      <c r="T40"/>
      <c r="U40"/>
      <c r="V40"/>
      <c r="W40"/>
      <c r="X40"/>
      <c r="Y40"/>
      <c r="Z40" s="344"/>
      <c r="AA40" s="363"/>
      <c r="AB40" s="363"/>
      <c r="AC40" s="363"/>
      <c r="AD40" s="329"/>
      <c r="AE40" s="147"/>
      <c r="AF40" s="147"/>
      <c r="AG40" s="147"/>
      <c r="AH40" s="147"/>
      <c r="AI40" s="147"/>
      <c r="AJ40" s="147"/>
      <c r="AK40" s="147"/>
      <c r="AL40" s="147"/>
      <c r="AM40" s="147"/>
      <c r="AN40" s="147"/>
      <c r="AO40" s="147"/>
      <c r="AP40" s="147"/>
      <c r="AQ40" s="147"/>
      <c r="AR40" s="147"/>
      <c r="AS40" s="147"/>
      <c r="AT40" s="147"/>
      <c r="AU40" s="147"/>
      <c r="AV40" s="147"/>
      <c r="AW40" s="147"/>
      <c r="AX40" s="147"/>
      <c r="AY40" s="147"/>
      <c r="AZ40" s="147"/>
      <c r="BA40" s="147"/>
      <c r="BB40" s="147"/>
      <c r="BC40" s="147"/>
      <c r="BD40" s="147"/>
      <c r="BE40" s="147"/>
      <c r="BF40" s="147"/>
      <c r="BG40" s="147"/>
      <c r="BH40" s="147"/>
      <c r="BI40" s="147"/>
      <c r="BJ40" s="147"/>
      <c r="BK40" s="147"/>
      <c r="BL40" s="147"/>
      <c r="BM40" s="147"/>
      <c r="BN40" s="147"/>
      <c r="BO40" s="147"/>
      <c r="BP40" s="147"/>
      <c r="BQ40" s="147"/>
      <c r="BR40" s="147"/>
      <c r="BS40" s="147"/>
      <c r="BT40" s="147"/>
      <c r="BU40" s="147"/>
      <c r="BV40" s="147"/>
      <c r="BW40" s="147"/>
      <c r="BX40" s="147"/>
      <c r="BY40" s="147"/>
      <c r="BZ40" s="147"/>
      <c r="CA40" s="147"/>
      <c r="CB40" s="147"/>
      <c r="CC40" s="147"/>
      <c r="CD40" s="147"/>
      <c r="CE40" s="147"/>
      <c r="CF40" s="147"/>
      <c r="CG40" s="147"/>
      <c r="CH40" s="147"/>
      <c r="CI40" s="147"/>
      <c r="CJ40" s="147"/>
      <c r="CK40" s="147"/>
      <c r="CL40" s="147"/>
      <c r="CM40" s="147"/>
      <c r="CN40" s="147"/>
      <c r="CO40" s="147"/>
      <c r="CP40" s="147"/>
    </row>
    <row r="41" spans="1:94" s="153" customFormat="1" ht="15" x14ac:dyDescent="0.25">
      <c r="A41" s="139"/>
      <c r="B41" s="188"/>
      <c r="C41" s="443" t="s">
        <v>38</v>
      </c>
      <c r="D41" s="444"/>
      <c r="E41" s="189"/>
      <c r="F41" s="161">
        <f>SUM(F38:F40)</f>
        <v>0.28999999999999998</v>
      </c>
      <c r="G41" s="195">
        <f>SUM($G$38:$G$40)</f>
        <v>8716.24</v>
      </c>
      <c r="H41" s="162">
        <f>SUM($H$38:$H$40)</f>
        <v>3378.4999999999995</v>
      </c>
      <c r="I41" s="162">
        <f>SUM($I$38:$I$40)</f>
        <v>1860.6557528000001</v>
      </c>
      <c r="J41" s="162">
        <f>SUM($J$38:$J$40)</f>
        <v>13955.395752799999</v>
      </c>
      <c r="K41" s="259"/>
      <c r="L41" s="195">
        <f>SUM($L$38:$L$40)</f>
        <v>0</v>
      </c>
      <c r="M41" s="162">
        <f>SUM($M$38:$M$40)</f>
        <v>-41.837951999999994</v>
      </c>
      <c r="N41" s="162">
        <f>SUM(L41:M41)</f>
        <v>-41.837951999999994</v>
      </c>
      <c r="O41"/>
      <c r="P41"/>
      <c r="Q41"/>
      <c r="R41"/>
      <c r="S41"/>
      <c r="T41"/>
      <c r="U41"/>
      <c r="V41"/>
      <c r="W41"/>
      <c r="X41"/>
      <c r="Y41"/>
      <c r="Z41" s="344"/>
      <c r="AA41" s="363" t="s">
        <v>94</v>
      </c>
      <c r="AB41" s="333" t="s">
        <v>95</v>
      </c>
      <c r="AC41" s="333" t="s">
        <v>106</v>
      </c>
      <c r="AD41" s="329"/>
      <c r="AE41" s="147"/>
      <c r="AF41" s="147"/>
      <c r="AG41" s="147"/>
      <c r="AH41" s="147"/>
      <c r="AI41" s="147"/>
      <c r="AJ41" s="147"/>
      <c r="AK41" s="147"/>
      <c r="AL41" s="147"/>
      <c r="AM41" s="147"/>
      <c r="AN41" s="147"/>
      <c r="AO41" s="147"/>
      <c r="AP41" s="147"/>
      <c r="AQ41" s="147"/>
      <c r="AR41" s="147"/>
      <c r="AS41" s="147"/>
      <c r="AT41" s="147"/>
      <c r="AU41" s="147"/>
      <c r="AV41" s="147"/>
      <c r="AW41" s="147"/>
      <c r="AX41" s="147"/>
      <c r="AY41" s="147"/>
      <c r="AZ41" s="147"/>
      <c r="BA41" s="147"/>
      <c r="BB41" s="147"/>
      <c r="BC41" s="147"/>
      <c r="BD41" s="147"/>
      <c r="BE41" s="147"/>
      <c r="BF41" s="147"/>
      <c r="BG41" s="147"/>
      <c r="BH41" s="147"/>
      <c r="BI41" s="147"/>
      <c r="BJ41" s="147"/>
      <c r="BK41" s="147"/>
      <c r="BL41" s="147"/>
      <c r="BM41" s="147"/>
      <c r="BN41" s="147"/>
      <c r="BO41" s="147"/>
      <c r="BP41" s="147"/>
      <c r="BQ41" s="147"/>
      <c r="BR41" s="147"/>
      <c r="BS41" s="147"/>
      <c r="BT41" s="147"/>
      <c r="BU41" s="147"/>
      <c r="BV41" s="147"/>
      <c r="BW41" s="147"/>
      <c r="BX41" s="147"/>
      <c r="BY41" s="147"/>
      <c r="BZ41" s="147"/>
      <c r="CA41" s="147"/>
      <c r="CB41" s="147"/>
      <c r="CC41" s="147"/>
      <c r="CD41" s="147"/>
      <c r="CE41" s="147"/>
      <c r="CF41" s="147"/>
      <c r="CG41" s="147"/>
      <c r="CH41" s="147"/>
      <c r="CI41" s="147"/>
      <c r="CJ41" s="147"/>
      <c r="CK41" s="147"/>
      <c r="CL41" s="147"/>
      <c r="CM41" s="147"/>
      <c r="CN41" s="147"/>
      <c r="CO41" s="147"/>
      <c r="CP41" s="147"/>
    </row>
    <row r="42" spans="1:94" s="153" customFormat="1" ht="4.5" customHeight="1" x14ac:dyDescent="0.25">
      <c r="A42" s="139"/>
      <c r="B42" s="188"/>
      <c r="C42" s="445"/>
      <c r="D42" s="446"/>
      <c r="E42" s="196"/>
      <c r="F42" s="197"/>
      <c r="G42" s="198"/>
      <c r="H42" s="199"/>
      <c r="I42" s="199"/>
      <c r="J42" s="324"/>
      <c r="K42" s="200"/>
      <c r="L42" s="323"/>
      <c r="M42" s="323"/>
      <c r="N42" s="201"/>
      <c r="O42"/>
      <c r="P42"/>
      <c r="Q42"/>
      <c r="R42"/>
      <c r="S42"/>
      <c r="T42"/>
      <c r="U42"/>
      <c r="V42"/>
      <c r="W42"/>
      <c r="X42"/>
      <c r="Y42"/>
      <c r="Z42" s="344"/>
      <c r="AA42" s="363"/>
      <c r="AB42" s="363"/>
      <c r="AC42" s="363"/>
      <c r="AD42" s="329"/>
      <c r="AE42" s="147"/>
      <c r="AF42" s="147"/>
      <c r="AG42" s="147"/>
      <c r="AH42" s="147"/>
      <c r="AI42" s="147"/>
      <c r="AJ42" s="147"/>
      <c r="AK42" s="147"/>
      <c r="AL42" s="147"/>
      <c r="AM42" s="147"/>
      <c r="AN42" s="147"/>
      <c r="AO42" s="147"/>
      <c r="AP42" s="147"/>
      <c r="AQ42" s="147"/>
      <c r="AR42" s="147"/>
      <c r="AS42" s="147"/>
      <c r="AT42" s="147"/>
      <c r="AU42" s="147"/>
      <c r="AV42" s="147"/>
      <c r="AW42" s="147"/>
      <c r="AX42" s="147"/>
      <c r="AY42" s="147"/>
      <c r="AZ42" s="147"/>
      <c r="BA42" s="147"/>
      <c r="BB42" s="147"/>
      <c r="BC42" s="147"/>
      <c r="BD42" s="147"/>
      <c r="BE42" s="147"/>
      <c r="BF42" s="147"/>
      <c r="BG42" s="147"/>
      <c r="BH42" s="147"/>
      <c r="BI42" s="147"/>
      <c r="BJ42" s="147"/>
      <c r="BK42" s="147"/>
      <c r="BL42" s="147"/>
      <c r="BM42" s="147"/>
      <c r="BN42" s="147"/>
      <c r="BO42" s="147"/>
      <c r="BP42" s="147"/>
      <c r="BQ42" s="147"/>
      <c r="BR42" s="147"/>
      <c r="BS42" s="147"/>
      <c r="BT42" s="147"/>
      <c r="BU42" s="147"/>
      <c r="BV42" s="147"/>
      <c r="BW42" s="147"/>
      <c r="BX42" s="147"/>
      <c r="BY42" s="147"/>
      <c r="BZ42" s="147"/>
      <c r="CA42" s="147"/>
      <c r="CB42" s="147"/>
      <c r="CC42" s="147"/>
      <c r="CD42" s="147"/>
      <c r="CE42" s="147"/>
      <c r="CF42" s="147"/>
      <c r="CG42" s="147"/>
      <c r="CH42" s="147"/>
      <c r="CI42" s="147"/>
      <c r="CJ42" s="147"/>
      <c r="CK42" s="147"/>
      <c r="CL42" s="147"/>
      <c r="CM42" s="147"/>
      <c r="CN42" s="147"/>
      <c r="CO42" s="147"/>
      <c r="CP42" s="147"/>
    </row>
    <row r="43" spans="1:94" s="153" customFormat="1" ht="15.75" customHeight="1" x14ac:dyDescent="0.25">
      <c r="A43" s="139"/>
      <c r="B43" s="202"/>
      <c r="C43" s="447" t="s">
        <v>39</v>
      </c>
      <c r="D43" s="448"/>
      <c r="E43" s="203" t="s">
        <v>40</v>
      </c>
      <c r="F43" s="205">
        <f>ROUND(F51-F41,2)</f>
        <v>0.01</v>
      </c>
      <c r="G43" s="206">
        <f>ROUND(G51-G41,-2)</f>
        <v>47700</v>
      </c>
      <c r="H43" s="159">
        <f>ROUND(H51-H41,-2)</f>
        <v>18500</v>
      </c>
      <c r="I43" s="159">
        <f>ROUND(I51-I41,-2)</f>
        <v>10200</v>
      </c>
      <c r="J43" s="159">
        <f>SUM(G43:I43)</f>
        <v>76400</v>
      </c>
      <c r="K43" s="424" t="str">
        <f>IF(E51=0,"ERROR! Enter Original Appropriation amount in DU 3.00!","Calculated "&amp;IF(J43&gt;0,"overfunding ","underfunding ")&amp;"is "&amp;TEXT(J43/J51,"#.0%;(#.0% );0% ;")&amp;" of Original Appropriation")</f>
        <v>Calculated overfunding is 84.5% of Original Appropriation</v>
      </c>
      <c r="L43" s="425"/>
      <c r="M43" s="425"/>
      <c r="N43" s="426"/>
      <c r="O43"/>
      <c r="P43"/>
      <c r="Q43"/>
      <c r="R43"/>
      <c r="S43"/>
      <c r="T43"/>
      <c r="U43"/>
      <c r="V43"/>
      <c r="W43"/>
      <c r="X43"/>
      <c r="Y43"/>
      <c r="Z43" s="344"/>
      <c r="AA43" s="451" t="s">
        <v>108</v>
      </c>
      <c r="AB43" s="452"/>
      <c r="AC43" s="452"/>
      <c r="AD43" s="329"/>
      <c r="AE43" s="147"/>
      <c r="AF43" s="147"/>
      <c r="AG43" s="147"/>
      <c r="AH43" s="147"/>
      <c r="AI43" s="147"/>
      <c r="AJ43" s="147"/>
      <c r="AK43" s="147"/>
      <c r="AL43" s="147"/>
      <c r="AM43" s="147"/>
      <c r="AN43" s="147"/>
      <c r="AO43" s="147"/>
      <c r="AP43" s="147"/>
      <c r="AQ43" s="147"/>
      <c r="AR43" s="147"/>
      <c r="AS43" s="147"/>
      <c r="AT43" s="147"/>
      <c r="AU43" s="147"/>
      <c r="AV43" s="147"/>
      <c r="AW43" s="147"/>
      <c r="AX43" s="147"/>
      <c r="AY43" s="147"/>
      <c r="AZ43" s="147"/>
      <c r="BA43" s="147"/>
      <c r="BB43" s="147"/>
      <c r="BC43" s="147"/>
      <c r="BD43" s="147"/>
      <c r="BE43" s="147"/>
      <c r="BF43" s="147"/>
      <c r="BG43" s="147"/>
      <c r="BH43" s="147"/>
      <c r="BI43" s="147"/>
      <c r="BJ43" s="147"/>
      <c r="BK43" s="147"/>
      <c r="BL43" s="147"/>
      <c r="BM43" s="147"/>
      <c r="BN43" s="147"/>
      <c r="BO43" s="147"/>
      <c r="BP43" s="147"/>
      <c r="BQ43" s="147"/>
      <c r="BR43" s="147"/>
      <c r="BS43" s="147"/>
      <c r="BT43" s="147"/>
      <c r="BU43" s="147"/>
      <c r="BV43" s="147"/>
      <c r="BW43" s="147"/>
      <c r="BX43" s="147"/>
      <c r="BY43" s="147"/>
      <c r="BZ43" s="147"/>
      <c r="CA43" s="147"/>
      <c r="CB43" s="147"/>
      <c r="CC43" s="147"/>
      <c r="CD43" s="147"/>
      <c r="CE43" s="147"/>
      <c r="CF43" s="147"/>
      <c r="CG43" s="147"/>
      <c r="CH43" s="147"/>
      <c r="CI43" s="147"/>
      <c r="CJ43" s="147"/>
      <c r="CK43" s="147"/>
      <c r="CL43" s="147"/>
      <c r="CM43" s="147"/>
      <c r="CN43" s="147"/>
      <c r="CO43" s="147"/>
      <c r="CP43" s="147"/>
    </row>
    <row r="44" spans="1:94" s="153" customFormat="1" ht="15.75" customHeight="1" x14ac:dyDescent="0.25">
      <c r="A44" s="139"/>
      <c r="B44" s="202"/>
      <c r="C44" s="449"/>
      <c r="D44" s="450"/>
      <c r="E44" s="204" t="s">
        <v>41</v>
      </c>
      <c r="F44" s="205">
        <f>ROUND(F60-F41,2)</f>
        <v>0.01</v>
      </c>
      <c r="G44" s="206">
        <f>ROUND(G60-G41,-2)</f>
        <v>47800</v>
      </c>
      <c r="H44" s="159">
        <f>ROUND(H60-H41,-2)</f>
        <v>18500</v>
      </c>
      <c r="I44" s="159">
        <f>ROUND(I60-I41,-2)</f>
        <v>10200</v>
      </c>
      <c r="J44" s="159">
        <f>SUM(G44:I44)</f>
        <v>76500</v>
      </c>
      <c r="K44" s="424" t="str">
        <f>IF(E51=0,"ERROR! Enter Original Appropriation amount in DU 3.00!","Calculated "&amp;IF(J44&gt;0,"overfunding ","underfunding ")&amp;"is "&amp;TEXT(J44/J60,"#.0%;(#.0% );0% ;")&amp;" of Estimated Expenditures")</f>
        <v>Calculated overfunding is 84.6% of Estimated Expenditures</v>
      </c>
      <c r="L44" s="425"/>
      <c r="M44" s="425"/>
      <c r="N44" s="426"/>
      <c r="O44"/>
      <c r="P44"/>
      <c r="Q44"/>
      <c r="R44"/>
      <c r="S44"/>
      <c r="T44"/>
      <c r="U44"/>
      <c r="V44"/>
      <c r="W44"/>
      <c r="X44"/>
      <c r="Y44"/>
      <c r="Z44" s="344"/>
      <c r="AA44" s="338">
        <f>NEW_AdjPermSalary-NEW_PermSalaryFilled</f>
        <v>0</v>
      </c>
      <c r="AB44" s="338">
        <f>NEW_AdjPermVB-NEW_PermVBFilled</f>
        <v>0</v>
      </c>
      <c r="AC44" s="338">
        <f>SUM(AA44:AB44)</f>
        <v>0</v>
      </c>
      <c r="AD44" s="329"/>
      <c r="AE44" s="147"/>
      <c r="AF44" s="147"/>
      <c r="AG44" s="147"/>
      <c r="AH44" s="147"/>
      <c r="AI44" s="147"/>
      <c r="AJ44" s="147"/>
      <c r="AK44" s="147"/>
      <c r="AL44" s="147"/>
      <c r="AM44" s="147"/>
      <c r="AN44" s="147"/>
      <c r="AO44" s="147"/>
      <c r="AP44" s="147"/>
      <c r="AQ44" s="147"/>
      <c r="AR44" s="147"/>
      <c r="AS44" s="147"/>
      <c r="AT44" s="147"/>
      <c r="AU44" s="147"/>
      <c r="AV44" s="147"/>
      <c r="AW44" s="147"/>
      <c r="AX44" s="147"/>
      <c r="AY44" s="147"/>
      <c r="AZ44" s="147"/>
      <c r="BA44" s="147"/>
      <c r="BB44" s="147"/>
      <c r="BC44" s="147"/>
      <c r="BD44" s="147"/>
      <c r="BE44" s="147"/>
      <c r="BF44" s="147"/>
      <c r="BG44" s="147"/>
      <c r="BH44" s="147"/>
      <c r="BI44" s="147"/>
      <c r="BJ44" s="147"/>
      <c r="BK44" s="147"/>
      <c r="BL44" s="147"/>
      <c r="BM44" s="147"/>
      <c r="BN44" s="147"/>
      <c r="BO44" s="147"/>
      <c r="BP44" s="147"/>
      <c r="BQ44" s="147"/>
      <c r="BR44" s="147"/>
      <c r="BS44" s="147"/>
      <c r="BT44" s="147"/>
      <c r="BU44" s="147"/>
      <c r="BV44" s="147"/>
      <c r="BW44" s="147"/>
      <c r="BX44" s="147"/>
      <c r="BY44" s="147"/>
      <c r="BZ44" s="147"/>
      <c r="CA44" s="147"/>
      <c r="CB44" s="147"/>
      <c r="CC44" s="147"/>
      <c r="CD44" s="147"/>
      <c r="CE44" s="147"/>
      <c r="CF44" s="147"/>
      <c r="CG44" s="147"/>
      <c r="CH44" s="147"/>
      <c r="CI44" s="147"/>
      <c r="CJ44" s="147"/>
      <c r="CK44" s="147"/>
      <c r="CL44" s="147"/>
      <c r="CM44" s="147"/>
      <c r="CN44" s="147"/>
      <c r="CO44" s="147"/>
      <c r="CP44" s="147"/>
    </row>
    <row r="45" spans="1:94" s="153" customFormat="1" ht="15.75" customHeight="1" x14ac:dyDescent="0.25">
      <c r="A45" s="139"/>
      <c r="B45" s="202"/>
      <c r="C45" s="215"/>
      <c r="D45" s="215"/>
      <c r="E45" s="204" t="s">
        <v>99</v>
      </c>
      <c r="F45" s="205">
        <f>ROUND(F67-F41-F63,2)</f>
        <v>0.01</v>
      </c>
      <c r="G45" s="206">
        <f>ROUND(G67-G41-G63,-2)</f>
        <v>47800</v>
      </c>
      <c r="H45" s="206">
        <f>ROUND(H67-H41-H63,-2)</f>
        <v>18500</v>
      </c>
      <c r="I45" s="206">
        <f>ROUND(I67-I41-I63,-2)</f>
        <v>10200</v>
      </c>
      <c r="J45" s="159">
        <f>SUM(G45:I45)</f>
        <v>76500</v>
      </c>
      <c r="K45" s="424" t="str">
        <f>IF(J67=0,"Program has a zero base",IF(E51=0,"ERROR! Enter Original Appropriation amount in DU 3.00!","Calculated "&amp;IF(J45&gt;0,"overfunding ","underfunding ")&amp;"is "&amp;TEXT(J45/J67,"#.0%;(#.0% );0% ;")&amp;" of the Base"))</f>
        <v>Calculated overfunding is 84.6% of the Base</v>
      </c>
      <c r="L45" s="425"/>
      <c r="M45" s="425"/>
      <c r="N45" s="426"/>
      <c r="O45"/>
      <c r="P45"/>
      <c r="Q45"/>
      <c r="R45"/>
      <c r="S45"/>
      <c r="T45"/>
      <c r="U45"/>
      <c r="V45"/>
      <c r="W45"/>
      <c r="X45"/>
      <c r="Y45"/>
      <c r="Z45" s="344"/>
      <c r="AA45" s="338">
        <f>NEW_AdjGroupSalary-NEW_GroupSalaryFilled</f>
        <v>0</v>
      </c>
      <c r="AB45" s="338">
        <f>NEW_AdjGroupVB-NEW_GroupVBFilled</f>
        <v>0</v>
      </c>
      <c r="AC45" s="338">
        <f>SUM(AA45:AB45)</f>
        <v>0</v>
      </c>
      <c r="AD45" s="329"/>
      <c r="AE45" s="147"/>
      <c r="AF45" s="147"/>
      <c r="AG45" s="147"/>
      <c r="AH45" s="147"/>
      <c r="AI45" s="147"/>
      <c r="AJ45" s="147"/>
      <c r="AK45" s="147"/>
      <c r="AL45" s="147"/>
      <c r="AM45" s="147"/>
      <c r="AN45" s="147"/>
      <c r="AO45" s="147"/>
      <c r="AP45" s="147"/>
      <c r="AQ45" s="147"/>
      <c r="AR45" s="147"/>
      <c r="AS45" s="147"/>
      <c r="AT45" s="147"/>
      <c r="AU45" s="147"/>
      <c r="AV45" s="147"/>
      <c r="AW45" s="147"/>
      <c r="AX45" s="147"/>
      <c r="AY45" s="147"/>
      <c r="AZ45" s="147"/>
      <c r="BA45" s="147"/>
      <c r="BB45" s="147"/>
      <c r="BC45" s="147"/>
      <c r="BD45" s="147"/>
      <c r="BE45" s="147"/>
      <c r="BF45" s="147"/>
      <c r="BG45" s="147"/>
      <c r="BH45" s="147"/>
      <c r="BI45" s="147"/>
      <c r="BJ45" s="147"/>
      <c r="BK45" s="147"/>
      <c r="BL45" s="147"/>
      <c r="BM45" s="147"/>
      <c r="BN45" s="147"/>
      <c r="BO45" s="147"/>
      <c r="BP45" s="147"/>
      <c r="BQ45" s="147"/>
      <c r="BR45" s="147"/>
      <c r="BS45" s="147"/>
      <c r="BT45" s="147"/>
      <c r="BU45" s="147"/>
      <c r="BV45" s="147"/>
      <c r="BW45" s="147"/>
      <c r="BX45" s="147"/>
      <c r="BY45" s="147"/>
      <c r="BZ45" s="147"/>
      <c r="CA45" s="147"/>
      <c r="CB45" s="147"/>
      <c r="CC45" s="147"/>
      <c r="CD45" s="147"/>
      <c r="CE45" s="147"/>
      <c r="CF45" s="147"/>
      <c r="CG45" s="147"/>
      <c r="CH45" s="147"/>
      <c r="CI45" s="147"/>
      <c r="CJ45" s="147"/>
      <c r="CK45" s="147"/>
      <c r="CL45" s="147"/>
      <c r="CM45" s="147"/>
      <c r="CN45" s="147"/>
      <c r="CO45" s="147"/>
      <c r="CP45" s="147"/>
    </row>
    <row r="46" spans="1:94" s="153" customFormat="1" ht="28.5" customHeight="1" x14ac:dyDescent="0.25">
      <c r="A46" s="139"/>
      <c r="B46" s="202"/>
      <c r="C46" s="215"/>
      <c r="D46" s="215"/>
      <c r="E46" s="427" t="s">
        <v>100</v>
      </c>
      <c r="F46" s="428"/>
      <c r="G46" s="428"/>
      <c r="H46" s="428"/>
      <c r="I46" s="428"/>
      <c r="J46" s="429"/>
      <c r="K46" s="433" t="str">
        <f>IF(OR(J45&lt;0,F45&lt;0),"You may not have sufficient funding or authorized FTP, and may need to make additional adjustments to finalize this form.  Please contact both your DFM and LSO analysts.","")</f>
        <v/>
      </c>
      <c r="L46" s="434"/>
      <c r="M46" s="434"/>
      <c r="N46" s="435"/>
      <c r="O46"/>
      <c r="P46"/>
      <c r="Q46"/>
      <c r="R46"/>
      <c r="S46"/>
      <c r="T46"/>
      <c r="U46"/>
      <c r="V46"/>
      <c r="W46"/>
      <c r="X46"/>
      <c r="Y46"/>
      <c r="Z46" s="344"/>
      <c r="AA46" s="363"/>
      <c r="AB46" s="363"/>
      <c r="AC46" s="363"/>
      <c r="AD46" s="329"/>
      <c r="AE46" s="147"/>
      <c r="AF46" s="147"/>
      <c r="AG46" s="147"/>
      <c r="AH46" s="147"/>
      <c r="AI46" s="147"/>
      <c r="AJ46" s="147"/>
      <c r="AK46" s="147"/>
      <c r="AL46" s="147"/>
      <c r="AM46" s="147"/>
      <c r="AN46" s="147"/>
      <c r="AO46" s="147"/>
      <c r="AP46" s="147"/>
      <c r="AQ46" s="147"/>
      <c r="AR46" s="147"/>
      <c r="AS46" s="147"/>
      <c r="AT46" s="147"/>
      <c r="AU46" s="147"/>
      <c r="AV46" s="147"/>
      <c r="AW46" s="147"/>
      <c r="AX46" s="147"/>
      <c r="AY46" s="147"/>
      <c r="AZ46" s="147"/>
      <c r="BA46" s="147"/>
      <c r="BB46" s="147"/>
      <c r="BC46" s="147"/>
      <c r="BD46" s="147"/>
      <c r="BE46" s="147"/>
      <c r="BF46" s="147"/>
      <c r="BG46" s="147"/>
      <c r="BH46" s="147"/>
      <c r="BI46" s="147"/>
      <c r="BJ46" s="147"/>
      <c r="BK46" s="147"/>
      <c r="BL46" s="147"/>
      <c r="BM46" s="147"/>
      <c r="BN46" s="147"/>
      <c r="BO46" s="147"/>
      <c r="BP46" s="147"/>
      <c r="BQ46" s="147"/>
      <c r="BR46" s="147"/>
      <c r="BS46" s="147"/>
      <c r="BT46" s="147"/>
      <c r="BU46" s="147"/>
      <c r="BV46" s="147"/>
      <c r="BW46" s="147"/>
      <c r="BX46" s="147"/>
      <c r="BY46" s="147"/>
      <c r="BZ46" s="147"/>
      <c r="CA46" s="147"/>
      <c r="CB46" s="147"/>
      <c r="CC46" s="147"/>
      <c r="CD46" s="147"/>
      <c r="CE46" s="147"/>
      <c r="CF46" s="147"/>
      <c r="CG46" s="147"/>
      <c r="CH46" s="147"/>
      <c r="CI46" s="147"/>
      <c r="CJ46" s="147"/>
      <c r="CK46" s="147"/>
      <c r="CL46" s="147"/>
      <c r="CM46" s="147"/>
      <c r="CN46" s="147"/>
      <c r="CO46" s="147"/>
      <c r="CP46" s="147"/>
    </row>
    <row r="47" spans="1:94" s="153" customFormat="1" ht="21.75" customHeight="1" x14ac:dyDescent="0.25">
      <c r="A47" s="139"/>
      <c r="B47" s="202"/>
      <c r="C47" s="215"/>
      <c r="D47" s="215"/>
      <c r="E47" s="430"/>
      <c r="F47" s="431"/>
      <c r="G47" s="431"/>
      <c r="H47" s="431"/>
      <c r="I47" s="431"/>
      <c r="J47" s="432"/>
      <c r="K47" s="436"/>
      <c r="L47" s="437"/>
      <c r="M47" s="437"/>
      <c r="N47" s="438"/>
      <c r="O47"/>
      <c r="P47"/>
      <c r="Q47"/>
      <c r="R47"/>
      <c r="S47"/>
      <c r="T47"/>
      <c r="U47"/>
      <c r="V47"/>
      <c r="W47"/>
      <c r="X47"/>
      <c r="Y47"/>
      <c r="Z47" s="344"/>
      <c r="AA47" s="363"/>
      <c r="AB47" s="363"/>
      <c r="AC47" s="363"/>
      <c r="AD47" s="329"/>
      <c r="AE47" s="147"/>
      <c r="AF47" s="147"/>
      <c r="AG47" s="147"/>
      <c r="AH47" s="147"/>
      <c r="AI47" s="147"/>
      <c r="AJ47" s="147"/>
      <c r="AK47" s="147"/>
      <c r="AL47" s="147"/>
      <c r="AM47" s="147"/>
      <c r="AN47" s="147"/>
      <c r="AO47" s="147"/>
      <c r="AP47" s="147"/>
      <c r="AQ47" s="147"/>
      <c r="AR47" s="147"/>
      <c r="AS47" s="147"/>
      <c r="AT47" s="147"/>
      <c r="AU47" s="147"/>
      <c r="AV47" s="147"/>
      <c r="AW47" s="147"/>
      <c r="AX47" s="147"/>
      <c r="AY47" s="147"/>
      <c r="AZ47" s="147"/>
      <c r="BA47" s="147"/>
      <c r="BB47" s="147"/>
      <c r="BC47" s="147"/>
      <c r="BD47" s="147"/>
      <c r="BE47" s="147"/>
      <c r="BF47" s="147"/>
      <c r="BG47" s="147"/>
      <c r="BH47" s="147"/>
      <c r="BI47" s="147"/>
      <c r="BJ47" s="147"/>
      <c r="BK47" s="147"/>
      <c r="BL47" s="147"/>
      <c r="BM47" s="147"/>
      <c r="BN47" s="147"/>
      <c r="BO47" s="147"/>
      <c r="BP47" s="147"/>
      <c r="BQ47" s="147"/>
      <c r="BR47" s="147"/>
      <c r="BS47" s="147"/>
      <c r="BT47" s="147"/>
      <c r="BU47" s="147"/>
      <c r="BV47" s="147"/>
      <c r="BW47" s="147"/>
      <c r="BX47" s="147"/>
      <c r="BY47" s="147"/>
      <c r="BZ47" s="147"/>
      <c r="CA47" s="147"/>
      <c r="CB47" s="147"/>
      <c r="CC47" s="147"/>
      <c r="CD47" s="147"/>
      <c r="CE47" s="147"/>
      <c r="CF47" s="147"/>
      <c r="CG47" s="147"/>
      <c r="CH47" s="147"/>
      <c r="CI47" s="147"/>
      <c r="CJ47" s="147"/>
      <c r="CK47" s="147"/>
      <c r="CL47" s="147"/>
      <c r="CM47" s="147"/>
      <c r="CN47" s="147"/>
      <c r="CO47" s="147"/>
      <c r="CP47" s="147"/>
    </row>
    <row r="48" spans="1:94" s="214" customFormat="1" ht="8.25" customHeight="1" x14ac:dyDescent="0.25">
      <c r="A48" s="207"/>
      <c r="B48" s="208"/>
      <c r="C48" s="136"/>
      <c r="D48" s="136"/>
      <c r="E48" s="209"/>
      <c r="F48" s="210"/>
      <c r="G48" s="211"/>
      <c r="H48" s="211"/>
      <c r="I48" s="211"/>
      <c r="J48" s="211"/>
      <c r="K48" s="211"/>
      <c r="L48" s="137"/>
      <c r="M48" s="138"/>
      <c r="N48" s="212"/>
      <c r="O48"/>
      <c r="P48"/>
      <c r="Q48"/>
      <c r="R48"/>
      <c r="S48"/>
      <c r="T48"/>
      <c r="U48"/>
      <c r="V48"/>
      <c r="W48"/>
      <c r="X48"/>
      <c r="Y48"/>
      <c r="Z48" s="344"/>
      <c r="AA48" s="339"/>
      <c r="AB48" s="339"/>
      <c r="AC48" s="339"/>
      <c r="AD48" s="330"/>
      <c r="AE48" s="213"/>
      <c r="AF48" s="213"/>
      <c r="AG48" s="213"/>
      <c r="AH48" s="213"/>
      <c r="AI48" s="213"/>
      <c r="AJ48" s="213"/>
      <c r="AK48" s="213"/>
      <c r="AL48" s="213"/>
      <c r="AM48" s="213"/>
      <c r="AN48" s="213"/>
      <c r="AO48" s="213"/>
      <c r="AP48" s="213"/>
      <c r="AQ48" s="213"/>
      <c r="AR48" s="213"/>
      <c r="AS48" s="213"/>
      <c r="AT48" s="213"/>
      <c r="AU48" s="213"/>
      <c r="AV48" s="213"/>
      <c r="AW48" s="213"/>
      <c r="AX48" s="213"/>
      <c r="AY48" s="213"/>
      <c r="AZ48" s="213"/>
      <c r="BA48" s="213"/>
      <c r="BB48" s="213"/>
      <c r="BC48" s="213"/>
      <c r="BD48" s="213"/>
      <c r="BE48" s="213"/>
      <c r="BF48" s="213"/>
      <c r="BG48" s="213"/>
      <c r="BH48" s="213"/>
      <c r="BI48" s="213"/>
      <c r="BJ48" s="213"/>
      <c r="BK48" s="213"/>
      <c r="BL48" s="213"/>
      <c r="BM48" s="213"/>
      <c r="BN48" s="213"/>
      <c r="BO48" s="213"/>
      <c r="BP48" s="213"/>
      <c r="BQ48" s="213"/>
      <c r="BR48" s="213"/>
      <c r="BS48" s="213"/>
      <c r="BT48" s="213"/>
      <c r="BU48" s="213"/>
      <c r="BV48" s="213"/>
      <c r="BW48" s="213"/>
      <c r="BX48" s="213"/>
      <c r="BY48" s="213"/>
      <c r="BZ48" s="213"/>
      <c r="CA48" s="213"/>
      <c r="CB48" s="213"/>
      <c r="CC48" s="213"/>
      <c r="CD48" s="213"/>
      <c r="CE48" s="213"/>
      <c r="CF48" s="213"/>
      <c r="CG48" s="213"/>
      <c r="CH48" s="213"/>
      <c r="CI48" s="213"/>
      <c r="CJ48" s="213"/>
      <c r="CK48" s="213"/>
      <c r="CL48" s="213"/>
      <c r="CM48" s="213"/>
      <c r="CN48" s="213"/>
      <c r="CO48" s="213"/>
      <c r="CP48" s="213"/>
    </row>
    <row r="49" spans="1:94" s="53" customFormat="1" ht="6" customHeight="1" x14ac:dyDescent="0.25">
      <c r="A49" s="63"/>
      <c r="B49" s="64"/>
      <c r="C49" s="65"/>
      <c r="D49" s="66"/>
      <c r="E49" s="67"/>
      <c r="F49" s="68"/>
      <c r="G49" s="64"/>
      <c r="H49" s="64"/>
      <c r="I49" s="64"/>
      <c r="J49" s="64"/>
      <c r="K49" s="64"/>
      <c r="L49" s="69"/>
      <c r="M49" s="69"/>
      <c r="N49" s="70"/>
      <c r="O49"/>
      <c r="P49"/>
      <c r="Q49"/>
      <c r="R49"/>
      <c r="S49"/>
      <c r="T49"/>
      <c r="U49"/>
      <c r="V49"/>
      <c r="W49"/>
      <c r="X49"/>
      <c r="Y49"/>
      <c r="Z49" s="344"/>
      <c r="AA49" s="363"/>
      <c r="AB49" s="363"/>
      <c r="AC49" s="363"/>
      <c r="AD49" s="110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1"/>
      <c r="AV49" s="41"/>
      <c r="AW49" s="41"/>
      <c r="AX49" s="41"/>
      <c r="AY49" s="41"/>
      <c r="AZ49" s="41"/>
      <c r="BA49" s="41"/>
      <c r="BB49" s="41"/>
      <c r="BC49" s="41"/>
      <c r="BD49" s="41"/>
      <c r="BE49" s="41"/>
      <c r="BF49" s="41"/>
      <c r="BG49" s="41"/>
      <c r="BH49" s="41"/>
      <c r="BI49" s="41"/>
      <c r="BJ49" s="41"/>
      <c r="BK49" s="41"/>
      <c r="BL49" s="41"/>
      <c r="BM49" s="41"/>
      <c r="BN49" s="41"/>
      <c r="BO49" s="41"/>
      <c r="BP49" s="41"/>
      <c r="BQ49" s="41"/>
      <c r="BR49" s="41"/>
      <c r="BS49" s="41"/>
      <c r="BT49" s="41"/>
      <c r="BU49" s="41"/>
      <c r="BV49" s="41"/>
      <c r="BW49" s="41"/>
      <c r="BX49" s="41"/>
      <c r="BY49" s="41"/>
      <c r="BZ49" s="41"/>
      <c r="CA49" s="41"/>
      <c r="CB49" s="41"/>
      <c r="CC49" s="41"/>
      <c r="CD49" s="41"/>
      <c r="CE49" s="41"/>
      <c r="CF49" s="41"/>
      <c r="CG49" s="41"/>
      <c r="CH49" s="41"/>
      <c r="CI49" s="41"/>
      <c r="CJ49" s="41"/>
      <c r="CK49" s="41"/>
      <c r="CL49" s="41"/>
      <c r="CM49" s="41"/>
      <c r="CN49" s="41"/>
      <c r="CO49" s="41"/>
      <c r="CP49" s="41"/>
    </row>
    <row r="50" spans="1:94" s="53" customFormat="1" ht="24.75" customHeight="1" x14ac:dyDescent="0.25">
      <c r="A50" s="257" t="s">
        <v>42</v>
      </c>
      <c r="B50" s="71"/>
      <c r="C50" s="439"/>
      <c r="D50" s="440"/>
      <c r="E50" s="72" t="s">
        <v>43</v>
      </c>
      <c r="F50" s="73" t="s">
        <v>24</v>
      </c>
      <c r="G50" s="72" t="str">
        <f>"FY "&amp;M4-2001&amp;" Salary"</f>
        <v>FY 22 Salary</v>
      </c>
      <c r="H50" s="72" t="str">
        <f>"FY "&amp;M4-2001&amp;" Health Ben"</f>
        <v>FY 22 Health Ben</v>
      </c>
      <c r="I50" s="72" t="str">
        <f>"FY "&amp;M4-2001&amp;" Var Ben"</f>
        <v>FY 22 Var Ben</v>
      </c>
      <c r="J50" s="72" t="str">
        <f>"FY "&amp;M4-1&amp;" Total"</f>
        <v>FY 2022 Total</v>
      </c>
      <c r="K50" s="307" t="str">
        <f>"FY "&amp;FiscalYear&amp;" SALARY CHG"</f>
        <v>FY 2023 SALARY CHG</v>
      </c>
      <c r="L50" s="74" t="str">
        <f>"FY "&amp;M4-2000&amp;" Chg Health Bens"</f>
        <v>FY 23 Chg Health Bens</v>
      </c>
      <c r="M50" s="74" t="str">
        <f>"FY "&amp;M4-2000&amp;" Chg Var Bens"</f>
        <v>FY 23 Chg Var Bens</v>
      </c>
      <c r="N50" s="74" t="s">
        <v>44</v>
      </c>
      <c r="O50"/>
      <c r="P50"/>
      <c r="Q50"/>
      <c r="R50"/>
      <c r="S50"/>
      <c r="T50"/>
      <c r="U50"/>
      <c r="V50"/>
      <c r="W50"/>
      <c r="X50"/>
      <c r="Y50"/>
      <c r="Z50" s="344"/>
      <c r="AA50" s="363"/>
      <c r="AB50" s="363"/>
      <c r="AC50" s="363"/>
      <c r="AD50" s="110"/>
      <c r="AE50" s="41"/>
      <c r="AF50" s="41"/>
      <c r="AG50" s="41"/>
      <c r="AH50" s="41"/>
      <c r="AI50" s="41"/>
      <c r="AJ50" s="41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U50" s="41"/>
      <c r="AV50" s="41"/>
      <c r="AW50" s="41"/>
      <c r="AX50" s="41"/>
      <c r="AY50" s="41"/>
      <c r="AZ50" s="41"/>
      <c r="BA50" s="41"/>
      <c r="BB50" s="41"/>
      <c r="BC50" s="41"/>
      <c r="BD50" s="41"/>
      <c r="BE50" s="41"/>
      <c r="BF50" s="41"/>
      <c r="BG50" s="41"/>
      <c r="BH50" s="41"/>
      <c r="BI50" s="41"/>
      <c r="BJ50" s="41"/>
      <c r="BK50" s="41"/>
      <c r="BL50" s="41"/>
      <c r="BM50" s="41"/>
      <c r="BN50" s="41"/>
      <c r="BO50" s="41"/>
      <c r="BP50" s="41"/>
      <c r="BQ50" s="41"/>
      <c r="BR50" s="41"/>
      <c r="BS50" s="41"/>
      <c r="BT50" s="41"/>
      <c r="BU50" s="41"/>
      <c r="BV50" s="41"/>
      <c r="BW50" s="41"/>
      <c r="BX50" s="41"/>
      <c r="BY50" s="41"/>
      <c r="BZ50" s="41"/>
      <c r="CA50" s="41"/>
      <c r="CB50" s="41"/>
      <c r="CC50" s="41"/>
      <c r="CD50" s="41"/>
      <c r="CE50" s="41"/>
      <c r="CF50" s="41"/>
      <c r="CG50" s="41"/>
      <c r="CH50" s="41"/>
      <c r="CI50" s="41"/>
      <c r="CJ50" s="41"/>
      <c r="CK50" s="41"/>
      <c r="CL50" s="41"/>
      <c r="CM50" s="41"/>
      <c r="CN50" s="41"/>
      <c r="CO50" s="41"/>
      <c r="CP50" s="41"/>
    </row>
    <row r="51" spans="1:94" s="53" customFormat="1" ht="15.75" customHeight="1" x14ac:dyDescent="0.25">
      <c r="A51" s="75">
        <v>3</v>
      </c>
      <c r="B51" s="76" t="s">
        <v>45</v>
      </c>
      <c r="C51" s="54" t="str">
        <f>"FY "&amp;M4-1</f>
        <v>FY 2022</v>
      </c>
      <c r="D51" s="77" t="s">
        <v>31</v>
      </c>
      <c r="E51" s="78">
        <f>OrigApprop</f>
        <v>90400</v>
      </c>
      <c r="F51" s="272">
        <f>AppropFTP</f>
        <v>0.3</v>
      </c>
      <c r="G51" s="274">
        <f>IF(E51=0,0,(G41/$J$41)*$E$51)</f>
        <v>56461.895453011908</v>
      </c>
      <c r="H51" s="274">
        <f>IF(E51=0,0,(H41/$J$41)*$E$51)</f>
        <v>21885.18372463364</v>
      </c>
      <c r="I51" s="275">
        <f>IF(E51=0,0,(I41/$J$41)*$E$51)</f>
        <v>12052.920822354452</v>
      </c>
      <c r="J51" s="90">
        <f>SUM(G51:I51)</f>
        <v>90400</v>
      </c>
      <c r="K51" s="263"/>
      <c r="L51" s="61"/>
      <c r="M51" s="81"/>
      <c r="N51" s="81"/>
      <c r="O51"/>
      <c r="P51"/>
      <c r="Q51"/>
      <c r="R51"/>
      <c r="S51"/>
      <c r="T51"/>
      <c r="U51"/>
      <c r="V51"/>
      <c r="W51"/>
      <c r="X51"/>
      <c r="Y51"/>
      <c r="Z51" s="344"/>
      <c r="AA51" s="346"/>
      <c r="AB51" s="363"/>
      <c r="AC51" s="363"/>
      <c r="AD51" s="110"/>
      <c r="AE51" s="41"/>
      <c r="AF51" s="41"/>
      <c r="AG51" s="41"/>
      <c r="AH51" s="41"/>
      <c r="AI51" s="41"/>
      <c r="AJ51" s="41"/>
      <c r="AK51" s="41"/>
      <c r="AL51" s="41"/>
      <c r="AM51" s="41"/>
      <c r="AN51" s="41"/>
      <c r="AO51" s="41"/>
      <c r="AP51" s="41"/>
      <c r="AQ51" s="41"/>
      <c r="AR51" s="41"/>
      <c r="AS51" s="41"/>
      <c r="AT51" s="41"/>
      <c r="AU51" s="41"/>
      <c r="AV51" s="41"/>
      <c r="AW51" s="41"/>
      <c r="AX51" s="41"/>
      <c r="AY51" s="41"/>
      <c r="AZ51" s="41"/>
      <c r="BA51" s="41"/>
      <c r="BB51" s="41"/>
      <c r="BC51" s="41"/>
      <c r="BD51" s="41"/>
      <c r="BE51" s="41"/>
      <c r="BF51" s="41"/>
      <c r="BG51" s="41"/>
      <c r="BH51" s="41"/>
      <c r="BI51" s="41"/>
      <c r="BJ51" s="41"/>
      <c r="BK51" s="41"/>
      <c r="BL51" s="41"/>
      <c r="BM51" s="41"/>
      <c r="BN51" s="41"/>
      <c r="BO51" s="41"/>
      <c r="BP51" s="41"/>
      <c r="BQ51" s="41"/>
      <c r="BR51" s="41"/>
      <c r="BS51" s="41"/>
      <c r="BT51" s="41"/>
      <c r="BU51" s="41"/>
      <c r="BV51" s="41"/>
      <c r="BW51" s="41"/>
      <c r="BX51" s="41"/>
      <c r="BY51" s="41"/>
      <c r="BZ51" s="41"/>
      <c r="CA51" s="41"/>
      <c r="CB51" s="41"/>
      <c r="CC51" s="41"/>
      <c r="CD51" s="41"/>
      <c r="CE51" s="41"/>
      <c r="CF51" s="41"/>
      <c r="CG51" s="41"/>
      <c r="CH51" s="41"/>
      <c r="CI51" s="41"/>
      <c r="CJ51" s="41"/>
      <c r="CK51" s="41"/>
      <c r="CL51" s="41"/>
      <c r="CM51" s="41"/>
      <c r="CN51" s="41"/>
      <c r="CO51" s="41"/>
      <c r="CP51" s="41"/>
    </row>
    <row r="52" spans="1:94" s="53" customFormat="1" ht="15.75" customHeight="1" x14ac:dyDescent="0.25">
      <c r="A52" s="82"/>
      <c r="B52" s="83"/>
      <c r="C52" s="84"/>
      <c r="D52" s="132" t="s">
        <v>46</v>
      </c>
      <c r="E52" s="133"/>
      <c r="F52" s="55">
        <f>F51</f>
        <v>0.3</v>
      </c>
      <c r="G52" s="79">
        <f>ROUND(G51,-2)</f>
        <v>56500</v>
      </c>
      <c r="H52" s="79">
        <f>ROUND(H51,-2)</f>
        <v>21900</v>
      </c>
      <c r="I52" s="266">
        <f>ROUND(I51,-2)</f>
        <v>12100</v>
      </c>
      <c r="J52" s="80">
        <f>ROUND(J51,-2)</f>
        <v>90400</v>
      </c>
      <c r="K52" s="263"/>
      <c r="L52" s="61"/>
      <c r="M52" s="81"/>
      <c r="N52" s="81"/>
      <c r="O52"/>
      <c r="P52"/>
      <c r="Q52"/>
      <c r="R52"/>
      <c r="S52"/>
      <c r="T52"/>
      <c r="U52"/>
      <c r="V52"/>
      <c r="W52"/>
      <c r="X52"/>
      <c r="Y52"/>
      <c r="Z52" s="344"/>
      <c r="AA52" s="347"/>
      <c r="AB52" s="363"/>
      <c r="AC52" s="363"/>
      <c r="AD52" s="110"/>
      <c r="AE52" s="41"/>
      <c r="AF52" s="41"/>
      <c r="AG52" s="41"/>
      <c r="AH52" s="41"/>
      <c r="AI52" s="41"/>
      <c r="AJ52" s="41"/>
      <c r="AK52" s="41"/>
      <c r="AL52" s="41"/>
      <c r="AM52" s="41"/>
      <c r="AN52" s="41"/>
      <c r="AO52" s="41"/>
      <c r="AP52" s="41"/>
      <c r="AQ52" s="41"/>
      <c r="AR52" s="41"/>
      <c r="AS52" s="41"/>
      <c r="AT52" s="41"/>
      <c r="AU52" s="41"/>
      <c r="AV52" s="41"/>
      <c r="AW52" s="41"/>
      <c r="AX52" s="41"/>
      <c r="AY52" s="41"/>
      <c r="AZ52" s="41"/>
      <c r="BA52" s="41"/>
      <c r="BB52" s="41"/>
      <c r="BC52" s="41"/>
      <c r="BD52" s="41"/>
      <c r="BE52" s="41"/>
      <c r="BF52" s="41"/>
      <c r="BG52" s="41"/>
      <c r="BH52" s="41"/>
      <c r="BI52" s="41"/>
      <c r="BJ52" s="41"/>
      <c r="BK52" s="41"/>
      <c r="BL52" s="41"/>
      <c r="BM52" s="41"/>
      <c r="BN52" s="41"/>
      <c r="BO52" s="41"/>
      <c r="BP52" s="41"/>
      <c r="BQ52" s="41"/>
      <c r="BR52" s="41"/>
      <c r="BS52" s="41"/>
      <c r="BT52" s="41"/>
      <c r="BU52" s="41"/>
      <c r="BV52" s="41"/>
      <c r="BW52" s="41"/>
      <c r="BX52" s="41"/>
      <c r="BY52" s="41"/>
      <c r="BZ52" s="41"/>
      <c r="CA52" s="41"/>
      <c r="CB52" s="41"/>
      <c r="CC52" s="41"/>
      <c r="CD52" s="41"/>
      <c r="CE52" s="41"/>
      <c r="CF52" s="41"/>
      <c r="CG52" s="41"/>
      <c r="CH52" s="41"/>
      <c r="CI52" s="41"/>
      <c r="CJ52" s="41"/>
      <c r="CK52" s="41"/>
      <c r="CL52" s="41"/>
      <c r="CM52" s="41"/>
      <c r="CN52" s="41"/>
      <c r="CO52" s="41"/>
      <c r="CP52" s="41"/>
    </row>
    <row r="53" spans="1:94" s="53" customFormat="1" ht="15" x14ac:dyDescent="0.25">
      <c r="A53" s="85"/>
      <c r="B53" s="83"/>
      <c r="C53" s="441" t="s">
        <v>47</v>
      </c>
      <c r="D53" s="442"/>
      <c r="E53" s="271"/>
      <c r="F53" s="273"/>
      <c r="G53" s="62"/>
      <c r="H53" s="62"/>
      <c r="I53" s="62"/>
      <c r="J53" s="62"/>
      <c r="K53" s="62"/>
      <c r="L53" s="61"/>
      <c r="M53" s="86"/>
      <c r="N53" s="86"/>
      <c r="O53"/>
      <c r="P53"/>
      <c r="Q53"/>
      <c r="R53"/>
      <c r="S53"/>
      <c r="T53"/>
      <c r="U53"/>
      <c r="V53"/>
      <c r="W53"/>
      <c r="X53"/>
      <c r="Y53"/>
      <c r="Z53" s="344"/>
      <c r="AA53" s="363"/>
      <c r="AB53" s="363"/>
      <c r="AC53" s="363"/>
      <c r="AD53" s="110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U53" s="41"/>
      <c r="AV53" s="41"/>
      <c r="AW53" s="41"/>
      <c r="AX53" s="41"/>
      <c r="AY53" s="41"/>
      <c r="AZ53" s="41"/>
      <c r="BA53" s="41"/>
      <c r="BB53" s="41"/>
      <c r="BC53" s="41"/>
      <c r="BD53" s="41"/>
      <c r="BE53" s="41"/>
      <c r="BF53" s="41"/>
      <c r="BG53" s="41"/>
      <c r="BH53" s="41"/>
      <c r="BI53" s="41"/>
      <c r="BJ53" s="41"/>
      <c r="BK53" s="41"/>
      <c r="BL53" s="41"/>
      <c r="BM53" s="41"/>
      <c r="BN53" s="41"/>
      <c r="BO53" s="41"/>
      <c r="BP53" s="41"/>
      <c r="BQ53" s="41"/>
      <c r="BR53" s="41"/>
      <c r="BS53" s="41"/>
      <c r="BT53" s="41"/>
      <c r="BU53" s="41"/>
      <c r="BV53" s="41"/>
      <c r="BW53" s="41"/>
      <c r="BX53" s="41"/>
      <c r="BY53" s="41"/>
      <c r="BZ53" s="41"/>
      <c r="CA53" s="41"/>
      <c r="CB53" s="41"/>
      <c r="CC53" s="41"/>
      <c r="CD53" s="41"/>
      <c r="CE53" s="41"/>
      <c r="CF53" s="41"/>
      <c r="CG53" s="41"/>
      <c r="CH53" s="41"/>
      <c r="CI53" s="41"/>
      <c r="CJ53" s="41"/>
      <c r="CK53" s="41"/>
      <c r="CL53" s="41"/>
      <c r="CM53" s="41"/>
      <c r="CN53" s="41"/>
      <c r="CO53" s="41"/>
      <c r="CP53" s="41"/>
    </row>
    <row r="54" spans="1:94" s="53" customFormat="1" ht="15.75" customHeight="1" x14ac:dyDescent="0.25">
      <c r="A54" s="85">
        <v>4.1100000000000003</v>
      </c>
      <c r="B54" s="83"/>
      <c r="C54" s="408" t="s">
        <v>48</v>
      </c>
      <c r="D54" s="409"/>
      <c r="E54" s="59"/>
      <c r="F54" s="58">
        <v>0</v>
      </c>
      <c r="G54" s="88">
        <v>0</v>
      </c>
      <c r="H54" s="88">
        <v>0</v>
      </c>
      <c r="I54" s="265">
        <v>0</v>
      </c>
      <c r="J54" s="89">
        <f>SUM(G54:I54)</f>
        <v>0</v>
      </c>
      <c r="K54" s="62"/>
      <c r="L54" s="61"/>
      <c r="M54" s="86"/>
      <c r="N54" s="86"/>
      <c r="O54"/>
      <c r="P54"/>
      <c r="Q54"/>
      <c r="R54"/>
      <c r="S54"/>
      <c r="T54"/>
      <c r="U54"/>
      <c r="V54"/>
      <c r="W54"/>
      <c r="X54"/>
      <c r="Y54"/>
      <c r="Z54" s="344"/>
      <c r="AA54" s="363"/>
      <c r="AB54" s="363"/>
      <c r="AC54" s="363"/>
      <c r="AD54" s="110"/>
      <c r="AE54" s="41"/>
      <c r="AF54" s="41"/>
      <c r="AG54" s="41"/>
      <c r="AH54" s="41"/>
      <c r="AI54" s="41"/>
      <c r="AJ54" s="41"/>
      <c r="AK54" s="41"/>
      <c r="AL54" s="41"/>
      <c r="AM54" s="41"/>
      <c r="AN54" s="41"/>
      <c r="AO54" s="41"/>
      <c r="AP54" s="41"/>
      <c r="AQ54" s="41"/>
      <c r="AR54" s="41"/>
      <c r="AS54" s="41"/>
      <c r="AT54" s="41"/>
      <c r="AU54" s="41"/>
      <c r="AV54" s="41"/>
      <c r="AW54" s="41"/>
      <c r="AX54" s="41"/>
      <c r="AY54" s="41"/>
      <c r="AZ54" s="41"/>
      <c r="BA54" s="41"/>
      <c r="BB54" s="41"/>
      <c r="BC54" s="41"/>
      <c r="BD54" s="41"/>
      <c r="BE54" s="41"/>
      <c r="BF54" s="41"/>
      <c r="BG54" s="41"/>
      <c r="BH54" s="41"/>
      <c r="BI54" s="41"/>
      <c r="BJ54" s="41"/>
      <c r="BK54" s="41"/>
      <c r="BL54" s="41"/>
      <c r="BM54" s="41"/>
      <c r="BN54" s="41"/>
      <c r="BO54" s="41"/>
      <c r="BP54" s="41"/>
      <c r="BQ54" s="41"/>
      <c r="BR54" s="41"/>
      <c r="BS54" s="41"/>
      <c r="BT54" s="41"/>
      <c r="BU54" s="41"/>
      <c r="BV54" s="41"/>
      <c r="BW54" s="41"/>
      <c r="BX54" s="41"/>
      <c r="BY54" s="41"/>
      <c r="BZ54" s="41"/>
      <c r="CA54" s="41"/>
      <c r="CB54" s="41"/>
      <c r="CC54" s="41"/>
      <c r="CD54" s="41"/>
      <c r="CE54" s="41"/>
      <c r="CF54" s="41"/>
      <c r="CG54" s="41"/>
      <c r="CH54" s="41"/>
      <c r="CI54" s="41"/>
      <c r="CJ54" s="41"/>
      <c r="CK54" s="41"/>
      <c r="CL54" s="41"/>
      <c r="CM54" s="41"/>
      <c r="CN54" s="41"/>
      <c r="CO54" s="41"/>
      <c r="CP54" s="41"/>
    </row>
    <row r="55" spans="1:94" s="53" customFormat="1" ht="15.75" customHeight="1" x14ac:dyDescent="0.25">
      <c r="A55" s="85">
        <v>4.3099999999999996</v>
      </c>
      <c r="B55" s="83"/>
      <c r="C55" s="421" t="s">
        <v>49</v>
      </c>
      <c r="D55" s="422"/>
      <c r="E55" s="59"/>
      <c r="F55" s="277">
        <v>0</v>
      </c>
      <c r="G55" s="92">
        <v>0</v>
      </c>
      <c r="H55" s="92">
        <v>0</v>
      </c>
      <c r="I55" s="264">
        <v>0</v>
      </c>
      <c r="J55" s="287">
        <f>SUM(G55:I55)</f>
        <v>0</v>
      </c>
      <c r="K55" s="62"/>
      <c r="L55" s="88"/>
      <c r="M55" s="261"/>
      <c r="N55" s="89">
        <f>SUM(L55:M55)</f>
        <v>0</v>
      </c>
      <c r="O55"/>
      <c r="P55"/>
      <c r="Q55"/>
      <c r="R55"/>
      <c r="S55"/>
      <c r="T55"/>
      <c r="U55"/>
      <c r="V55"/>
      <c r="W55"/>
      <c r="X55"/>
      <c r="Y55"/>
      <c r="Z55" s="344"/>
      <c r="AA55" s="363"/>
      <c r="AB55" s="363"/>
      <c r="AC55" s="363"/>
      <c r="AD55" s="110"/>
      <c r="AE55" s="41"/>
      <c r="AF55" s="41"/>
      <c r="AG55" s="41"/>
      <c r="AH55" s="41"/>
      <c r="AI55" s="41"/>
      <c r="AJ55" s="41"/>
      <c r="AK55" s="41"/>
      <c r="AL55" s="41"/>
      <c r="AM55" s="41"/>
      <c r="AN55" s="41"/>
      <c r="AO55" s="41"/>
      <c r="AP55" s="41"/>
      <c r="AQ55" s="41"/>
      <c r="AR55" s="41"/>
      <c r="AS55" s="41"/>
      <c r="AT55" s="41"/>
      <c r="AU55" s="41"/>
      <c r="AV55" s="41"/>
      <c r="AW55" s="41"/>
      <c r="AX55" s="41"/>
      <c r="AY55" s="41"/>
      <c r="AZ55" s="41"/>
      <c r="BA55" s="41"/>
      <c r="BB55" s="41"/>
      <c r="BC55" s="41"/>
      <c r="BD55" s="41"/>
      <c r="BE55" s="41"/>
      <c r="BF55" s="41"/>
      <c r="BG55" s="41"/>
      <c r="BH55" s="41"/>
      <c r="BI55" s="41"/>
      <c r="BJ55" s="41"/>
      <c r="BK55" s="41"/>
      <c r="BL55" s="41"/>
      <c r="BM55" s="41"/>
      <c r="BN55" s="41"/>
      <c r="BO55" s="41"/>
      <c r="BP55" s="41"/>
      <c r="BQ55" s="41"/>
      <c r="BR55" s="41"/>
      <c r="BS55" s="41"/>
      <c r="BT55" s="41"/>
      <c r="BU55" s="41"/>
      <c r="BV55" s="41"/>
      <c r="BW55" s="41"/>
      <c r="BX55" s="41"/>
      <c r="BY55" s="41"/>
      <c r="BZ55" s="41"/>
      <c r="CA55" s="41"/>
      <c r="CB55" s="41"/>
      <c r="CC55" s="41"/>
      <c r="CD55" s="41"/>
      <c r="CE55" s="41"/>
      <c r="CF55" s="41"/>
      <c r="CG55" s="41"/>
      <c r="CH55" s="41"/>
      <c r="CI55" s="41"/>
      <c r="CJ55" s="41"/>
      <c r="CK55" s="41"/>
      <c r="CL55" s="41"/>
      <c r="CM55" s="41"/>
      <c r="CN55" s="41"/>
      <c r="CO55" s="41"/>
      <c r="CP55" s="41"/>
    </row>
    <row r="56" spans="1:94" s="53" customFormat="1" ht="15.75" customHeight="1" x14ac:dyDescent="0.25">
      <c r="A56" s="75">
        <v>5</v>
      </c>
      <c r="B56" s="76"/>
      <c r="C56" s="54" t="str">
        <f>"FY "&amp;M4-1</f>
        <v>FY 2022</v>
      </c>
      <c r="D56" s="131" t="s">
        <v>50</v>
      </c>
      <c r="E56" s="135"/>
      <c r="F56" s="55">
        <f>SUM(F52:F55)</f>
        <v>0.3</v>
      </c>
      <c r="G56" s="80">
        <f>SUM(G52:G55)</f>
        <v>56500</v>
      </c>
      <c r="H56" s="80">
        <f>SUM(H52:H55)</f>
        <v>21900</v>
      </c>
      <c r="I56" s="260">
        <f>SUM(I52:I55)</f>
        <v>12100</v>
      </c>
      <c r="J56" s="80">
        <f>SUM(J52:J55)</f>
        <v>90400</v>
      </c>
      <c r="K56" s="263"/>
      <c r="L56" s="61"/>
      <c r="M56" s="61"/>
      <c r="N56" s="61"/>
      <c r="O56"/>
      <c r="P56"/>
      <c r="Q56"/>
      <c r="R56"/>
      <c r="S56"/>
      <c r="T56"/>
      <c r="U56"/>
      <c r="V56"/>
      <c r="W56"/>
      <c r="X56"/>
      <c r="Y56"/>
      <c r="Z56" s="344"/>
      <c r="AA56" s="363"/>
      <c r="AB56" s="363"/>
      <c r="AC56" s="363"/>
      <c r="AD56" s="110"/>
      <c r="AE56" s="41"/>
      <c r="AF56" s="41"/>
      <c r="AG56" s="41"/>
      <c r="AH56" s="41"/>
      <c r="AI56" s="41"/>
      <c r="AJ56" s="41"/>
      <c r="AK56" s="41"/>
      <c r="AL56" s="41"/>
      <c r="AM56" s="41"/>
      <c r="AN56" s="41"/>
      <c r="AO56" s="41"/>
      <c r="AP56" s="41"/>
      <c r="AQ56" s="41"/>
      <c r="AR56" s="41"/>
      <c r="AS56" s="41"/>
      <c r="AT56" s="41"/>
      <c r="AU56" s="41"/>
      <c r="AV56" s="41"/>
      <c r="AW56" s="41"/>
      <c r="AX56" s="41"/>
      <c r="AY56" s="41"/>
      <c r="AZ56" s="41"/>
      <c r="BA56" s="41"/>
      <c r="BB56" s="41"/>
      <c r="BC56" s="41"/>
      <c r="BD56" s="41"/>
      <c r="BE56" s="41"/>
      <c r="BF56" s="41"/>
      <c r="BG56" s="41"/>
      <c r="BH56" s="41"/>
      <c r="BI56" s="41"/>
      <c r="BJ56" s="41"/>
      <c r="BK56" s="41"/>
      <c r="BL56" s="41"/>
      <c r="BM56" s="41"/>
      <c r="BN56" s="41"/>
      <c r="BO56" s="41"/>
      <c r="BP56" s="41"/>
      <c r="BQ56" s="41"/>
      <c r="BR56" s="41"/>
      <c r="BS56" s="41"/>
      <c r="BT56" s="41"/>
      <c r="BU56" s="41"/>
      <c r="BV56" s="41"/>
      <c r="BW56" s="41"/>
      <c r="BX56" s="41"/>
      <c r="BY56" s="41"/>
      <c r="BZ56" s="41"/>
      <c r="CA56" s="41"/>
      <c r="CB56" s="41"/>
      <c r="CC56" s="41"/>
      <c r="CD56" s="41"/>
      <c r="CE56" s="41"/>
      <c r="CF56" s="41"/>
      <c r="CG56" s="41"/>
      <c r="CH56" s="41"/>
      <c r="CI56" s="41"/>
      <c r="CJ56" s="41"/>
      <c r="CK56" s="41"/>
      <c r="CL56" s="41"/>
      <c r="CM56" s="41"/>
      <c r="CN56" s="41"/>
      <c r="CO56" s="41"/>
      <c r="CP56" s="41"/>
    </row>
    <row r="57" spans="1:94" s="53" customFormat="1" ht="15.75" customHeight="1" x14ac:dyDescent="0.25">
      <c r="A57" s="85"/>
      <c r="B57" s="83"/>
      <c r="C57" s="419" t="s">
        <v>51</v>
      </c>
      <c r="D57" s="423"/>
      <c r="E57" s="367"/>
      <c r="F57" s="273"/>
      <c r="G57" s="62"/>
      <c r="H57" s="62"/>
      <c r="I57" s="62"/>
      <c r="J57" s="62"/>
      <c r="K57" s="62"/>
      <c r="L57" s="61"/>
      <c r="M57" s="61"/>
      <c r="N57" s="61"/>
      <c r="O57"/>
      <c r="P57"/>
      <c r="Q57"/>
      <c r="R57"/>
      <c r="S57"/>
      <c r="T57"/>
      <c r="U57"/>
      <c r="V57"/>
      <c r="W57"/>
      <c r="X57"/>
      <c r="Y57"/>
      <c r="Z57" s="344"/>
      <c r="AA57" s="363"/>
      <c r="AB57" s="363"/>
      <c r="AC57" s="363"/>
      <c r="AD57" s="110"/>
      <c r="AE57" s="41"/>
      <c r="AF57" s="41"/>
      <c r="AG57" s="41"/>
      <c r="AH57" s="41"/>
      <c r="AI57" s="41"/>
      <c r="AJ57" s="41"/>
      <c r="AK57" s="41"/>
      <c r="AL57" s="41"/>
      <c r="AM57" s="41"/>
      <c r="AN57" s="41"/>
      <c r="AO57" s="41"/>
      <c r="AP57" s="41"/>
      <c r="AQ57" s="41"/>
      <c r="AR57" s="41"/>
      <c r="AS57" s="41"/>
      <c r="AT57" s="41"/>
      <c r="AU57" s="41"/>
      <c r="AV57" s="41"/>
      <c r="AW57" s="41"/>
      <c r="AX57" s="41"/>
      <c r="AY57" s="41"/>
      <c r="AZ57" s="41"/>
      <c r="BA57" s="41"/>
      <c r="BB57" s="41"/>
      <c r="BC57" s="41"/>
      <c r="BD57" s="41"/>
      <c r="BE57" s="41"/>
      <c r="BF57" s="41"/>
      <c r="BG57" s="41"/>
      <c r="BH57" s="41"/>
      <c r="BI57" s="41"/>
      <c r="BJ57" s="41"/>
      <c r="BK57" s="41"/>
      <c r="BL57" s="41"/>
      <c r="BM57" s="41"/>
      <c r="BN57" s="41"/>
      <c r="BO57" s="41"/>
      <c r="BP57" s="41"/>
      <c r="BQ57" s="41"/>
      <c r="BR57" s="41"/>
      <c r="BS57" s="41"/>
      <c r="BT57" s="41"/>
      <c r="BU57" s="41"/>
      <c r="BV57" s="41"/>
      <c r="BW57" s="41"/>
      <c r="BX57" s="41"/>
      <c r="BY57" s="41"/>
      <c r="BZ57" s="41"/>
      <c r="CA57" s="41"/>
      <c r="CB57" s="41"/>
      <c r="CC57" s="41"/>
      <c r="CD57" s="41"/>
      <c r="CE57" s="41"/>
      <c r="CF57" s="41"/>
      <c r="CG57" s="41"/>
      <c r="CH57" s="41"/>
      <c r="CI57" s="41"/>
      <c r="CJ57" s="41"/>
      <c r="CK57" s="41"/>
      <c r="CL57" s="41"/>
      <c r="CM57" s="41"/>
      <c r="CN57" s="41"/>
      <c r="CO57" s="41"/>
      <c r="CP57" s="41"/>
    </row>
    <row r="58" spans="1:94" s="53" customFormat="1" ht="15.75" customHeight="1" x14ac:dyDescent="0.25">
      <c r="A58" s="85">
        <v>6.31</v>
      </c>
      <c r="B58" s="83"/>
      <c r="C58" s="408" t="s">
        <v>52</v>
      </c>
      <c r="D58" s="409"/>
      <c r="E58" s="102"/>
      <c r="F58" s="58">
        <v>0</v>
      </c>
      <c r="G58" s="88">
        <v>0</v>
      </c>
      <c r="H58" s="88">
        <v>0</v>
      </c>
      <c r="I58" s="265">
        <v>0</v>
      </c>
      <c r="J58" s="89">
        <f>SUM(G58:I58)</f>
        <v>0</v>
      </c>
      <c r="K58" s="62"/>
      <c r="L58" s="88"/>
      <c r="M58" s="262"/>
      <c r="N58" s="89">
        <f>SUM(L58:M58)</f>
        <v>0</v>
      </c>
      <c r="O58"/>
      <c r="P58"/>
      <c r="Q58"/>
      <c r="R58"/>
      <c r="S58"/>
      <c r="T58"/>
      <c r="U58"/>
      <c r="V58"/>
      <c r="W58"/>
      <c r="X58"/>
      <c r="Y58"/>
      <c r="Z58" s="344"/>
      <c r="AA58" s="363"/>
      <c r="AB58" s="363"/>
      <c r="AC58" s="363"/>
      <c r="AD58" s="110"/>
      <c r="AE58" s="41"/>
      <c r="AF58" s="41"/>
      <c r="AG58" s="41"/>
      <c r="AH58" s="41"/>
      <c r="AI58" s="41"/>
      <c r="AJ58" s="41"/>
      <c r="AK58" s="41"/>
      <c r="AL58" s="41"/>
      <c r="AM58" s="41"/>
      <c r="AN58" s="41"/>
      <c r="AO58" s="41"/>
      <c r="AP58" s="41"/>
      <c r="AQ58" s="41"/>
      <c r="AR58" s="41"/>
      <c r="AS58" s="41"/>
      <c r="AT58" s="41"/>
      <c r="AU58" s="41"/>
      <c r="AV58" s="41"/>
      <c r="AW58" s="41"/>
      <c r="AX58" s="41"/>
      <c r="AY58" s="41"/>
      <c r="AZ58" s="41"/>
      <c r="BA58" s="41"/>
      <c r="BB58" s="41"/>
      <c r="BC58" s="41"/>
      <c r="BD58" s="41"/>
      <c r="BE58" s="41"/>
      <c r="BF58" s="41"/>
      <c r="BG58" s="41"/>
      <c r="BH58" s="41"/>
      <c r="BI58" s="41"/>
      <c r="BJ58" s="41"/>
      <c r="BK58" s="41"/>
      <c r="BL58" s="41"/>
      <c r="BM58" s="41"/>
      <c r="BN58" s="41"/>
      <c r="BO58" s="41"/>
      <c r="BP58" s="41"/>
      <c r="BQ58" s="41"/>
      <c r="BR58" s="41"/>
      <c r="BS58" s="41"/>
      <c r="BT58" s="41"/>
      <c r="BU58" s="41"/>
      <c r="BV58" s="41"/>
      <c r="BW58" s="41"/>
      <c r="BX58" s="41"/>
      <c r="BY58" s="41"/>
      <c r="BZ58" s="41"/>
      <c r="CA58" s="41"/>
      <c r="CB58" s="41"/>
      <c r="CC58" s="41"/>
      <c r="CD58" s="41"/>
      <c r="CE58" s="41"/>
      <c r="CF58" s="41"/>
      <c r="CG58" s="41"/>
      <c r="CH58" s="41"/>
      <c r="CI58" s="41"/>
      <c r="CJ58" s="41"/>
      <c r="CK58" s="41"/>
      <c r="CL58" s="41"/>
      <c r="CM58" s="41"/>
      <c r="CN58" s="41"/>
      <c r="CO58" s="41"/>
      <c r="CP58" s="41"/>
    </row>
    <row r="59" spans="1:94" s="53" customFormat="1" ht="15.75" customHeight="1" x14ac:dyDescent="0.25">
      <c r="A59" s="85">
        <v>6.51</v>
      </c>
      <c r="B59" s="83"/>
      <c r="C59" s="421" t="s">
        <v>66</v>
      </c>
      <c r="D59" s="422"/>
      <c r="E59" s="102"/>
      <c r="F59" s="58">
        <v>0</v>
      </c>
      <c r="G59" s="88">
        <v>0</v>
      </c>
      <c r="H59" s="92">
        <v>0</v>
      </c>
      <c r="I59" s="264">
        <v>0</v>
      </c>
      <c r="J59" s="267">
        <f>SUM(G59:I59)</f>
        <v>0</v>
      </c>
      <c r="K59" s="62"/>
      <c r="L59" s="88"/>
      <c r="M59" s="261"/>
      <c r="N59" s="89">
        <f>SUM(L59:M59)</f>
        <v>0</v>
      </c>
      <c r="O59"/>
      <c r="P59"/>
      <c r="Q59"/>
      <c r="R59"/>
      <c r="S59"/>
      <c r="T59"/>
      <c r="U59"/>
      <c r="V59"/>
      <c r="W59"/>
      <c r="X59"/>
      <c r="Y59"/>
      <c r="Z59" s="344"/>
      <c r="AA59" s="363"/>
      <c r="AB59" s="363"/>
      <c r="AC59" s="363"/>
      <c r="AD59" s="110"/>
      <c r="AE59" s="41"/>
      <c r="AF59" s="41"/>
      <c r="AG59" s="41"/>
      <c r="AH59" s="41"/>
      <c r="AI59" s="41"/>
      <c r="AJ59" s="41"/>
      <c r="AK59" s="41"/>
      <c r="AL59" s="41"/>
      <c r="AM59" s="41"/>
      <c r="AN59" s="41"/>
      <c r="AO59" s="41"/>
      <c r="AP59" s="41"/>
      <c r="AQ59" s="41"/>
      <c r="AR59" s="41"/>
      <c r="AS59" s="41"/>
      <c r="AT59" s="41"/>
      <c r="AU59" s="41"/>
      <c r="AV59" s="41"/>
      <c r="AW59" s="41"/>
      <c r="AX59" s="41"/>
      <c r="AY59" s="41"/>
      <c r="AZ59" s="41"/>
      <c r="BA59" s="41"/>
      <c r="BB59" s="41"/>
      <c r="BC59" s="41"/>
      <c r="BD59" s="41"/>
      <c r="BE59" s="41"/>
      <c r="BF59" s="41"/>
      <c r="BG59" s="41"/>
      <c r="BH59" s="41"/>
      <c r="BI59" s="41"/>
      <c r="BJ59" s="41"/>
      <c r="BK59" s="41"/>
      <c r="BL59" s="41"/>
      <c r="BM59" s="41"/>
      <c r="BN59" s="41"/>
      <c r="BO59" s="41"/>
      <c r="BP59" s="41"/>
      <c r="BQ59" s="41"/>
      <c r="BR59" s="41"/>
      <c r="BS59" s="41"/>
      <c r="BT59" s="41"/>
      <c r="BU59" s="41"/>
      <c r="BV59" s="41"/>
      <c r="BW59" s="41"/>
      <c r="BX59" s="41"/>
      <c r="BY59" s="41"/>
      <c r="BZ59" s="41"/>
      <c r="CA59" s="41"/>
      <c r="CB59" s="41"/>
      <c r="CC59" s="41"/>
      <c r="CD59" s="41"/>
      <c r="CE59" s="41"/>
      <c r="CF59" s="41"/>
      <c r="CG59" s="41"/>
      <c r="CH59" s="41"/>
      <c r="CI59" s="41"/>
      <c r="CJ59" s="41"/>
      <c r="CK59" s="41"/>
      <c r="CL59" s="41"/>
      <c r="CM59" s="41"/>
      <c r="CN59" s="41"/>
      <c r="CO59" s="41"/>
      <c r="CP59" s="41"/>
    </row>
    <row r="60" spans="1:94" s="53" customFormat="1" ht="15.75" customHeight="1" x14ac:dyDescent="0.25">
      <c r="A60" s="75">
        <v>7</v>
      </c>
      <c r="B60" s="76"/>
      <c r="C60" s="54" t="str">
        <f>"FY "&amp;M4-1</f>
        <v>FY 2022</v>
      </c>
      <c r="D60" s="131" t="s">
        <v>53</v>
      </c>
      <c r="E60" s="135"/>
      <c r="F60" s="55">
        <f>SUM(F56:F59)</f>
        <v>0.3</v>
      </c>
      <c r="G60" s="80">
        <f>SUM(G56:G59)</f>
        <v>56500</v>
      </c>
      <c r="H60" s="80">
        <f>SUM(H56:H59)</f>
        <v>21900</v>
      </c>
      <c r="I60" s="260">
        <f>SUM(I56:I59)</f>
        <v>12100</v>
      </c>
      <c r="J60" s="80">
        <f>SUM(J56:J59)</f>
        <v>90400</v>
      </c>
      <c r="K60" s="263"/>
      <c r="L60" s="61"/>
      <c r="M60" s="61"/>
      <c r="N60" s="60"/>
      <c r="O60"/>
      <c r="P60"/>
      <c r="Q60"/>
      <c r="R60"/>
      <c r="S60"/>
      <c r="T60"/>
      <c r="U60"/>
      <c r="V60"/>
      <c r="W60"/>
      <c r="X60"/>
      <c r="Y60"/>
      <c r="Z60" s="344"/>
      <c r="AA60" s="363"/>
      <c r="AB60" s="363"/>
      <c r="AC60" s="363"/>
      <c r="AD60" s="110"/>
      <c r="AE60" s="41"/>
      <c r="AF60" s="41"/>
      <c r="AG60" s="41"/>
      <c r="AH60" s="41"/>
      <c r="AI60" s="41"/>
      <c r="AJ60" s="41"/>
      <c r="AK60" s="41"/>
      <c r="AL60" s="41"/>
      <c r="AM60" s="41"/>
      <c r="AN60" s="41"/>
      <c r="AO60" s="41"/>
      <c r="AP60" s="41"/>
      <c r="AQ60" s="41"/>
      <c r="AR60" s="41"/>
      <c r="AS60" s="41"/>
      <c r="AT60" s="41"/>
      <c r="AU60" s="41"/>
      <c r="AV60" s="41"/>
      <c r="AW60" s="41"/>
      <c r="AX60" s="41"/>
      <c r="AY60" s="41"/>
      <c r="AZ60" s="41"/>
      <c r="BA60" s="41"/>
      <c r="BB60" s="41"/>
      <c r="BC60" s="41"/>
      <c r="BD60" s="41"/>
      <c r="BE60" s="41"/>
      <c r="BF60" s="41"/>
      <c r="BG60" s="41"/>
      <c r="BH60" s="41"/>
      <c r="BI60" s="41"/>
      <c r="BJ60" s="41"/>
      <c r="BK60" s="41"/>
      <c r="BL60" s="41"/>
      <c r="BM60" s="41"/>
      <c r="BN60" s="41"/>
      <c r="BO60" s="41"/>
      <c r="BP60" s="41"/>
      <c r="BQ60" s="41"/>
      <c r="BR60" s="41"/>
      <c r="BS60" s="41"/>
      <c r="BT60" s="41"/>
      <c r="BU60" s="41"/>
      <c r="BV60" s="41"/>
      <c r="BW60" s="41"/>
      <c r="BX60" s="41"/>
      <c r="BY60" s="41"/>
      <c r="BZ60" s="41"/>
      <c r="CA60" s="41"/>
      <c r="CB60" s="41"/>
      <c r="CC60" s="41"/>
      <c r="CD60" s="41"/>
      <c r="CE60" s="41"/>
      <c r="CF60" s="41"/>
      <c r="CG60" s="41"/>
      <c r="CH60" s="41"/>
      <c r="CI60" s="41"/>
      <c r="CJ60" s="41"/>
      <c r="CK60" s="41"/>
      <c r="CL60" s="41"/>
      <c r="CM60" s="41"/>
      <c r="CN60" s="41"/>
      <c r="CO60" s="41"/>
      <c r="CP60" s="41"/>
    </row>
    <row r="61" spans="1:94" s="53" customFormat="1" ht="15.75" customHeight="1" x14ac:dyDescent="0.25">
      <c r="A61" s="85"/>
      <c r="B61" s="83"/>
      <c r="C61" s="419" t="s">
        <v>54</v>
      </c>
      <c r="D61" s="423"/>
      <c r="E61" s="367"/>
      <c r="F61" s="273"/>
      <c r="G61" s="62"/>
      <c r="H61" s="62"/>
      <c r="I61" s="62"/>
      <c r="J61" s="62"/>
      <c r="K61" s="62"/>
      <c r="L61" s="61"/>
      <c r="M61" s="61"/>
      <c r="N61" s="60"/>
      <c r="O61"/>
      <c r="P61"/>
      <c r="Q61"/>
      <c r="R61"/>
      <c r="S61"/>
      <c r="T61"/>
      <c r="U61"/>
      <c r="V61"/>
      <c r="W61"/>
      <c r="X61"/>
      <c r="Y61"/>
      <c r="Z61" s="344"/>
      <c r="AA61" s="363"/>
      <c r="AB61" s="363"/>
      <c r="AC61" s="363"/>
      <c r="AD61" s="110"/>
      <c r="AE61" s="41"/>
      <c r="AF61" s="41"/>
      <c r="AG61" s="41"/>
      <c r="AH61" s="41"/>
      <c r="AI61" s="41"/>
      <c r="AJ61" s="41"/>
      <c r="AK61" s="41"/>
      <c r="AL61" s="41"/>
      <c r="AM61" s="41"/>
      <c r="AN61" s="41"/>
      <c r="AO61" s="41"/>
      <c r="AP61" s="41"/>
      <c r="AQ61" s="41"/>
      <c r="AR61" s="41"/>
      <c r="AS61" s="41"/>
      <c r="AT61" s="41"/>
      <c r="AU61" s="41"/>
      <c r="AV61" s="41"/>
      <c r="AW61" s="41"/>
      <c r="AX61" s="41"/>
      <c r="AY61" s="41"/>
      <c r="AZ61" s="41"/>
      <c r="BA61" s="41"/>
      <c r="BB61" s="41"/>
      <c r="BC61" s="41"/>
      <c r="BD61" s="41"/>
      <c r="BE61" s="41"/>
      <c r="BF61" s="41"/>
      <c r="BG61" s="41"/>
      <c r="BH61" s="41"/>
      <c r="BI61" s="41"/>
      <c r="BJ61" s="41"/>
      <c r="BK61" s="41"/>
      <c r="BL61" s="41"/>
      <c r="BM61" s="41"/>
      <c r="BN61" s="41"/>
      <c r="BO61" s="41"/>
      <c r="BP61" s="41"/>
      <c r="BQ61" s="41"/>
      <c r="BR61" s="41"/>
      <c r="BS61" s="41"/>
      <c r="BT61" s="41"/>
      <c r="BU61" s="41"/>
      <c r="BV61" s="41"/>
      <c r="BW61" s="41"/>
      <c r="BX61" s="41"/>
      <c r="BY61" s="41"/>
      <c r="BZ61" s="41"/>
      <c r="CA61" s="41"/>
      <c r="CB61" s="41"/>
      <c r="CC61" s="41"/>
      <c r="CD61" s="41"/>
      <c r="CE61" s="41"/>
      <c r="CF61" s="41"/>
      <c r="CG61" s="41"/>
      <c r="CH61" s="41"/>
      <c r="CI61" s="41"/>
      <c r="CJ61" s="41"/>
      <c r="CK61" s="41"/>
      <c r="CL61" s="41"/>
      <c r="CM61" s="41"/>
      <c r="CN61" s="41"/>
      <c r="CO61" s="41"/>
      <c r="CP61" s="41"/>
    </row>
    <row r="62" spans="1:94" s="53" customFormat="1" ht="15.75" customHeight="1" x14ac:dyDescent="0.25">
      <c r="A62" s="85">
        <v>8.31</v>
      </c>
      <c r="B62" s="83"/>
      <c r="C62" s="408" t="s">
        <v>67</v>
      </c>
      <c r="D62" s="409"/>
      <c r="E62" s="102"/>
      <c r="F62" s="58">
        <v>0</v>
      </c>
      <c r="G62" s="88">
        <v>0</v>
      </c>
      <c r="H62" s="91">
        <v>0</v>
      </c>
      <c r="I62" s="276">
        <v>0</v>
      </c>
      <c r="J62" s="89">
        <f>SUM(G62:I62)</f>
        <v>0</v>
      </c>
      <c r="K62" s="62"/>
      <c r="L62" s="88"/>
      <c r="M62" s="261"/>
      <c r="N62" s="89">
        <f>SUM(L62:M62)</f>
        <v>0</v>
      </c>
      <c r="O62"/>
      <c r="P62"/>
      <c r="Q62"/>
      <c r="R62"/>
      <c r="S62"/>
      <c r="T62"/>
      <c r="U62"/>
      <c r="V62"/>
      <c r="W62"/>
      <c r="X62"/>
      <c r="Y62"/>
      <c r="Z62" s="344"/>
      <c r="AA62" s="363"/>
      <c r="AB62" s="363"/>
      <c r="AC62" s="363"/>
      <c r="AD62" s="110"/>
      <c r="AE62" s="41"/>
      <c r="AF62" s="41"/>
      <c r="AG62" s="41"/>
      <c r="AH62" s="41"/>
      <c r="AI62" s="41"/>
      <c r="AJ62" s="41"/>
      <c r="AK62" s="41"/>
      <c r="AL62" s="41"/>
      <c r="AM62" s="41"/>
      <c r="AN62" s="41"/>
      <c r="AO62" s="41"/>
      <c r="AP62" s="41"/>
      <c r="AQ62" s="41"/>
      <c r="AR62" s="41"/>
      <c r="AS62" s="41"/>
      <c r="AT62" s="41"/>
      <c r="AU62" s="41"/>
      <c r="AV62" s="41"/>
      <c r="AW62" s="41"/>
      <c r="AX62" s="41"/>
      <c r="AY62" s="41"/>
      <c r="AZ62" s="41"/>
      <c r="BA62" s="41"/>
      <c r="BB62" s="41"/>
      <c r="BC62" s="41"/>
      <c r="BD62" s="41"/>
      <c r="BE62" s="41"/>
      <c r="BF62" s="41"/>
      <c r="BG62" s="41"/>
      <c r="BH62" s="41"/>
      <c r="BI62" s="41"/>
      <c r="BJ62" s="41"/>
      <c r="BK62" s="41"/>
      <c r="BL62" s="41"/>
      <c r="BM62" s="41"/>
      <c r="BN62" s="41"/>
      <c r="BO62" s="41"/>
      <c r="BP62" s="41"/>
      <c r="BQ62" s="41"/>
      <c r="BR62" s="41"/>
      <c r="BS62" s="41"/>
      <c r="BT62" s="41"/>
      <c r="BU62" s="41"/>
      <c r="BV62" s="41"/>
      <c r="BW62" s="41"/>
      <c r="BX62" s="41"/>
      <c r="BY62" s="41"/>
      <c r="BZ62" s="41"/>
      <c r="CA62" s="41"/>
      <c r="CB62" s="41"/>
      <c r="CC62" s="41"/>
      <c r="CD62" s="41"/>
      <c r="CE62" s="41"/>
      <c r="CF62" s="41"/>
      <c r="CG62" s="41"/>
      <c r="CH62" s="41"/>
      <c r="CI62" s="41"/>
      <c r="CJ62" s="41"/>
      <c r="CK62" s="41"/>
      <c r="CL62" s="41"/>
      <c r="CM62" s="41"/>
      <c r="CN62" s="41"/>
      <c r="CO62" s="41"/>
      <c r="CP62" s="41"/>
    </row>
    <row r="63" spans="1:94" s="53" customFormat="1" ht="15.75" customHeight="1" x14ac:dyDescent="0.25">
      <c r="A63" s="85">
        <v>8.41</v>
      </c>
      <c r="B63" s="83"/>
      <c r="C63" s="408" t="s">
        <v>55</v>
      </c>
      <c r="D63" s="409"/>
      <c r="E63" s="102"/>
      <c r="F63" s="58">
        <v>0</v>
      </c>
      <c r="G63" s="89">
        <f>ROUND((OneTimePC_Total-H63)/(1+(PermVB+Retire1)),-2)</f>
        <v>0</v>
      </c>
      <c r="H63" s="89">
        <f>ROUND(IF(AND(F63&lt;0,OneTimePC_Total&lt;0),F63*Health,0),-2)</f>
        <v>0</v>
      </c>
      <c r="I63" s="310">
        <f>OneTimePC_Total-G63-H63</f>
        <v>0</v>
      </c>
      <c r="J63" s="89">
        <v>0</v>
      </c>
      <c r="K63" s="308"/>
      <c r="L63" s="88"/>
      <c r="M63" s="261"/>
      <c r="N63" s="89">
        <f>SUM(L63:M63)</f>
        <v>0</v>
      </c>
      <c r="O63"/>
      <c r="P63"/>
      <c r="Q63"/>
      <c r="R63"/>
      <c r="S63"/>
      <c r="T63"/>
      <c r="U63"/>
      <c r="V63"/>
      <c r="W63"/>
      <c r="X63"/>
      <c r="Y63"/>
      <c r="Z63" s="344"/>
      <c r="AA63" s="363"/>
      <c r="AB63" s="363"/>
      <c r="AC63" s="363"/>
      <c r="AD63" s="110"/>
      <c r="AE63" s="41"/>
      <c r="AF63" s="41"/>
      <c r="AG63" s="41"/>
      <c r="AH63" s="41"/>
      <c r="AI63" s="41"/>
      <c r="AJ63" s="41"/>
      <c r="AK63" s="41"/>
      <c r="AL63" s="41"/>
      <c r="AM63" s="41"/>
      <c r="AN63" s="41"/>
      <c r="AO63" s="41"/>
      <c r="AP63" s="41"/>
      <c r="AQ63" s="41"/>
      <c r="AR63" s="41"/>
      <c r="AS63" s="41"/>
      <c r="AT63" s="41"/>
      <c r="AU63" s="41"/>
      <c r="AV63" s="41"/>
      <c r="AW63" s="41"/>
      <c r="AX63" s="41"/>
      <c r="AY63" s="41"/>
      <c r="AZ63" s="41"/>
      <c r="BA63" s="41"/>
      <c r="BB63" s="41"/>
      <c r="BC63" s="41"/>
      <c r="BD63" s="41"/>
      <c r="BE63" s="41"/>
      <c r="BF63" s="41"/>
      <c r="BG63" s="41"/>
      <c r="BH63" s="41"/>
      <c r="BI63" s="41"/>
      <c r="BJ63" s="41"/>
      <c r="BK63" s="41"/>
      <c r="BL63" s="41"/>
      <c r="BM63" s="41"/>
      <c r="BN63" s="41"/>
      <c r="BO63" s="41"/>
      <c r="BP63" s="41"/>
      <c r="BQ63" s="41"/>
      <c r="BR63" s="41"/>
      <c r="BS63" s="41"/>
      <c r="BT63" s="41"/>
      <c r="BU63" s="41"/>
      <c r="BV63" s="41"/>
      <c r="BW63" s="41"/>
      <c r="BX63" s="41"/>
      <c r="BY63" s="41"/>
      <c r="BZ63" s="41"/>
      <c r="CA63" s="41"/>
      <c r="CB63" s="41"/>
      <c r="CC63" s="41"/>
      <c r="CD63" s="41"/>
      <c r="CE63" s="41"/>
      <c r="CF63" s="41"/>
      <c r="CG63" s="41"/>
      <c r="CH63" s="41"/>
      <c r="CI63" s="41"/>
      <c r="CJ63" s="41"/>
      <c r="CK63" s="41"/>
      <c r="CL63" s="41"/>
      <c r="CM63" s="41"/>
      <c r="CN63" s="41"/>
      <c r="CO63" s="41"/>
      <c r="CP63" s="41"/>
    </row>
    <row r="64" spans="1:94" s="53" customFormat="1" ht="15.75" customHeight="1" thickBot="1" x14ac:dyDescent="0.3">
      <c r="A64" s="93">
        <v>8.51</v>
      </c>
      <c r="B64" s="93"/>
      <c r="C64" s="413" t="s">
        <v>56</v>
      </c>
      <c r="D64" s="414"/>
      <c r="E64" s="134"/>
      <c r="F64" s="58">
        <v>0</v>
      </c>
      <c r="G64" s="88"/>
      <c r="H64" s="88">
        <v>0</v>
      </c>
      <c r="I64" s="265"/>
      <c r="J64" s="89">
        <f>SUM(G64:I64)</f>
        <v>0</v>
      </c>
      <c r="K64" s="62"/>
      <c r="L64" s="88"/>
      <c r="M64" s="261"/>
      <c r="N64" s="89">
        <f>SUM(L64:M64)</f>
        <v>0</v>
      </c>
      <c r="O64"/>
      <c r="P64"/>
      <c r="Q64"/>
      <c r="R64"/>
      <c r="S64"/>
      <c r="T64"/>
      <c r="U64"/>
      <c r="V64"/>
      <c r="W64"/>
      <c r="X64"/>
      <c r="Y64"/>
      <c r="Z64" s="344"/>
      <c r="AA64" s="363"/>
      <c r="AB64" s="363"/>
      <c r="AC64" s="363"/>
      <c r="AD64" s="110"/>
      <c r="AE64" s="41"/>
      <c r="AF64" s="41"/>
      <c r="AG64" s="41"/>
      <c r="AH64" s="41"/>
      <c r="AI64" s="41"/>
      <c r="AJ64" s="41"/>
      <c r="AK64" s="41"/>
      <c r="AL64" s="41"/>
      <c r="AM64" s="41"/>
      <c r="AN64" s="41"/>
      <c r="AO64" s="41"/>
      <c r="AP64" s="41"/>
      <c r="AQ64" s="41"/>
      <c r="AR64" s="41"/>
      <c r="AS64" s="41"/>
      <c r="AT64" s="41"/>
      <c r="AU64" s="41"/>
      <c r="AV64" s="41"/>
      <c r="AW64" s="41"/>
      <c r="AX64" s="41"/>
      <c r="AY64" s="41"/>
      <c r="AZ64" s="41"/>
      <c r="BA64" s="41"/>
      <c r="BB64" s="41"/>
      <c r="BC64" s="41"/>
      <c r="BD64" s="41"/>
      <c r="BE64" s="41"/>
      <c r="BF64" s="41"/>
      <c r="BG64" s="41"/>
      <c r="BH64" s="41"/>
      <c r="BI64" s="41"/>
      <c r="BJ64" s="41"/>
      <c r="BK64" s="41"/>
      <c r="BL64" s="41"/>
      <c r="BM64" s="41"/>
      <c r="BN64" s="41"/>
      <c r="BO64" s="41"/>
      <c r="BP64" s="41"/>
      <c r="BQ64" s="41"/>
      <c r="BR64" s="41"/>
      <c r="BS64" s="41"/>
      <c r="BT64" s="41"/>
      <c r="BU64" s="41"/>
      <c r="BV64" s="41"/>
      <c r="BW64" s="41"/>
      <c r="BX64" s="41"/>
      <c r="BY64" s="41"/>
      <c r="BZ64" s="41"/>
      <c r="CA64" s="41"/>
      <c r="CB64" s="41"/>
      <c r="CC64" s="41"/>
      <c r="CD64" s="41"/>
      <c r="CE64" s="41"/>
      <c r="CF64" s="41"/>
      <c r="CG64" s="41"/>
      <c r="CH64" s="41"/>
      <c r="CI64" s="41"/>
      <c r="CJ64" s="41"/>
      <c r="CK64" s="41"/>
      <c r="CL64" s="41"/>
      <c r="CM64" s="41"/>
      <c r="CN64" s="41"/>
      <c r="CO64" s="41"/>
      <c r="CP64" s="41"/>
    </row>
    <row r="65" spans="1:94" s="53" customFormat="1" ht="6" customHeight="1" thickTop="1" x14ac:dyDescent="0.25">
      <c r="A65" s="94"/>
      <c r="B65" s="95"/>
      <c r="C65" s="415"/>
      <c r="D65" s="416"/>
      <c r="E65" s="96"/>
      <c r="F65" s="97"/>
      <c r="G65" s="98"/>
      <c r="H65" s="98"/>
      <c r="I65" s="98"/>
      <c r="J65" s="98"/>
      <c r="K65" s="98"/>
      <c r="L65" s="98"/>
      <c r="M65" s="99"/>
      <c r="N65" s="95"/>
      <c r="O65"/>
      <c r="P65"/>
      <c r="Q65"/>
      <c r="R65"/>
      <c r="S65"/>
      <c r="T65"/>
      <c r="U65"/>
      <c r="V65"/>
      <c r="W65"/>
      <c r="X65"/>
      <c r="Y65"/>
      <c r="Z65" s="344"/>
      <c r="AA65" s="363"/>
      <c r="AB65" s="363"/>
      <c r="AC65" s="363"/>
      <c r="AD65" s="110"/>
      <c r="AE65" s="41"/>
      <c r="AF65" s="41"/>
      <c r="AG65" s="41"/>
      <c r="AH65" s="41"/>
      <c r="AI65" s="41"/>
      <c r="AJ65" s="41"/>
      <c r="AK65" s="41"/>
      <c r="AL65" s="41"/>
      <c r="AM65" s="41"/>
      <c r="AN65" s="41"/>
      <c r="AO65" s="41"/>
      <c r="AP65" s="41"/>
      <c r="AQ65" s="41"/>
      <c r="AR65" s="41"/>
      <c r="AS65" s="41"/>
      <c r="AT65" s="41"/>
      <c r="AU65" s="41"/>
      <c r="AV65" s="41"/>
      <c r="AW65" s="41"/>
      <c r="AX65" s="41"/>
      <c r="AY65" s="41"/>
      <c r="AZ65" s="41"/>
      <c r="BA65" s="41"/>
      <c r="BB65" s="41"/>
      <c r="BC65" s="41"/>
      <c r="BD65" s="41"/>
      <c r="BE65" s="41"/>
      <c r="BF65" s="41"/>
      <c r="BG65" s="41"/>
      <c r="BH65" s="41"/>
      <c r="BI65" s="41"/>
      <c r="BJ65" s="41"/>
      <c r="BK65" s="41"/>
      <c r="BL65" s="41"/>
      <c r="BM65" s="41"/>
      <c r="BN65" s="41"/>
      <c r="BO65" s="41"/>
      <c r="BP65" s="41"/>
      <c r="BQ65" s="41"/>
      <c r="BR65" s="41"/>
      <c r="BS65" s="41"/>
      <c r="BT65" s="41"/>
      <c r="BU65" s="41"/>
      <c r="BV65" s="41"/>
      <c r="BW65" s="41"/>
      <c r="BX65" s="41"/>
      <c r="BY65" s="41"/>
      <c r="BZ65" s="41"/>
      <c r="CA65" s="41"/>
      <c r="CB65" s="41"/>
      <c r="CC65" s="41"/>
      <c r="CD65" s="41"/>
      <c r="CE65" s="41"/>
      <c r="CF65" s="41"/>
      <c r="CG65" s="41"/>
      <c r="CH65" s="41"/>
      <c r="CI65" s="41"/>
      <c r="CJ65" s="41"/>
      <c r="CK65" s="41"/>
      <c r="CL65" s="41"/>
      <c r="CM65" s="41"/>
      <c r="CN65" s="41"/>
      <c r="CO65" s="41"/>
      <c r="CP65" s="41"/>
    </row>
    <row r="66" spans="1:94" s="107" customFormat="1" ht="15" x14ac:dyDescent="0.25">
      <c r="A66" s="100"/>
      <c r="B66" s="101"/>
      <c r="C66" s="417"/>
      <c r="D66" s="418"/>
      <c r="E66" s="102"/>
      <c r="F66" s="103" t="s">
        <v>24</v>
      </c>
      <c r="G66" s="104" t="str">
        <f>"FY "&amp;M4-2000&amp;" Salary"</f>
        <v>FY 23 Salary</v>
      </c>
      <c r="H66" s="104" t="str">
        <f>"FY"&amp;M4-2000&amp;" Health Ben"</f>
        <v>FY23 Health Ben</v>
      </c>
      <c r="I66" s="104" t="str">
        <f>"FY "&amp;M4-2000&amp;" Var Ben"</f>
        <v>FY 23 Var Ben</v>
      </c>
      <c r="J66" s="104" t="str">
        <f>"FY "&amp;M4&amp;" Total"</f>
        <v>FY 2023 Total</v>
      </c>
      <c r="K66" s="104"/>
      <c r="L66" s="105"/>
      <c r="M66" s="105"/>
      <c r="N66" s="101"/>
      <c r="O66"/>
      <c r="P66"/>
      <c r="Q66"/>
      <c r="R66"/>
      <c r="S66"/>
      <c r="T66"/>
      <c r="U66"/>
      <c r="V66"/>
      <c r="W66"/>
      <c r="X66"/>
      <c r="Y66"/>
      <c r="Z66" s="344"/>
      <c r="AA66" s="339"/>
      <c r="AB66" s="339"/>
      <c r="AC66" s="339"/>
      <c r="AD66" s="105"/>
      <c r="AE66" s="106"/>
      <c r="AF66" s="106"/>
      <c r="AG66" s="106"/>
      <c r="AH66" s="106"/>
      <c r="AI66" s="106"/>
      <c r="AJ66" s="106"/>
      <c r="AK66" s="106"/>
      <c r="AL66" s="106"/>
      <c r="AM66" s="106"/>
      <c r="AN66" s="106"/>
      <c r="AO66" s="106"/>
      <c r="AP66" s="106"/>
      <c r="AQ66" s="106"/>
      <c r="AR66" s="106"/>
      <c r="AS66" s="106"/>
      <c r="AT66" s="106"/>
      <c r="AU66" s="106"/>
      <c r="AV66" s="106"/>
      <c r="AW66" s="106"/>
      <c r="AX66" s="106"/>
      <c r="AY66" s="106"/>
      <c r="AZ66" s="106"/>
      <c r="BA66" s="106"/>
      <c r="BB66" s="106"/>
      <c r="BC66" s="106"/>
      <c r="BD66" s="106"/>
      <c r="BE66" s="106"/>
      <c r="BF66" s="106"/>
      <c r="BG66" s="106"/>
      <c r="BH66" s="106"/>
      <c r="BI66" s="106"/>
      <c r="BJ66" s="106"/>
      <c r="BK66" s="106"/>
      <c r="BL66" s="106"/>
      <c r="BM66" s="106"/>
      <c r="BN66" s="106"/>
      <c r="BO66" s="106"/>
      <c r="BP66" s="106"/>
      <c r="BQ66" s="106"/>
      <c r="BR66" s="106"/>
      <c r="BS66" s="106"/>
      <c r="BT66" s="106"/>
      <c r="BU66" s="106"/>
      <c r="BV66" s="106"/>
      <c r="BW66" s="106"/>
      <c r="BX66" s="106"/>
      <c r="BY66" s="106"/>
      <c r="BZ66" s="106"/>
      <c r="CA66" s="106"/>
      <c r="CB66" s="106"/>
      <c r="CC66" s="106"/>
      <c r="CD66" s="106"/>
      <c r="CE66" s="106"/>
      <c r="CF66" s="106"/>
      <c r="CG66" s="106"/>
      <c r="CH66" s="106"/>
      <c r="CI66" s="106"/>
      <c r="CJ66" s="106"/>
      <c r="CK66" s="106"/>
      <c r="CL66" s="106"/>
      <c r="CM66" s="106"/>
      <c r="CN66" s="106"/>
      <c r="CO66" s="106"/>
      <c r="CP66" s="106"/>
    </row>
    <row r="67" spans="1:94" s="53" customFormat="1" ht="15" x14ac:dyDescent="0.25">
      <c r="A67" s="82">
        <v>9</v>
      </c>
      <c r="B67" s="83"/>
      <c r="C67" s="84" t="str">
        <f>"FY "&amp;M4</f>
        <v>FY 2023</v>
      </c>
      <c r="D67" s="108" t="s">
        <v>57</v>
      </c>
      <c r="E67" s="109"/>
      <c r="F67" s="55">
        <f>SUM(F60:F64)</f>
        <v>0.3</v>
      </c>
      <c r="G67" s="80">
        <f>SUM(G60:G64)</f>
        <v>56500</v>
      </c>
      <c r="H67" s="80">
        <f>SUM(H60:H64)</f>
        <v>21900</v>
      </c>
      <c r="I67" s="80">
        <f>SUM(I60:I64)</f>
        <v>12100</v>
      </c>
      <c r="J67" s="80">
        <f>SUM(J60:J64)</f>
        <v>90400</v>
      </c>
      <c r="K67" s="263"/>
      <c r="L67" s="110"/>
      <c r="M67" s="110"/>
      <c r="N67" s="111"/>
      <c r="O67"/>
      <c r="P67"/>
      <c r="Q67"/>
      <c r="R67"/>
      <c r="S67"/>
      <c r="T67"/>
      <c r="U67"/>
      <c r="V67"/>
      <c r="W67"/>
      <c r="X67"/>
      <c r="Y67"/>
      <c r="Z67" s="344"/>
      <c r="AA67" s="363"/>
      <c r="AB67" s="363"/>
      <c r="AC67" s="363"/>
      <c r="AD67" s="110"/>
      <c r="AE67" s="41"/>
      <c r="AF67" s="41"/>
      <c r="AG67" s="41"/>
      <c r="AH67" s="41"/>
      <c r="AI67" s="41"/>
      <c r="AJ67" s="41"/>
      <c r="AK67" s="41"/>
      <c r="AL67" s="41"/>
      <c r="AM67" s="41"/>
      <c r="AN67" s="41"/>
      <c r="AO67" s="41"/>
      <c r="AP67" s="41"/>
      <c r="AQ67" s="41"/>
      <c r="AR67" s="41"/>
      <c r="AS67" s="41"/>
      <c r="AT67" s="41"/>
      <c r="AU67" s="41"/>
      <c r="AV67" s="41"/>
      <c r="AW67" s="41"/>
      <c r="AX67" s="41"/>
      <c r="AY67" s="41"/>
      <c r="AZ67" s="41"/>
      <c r="BA67" s="41"/>
      <c r="BB67" s="41"/>
      <c r="BC67" s="41"/>
      <c r="BD67" s="41"/>
      <c r="BE67" s="41"/>
      <c r="BF67" s="41"/>
      <c r="BG67" s="41"/>
      <c r="BH67" s="41"/>
      <c r="BI67" s="41"/>
      <c r="BJ67" s="41"/>
      <c r="BK67" s="41"/>
      <c r="BL67" s="41"/>
      <c r="BM67" s="41"/>
      <c r="BN67" s="41"/>
      <c r="BO67" s="41"/>
      <c r="BP67" s="41"/>
      <c r="BQ67" s="41"/>
      <c r="BR67" s="41"/>
      <c r="BS67" s="41"/>
      <c r="BT67" s="41"/>
      <c r="BU67" s="41"/>
      <c r="BV67" s="41"/>
      <c r="BW67" s="41"/>
      <c r="BX67" s="41"/>
      <c r="BY67" s="41"/>
      <c r="BZ67" s="41"/>
      <c r="CA67" s="41"/>
      <c r="CB67" s="41"/>
      <c r="CC67" s="41"/>
      <c r="CD67" s="41"/>
      <c r="CE67" s="41"/>
      <c r="CF67" s="41"/>
      <c r="CG67" s="41"/>
      <c r="CH67" s="41"/>
      <c r="CI67" s="41"/>
      <c r="CJ67" s="41"/>
      <c r="CK67" s="41"/>
      <c r="CL67" s="41"/>
      <c r="CM67" s="41"/>
      <c r="CN67" s="41"/>
      <c r="CO67" s="41"/>
      <c r="CP67" s="41"/>
    </row>
    <row r="68" spans="1:94" s="53" customFormat="1" ht="15.75" customHeight="1" x14ac:dyDescent="0.25">
      <c r="A68" s="85">
        <v>10.11</v>
      </c>
      <c r="B68" s="83"/>
      <c r="C68" s="419" t="s">
        <v>58</v>
      </c>
      <c r="D68" s="420"/>
      <c r="E68" s="112"/>
      <c r="F68" s="288"/>
      <c r="G68" s="287"/>
      <c r="H68" s="113">
        <f>IF(DUNine=0,0,ROUND(SUM(L41:L65),-2))</f>
        <v>0</v>
      </c>
      <c r="I68" s="113"/>
      <c r="J68" s="287">
        <f>SUM(G68:I68)</f>
        <v>0</v>
      </c>
      <c r="K68" s="291"/>
      <c r="L68" s="292"/>
      <c r="M68" s="292"/>
      <c r="N68" s="293"/>
      <c r="O68"/>
      <c r="P68"/>
      <c r="Q68"/>
      <c r="R68"/>
      <c r="S68"/>
      <c r="T68"/>
      <c r="U68"/>
      <c r="V68"/>
      <c r="W68"/>
      <c r="X68"/>
      <c r="Y68"/>
      <c r="Z68" s="344"/>
      <c r="AA68" s="363"/>
      <c r="AB68" s="363"/>
      <c r="AC68" s="363"/>
      <c r="AD68" s="110"/>
      <c r="AE68" s="41"/>
      <c r="AF68" s="41"/>
      <c r="AG68" s="41"/>
      <c r="AH68" s="41"/>
      <c r="AI68" s="41"/>
      <c r="AJ68" s="41"/>
      <c r="AK68" s="41"/>
      <c r="AL68" s="41"/>
      <c r="AM68" s="41"/>
      <c r="AN68" s="41"/>
      <c r="AO68" s="41"/>
      <c r="AP68" s="41"/>
      <c r="AQ68" s="41"/>
      <c r="AR68" s="41"/>
      <c r="AS68" s="41"/>
      <c r="AT68" s="41"/>
      <c r="AU68" s="41"/>
      <c r="AV68" s="41"/>
      <c r="AW68" s="41"/>
      <c r="AX68" s="41"/>
      <c r="AY68" s="41"/>
      <c r="AZ68" s="41"/>
      <c r="BA68" s="41"/>
      <c r="BB68" s="41"/>
      <c r="BC68" s="41"/>
      <c r="BD68" s="41"/>
      <c r="BE68" s="41"/>
      <c r="BF68" s="41"/>
      <c r="BG68" s="41"/>
      <c r="BH68" s="41"/>
      <c r="BI68" s="41"/>
      <c r="BJ68" s="41"/>
      <c r="BK68" s="41"/>
      <c r="BL68" s="41"/>
      <c r="BM68" s="41"/>
      <c r="BN68" s="41"/>
      <c r="BO68" s="41"/>
      <c r="BP68" s="41"/>
      <c r="BQ68" s="41"/>
      <c r="BR68" s="41"/>
      <c r="BS68" s="41"/>
      <c r="BT68" s="41"/>
      <c r="BU68" s="41"/>
      <c r="BV68" s="41"/>
      <c r="BW68" s="41"/>
      <c r="BX68" s="41"/>
      <c r="BY68" s="41"/>
      <c r="BZ68" s="41"/>
      <c r="CA68" s="41"/>
      <c r="CB68" s="41"/>
      <c r="CC68" s="41"/>
      <c r="CD68" s="41"/>
      <c r="CE68" s="41"/>
      <c r="CF68" s="41"/>
      <c r="CG68" s="41"/>
      <c r="CH68" s="41"/>
      <c r="CI68" s="41"/>
      <c r="CJ68" s="41"/>
      <c r="CK68" s="41"/>
      <c r="CL68" s="41"/>
      <c r="CM68" s="41"/>
      <c r="CN68" s="41"/>
      <c r="CO68" s="41"/>
      <c r="CP68" s="41"/>
    </row>
    <row r="69" spans="1:94" s="53" customFormat="1" ht="15" x14ac:dyDescent="0.25">
      <c r="A69" s="85">
        <v>10.119999999999999</v>
      </c>
      <c r="B69" s="83"/>
      <c r="C69" s="419" t="s">
        <v>59</v>
      </c>
      <c r="D69" s="420"/>
      <c r="E69" s="112"/>
      <c r="F69" s="288"/>
      <c r="G69" s="113"/>
      <c r="H69" s="113"/>
      <c r="I69" s="113">
        <f>IF(DUNine=0,0,ROUND(SUM(M41:M64),-2))</f>
        <v>0</v>
      </c>
      <c r="J69" s="287">
        <f>SUM(G69:I69)</f>
        <v>0</v>
      </c>
      <c r="K69" s="291"/>
      <c r="L69" s="292"/>
      <c r="M69" s="292"/>
      <c r="N69" s="293"/>
      <c r="O69"/>
      <c r="P69"/>
      <c r="Q69"/>
      <c r="R69"/>
      <c r="S69"/>
      <c r="T69"/>
      <c r="U69"/>
      <c r="V69"/>
      <c r="W69"/>
      <c r="X69"/>
      <c r="Y69"/>
      <c r="Z69" s="344"/>
      <c r="AA69" s="363"/>
      <c r="AB69" s="363"/>
      <c r="AC69" s="363"/>
      <c r="AD69" s="110"/>
      <c r="AE69" s="41"/>
      <c r="AF69" s="41"/>
      <c r="AG69" s="41"/>
      <c r="AH69" s="41"/>
      <c r="AI69" s="41"/>
      <c r="AJ69" s="41"/>
      <c r="AK69" s="41"/>
      <c r="AL69" s="41"/>
      <c r="AM69" s="41"/>
      <c r="AN69" s="41"/>
      <c r="AO69" s="41"/>
      <c r="AP69" s="41"/>
      <c r="AQ69" s="41"/>
      <c r="AR69" s="41"/>
      <c r="AS69" s="41"/>
      <c r="AT69" s="41"/>
      <c r="AU69" s="41"/>
      <c r="AV69" s="41"/>
      <c r="AW69" s="41"/>
      <c r="AX69" s="41"/>
      <c r="AY69" s="41"/>
      <c r="AZ69" s="41"/>
      <c r="BA69" s="41"/>
      <c r="BB69" s="41"/>
      <c r="BC69" s="41"/>
      <c r="BD69" s="41"/>
      <c r="BE69" s="41"/>
      <c r="BF69" s="41"/>
      <c r="BG69" s="41"/>
      <c r="BH69" s="41"/>
      <c r="BI69" s="41"/>
      <c r="BJ69" s="41"/>
      <c r="BK69" s="41"/>
      <c r="BL69" s="41"/>
      <c r="BM69" s="41"/>
      <c r="BN69" s="41"/>
      <c r="BO69" s="41"/>
      <c r="BP69" s="41"/>
      <c r="BQ69" s="41"/>
      <c r="BR69" s="41"/>
      <c r="BS69" s="41"/>
      <c r="BT69" s="41"/>
      <c r="BU69" s="41"/>
      <c r="BV69" s="41"/>
      <c r="BW69" s="41"/>
      <c r="BX69" s="41"/>
      <c r="BY69" s="41"/>
      <c r="BZ69" s="41"/>
      <c r="CA69" s="41"/>
      <c r="CB69" s="41"/>
      <c r="CC69" s="41"/>
      <c r="CD69" s="41"/>
      <c r="CE69" s="41"/>
      <c r="CF69" s="41"/>
      <c r="CG69" s="41"/>
      <c r="CH69" s="41"/>
      <c r="CI69" s="41"/>
      <c r="CJ69" s="41"/>
      <c r="CK69" s="41"/>
      <c r="CL69" s="41"/>
      <c r="CM69" s="41"/>
      <c r="CN69" s="41"/>
      <c r="CO69" s="41"/>
      <c r="CP69" s="41"/>
    </row>
    <row r="70" spans="1:94" s="53" customFormat="1" ht="15" x14ac:dyDescent="0.25">
      <c r="A70" s="85"/>
      <c r="B70" s="83"/>
      <c r="C70" s="406"/>
      <c r="D70" s="407"/>
      <c r="E70" s="236" t="s">
        <v>23</v>
      </c>
      <c r="F70" s="288"/>
      <c r="G70" s="113"/>
      <c r="H70" s="113"/>
      <c r="I70" s="113"/>
      <c r="J70" s="287">
        <f>SUM(G70:I70)</f>
        <v>0</v>
      </c>
      <c r="K70" s="291"/>
      <c r="L70" s="292"/>
      <c r="M70" s="294"/>
      <c r="N70" s="295"/>
      <c r="O70"/>
      <c r="P70"/>
      <c r="Q70"/>
      <c r="R70"/>
      <c r="S70"/>
      <c r="T70"/>
      <c r="U70"/>
      <c r="V70"/>
      <c r="W70"/>
      <c r="X70"/>
      <c r="Y70"/>
      <c r="Z70" s="344"/>
      <c r="AA70" s="363"/>
      <c r="AB70" s="363"/>
      <c r="AC70" s="363"/>
      <c r="AD70" s="110"/>
      <c r="AE70" s="41"/>
      <c r="AF70" s="41"/>
      <c r="AG70" s="41"/>
      <c r="AH70" s="41"/>
      <c r="AI70" s="41"/>
      <c r="AJ70" s="41"/>
      <c r="AK70" s="41"/>
      <c r="AL70" s="41"/>
      <c r="AM70" s="41"/>
      <c r="AN70" s="41"/>
      <c r="AO70" s="41"/>
      <c r="AP70" s="41"/>
      <c r="AQ70" s="41"/>
      <c r="AR70" s="41"/>
      <c r="AS70" s="41"/>
      <c r="AT70" s="41"/>
      <c r="AU70" s="41"/>
      <c r="AV70" s="41"/>
      <c r="AW70" s="41"/>
      <c r="AX70" s="41"/>
      <c r="AY70" s="41"/>
      <c r="AZ70" s="41"/>
      <c r="BA70" s="41"/>
      <c r="BB70" s="41"/>
      <c r="BC70" s="41"/>
      <c r="BD70" s="41"/>
      <c r="BE70" s="41"/>
      <c r="BF70" s="41"/>
      <c r="BG70" s="41"/>
      <c r="BH70" s="41"/>
      <c r="BI70" s="41"/>
      <c r="BJ70" s="41"/>
      <c r="BK70" s="41"/>
      <c r="BL70" s="41"/>
      <c r="BM70" s="41"/>
      <c r="BN70" s="41"/>
      <c r="BO70" s="41"/>
      <c r="BP70" s="41"/>
      <c r="BQ70" s="41"/>
      <c r="BR70" s="41"/>
      <c r="BS70" s="41"/>
      <c r="BT70" s="41"/>
      <c r="BU70" s="41"/>
      <c r="BV70" s="41"/>
      <c r="BW70" s="41"/>
      <c r="BX70" s="41"/>
      <c r="BY70" s="41"/>
      <c r="BZ70" s="41"/>
      <c r="CA70" s="41"/>
      <c r="CB70" s="41"/>
      <c r="CC70" s="41"/>
      <c r="CD70" s="41"/>
      <c r="CE70" s="41"/>
      <c r="CF70" s="41"/>
      <c r="CG70" s="41"/>
      <c r="CH70" s="41"/>
      <c r="CI70" s="41"/>
      <c r="CJ70" s="41"/>
      <c r="CK70" s="41"/>
      <c r="CL70" s="41"/>
      <c r="CM70" s="41"/>
      <c r="CN70" s="41"/>
      <c r="CO70" s="41"/>
      <c r="CP70" s="41"/>
    </row>
    <row r="71" spans="1:94" s="53" customFormat="1" ht="15.75" customHeight="1" x14ac:dyDescent="0.25">
      <c r="A71" s="85">
        <v>10.51</v>
      </c>
      <c r="B71" s="83"/>
      <c r="C71" s="408" t="s">
        <v>60</v>
      </c>
      <c r="D71" s="409"/>
      <c r="E71" s="237"/>
      <c r="F71" s="288"/>
      <c r="G71" s="92">
        <v>0</v>
      </c>
      <c r="H71" s="92">
        <v>0</v>
      </c>
      <c r="I71" s="287">
        <f>ROUND(IF(AND($G71&lt;&gt;0,$E71=1),$G71*PermVBBY+$G71*Retire1BY,IF(AND($G71&lt;&gt;0,$E71=2),$G71*GroupVBBY,IF(AND($G71&lt;&gt;0,$E71=3),$G71*ElectVBBY+$G71*Retire1BY,0))),-2)</f>
        <v>0</v>
      </c>
      <c r="J71" s="113">
        <f t="shared" ref="J71:J74" si="11">SUM(G71:I71)</f>
        <v>0</v>
      </c>
      <c r="K71" s="296"/>
      <c r="L71" s="297"/>
      <c r="M71" s="348" t="s">
        <v>112</v>
      </c>
      <c r="N71" s="356"/>
      <c r="O71" s="357"/>
      <c r="P71" s="357"/>
      <c r="Q71"/>
      <c r="R71"/>
      <c r="S71"/>
      <c r="T71"/>
      <c r="U71"/>
      <c r="V71"/>
      <c r="W71"/>
      <c r="X71"/>
      <c r="Y71"/>
      <c r="Z71" s="344"/>
      <c r="AA71" s="363"/>
      <c r="AB71" s="363"/>
      <c r="AC71" s="363"/>
      <c r="AD71" s="110"/>
      <c r="AE71" s="41"/>
      <c r="AF71" s="41"/>
      <c r="AG71" s="41"/>
      <c r="AH71" s="41"/>
      <c r="AI71" s="41"/>
      <c r="AJ71" s="41"/>
      <c r="AK71" s="41"/>
      <c r="AL71" s="41"/>
      <c r="AM71" s="41"/>
      <c r="AN71" s="41"/>
      <c r="AO71" s="41"/>
      <c r="AP71" s="41"/>
      <c r="AQ71" s="41"/>
      <c r="AR71" s="41"/>
      <c r="AS71" s="41"/>
      <c r="AT71" s="41"/>
      <c r="AU71" s="41"/>
      <c r="AV71" s="41"/>
      <c r="AW71" s="41"/>
      <c r="AX71" s="41"/>
      <c r="AY71" s="41"/>
      <c r="AZ71" s="41"/>
      <c r="BA71" s="41"/>
      <c r="BB71" s="41"/>
      <c r="BC71" s="41"/>
      <c r="BD71" s="41"/>
      <c r="BE71" s="41"/>
      <c r="BF71" s="41"/>
      <c r="BG71" s="41"/>
      <c r="BH71" s="41"/>
      <c r="BI71" s="41"/>
      <c r="BJ71" s="41"/>
      <c r="BK71" s="41"/>
      <c r="BL71" s="41"/>
      <c r="BM71" s="41"/>
      <c r="BN71" s="41"/>
      <c r="BO71" s="41"/>
      <c r="BP71" s="41"/>
      <c r="BQ71" s="41"/>
      <c r="BR71" s="41"/>
      <c r="BS71" s="41"/>
      <c r="BT71" s="41"/>
      <c r="BU71" s="41"/>
      <c r="BV71" s="41"/>
      <c r="BW71" s="41"/>
      <c r="BX71" s="41"/>
      <c r="BY71" s="41"/>
      <c r="BZ71" s="41"/>
      <c r="CA71" s="41"/>
      <c r="CB71" s="41"/>
      <c r="CC71" s="41"/>
      <c r="CD71" s="41"/>
      <c r="CE71" s="41"/>
      <c r="CF71" s="41"/>
      <c r="CG71" s="41"/>
      <c r="CH71" s="41"/>
      <c r="CI71" s="41"/>
      <c r="CJ71" s="41"/>
      <c r="CK71" s="41"/>
      <c r="CL71" s="41"/>
      <c r="CM71" s="41"/>
      <c r="CN71" s="41"/>
      <c r="CO71" s="41"/>
      <c r="CP71" s="41"/>
    </row>
    <row r="72" spans="1:94" s="53" customFormat="1" ht="15.75" customHeight="1" x14ac:dyDescent="0.25">
      <c r="A72" s="85">
        <v>10.61</v>
      </c>
      <c r="B72" s="83"/>
      <c r="C72" s="408" t="s">
        <v>101</v>
      </c>
      <c r="D72" s="410"/>
      <c r="E72" s="290">
        <f>CECPerm</f>
        <v>0.01</v>
      </c>
      <c r="F72" s="288"/>
      <c r="G72" s="355">
        <f>IF(DUNine=0,0,IF(DUNine&lt;0,0,ROUND(AdjPermSalary*CECPerm,-2)))</f>
        <v>100</v>
      </c>
      <c r="H72" s="287"/>
      <c r="I72" s="287">
        <f>ROUND(($G72*PermVBBY+$G72*Retire1BY),-2)</f>
        <v>0</v>
      </c>
      <c r="J72" s="113">
        <f>SUM(G72:I72)</f>
        <v>100</v>
      </c>
      <c r="K72" s="296"/>
      <c r="L72" s="298"/>
      <c r="M72" s="349" t="e">
        <f>IF(DUNine=0,0,IF(((#REF!-G39-G40)*E72)&lt;0,0,ROUND(((#REF!-G39-G40)*E72),-2)))</f>
        <v>#REF!</v>
      </c>
      <c r="N72" s="358"/>
      <c r="O72" s="357" t="e">
        <f>IF(DUNine=0,0,IF(DUNine&lt;0,0,IF(SubCECBase&lt;RoundedAppropSalary,ROUND(AdjPermSalary*CECpermCalc,-2)+((SubCECBase-RoundedAppropSalary)*CECpermCalc),IF(SubCECBase&gt;RoundedAppropSalary,ROUND(AdjPermSalary*CECpermCalc,-2)+((SubCECBase-RoundedAppropSalary)*CECpermCalc),ROUND(AdjPermSalary*CECpermCalc,-2)))))</f>
        <v>#REF!</v>
      </c>
      <c r="P72" s="357"/>
      <c r="Q72"/>
      <c r="R72"/>
      <c r="S72"/>
      <c r="T72"/>
      <c r="U72"/>
      <c r="V72"/>
      <c r="W72"/>
      <c r="X72"/>
      <c r="Y72"/>
      <c r="Z72" s="344"/>
      <c r="AA72" s="363"/>
      <c r="AB72" s="363"/>
      <c r="AC72" s="363"/>
      <c r="AD72" s="110"/>
      <c r="AE72" s="41"/>
      <c r="AF72" s="41"/>
      <c r="AG72" s="41"/>
      <c r="AH72" s="41"/>
      <c r="AI72" s="41"/>
      <c r="AJ72" s="41"/>
      <c r="AK72" s="41"/>
      <c r="AL72" s="41"/>
      <c r="AM72" s="41"/>
      <c r="AN72" s="41"/>
      <c r="AO72" s="41"/>
      <c r="AP72" s="41"/>
      <c r="AQ72" s="41"/>
      <c r="AR72" s="41"/>
      <c r="AS72" s="41"/>
      <c r="AT72" s="41"/>
      <c r="AU72" s="41"/>
      <c r="AV72" s="41"/>
      <c r="AW72" s="41"/>
      <c r="AX72" s="41"/>
      <c r="AY72" s="41"/>
      <c r="AZ72" s="41"/>
      <c r="BA72" s="41"/>
      <c r="BB72" s="41"/>
      <c r="BC72" s="41"/>
      <c r="BD72" s="41"/>
      <c r="BE72" s="41"/>
      <c r="BF72" s="41"/>
      <c r="BG72" s="41"/>
      <c r="BH72" s="41"/>
      <c r="BI72" s="41"/>
      <c r="BJ72" s="41"/>
      <c r="BK72" s="41"/>
      <c r="BL72" s="41"/>
      <c r="BM72" s="41"/>
      <c r="BN72" s="41"/>
      <c r="BO72" s="41"/>
      <c r="BP72" s="41"/>
      <c r="BQ72" s="41"/>
      <c r="BR72" s="41"/>
      <c r="BS72" s="41"/>
      <c r="BT72" s="41"/>
      <c r="BU72" s="41"/>
      <c r="BV72" s="41"/>
      <c r="BW72" s="41"/>
      <c r="BX72" s="41"/>
      <c r="BY72" s="41"/>
      <c r="BZ72" s="41"/>
      <c r="CA72" s="41"/>
      <c r="CB72" s="41"/>
      <c r="CC72" s="41"/>
      <c r="CD72" s="41"/>
      <c r="CE72" s="41"/>
      <c r="CF72" s="41"/>
      <c r="CG72" s="41"/>
      <c r="CH72" s="41"/>
      <c r="CI72" s="41"/>
      <c r="CJ72" s="41"/>
      <c r="CK72" s="41"/>
      <c r="CL72" s="41"/>
      <c r="CM72" s="41"/>
      <c r="CN72" s="41"/>
      <c r="CO72" s="41"/>
      <c r="CP72" s="41"/>
    </row>
    <row r="73" spans="1:94" s="53" customFormat="1" ht="15.6" customHeight="1" x14ac:dyDescent="0.25">
      <c r="A73" s="85">
        <v>10.62</v>
      </c>
      <c r="B73" s="83"/>
      <c r="C73" s="408" t="s">
        <v>61</v>
      </c>
      <c r="D73" s="410"/>
      <c r="E73" s="289">
        <f>CECGroup</f>
        <v>0.01</v>
      </c>
      <c r="F73" s="288"/>
      <c r="G73" s="355">
        <f>IF(DUNine=0,0,IF(DUNine&lt;0,0,ROUND(AdjGroupSalary*CECGroup,-2)))</f>
        <v>0</v>
      </c>
      <c r="H73" s="287"/>
      <c r="I73" s="287">
        <f>ROUND(($G73*GroupVBBY),-2)</f>
        <v>0</v>
      </c>
      <c r="J73" s="113">
        <f t="shared" si="11"/>
        <v>0</v>
      </c>
      <c r="K73" s="301"/>
      <c r="L73" s="302"/>
      <c r="M73" s="359"/>
      <c r="N73" s="360"/>
      <c r="O73" s="357"/>
      <c r="P73" s="357"/>
      <c r="Q73"/>
      <c r="R73"/>
      <c r="S73"/>
      <c r="T73"/>
      <c r="U73"/>
      <c r="V73"/>
      <c r="W73"/>
      <c r="X73"/>
      <c r="Y73"/>
      <c r="Z73" s="344"/>
      <c r="AA73" s="363"/>
      <c r="AB73" s="363"/>
      <c r="AC73" s="363"/>
      <c r="AD73" s="110"/>
      <c r="AE73" s="41"/>
      <c r="AF73" s="41"/>
      <c r="AG73" s="41"/>
      <c r="AH73" s="41"/>
      <c r="AI73" s="41"/>
      <c r="AJ73" s="41"/>
      <c r="AK73" s="41"/>
      <c r="AL73" s="41"/>
      <c r="AM73" s="41"/>
      <c r="AN73" s="41"/>
      <c r="AO73" s="41"/>
      <c r="AP73" s="41"/>
      <c r="AQ73" s="41"/>
      <c r="AR73" s="41"/>
      <c r="AS73" s="41"/>
      <c r="AT73" s="41"/>
      <c r="AU73" s="41"/>
      <c r="AV73" s="41"/>
      <c r="AW73" s="41"/>
      <c r="AX73" s="41"/>
      <c r="AY73" s="41"/>
      <c r="AZ73" s="41"/>
      <c r="BA73" s="41"/>
      <c r="BB73" s="41"/>
      <c r="BC73" s="41"/>
      <c r="BD73" s="41"/>
      <c r="BE73" s="41"/>
      <c r="BF73" s="41"/>
      <c r="BG73" s="41"/>
      <c r="BH73" s="41"/>
      <c r="BI73" s="41"/>
      <c r="BJ73" s="41"/>
      <c r="BK73" s="41"/>
      <c r="BL73" s="41"/>
      <c r="BM73" s="41"/>
      <c r="BN73" s="41"/>
      <c r="BO73" s="41"/>
      <c r="BP73" s="41"/>
      <c r="BQ73" s="41"/>
      <c r="BR73" s="41"/>
      <c r="BS73" s="41"/>
      <c r="BT73" s="41"/>
      <c r="BU73" s="41"/>
      <c r="BV73" s="41"/>
      <c r="BW73" s="41"/>
      <c r="BX73" s="41"/>
      <c r="BY73" s="41"/>
      <c r="BZ73" s="41"/>
      <c r="CA73" s="41"/>
      <c r="CB73" s="41"/>
      <c r="CC73" s="41"/>
      <c r="CD73" s="41"/>
      <c r="CE73" s="41"/>
      <c r="CF73" s="41"/>
      <c r="CG73" s="41"/>
      <c r="CH73" s="41"/>
      <c r="CI73" s="41"/>
      <c r="CJ73" s="41"/>
      <c r="CK73" s="41"/>
      <c r="CL73" s="41"/>
      <c r="CM73" s="41"/>
      <c r="CN73" s="41"/>
      <c r="CO73" s="41"/>
      <c r="CP73" s="41"/>
    </row>
    <row r="74" spans="1:94" s="53" customFormat="1" ht="15.6" customHeight="1" x14ac:dyDescent="0.25">
      <c r="A74" s="85">
        <v>10.63</v>
      </c>
      <c r="B74" s="83"/>
      <c r="C74" s="366" t="s">
        <v>62</v>
      </c>
      <c r="D74" s="368"/>
      <c r="E74" s="112"/>
      <c r="F74" s="288"/>
      <c r="G74" s="92">
        <v>0</v>
      </c>
      <c r="H74" s="287"/>
      <c r="I74" s="287">
        <f>ROUND(($G74*ElectVBBY+$G74*Retire1BY),-2)</f>
        <v>0</v>
      </c>
      <c r="J74" s="113">
        <f t="shared" si="11"/>
        <v>0</v>
      </c>
      <c r="K74" s="301"/>
      <c r="L74" s="302"/>
      <c r="M74" s="303"/>
      <c r="N74" s="304"/>
      <c r="O74"/>
      <c r="P74"/>
      <c r="Q74"/>
      <c r="R74"/>
      <c r="S74"/>
      <c r="T74"/>
      <c r="U74"/>
      <c r="V74"/>
      <c r="W74"/>
      <c r="X74"/>
      <c r="Y74"/>
      <c r="Z74" s="344"/>
      <c r="AA74" s="363"/>
      <c r="AB74" s="363"/>
      <c r="AC74" s="363"/>
      <c r="AD74" s="110"/>
      <c r="AE74" s="41"/>
      <c r="AF74" s="41"/>
      <c r="AG74" s="41"/>
      <c r="AH74" s="41"/>
      <c r="AI74" s="41"/>
      <c r="AJ74" s="41"/>
      <c r="AK74" s="41"/>
      <c r="AL74" s="41"/>
      <c r="AM74" s="41"/>
      <c r="AN74" s="41"/>
      <c r="AO74" s="41"/>
      <c r="AP74" s="41"/>
      <c r="AQ74" s="41"/>
      <c r="AR74" s="41"/>
      <c r="AS74" s="41"/>
      <c r="AT74" s="41"/>
      <c r="AU74" s="41"/>
      <c r="AV74" s="41"/>
      <c r="AW74" s="41"/>
      <c r="AX74" s="41"/>
      <c r="AY74" s="41"/>
      <c r="AZ74" s="41"/>
      <c r="BA74" s="41"/>
      <c r="BB74" s="41"/>
      <c r="BC74" s="41"/>
      <c r="BD74" s="41"/>
      <c r="BE74" s="41"/>
      <c r="BF74" s="41"/>
      <c r="BG74" s="41"/>
      <c r="BH74" s="41"/>
      <c r="BI74" s="41"/>
      <c r="BJ74" s="41"/>
      <c r="BK74" s="41"/>
      <c r="BL74" s="41"/>
      <c r="BM74" s="41"/>
      <c r="BN74" s="41"/>
      <c r="BO74" s="41"/>
      <c r="BP74" s="41"/>
      <c r="BQ74" s="41"/>
      <c r="BR74" s="41"/>
      <c r="BS74" s="41"/>
      <c r="BT74" s="41"/>
      <c r="BU74" s="41"/>
      <c r="BV74" s="41"/>
      <c r="BW74" s="41"/>
      <c r="BX74" s="41"/>
      <c r="BY74" s="41"/>
      <c r="BZ74" s="41"/>
      <c r="CA74" s="41"/>
      <c r="CB74" s="41"/>
      <c r="CC74" s="41"/>
      <c r="CD74" s="41"/>
      <c r="CE74" s="41"/>
      <c r="CF74" s="41"/>
      <c r="CG74" s="41"/>
      <c r="CH74" s="41"/>
      <c r="CI74" s="41"/>
      <c r="CJ74" s="41"/>
      <c r="CK74" s="41"/>
      <c r="CL74" s="41"/>
      <c r="CM74" s="41"/>
      <c r="CN74" s="41"/>
      <c r="CO74" s="41"/>
      <c r="CP74" s="41"/>
    </row>
    <row r="75" spans="1:94" s="53" customFormat="1" ht="15.75" customHeight="1" x14ac:dyDescent="0.25">
      <c r="A75" s="75">
        <v>11</v>
      </c>
      <c r="B75" s="76"/>
      <c r="C75" s="54" t="str">
        <f>"FY "&amp;M4</f>
        <v>FY 2023</v>
      </c>
      <c r="D75" s="77" t="s">
        <v>63</v>
      </c>
      <c r="E75" s="112"/>
      <c r="F75" s="55">
        <f>SUM(F67:F74)</f>
        <v>0.3</v>
      </c>
      <c r="G75" s="80">
        <f>SUM(G67:G74)</f>
        <v>56600</v>
      </c>
      <c r="H75" s="80">
        <f>SUM(H67:H74)</f>
        <v>21900</v>
      </c>
      <c r="I75" s="80">
        <f>SUM(I67:I74)</f>
        <v>12100</v>
      </c>
      <c r="J75" s="80">
        <f>SUM(J67:K74)</f>
        <v>90500</v>
      </c>
      <c r="K75" s="296"/>
      <c r="L75" s="299"/>
      <c r="M75" s="299"/>
      <c r="N75" s="300"/>
      <c r="O75"/>
      <c r="P75"/>
      <c r="Q75"/>
      <c r="R75"/>
      <c r="S75"/>
      <c r="T75"/>
      <c r="U75"/>
      <c r="V75"/>
      <c r="W75"/>
      <c r="X75"/>
      <c r="Y75"/>
      <c r="Z75" s="344"/>
      <c r="AA75" s="363"/>
      <c r="AB75" s="363"/>
      <c r="AC75" s="363"/>
      <c r="AD75" s="110"/>
      <c r="AE75" s="41"/>
      <c r="AF75" s="41"/>
      <c r="AG75" s="41"/>
      <c r="AH75" s="41"/>
      <c r="AI75" s="41"/>
      <c r="AJ75" s="41"/>
      <c r="AK75" s="41"/>
      <c r="AL75" s="41"/>
      <c r="AM75" s="41"/>
      <c r="AN75" s="41"/>
      <c r="AO75" s="41"/>
      <c r="AP75" s="41"/>
      <c r="AQ75" s="41"/>
      <c r="AR75" s="41"/>
      <c r="AS75" s="41"/>
      <c r="AT75" s="41"/>
      <c r="AU75" s="41"/>
      <c r="AV75" s="41"/>
      <c r="AW75" s="41"/>
      <c r="AX75" s="41"/>
      <c r="AY75" s="41"/>
      <c r="AZ75" s="41"/>
      <c r="BA75" s="41"/>
      <c r="BB75" s="41"/>
      <c r="BC75" s="41"/>
      <c r="BD75" s="41"/>
      <c r="BE75" s="41"/>
      <c r="BF75" s="41"/>
      <c r="BG75" s="41"/>
      <c r="BH75" s="41"/>
      <c r="BI75" s="41"/>
      <c r="BJ75" s="41"/>
      <c r="BK75" s="41"/>
      <c r="BL75" s="41"/>
      <c r="BM75" s="41"/>
      <c r="BN75" s="41"/>
      <c r="BO75" s="41"/>
      <c r="BP75" s="41"/>
      <c r="BQ75" s="41"/>
      <c r="BR75" s="41"/>
      <c r="BS75" s="41"/>
      <c r="BT75" s="41"/>
      <c r="BU75" s="41"/>
      <c r="BV75" s="41"/>
      <c r="BW75" s="41"/>
      <c r="BX75" s="41"/>
      <c r="BY75" s="41"/>
      <c r="BZ75" s="41"/>
      <c r="CA75" s="41"/>
      <c r="CB75" s="41"/>
      <c r="CC75" s="41"/>
      <c r="CD75" s="41"/>
      <c r="CE75" s="41"/>
      <c r="CF75" s="41"/>
      <c r="CG75" s="41"/>
      <c r="CH75" s="41"/>
      <c r="CI75" s="41"/>
      <c r="CJ75" s="41"/>
      <c r="CK75" s="41"/>
      <c r="CL75" s="41"/>
      <c r="CM75" s="41"/>
      <c r="CN75" s="41"/>
      <c r="CO75" s="41"/>
      <c r="CP75" s="41"/>
    </row>
    <row r="76" spans="1:94" s="53" customFormat="1" ht="28.5" customHeight="1" x14ac:dyDescent="0.25">
      <c r="A76" s="85"/>
      <c r="B76" s="83"/>
      <c r="C76" s="411" t="s">
        <v>64</v>
      </c>
      <c r="D76" s="412"/>
      <c r="E76" s="59"/>
      <c r="F76" s="59"/>
      <c r="G76" s="61"/>
      <c r="H76" s="61"/>
      <c r="I76" s="61"/>
      <c r="J76" s="61"/>
      <c r="K76" s="291"/>
      <c r="L76" s="292"/>
      <c r="M76" s="305"/>
      <c r="N76" s="293"/>
      <c r="O76"/>
      <c r="P76"/>
      <c r="Q76"/>
      <c r="R76"/>
      <c r="S76"/>
      <c r="T76"/>
      <c r="U76"/>
      <c r="V76"/>
      <c r="W76"/>
      <c r="X76"/>
      <c r="Y76"/>
      <c r="Z76" s="344"/>
      <c r="AA76" s="363"/>
      <c r="AB76" s="363"/>
      <c r="AC76" s="363"/>
      <c r="AD76" s="110"/>
      <c r="AE76" s="41"/>
      <c r="AF76" s="41"/>
      <c r="AG76" s="41"/>
      <c r="AH76" s="41"/>
      <c r="AI76" s="41"/>
      <c r="AJ76" s="41"/>
      <c r="AK76" s="41"/>
      <c r="AL76" s="41"/>
      <c r="AM76" s="41"/>
      <c r="AN76" s="41"/>
      <c r="AO76" s="41"/>
      <c r="AP76" s="41"/>
      <c r="AQ76" s="41"/>
      <c r="AR76" s="41"/>
      <c r="AS76" s="41"/>
      <c r="AT76" s="41"/>
      <c r="AU76" s="41"/>
      <c r="AV76" s="41"/>
      <c r="AW76" s="41"/>
      <c r="AX76" s="41"/>
      <c r="AY76" s="41"/>
      <c r="AZ76" s="41"/>
      <c r="BA76" s="41"/>
      <c r="BB76" s="41"/>
      <c r="BC76" s="41"/>
      <c r="BD76" s="41"/>
      <c r="BE76" s="41"/>
      <c r="BF76" s="41"/>
      <c r="BG76" s="41"/>
      <c r="BH76" s="41"/>
      <c r="BI76" s="41"/>
      <c r="BJ76" s="41"/>
      <c r="BK76" s="41"/>
      <c r="BL76" s="41"/>
      <c r="BM76" s="41"/>
      <c r="BN76" s="41"/>
      <c r="BO76" s="41"/>
      <c r="BP76" s="41"/>
      <c r="BQ76" s="41"/>
      <c r="BR76" s="41"/>
      <c r="BS76" s="41"/>
      <c r="BT76" s="41"/>
      <c r="BU76" s="41"/>
      <c r="BV76" s="41"/>
      <c r="BW76" s="41"/>
      <c r="BX76" s="41"/>
      <c r="BY76" s="41"/>
      <c r="BZ76" s="41"/>
      <c r="CA76" s="41"/>
      <c r="CB76" s="41"/>
      <c r="CC76" s="41"/>
      <c r="CD76" s="41"/>
      <c r="CE76" s="41"/>
      <c r="CF76" s="41"/>
      <c r="CG76" s="41"/>
      <c r="CH76" s="41"/>
      <c r="CI76" s="41"/>
      <c r="CJ76" s="41"/>
      <c r="CK76" s="41"/>
      <c r="CL76" s="41"/>
      <c r="CM76" s="41"/>
      <c r="CN76" s="41"/>
      <c r="CO76" s="41"/>
      <c r="CP76" s="41"/>
    </row>
    <row r="77" spans="1:94" s="53" customFormat="1" ht="15" x14ac:dyDescent="0.25">
      <c r="A77" s="116">
        <v>12.01</v>
      </c>
      <c r="B77" s="57"/>
      <c r="C77" s="404"/>
      <c r="D77" s="405"/>
      <c r="E77" s="87"/>
      <c r="F77" s="58"/>
      <c r="G77" s="88"/>
      <c r="H77" s="88"/>
      <c r="I77" s="88"/>
      <c r="J77" s="80">
        <f>ROUND(SUM(G77:I77),-2)</f>
        <v>0</v>
      </c>
      <c r="K77" s="296"/>
      <c r="L77" s="292"/>
      <c r="M77" s="292"/>
      <c r="N77" s="293"/>
      <c r="O77"/>
      <c r="P77"/>
      <c r="Q77"/>
      <c r="R77"/>
      <c r="S77"/>
      <c r="T77"/>
      <c r="U77"/>
      <c r="V77"/>
      <c r="W77"/>
      <c r="X77"/>
      <c r="Y77"/>
      <c r="Z77" s="344"/>
      <c r="AA77" s="363"/>
      <c r="AB77" s="363"/>
      <c r="AC77" s="363"/>
      <c r="AD77" s="110"/>
      <c r="AE77" s="41"/>
      <c r="AF77" s="41"/>
      <c r="AG77" s="41"/>
      <c r="AH77" s="41"/>
      <c r="AI77" s="41"/>
      <c r="AJ77" s="41"/>
      <c r="AK77" s="41"/>
      <c r="AL77" s="41"/>
      <c r="AM77" s="41"/>
      <c r="AN77" s="41"/>
      <c r="AO77" s="41"/>
      <c r="AP77" s="41"/>
      <c r="AQ77" s="41"/>
      <c r="AR77" s="41"/>
      <c r="AS77" s="41"/>
      <c r="AT77" s="41"/>
      <c r="AU77" s="41"/>
      <c r="AV77" s="41"/>
      <c r="AW77" s="41"/>
      <c r="AX77" s="41"/>
      <c r="AY77" s="41"/>
      <c r="AZ77" s="41"/>
      <c r="BA77" s="41"/>
      <c r="BB77" s="41"/>
      <c r="BC77" s="41"/>
      <c r="BD77" s="41"/>
      <c r="BE77" s="41"/>
      <c r="BF77" s="41"/>
      <c r="BG77" s="41"/>
      <c r="BH77" s="41"/>
      <c r="BI77" s="41"/>
      <c r="BJ77" s="41"/>
      <c r="BK77" s="41"/>
      <c r="BL77" s="41"/>
      <c r="BM77" s="41"/>
      <c r="BN77" s="41"/>
      <c r="BO77" s="41"/>
      <c r="BP77" s="41"/>
      <c r="BQ77" s="41"/>
      <c r="BR77" s="41"/>
      <c r="BS77" s="41"/>
      <c r="BT77" s="41"/>
      <c r="BU77" s="41"/>
      <c r="BV77" s="41"/>
      <c r="BW77" s="41"/>
      <c r="BX77" s="41"/>
      <c r="BY77" s="41"/>
      <c r="BZ77" s="41"/>
      <c r="CA77" s="41"/>
      <c r="CB77" s="41"/>
      <c r="CC77" s="41"/>
      <c r="CD77" s="41"/>
      <c r="CE77" s="41"/>
      <c r="CF77" s="41"/>
      <c r="CG77" s="41"/>
      <c r="CH77" s="41"/>
      <c r="CI77" s="41"/>
      <c r="CJ77" s="41"/>
      <c r="CK77" s="41"/>
      <c r="CL77" s="41"/>
      <c r="CM77" s="41"/>
      <c r="CN77" s="41"/>
      <c r="CO77" s="41"/>
      <c r="CP77" s="41"/>
    </row>
    <row r="78" spans="1:94" s="53" customFormat="1" ht="15" x14ac:dyDescent="0.25">
      <c r="A78" s="116">
        <v>12.02</v>
      </c>
      <c r="B78" s="57"/>
      <c r="C78" s="404"/>
      <c r="D78" s="405"/>
      <c r="E78" s="87"/>
      <c r="F78" s="58"/>
      <c r="G78" s="88"/>
      <c r="H78" s="88"/>
      <c r="I78" s="88"/>
      <c r="J78" s="80">
        <f>ROUND(SUM(G78:I78),-2)</f>
        <v>0</v>
      </c>
      <c r="K78" s="296"/>
      <c r="L78" s="292"/>
      <c r="M78" s="292"/>
      <c r="N78" s="293"/>
      <c r="O78"/>
      <c r="P78"/>
      <c r="Q78"/>
      <c r="R78"/>
      <c r="S78"/>
      <c r="T78"/>
      <c r="U78"/>
      <c r="V78"/>
      <c r="W78"/>
      <c r="X78"/>
      <c r="Y78"/>
      <c r="Z78" s="344"/>
      <c r="AA78" s="363"/>
      <c r="AB78" s="363"/>
      <c r="AC78" s="363"/>
      <c r="AD78" s="110"/>
      <c r="AE78" s="41"/>
      <c r="AF78" s="41"/>
      <c r="AG78" s="41"/>
      <c r="AH78" s="41"/>
      <c r="AI78" s="41"/>
      <c r="AJ78" s="41"/>
      <c r="AK78" s="41"/>
      <c r="AL78" s="41"/>
      <c r="AM78" s="41"/>
      <c r="AN78" s="41"/>
      <c r="AO78" s="41"/>
      <c r="AP78" s="41"/>
      <c r="AQ78" s="41"/>
      <c r="AR78" s="41"/>
      <c r="AS78" s="41"/>
      <c r="AT78" s="41"/>
      <c r="AU78" s="41"/>
      <c r="AV78" s="41"/>
      <c r="AW78" s="41"/>
      <c r="AX78" s="41"/>
      <c r="AY78" s="41"/>
      <c r="AZ78" s="41"/>
      <c r="BA78" s="41"/>
      <c r="BB78" s="41"/>
      <c r="BC78" s="41"/>
      <c r="BD78" s="41"/>
      <c r="BE78" s="41"/>
      <c r="BF78" s="41"/>
      <c r="BG78" s="41"/>
      <c r="BH78" s="41"/>
      <c r="BI78" s="41"/>
      <c r="BJ78" s="41"/>
      <c r="BK78" s="41"/>
      <c r="BL78" s="41"/>
      <c r="BM78" s="41"/>
      <c r="BN78" s="41"/>
      <c r="BO78" s="41"/>
      <c r="BP78" s="41"/>
      <c r="BQ78" s="41"/>
      <c r="BR78" s="41"/>
      <c r="BS78" s="41"/>
      <c r="BT78" s="41"/>
      <c r="BU78" s="41"/>
      <c r="BV78" s="41"/>
      <c r="BW78" s="41"/>
      <c r="BX78" s="41"/>
      <c r="BY78" s="41"/>
      <c r="BZ78" s="41"/>
      <c r="CA78" s="41"/>
      <c r="CB78" s="41"/>
      <c r="CC78" s="41"/>
      <c r="CD78" s="41"/>
      <c r="CE78" s="41"/>
      <c r="CF78" s="41"/>
      <c r="CG78" s="41"/>
      <c r="CH78" s="41"/>
      <c r="CI78" s="41"/>
      <c r="CJ78" s="41"/>
      <c r="CK78" s="41"/>
      <c r="CL78" s="41"/>
      <c r="CM78" s="41"/>
      <c r="CN78" s="41"/>
      <c r="CO78" s="41"/>
      <c r="CP78" s="41"/>
    </row>
    <row r="79" spans="1:94" s="53" customFormat="1" ht="15" x14ac:dyDescent="0.25">
      <c r="A79" s="116">
        <v>12.03</v>
      </c>
      <c r="B79" s="57" t="s">
        <v>45</v>
      </c>
      <c r="C79" s="404"/>
      <c r="D79" s="405"/>
      <c r="E79" s="87"/>
      <c r="F79" s="58"/>
      <c r="G79" s="88"/>
      <c r="H79" s="88"/>
      <c r="I79" s="88"/>
      <c r="J79" s="80">
        <f>ROUND(SUM(G79:I79),-2)</f>
        <v>0</v>
      </c>
      <c r="K79" s="296"/>
      <c r="L79" s="292"/>
      <c r="M79" s="292"/>
      <c r="N79" s="293"/>
      <c r="O79"/>
      <c r="P79"/>
      <c r="Q79"/>
      <c r="R79"/>
      <c r="S79"/>
      <c r="T79"/>
      <c r="U79"/>
      <c r="V79"/>
      <c r="W79"/>
      <c r="X79"/>
      <c r="Y79"/>
      <c r="Z79" s="344"/>
      <c r="AA79" s="363"/>
      <c r="AB79" s="363"/>
      <c r="AC79" s="363"/>
      <c r="AD79" s="110"/>
      <c r="AE79" s="41"/>
      <c r="AF79" s="41"/>
      <c r="AG79" s="41"/>
      <c r="AH79" s="41"/>
      <c r="AI79" s="41"/>
      <c r="AJ79" s="41"/>
      <c r="AK79" s="41"/>
      <c r="AL79" s="41"/>
      <c r="AM79" s="41"/>
      <c r="AN79" s="41"/>
      <c r="AO79" s="41"/>
      <c r="AP79" s="41"/>
      <c r="AQ79" s="41"/>
      <c r="AR79" s="41"/>
      <c r="AS79" s="41"/>
      <c r="AT79" s="41"/>
      <c r="AU79" s="41"/>
      <c r="AV79" s="41"/>
      <c r="AW79" s="41"/>
      <c r="AX79" s="41"/>
      <c r="AY79" s="41"/>
      <c r="AZ79" s="41"/>
      <c r="BA79" s="41"/>
      <c r="BB79" s="41"/>
      <c r="BC79" s="41"/>
      <c r="BD79" s="41"/>
      <c r="BE79" s="41"/>
      <c r="BF79" s="41"/>
      <c r="BG79" s="41"/>
      <c r="BH79" s="41"/>
      <c r="BI79" s="41"/>
      <c r="BJ79" s="41"/>
      <c r="BK79" s="41"/>
      <c r="BL79" s="41"/>
      <c r="BM79" s="41"/>
      <c r="BN79" s="41"/>
      <c r="BO79" s="41"/>
      <c r="BP79" s="41"/>
      <c r="BQ79" s="41"/>
      <c r="BR79" s="41"/>
      <c r="BS79" s="41"/>
      <c r="BT79" s="41"/>
      <c r="BU79" s="41"/>
      <c r="BV79" s="41"/>
      <c r="BW79" s="41"/>
      <c r="BX79" s="41"/>
      <c r="BY79" s="41"/>
      <c r="BZ79" s="41"/>
      <c r="CA79" s="41"/>
      <c r="CB79" s="41"/>
      <c r="CC79" s="41"/>
      <c r="CD79" s="41"/>
      <c r="CE79" s="41"/>
      <c r="CF79" s="41"/>
      <c r="CG79" s="41"/>
      <c r="CH79" s="41"/>
      <c r="CI79" s="41"/>
      <c r="CJ79" s="41"/>
      <c r="CK79" s="41"/>
      <c r="CL79" s="41"/>
      <c r="CM79" s="41"/>
      <c r="CN79" s="41"/>
      <c r="CO79" s="41"/>
      <c r="CP79" s="41"/>
    </row>
    <row r="80" spans="1:94" s="53" customFormat="1" ht="15.75" customHeight="1" x14ac:dyDescent="0.25">
      <c r="A80" s="117">
        <v>13</v>
      </c>
      <c r="B80" s="118"/>
      <c r="C80" s="119" t="str">
        <f>"FY "&amp;M4</f>
        <v>FY 2023</v>
      </c>
      <c r="D80" s="120" t="s">
        <v>65</v>
      </c>
      <c r="E80" s="121"/>
      <c r="F80" s="55">
        <f>SUM(F75:F79)</f>
        <v>0.3</v>
      </c>
      <c r="G80" s="80">
        <f>SUM(G75:G79)</f>
        <v>56600</v>
      </c>
      <c r="H80" s="80">
        <f>SUM(H75:H79)</f>
        <v>21900</v>
      </c>
      <c r="I80" s="80">
        <f>SUM(I75:I79)</f>
        <v>12100</v>
      </c>
      <c r="J80" s="80">
        <f>SUM(J75:J79)</f>
        <v>90500</v>
      </c>
      <c r="K80" s="270"/>
      <c r="L80" s="122"/>
      <c r="M80" s="122"/>
      <c r="N80" s="123"/>
      <c r="O80"/>
      <c r="P80"/>
      <c r="Q80"/>
      <c r="R80"/>
      <c r="S80"/>
      <c r="T80"/>
      <c r="U80"/>
      <c r="V80"/>
      <c r="W80"/>
      <c r="X80"/>
      <c r="Y80"/>
      <c r="Z80" s="344"/>
      <c r="AA80" s="363"/>
      <c r="AB80" s="363"/>
      <c r="AC80" s="363"/>
      <c r="AD80" s="110"/>
      <c r="AE80" s="41"/>
      <c r="AF80" s="41"/>
      <c r="AG80" s="41"/>
      <c r="AH80" s="41"/>
      <c r="AI80" s="41"/>
      <c r="AJ80" s="41"/>
      <c r="AK80" s="41"/>
      <c r="AL80" s="41"/>
      <c r="AM80" s="41"/>
      <c r="AN80" s="41"/>
      <c r="AO80" s="41"/>
      <c r="AP80" s="41"/>
      <c r="AQ80" s="41"/>
      <c r="AR80" s="41"/>
      <c r="AS80" s="41"/>
      <c r="AT80" s="41"/>
      <c r="AU80" s="41"/>
      <c r="AV80" s="41"/>
      <c r="AW80" s="41"/>
      <c r="AX80" s="41"/>
      <c r="AY80" s="41"/>
      <c r="AZ80" s="41"/>
      <c r="BA80" s="41"/>
      <c r="BB80" s="41"/>
      <c r="BC80" s="41"/>
      <c r="BD80" s="41"/>
      <c r="BE80" s="41"/>
      <c r="BF80" s="41"/>
      <c r="BG80" s="41"/>
      <c r="BH80" s="41"/>
      <c r="BI80" s="41"/>
      <c r="BJ80" s="41"/>
      <c r="BK80" s="41"/>
      <c r="BL80" s="41"/>
      <c r="BM80" s="41"/>
      <c r="BN80" s="41"/>
      <c r="BO80" s="41"/>
      <c r="BP80" s="41"/>
      <c r="BQ80" s="41"/>
      <c r="BR80" s="41"/>
      <c r="BS80" s="41"/>
      <c r="BT80" s="41"/>
      <c r="BU80" s="41"/>
      <c r="BV80" s="41"/>
      <c r="BW80" s="41"/>
      <c r="BX80" s="41"/>
      <c r="BY80" s="41"/>
      <c r="BZ80" s="41"/>
      <c r="CA80" s="41"/>
      <c r="CB80" s="41"/>
      <c r="CC80" s="41"/>
      <c r="CD80" s="41"/>
      <c r="CE80" s="41"/>
      <c r="CF80" s="41"/>
      <c r="CG80" s="41"/>
      <c r="CH80" s="41"/>
      <c r="CI80" s="41"/>
      <c r="CJ80" s="41"/>
      <c r="CK80" s="41"/>
      <c r="CL80" s="41"/>
      <c r="CM80" s="41"/>
      <c r="CN80" s="41"/>
      <c r="CO80" s="41"/>
      <c r="CP80" s="41"/>
    </row>
  </sheetData>
  <mergeCells count="51">
    <mergeCell ref="C13:D13"/>
    <mergeCell ref="M1:N1"/>
    <mergeCell ref="M2:N2"/>
    <mergeCell ref="M3:N3"/>
    <mergeCell ref="M4:N4"/>
    <mergeCell ref="I5:L5"/>
    <mergeCell ref="C8:D8"/>
    <mergeCell ref="AA8:AC8"/>
    <mergeCell ref="C9:D9"/>
    <mergeCell ref="C10:D10"/>
    <mergeCell ref="C11:D11"/>
    <mergeCell ref="C12:D12"/>
    <mergeCell ref="K43:N43"/>
    <mergeCell ref="AA43:AC43"/>
    <mergeCell ref="K44:N44"/>
    <mergeCell ref="C16:D16"/>
    <mergeCell ref="C17:D17"/>
    <mergeCell ref="C18:D18"/>
    <mergeCell ref="C37:D37"/>
    <mergeCell ref="AA37:AC37"/>
    <mergeCell ref="C38:D38"/>
    <mergeCell ref="C54:D54"/>
    <mergeCell ref="C39:D39"/>
    <mergeCell ref="C41:D41"/>
    <mergeCell ref="C42:D42"/>
    <mergeCell ref="C43:D44"/>
    <mergeCell ref="K45:N45"/>
    <mergeCell ref="E46:J47"/>
    <mergeCell ref="K46:N47"/>
    <mergeCell ref="C50:D50"/>
    <mergeCell ref="C53:D53"/>
    <mergeCell ref="C69:D69"/>
    <mergeCell ref="C55:D55"/>
    <mergeCell ref="C57:D57"/>
    <mergeCell ref="C58:D58"/>
    <mergeCell ref="C59:D59"/>
    <mergeCell ref="C61:D61"/>
    <mergeCell ref="C62:D62"/>
    <mergeCell ref="C63:D63"/>
    <mergeCell ref="C64:D64"/>
    <mergeCell ref="C65:D65"/>
    <mergeCell ref="C66:D66"/>
    <mergeCell ref="C68:D68"/>
    <mergeCell ref="C78:D78"/>
    <mergeCell ref="C79:D79"/>
    <mergeCell ref="C70:D70"/>
    <mergeCell ref="C71:D71"/>
    <mergeCell ref="C72:D72"/>
    <mergeCell ref="C73:D73"/>
    <mergeCell ref="C76:D76"/>
    <mergeCell ref="C77:D77"/>
  </mergeCells>
  <conditionalFormatting sqref="K44">
    <cfRule type="expression" dxfId="53" priority="5">
      <formula>$J$44&lt;0</formula>
    </cfRule>
  </conditionalFormatting>
  <conditionalFormatting sqref="K43">
    <cfRule type="expression" dxfId="52" priority="4">
      <formula>$J$43&lt;0</formula>
    </cfRule>
  </conditionalFormatting>
  <conditionalFormatting sqref="L16">
    <cfRule type="expression" dxfId="51" priority="3">
      <formula>$J$16&lt;0</formula>
    </cfRule>
  </conditionalFormatting>
  <conditionalFormatting sqref="K45">
    <cfRule type="expression" dxfId="50" priority="2">
      <formula>$J$44&lt;0</formula>
    </cfRule>
  </conditionalFormatting>
  <conditionalFormatting sqref="K43:N45">
    <cfRule type="containsText" dxfId="49" priority="1" operator="containsText" text="underfunding">
      <formula>NOT(ISERROR(SEARCH("underfunding",K43)))</formula>
    </cfRule>
  </conditionalFormatting>
  <printOptions horizontalCentered="1"/>
  <pageMargins left="0.5" right="0.5" top="0.65" bottom="0.65" header="0.26" footer="0.31"/>
  <pageSetup scale="63" fitToHeight="2" orientation="landscape" r:id="rId1"/>
  <headerFooter>
    <oddHeader>&amp;L&amp;"Helv,Bold"FORM B6:  WAGE &amp;&amp; SALARY RECONCILIATION</oddHeader>
    <oddFooter>&amp;LPrinted: &amp;D, &amp;T&amp;RPage &amp;P of &amp;N</oddFooter>
  </headerFooter>
  <rowBreaks count="1" manualBreakCount="1">
    <brk id="64" max="12" man="1"/>
  </rowBreaks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31BC36E6-6117-4CFE-9C27-5E3BC8576935}">
          <x14:formula1>
            <xm:f>Benefits!$A$20:$A$26</xm:f>
          </x14:formula1>
          <xm:sqref>C20:C30 C32:C36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8B060A-0E46-41E8-8E83-EC8218F06135}">
  <sheetPr>
    <tabColor rgb="FF92D050"/>
    <pageSetUpPr fitToPage="1"/>
  </sheetPr>
  <dimension ref="A1:CP80"/>
  <sheetViews>
    <sheetView showGridLines="0" zoomScaleNormal="100" workbookViewId="0">
      <selection activeCell="C8" sqref="C8:N16"/>
    </sheetView>
  </sheetViews>
  <sheetFormatPr defaultColWidth="9.140625" defaultRowHeight="15.75" x14ac:dyDescent="0.25"/>
  <cols>
    <col min="1" max="1" width="7.85546875" style="124" customWidth="1"/>
    <col min="2" max="2" width="7.7109375" style="125" customWidth="1"/>
    <col min="3" max="3" width="9" style="125" customWidth="1"/>
    <col min="4" max="4" width="39.28515625" style="53" customWidth="1"/>
    <col min="5" max="5" width="13" style="126" customWidth="1"/>
    <col min="6" max="6" width="12.28515625" style="127" customWidth="1"/>
    <col min="7" max="7" width="12.140625" style="127" bestFit="1" customWidth="1"/>
    <col min="8" max="8" width="14.5703125" style="127" customWidth="1"/>
    <col min="9" max="9" width="19.5703125" style="128" bestFit="1" customWidth="1"/>
    <col min="10" max="10" width="13.7109375" style="129" customWidth="1"/>
    <col min="11" max="11" width="13.7109375" style="129" hidden="1" customWidth="1"/>
    <col min="12" max="12" width="18.42578125" style="129" customWidth="1"/>
    <col min="13" max="13" width="16.42578125" style="129" customWidth="1"/>
    <col min="14" max="14" width="16.140625" style="128" customWidth="1"/>
    <col min="15" max="25" width="16.140625" customWidth="1"/>
    <col min="26" max="26" width="16.140625" style="344" customWidth="1"/>
    <col min="27" max="27" width="22.140625" style="334" bestFit="1" customWidth="1"/>
    <col min="28" max="28" width="31.140625" style="334" bestFit="1" customWidth="1"/>
    <col min="29" max="29" width="7.85546875" style="334" bestFit="1" customWidth="1"/>
    <col min="30" max="30" width="9.140625" style="110" customWidth="1"/>
    <col min="31" max="94" width="9.140625" style="17"/>
    <col min="95" max="16384" width="9.140625" style="18"/>
  </cols>
  <sheetData>
    <row r="1" spans="1:94" x14ac:dyDescent="0.25">
      <c r="A1" s="12" t="s">
        <v>13</v>
      </c>
      <c r="B1" s="13"/>
      <c r="C1" s="13"/>
      <c r="D1" s="14" t="s">
        <v>1989</v>
      </c>
      <c r="E1" s="15"/>
      <c r="F1" s="15"/>
      <c r="G1" s="15"/>
      <c r="H1" s="15"/>
      <c r="I1" s="15"/>
      <c r="J1" s="15"/>
      <c r="K1" s="15"/>
      <c r="L1" s="16" t="s">
        <v>14</v>
      </c>
      <c r="M1" s="467">
        <v>352</v>
      </c>
      <c r="N1" s="468"/>
      <c r="AA1" s="363"/>
      <c r="AB1" s="333"/>
      <c r="AC1" s="333"/>
      <c r="AD1" s="325"/>
    </row>
    <row r="2" spans="1:94" ht="20.25" x14ac:dyDescent="0.25">
      <c r="A2" s="19" t="s">
        <v>116</v>
      </c>
      <c r="B2" s="20"/>
      <c r="C2" s="20"/>
      <c r="D2" s="14" t="s">
        <v>1990</v>
      </c>
      <c r="E2" s="21"/>
      <c r="F2" s="21"/>
      <c r="G2" s="21"/>
      <c r="H2" s="21"/>
      <c r="I2" s="21"/>
      <c r="J2" s="20"/>
      <c r="K2" s="20"/>
      <c r="L2" s="22" t="s">
        <v>113</v>
      </c>
      <c r="M2" s="469" t="s">
        <v>2005</v>
      </c>
      <c r="N2" s="470"/>
      <c r="AA2" s="333"/>
      <c r="AB2" s="333"/>
      <c r="AC2" s="333"/>
      <c r="AD2" s="325"/>
    </row>
    <row r="3" spans="1:94" x14ac:dyDescent="0.25">
      <c r="A3" s="19" t="s">
        <v>117</v>
      </c>
      <c r="B3" s="20"/>
      <c r="C3" s="20"/>
      <c r="D3" s="23" t="s">
        <v>2018</v>
      </c>
      <c r="E3" s="24"/>
      <c r="F3" s="25"/>
      <c r="G3" s="25"/>
      <c r="H3" s="25"/>
      <c r="I3" s="26"/>
      <c r="J3" s="20"/>
      <c r="K3" s="20"/>
      <c r="L3" s="22" t="s">
        <v>114</v>
      </c>
      <c r="M3" s="467" t="s">
        <v>1069</v>
      </c>
      <c r="N3" s="468"/>
      <c r="AA3" s="363"/>
      <c r="AB3" s="333"/>
      <c r="AC3" s="333"/>
      <c r="AD3" s="325"/>
    </row>
    <row r="4" spans="1:94" x14ac:dyDescent="0.25">
      <c r="A4" s="19"/>
      <c r="B4" s="20"/>
      <c r="C4" s="20"/>
      <c r="D4" s="27"/>
      <c r="E4" s="24"/>
      <c r="F4" s="25"/>
      <c r="G4" s="25"/>
      <c r="H4" s="25"/>
      <c r="I4" s="28"/>
      <c r="J4" s="26"/>
      <c r="K4" s="26"/>
      <c r="L4" s="22" t="s">
        <v>15</v>
      </c>
      <c r="M4" s="467">
        <v>2023</v>
      </c>
      <c r="N4" s="468"/>
      <c r="AA4" s="363"/>
      <c r="AB4" s="333"/>
      <c r="AC4" s="333"/>
      <c r="AD4" s="325"/>
    </row>
    <row r="5" spans="1:94" s="34" customFormat="1" ht="18" customHeight="1" x14ac:dyDescent="0.25">
      <c r="A5" s="19" t="s">
        <v>16</v>
      </c>
      <c r="B5" s="20"/>
      <c r="C5" s="20"/>
      <c r="D5" s="350">
        <v>44440</v>
      </c>
      <c r="E5" s="27"/>
      <c r="F5" s="30"/>
      <c r="G5" s="31"/>
      <c r="H5" s="31" t="s">
        <v>17</v>
      </c>
      <c r="I5" s="469" t="s">
        <v>2003</v>
      </c>
      <c r="J5" s="471"/>
      <c r="K5" s="471"/>
      <c r="L5" s="470"/>
      <c r="M5" s="351" t="s">
        <v>115</v>
      </c>
      <c r="N5" s="32" t="s">
        <v>2004</v>
      </c>
      <c r="O5"/>
      <c r="P5"/>
      <c r="Q5"/>
      <c r="R5"/>
      <c r="S5"/>
      <c r="T5"/>
      <c r="U5"/>
      <c r="V5"/>
      <c r="W5"/>
      <c r="X5"/>
      <c r="Y5"/>
      <c r="Z5" s="344"/>
      <c r="AA5" s="363"/>
      <c r="AB5" s="333"/>
      <c r="AC5" s="333"/>
      <c r="AD5" s="326"/>
      <c r="AE5" s="33"/>
      <c r="AF5" s="33"/>
      <c r="AG5" s="33"/>
      <c r="AH5" s="33"/>
      <c r="AI5" s="33"/>
      <c r="AJ5" s="33"/>
      <c r="AK5" s="33"/>
      <c r="AL5" s="33"/>
      <c r="AM5" s="33"/>
      <c r="AN5" s="33"/>
      <c r="AO5" s="33"/>
      <c r="AP5" s="33"/>
      <c r="AQ5" s="33"/>
      <c r="AR5" s="33"/>
      <c r="AS5" s="33"/>
      <c r="AT5" s="33"/>
      <c r="AU5" s="33"/>
      <c r="AV5" s="33"/>
      <c r="AW5" s="33"/>
      <c r="AX5" s="33"/>
      <c r="AY5" s="33"/>
      <c r="AZ5" s="33"/>
      <c r="BA5" s="33"/>
      <c r="BB5" s="33"/>
      <c r="BC5" s="33"/>
      <c r="BD5" s="33"/>
      <c r="BE5" s="33"/>
      <c r="BF5" s="33"/>
      <c r="BG5" s="33"/>
      <c r="BH5" s="33"/>
      <c r="BI5" s="33"/>
      <c r="BJ5" s="33"/>
      <c r="BK5" s="33"/>
      <c r="BL5" s="33"/>
      <c r="BM5" s="33"/>
      <c r="BN5" s="33"/>
      <c r="BO5" s="33"/>
      <c r="BP5" s="33"/>
      <c r="BQ5" s="33"/>
      <c r="BR5" s="33"/>
      <c r="BS5" s="33"/>
      <c r="BT5" s="33"/>
      <c r="BU5" s="33"/>
      <c r="BV5" s="33"/>
      <c r="BW5" s="33"/>
      <c r="BX5" s="33"/>
      <c r="BY5" s="33"/>
      <c r="BZ5" s="33"/>
      <c r="CA5" s="33"/>
      <c r="CB5" s="33"/>
      <c r="CC5" s="33"/>
      <c r="CD5" s="33"/>
      <c r="CE5" s="33"/>
      <c r="CF5" s="33"/>
      <c r="CG5" s="33"/>
      <c r="CH5" s="33"/>
      <c r="CI5" s="33"/>
      <c r="CJ5" s="33"/>
      <c r="CK5" s="33"/>
      <c r="CL5" s="33"/>
      <c r="CM5" s="33"/>
      <c r="CN5" s="33"/>
      <c r="CO5" s="33"/>
      <c r="CP5" s="33"/>
    </row>
    <row r="6" spans="1:94" ht="23.25" customHeight="1" x14ac:dyDescent="0.25">
      <c r="A6" s="19"/>
      <c r="B6" s="20" t="s">
        <v>18</v>
      </c>
      <c r="C6" s="20"/>
      <c r="D6" s="29"/>
      <c r="E6" s="35" t="s">
        <v>19</v>
      </c>
      <c r="F6" s="36"/>
      <c r="G6" s="25"/>
      <c r="H6" s="25"/>
      <c r="I6" s="37"/>
      <c r="J6" s="31" t="s">
        <v>84</v>
      </c>
      <c r="K6" s="31"/>
      <c r="L6" s="352"/>
      <c r="M6" s="353" t="s">
        <v>85</v>
      </c>
      <c r="N6" s="306"/>
      <c r="AA6" s="363"/>
      <c r="AB6" s="333"/>
      <c r="AC6" s="333"/>
      <c r="AD6" s="325"/>
    </row>
    <row r="7" spans="1:94" x14ac:dyDescent="0.25">
      <c r="A7" s="38"/>
      <c r="B7" s="39"/>
      <c r="C7" s="40"/>
      <c r="D7" s="41"/>
      <c r="E7" s="42"/>
      <c r="F7" s="40"/>
      <c r="G7" s="43"/>
      <c r="H7" s="44"/>
      <c r="I7" s="45"/>
      <c r="J7" s="46"/>
      <c r="K7" s="46"/>
      <c r="L7" s="46"/>
      <c r="M7" s="46"/>
      <c r="N7" s="47"/>
    </row>
    <row r="8" spans="1:94" s="52" customFormat="1" ht="40.5" customHeight="1" x14ac:dyDescent="0.25">
      <c r="A8" s="48" t="s">
        <v>20</v>
      </c>
      <c r="B8" s="369" t="s">
        <v>21</v>
      </c>
      <c r="C8" s="472" t="s">
        <v>22</v>
      </c>
      <c r="D8" s="473"/>
      <c r="E8" s="369" t="s">
        <v>23</v>
      </c>
      <c r="F8" s="49" t="s">
        <v>24</v>
      </c>
      <c r="G8" s="50" t="str">
        <f>"FY "&amp;'TAAC|0338-02'!FiscalYear-1&amp;" SALARY"</f>
        <v>FY 2022 SALARY</v>
      </c>
      <c r="H8" s="50" t="str">
        <f>"FY "&amp;'TAAC|0338-02'!FiscalYear-1&amp;" HEALTH BENEFITS"</f>
        <v>FY 2022 HEALTH BENEFITS</v>
      </c>
      <c r="I8" s="50" t="str">
        <f>"FY "&amp;'TAAC|0338-02'!FiscalYear-1&amp;" VAR BENEFITS"</f>
        <v>FY 2022 VAR BENEFITS</v>
      </c>
      <c r="J8" s="50" t="str">
        <f>"FY "&amp;'TAAC|0338-02'!FiscalYear-1&amp;" TOTAL"</f>
        <v>FY 2022 TOTAL</v>
      </c>
      <c r="K8" s="50" t="str">
        <f>"FY "&amp;'TAAC|0338-02'!FiscalYear&amp;" SALARY CHANGE"</f>
        <v>FY 2023 SALARY CHANGE</v>
      </c>
      <c r="L8" s="50" t="str">
        <f>"FY "&amp;'TAAC|0338-02'!FiscalYear&amp;" CHG HEALTH BENEFITS"</f>
        <v>FY 2023 CHG HEALTH BENEFITS</v>
      </c>
      <c r="M8" s="50" t="str">
        <f>"FY "&amp;'TAAC|0338-02'!FiscalYear&amp;" CHG VAR BENEFITS"</f>
        <v>FY 2023 CHG VAR BENEFITS</v>
      </c>
      <c r="N8" s="50" t="s">
        <v>25</v>
      </c>
      <c r="O8"/>
      <c r="P8"/>
      <c r="Q8"/>
      <c r="R8"/>
      <c r="S8"/>
      <c r="T8"/>
      <c r="U8"/>
      <c r="V8"/>
      <c r="W8"/>
      <c r="X8"/>
      <c r="Y8"/>
      <c r="Z8" s="344"/>
      <c r="AA8" s="463" t="s">
        <v>105</v>
      </c>
      <c r="AB8" s="463"/>
      <c r="AC8" s="463"/>
      <c r="AD8" s="327"/>
      <c r="AE8" s="51"/>
      <c r="AF8" s="51"/>
      <c r="AG8" s="51"/>
      <c r="AH8" s="51"/>
      <c r="AI8" s="51"/>
      <c r="AJ8" s="51"/>
      <c r="AK8" s="51"/>
      <c r="AL8" s="51"/>
      <c r="AM8" s="51"/>
      <c r="AN8" s="51"/>
      <c r="AO8" s="51"/>
      <c r="AP8" s="51"/>
      <c r="AQ8" s="51"/>
      <c r="AR8" s="51"/>
      <c r="AS8" s="51"/>
      <c r="AT8" s="51"/>
      <c r="AU8" s="51"/>
      <c r="AV8" s="51"/>
      <c r="AW8" s="51"/>
      <c r="AX8" s="51"/>
      <c r="AY8" s="51"/>
      <c r="AZ8" s="51"/>
      <c r="BA8" s="51"/>
      <c r="BB8" s="51"/>
      <c r="BC8" s="51"/>
      <c r="BD8" s="51"/>
      <c r="BE8" s="51"/>
      <c r="BF8" s="51"/>
      <c r="BG8" s="51"/>
      <c r="BH8" s="51"/>
      <c r="BI8" s="51"/>
      <c r="BJ8" s="51"/>
      <c r="BK8" s="51"/>
      <c r="BL8" s="51"/>
      <c r="BM8" s="51"/>
      <c r="BN8" s="51"/>
      <c r="BO8" s="51"/>
      <c r="BP8" s="51"/>
      <c r="BQ8" s="51"/>
      <c r="BR8" s="51"/>
      <c r="BS8" s="51"/>
      <c r="BT8" s="51"/>
      <c r="BU8" s="51"/>
      <c r="BV8" s="51"/>
      <c r="BW8" s="51"/>
      <c r="BX8" s="51"/>
      <c r="BY8" s="51"/>
      <c r="BZ8" s="51"/>
      <c r="CA8" s="51"/>
      <c r="CB8" s="51"/>
      <c r="CC8" s="51"/>
      <c r="CD8" s="51"/>
      <c r="CE8" s="51"/>
      <c r="CF8" s="51"/>
      <c r="CG8" s="51"/>
      <c r="CH8" s="51"/>
      <c r="CI8" s="51"/>
      <c r="CJ8" s="51"/>
      <c r="CK8" s="51"/>
      <c r="CL8" s="51"/>
      <c r="CM8" s="51"/>
      <c r="CN8" s="51"/>
      <c r="CO8" s="51"/>
      <c r="CP8" s="51"/>
    </row>
    <row r="9" spans="1:94" s="149" customFormat="1" x14ac:dyDescent="0.25">
      <c r="A9" s="139"/>
      <c r="B9" s="140"/>
      <c r="C9" s="464" t="s">
        <v>26</v>
      </c>
      <c r="D9" s="465"/>
      <c r="E9" s="141"/>
      <c r="F9" s="142"/>
      <c r="G9" s="143"/>
      <c r="H9" s="143"/>
      <c r="I9" s="143"/>
      <c r="J9" s="144"/>
      <c r="K9" s="144"/>
      <c r="L9" s="145"/>
      <c r="M9" s="146"/>
      <c r="N9" s="144"/>
      <c r="O9"/>
      <c r="P9"/>
      <c r="Q9"/>
      <c r="R9"/>
      <c r="S9"/>
      <c r="T9"/>
      <c r="U9"/>
      <c r="V9"/>
      <c r="W9"/>
      <c r="X9"/>
      <c r="Y9"/>
      <c r="Z9" s="344"/>
      <c r="AA9" s="363" t="s">
        <v>94</v>
      </c>
      <c r="AB9" s="333" t="s">
        <v>95</v>
      </c>
      <c r="AC9" s="333" t="s">
        <v>106</v>
      </c>
      <c r="AD9" s="328"/>
      <c r="AE9" s="148"/>
      <c r="AF9" s="148"/>
      <c r="AG9" s="148"/>
      <c r="AH9" s="148"/>
      <c r="AI9" s="148"/>
      <c r="AJ9" s="148"/>
      <c r="AK9" s="148"/>
      <c r="AL9" s="148"/>
      <c r="AM9" s="148"/>
      <c r="AN9" s="148"/>
      <c r="AO9" s="148"/>
      <c r="AP9" s="148"/>
      <c r="AQ9" s="148"/>
      <c r="AR9" s="148"/>
      <c r="AS9" s="148"/>
      <c r="AT9" s="148"/>
      <c r="AU9" s="148"/>
      <c r="AV9" s="148"/>
      <c r="AW9" s="148"/>
      <c r="AX9" s="148"/>
      <c r="AY9" s="148"/>
      <c r="AZ9" s="148"/>
      <c r="BA9" s="148"/>
      <c r="BB9" s="148"/>
      <c r="BC9" s="148"/>
      <c r="BD9" s="148"/>
      <c r="BE9" s="148"/>
      <c r="BF9" s="148"/>
      <c r="BG9" s="148"/>
      <c r="BH9" s="148"/>
      <c r="BI9" s="148"/>
      <c r="BJ9" s="148"/>
      <c r="BK9" s="148"/>
      <c r="BL9" s="148"/>
      <c r="BM9" s="148"/>
      <c r="BN9" s="148"/>
      <c r="BO9" s="148"/>
      <c r="BP9" s="148"/>
      <c r="BQ9" s="148"/>
      <c r="BR9" s="148"/>
      <c r="BS9" s="148"/>
      <c r="BT9" s="148"/>
      <c r="BU9" s="148"/>
      <c r="BV9" s="148"/>
      <c r="BW9" s="148"/>
      <c r="BX9" s="148"/>
      <c r="BY9" s="148"/>
      <c r="BZ9" s="148"/>
      <c r="CA9" s="148"/>
      <c r="CB9" s="148"/>
      <c r="CC9" s="148"/>
      <c r="CD9" s="148"/>
      <c r="CE9" s="148"/>
      <c r="CF9" s="148"/>
      <c r="CG9" s="148"/>
      <c r="CH9" s="148"/>
      <c r="CI9" s="148"/>
      <c r="CJ9" s="148"/>
      <c r="CK9" s="148"/>
      <c r="CL9" s="148"/>
      <c r="CM9" s="148"/>
      <c r="CN9" s="148"/>
      <c r="CO9" s="148"/>
      <c r="CP9" s="148"/>
    </row>
    <row r="10" spans="1:94" s="149" customFormat="1" x14ac:dyDescent="0.25">
      <c r="A10" s="139"/>
      <c r="B10" s="139"/>
      <c r="C10" s="443" t="s">
        <v>27</v>
      </c>
      <c r="D10" s="466"/>
      <c r="E10" s="217">
        <v>1</v>
      </c>
      <c r="F10" s="288">
        <f>[0]!TAAC033802col_INC_FTI</f>
        <v>10.6</v>
      </c>
      <c r="G10" s="218">
        <f>[0]!TAAC033802col_FTI_SALARY_PERM</f>
        <v>476774.48</v>
      </c>
      <c r="H10" s="218">
        <f>[0]!TAAC033802col_HEALTH_PERM</f>
        <v>123490</v>
      </c>
      <c r="I10" s="218">
        <f>[0]!TAAC033802col_TOT_VB_PERM</f>
        <v>101666.3007256</v>
      </c>
      <c r="J10" s="219">
        <f>SUM(G10:I10)</f>
        <v>701930.78072559997</v>
      </c>
      <c r="K10" s="219">
        <f>[0]!TAAC033802col_1_27TH_PP</f>
        <v>0</v>
      </c>
      <c r="L10" s="218">
        <f>[0]!TAAC033802col_HEALTH_PERM_CHG</f>
        <v>0</v>
      </c>
      <c r="M10" s="218">
        <f>[0]!TAAC033802col_TOT_VB_PERM_CHG</f>
        <v>-2288.5175039999999</v>
      </c>
      <c r="N10" s="218">
        <f>SUM(L10:M10)</f>
        <v>-2288.5175039999999</v>
      </c>
      <c r="O10"/>
      <c r="P10"/>
      <c r="Q10"/>
      <c r="R10"/>
      <c r="S10"/>
      <c r="T10"/>
      <c r="U10"/>
      <c r="V10"/>
      <c r="W10"/>
      <c r="X10"/>
      <c r="Y10"/>
      <c r="Z10" s="344"/>
      <c r="AA10" s="338">
        <f>ROUND(CECPerm*PermSalary,-2)</f>
        <v>4800</v>
      </c>
      <c r="AB10" s="335">
        <f>ROUND(PermVarBen*CECPerm+(CECPerm*PermVarBenChg),-2)</f>
        <v>1000</v>
      </c>
      <c r="AC10" s="335">
        <f>SUM(AA10:AB10)</f>
        <v>5800</v>
      </c>
      <c r="AD10" s="328"/>
      <c r="AE10" s="148"/>
      <c r="AF10" s="148"/>
      <c r="AG10" s="148"/>
      <c r="AH10" s="148"/>
      <c r="AI10" s="148"/>
      <c r="AJ10" s="148"/>
      <c r="AK10" s="148"/>
      <c r="AL10" s="148"/>
      <c r="AM10" s="148"/>
      <c r="AN10" s="148"/>
      <c r="AO10" s="148"/>
      <c r="AP10" s="148"/>
      <c r="AQ10" s="148"/>
      <c r="AR10" s="148"/>
      <c r="AS10" s="148"/>
      <c r="AT10" s="148"/>
      <c r="AU10" s="148"/>
      <c r="AV10" s="148"/>
      <c r="AW10" s="148"/>
      <c r="AX10" s="148"/>
      <c r="AY10" s="148"/>
      <c r="AZ10" s="148"/>
      <c r="BA10" s="148"/>
      <c r="BB10" s="148"/>
      <c r="BC10" s="148"/>
      <c r="BD10" s="148"/>
      <c r="BE10" s="148"/>
      <c r="BF10" s="148"/>
      <c r="BG10" s="148"/>
      <c r="BH10" s="148"/>
      <c r="BI10" s="148"/>
      <c r="BJ10" s="148"/>
      <c r="BK10" s="148"/>
      <c r="BL10" s="148"/>
      <c r="BM10" s="148"/>
      <c r="BN10" s="148"/>
      <c r="BO10" s="148"/>
      <c r="BP10" s="148"/>
      <c r="BQ10" s="148"/>
      <c r="BR10" s="148"/>
      <c r="BS10" s="148"/>
      <c r="BT10" s="148"/>
      <c r="BU10" s="148"/>
      <c r="BV10" s="148"/>
      <c r="BW10" s="148"/>
      <c r="BX10" s="148"/>
      <c r="BY10" s="148"/>
      <c r="BZ10" s="148"/>
      <c r="CA10" s="148"/>
      <c r="CB10" s="148"/>
      <c r="CC10" s="148"/>
      <c r="CD10" s="148"/>
      <c r="CE10" s="148"/>
      <c r="CF10" s="148"/>
      <c r="CG10" s="148"/>
      <c r="CH10" s="148"/>
      <c r="CI10" s="148"/>
      <c r="CJ10" s="148"/>
      <c r="CK10" s="148"/>
      <c r="CL10" s="148"/>
      <c r="CM10" s="148"/>
      <c r="CN10" s="148"/>
      <c r="CO10" s="148"/>
      <c r="CP10" s="148"/>
    </row>
    <row r="11" spans="1:94" s="149" customFormat="1" x14ac:dyDescent="0.25">
      <c r="A11" s="139"/>
      <c r="B11" s="139"/>
      <c r="C11" s="443" t="s">
        <v>28</v>
      </c>
      <c r="D11" s="466"/>
      <c r="E11" s="217">
        <v>2</v>
      </c>
      <c r="F11" s="288"/>
      <c r="G11" s="218">
        <f>[0]!TAAC033802col_Group_Salary</f>
        <v>0</v>
      </c>
      <c r="H11" s="218">
        <v>0</v>
      </c>
      <c r="I11" s="218">
        <f>[0]!TAAC033802col_Group_Ben</f>
        <v>0</v>
      </c>
      <c r="J11" s="219">
        <f>SUM(G11:I11)</f>
        <v>0</v>
      </c>
      <c r="K11" s="268"/>
      <c r="L11" s="218"/>
      <c r="M11" s="218"/>
      <c r="N11" s="218"/>
      <c r="O11"/>
      <c r="P11"/>
      <c r="Q11"/>
      <c r="R11"/>
      <c r="S11"/>
      <c r="T11"/>
      <c r="U11"/>
      <c r="V11"/>
      <c r="W11"/>
      <c r="X11"/>
      <c r="Y11"/>
      <c r="Z11" s="344"/>
      <c r="AA11" s="338">
        <f>ROUND(GroupSalary*CECGroup,-2)</f>
        <v>0</v>
      </c>
      <c r="AB11" s="335">
        <f>ROUND((GroupSalary*GroupVBBY)*CECGroup,-2)</f>
        <v>0</v>
      </c>
      <c r="AC11" s="335">
        <f>SUM(AA12:AB12)</f>
        <v>0</v>
      </c>
      <c r="AD11" s="328"/>
      <c r="AE11" s="148"/>
      <c r="AF11" s="148"/>
      <c r="AG11" s="148"/>
      <c r="AH11" s="148"/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148"/>
      <c r="AV11" s="148"/>
      <c r="AW11" s="148"/>
      <c r="AX11" s="148"/>
      <c r="AY11" s="148"/>
      <c r="AZ11" s="148"/>
      <c r="BA11" s="148"/>
      <c r="BB11" s="148"/>
      <c r="BC11" s="148"/>
      <c r="BD11" s="148"/>
      <c r="BE11" s="148"/>
      <c r="BF11" s="148"/>
      <c r="BG11" s="148"/>
      <c r="BH11" s="148"/>
      <c r="BI11" s="148"/>
      <c r="BJ11" s="148"/>
      <c r="BK11" s="148"/>
      <c r="BL11" s="148"/>
      <c r="BM11" s="148"/>
      <c r="BN11" s="148"/>
      <c r="BO11" s="148"/>
      <c r="BP11" s="148"/>
      <c r="BQ11" s="148"/>
      <c r="BR11" s="148"/>
      <c r="BS11" s="148"/>
      <c r="BT11" s="148"/>
      <c r="BU11" s="148"/>
      <c r="BV11" s="148"/>
      <c r="BW11" s="148"/>
      <c r="BX11" s="148"/>
      <c r="BY11" s="148"/>
      <c r="BZ11" s="148"/>
      <c r="CA11" s="148"/>
      <c r="CB11" s="148"/>
      <c r="CC11" s="148"/>
      <c r="CD11" s="148"/>
      <c r="CE11" s="148"/>
      <c r="CF11" s="148"/>
      <c r="CG11" s="148"/>
      <c r="CH11" s="148"/>
      <c r="CI11" s="148"/>
      <c r="CJ11" s="148"/>
      <c r="CK11" s="148"/>
      <c r="CL11" s="148"/>
      <c r="CM11" s="148"/>
      <c r="CN11" s="148"/>
      <c r="CO11" s="148"/>
      <c r="CP11" s="148"/>
    </row>
    <row r="12" spans="1:94" s="149" customFormat="1" x14ac:dyDescent="0.25">
      <c r="A12" s="139"/>
      <c r="B12" s="139"/>
      <c r="C12" s="443" t="s">
        <v>29</v>
      </c>
      <c r="D12" s="444"/>
      <c r="E12" s="217">
        <v>3</v>
      </c>
      <c r="F12" s="288">
        <f>[0]!TAAC033802col_TOTAL_ELECT_PCN_FTI</f>
        <v>0</v>
      </c>
      <c r="G12" s="218">
        <f>[0]!TAAC033802col_FTI_SALARY_ELECT</f>
        <v>0</v>
      </c>
      <c r="H12" s="218">
        <f>[0]!TAAC033802col_HEALTH_ELECT</f>
        <v>0</v>
      </c>
      <c r="I12" s="218">
        <f>[0]!TAAC033802col_TOT_VB_ELECT</f>
        <v>0</v>
      </c>
      <c r="J12" s="219">
        <f>SUM(G12:I12)</f>
        <v>0</v>
      </c>
      <c r="K12" s="268"/>
      <c r="L12" s="218">
        <f>[0]!TAAC033802col_HEALTH_ELECT_CHG</f>
        <v>0</v>
      </c>
      <c r="M12" s="218">
        <f>[0]!TAAC033802col_TOT_VB_ELECT_CHG</f>
        <v>0</v>
      </c>
      <c r="N12" s="219">
        <f>SUM(L12:M12)</f>
        <v>0</v>
      </c>
      <c r="O12"/>
      <c r="P12"/>
      <c r="Q12"/>
      <c r="R12"/>
      <c r="S12"/>
      <c r="T12"/>
      <c r="U12"/>
      <c r="V12"/>
      <c r="W12"/>
      <c r="X12"/>
      <c r="Y12"/>
      <c r="Z12" s="344"/>
      <c r="AA12" s="336"/>
      <c r="AB12" s="336"/>
      <c r="AC12" s="336"/>
      <c r="AD12" s="328"/>
      <c r="AE12" s="148"/>
      <c r="AF12" s="148"/>
      <c r="AG12" s="148"/>
      <c r="AH12" s="148"/>
      <c r="AI12" s="148"/>
      <c r="AJ12" s="148"/>
      <c r="AK12" s="148"/>
      <c r="AL12" s="148"/>
      <c r="AM12" s="148"/>
      <c r="AN12" s="148"/>
      <c r="AO12" s="148"/>
      <c r="AP12" s="148"/>
      <c r="AQ12" s="148"/>
      <c r="AR12" s="148"/>
      <c r="AS12" s="148"/>
      <c r="AT12" s="148"/>
      <c r="AU12" s="148"/>
      <c r="AV12" s="148"/>
      <c r="AW12" s="148"/>
      <c r="AX12" s="148"/>
      <c r="AY12" s="148"/>
      <c r="AZ12" s="148"/>
      <c r="BA12" s="148"/>
      <c r="BB12" s="148"/>
      <c r="BC12" s="148"/>
      <c r="BD12" s="148"/>
      <c r="BE12" s="148"/>
      <c r="BF12" s="148"/>
      <c r="BG12" s="148"/>
      <c r="BH12" s="148"/>
      <c r="BI12" s="148"/>
      <c r="BJ12" s="148"/>
      <c r="BK12" s="148"/>
      <c r="BL12" s="148"/>
      <c r="BM12" s="148"/>
      <c r="BN12" s="148"/>
      <c r="BO12" s="148"/>
      <c r="BP12" s="148"/>
      <c r="BQ12" s="148"/>
      <c r="BR12" s="148"/>
      <c r="BS12" s="148"/>
      <c r="BT12" s="148"/>
      <c r="BU12" s="148"/>
      <c r="BV12" s="148"/>
      <c r="BW12" s="148"/>
      <c r="BX12" s="148"/>
      <c r="BY12" s="148"/>
      <c r="BZ12" s="148"/>
      <c r="CA12" s="148"/>
      <c r="CB12" s="148"/>
      <c r="CC12" s="148"/>
      <c r="CD12" s="148"/>
      <c r="CE12" s="148"/>
      <c r="CF12" s="148"/>
      <c r="CG12" s="148"/>
      <c r="CH12" s="148"/>
      <c r="CI12" s="148"/>
      <c r="CJ12" s="148"/>
      <c r="CK12" s="148"/>
      <c r="CL12" s="148"/>
      <c r="CM12" s="148"/>
      <c r="CN12" s="148"/>
      <c r="CO12" s="148"/>
      <c r="CP12" s="148"/>
    </row>
    <row r="13" spans="1:94" s="153" customFormat="1" x14ac:dyDescent="0.25">
      <c r="A13" s="139"/>
      <c r="B13" s="139"/>
      <c r="C13" s="443" t="s">
        <v>30</v>
      </c>
      <c r="D13" s="466"/>
      <c r="E13" s="217"/>
      <c r="F13" s="220">
        <f>SUM(F10:F12)</f>
        <v>10.6</v>
      </c>
      <c r="G13" s="221">
        <f>SUM(G10:G12)</f>
        <v>476774.48</v>
      </c>
      <c r="H13" s="221">
        <f>SUM(H10:H12)</f>
        <v>123490</v>
      </c>
      <c r="I13" s="221">
        <f>SUM(I10:I12)</f>
        <v>101666.3007256</v>
      </c>
      <c r="J13" s="219">
        <f>SUM(G13:I13)</f>
        <v>701930.78072559997</v>
      </c>
      <c r="K13" s="268"/>
      <c r="L13" s="219">
        <f>SUM(L10:L12)</f>
        <v>0</v>
      </c>
      <c r="M13" s="219">
        <f>SUM(M10:M12)</f>
        <v>-2288.5175039999999</v>
      </c>
      <c r="N13" s="219">
        <f>SUM(N10:N12)</f>
        <v>-2288.5175039999999</v>
      </c>
      <c r="O13"/>
      <c r="P13"/>
      <c r="Q13"/>
      <c r="R13"/>
      <c r="S13"/>
      <c r="T13"/>
      <c r="U13"/>
      <c r="V13"/>
      <c r="W13"/>
      <c r="X13"/>
      <c r="Y13"/>
      <c r="Z13" s="344"/>
      <c r="AA13" s="336"/>
      <c r="AB13" s="336"/>
      <c r="AC13" s="336"/>
      <c r="AD13" s="329"/>
      <c r="AE13" s="147"/>
      <c r="AF13" s="147"/>
      <c r="AG13" s="147"/>
      <c r="AH13" s="147"/>
      <c r="AI13" s="147"/>
      <c r="AJ13" s="147"/>
      <c r="AK13" s="147"/>
      <c r="AL13" s="147"/>
      <c r="AM13" s="147"/>
      <c r="AN13" s="147"/>
      <c r="AO13" s="147"/>
      <c r="AP13" s="147"/>
      <c r="AQ13" s="147"/>
      <c r="AR13" s="147"/>
      <c r="AS13" s="147"/>
      <c r="AT13" s="147"/>
      <c r="AU13" s="147"/>
      <c r="AV13" s="147"/>
      <c r="AW13" s="147"/>
      <c r="AX13" s="147"/>
      <c r="AY13" s="147"/>
      <c r="AZ13" s="147"/>
      <c r="BA13" s="147"/>
      <c r="BB13" s="147"/>
      <c r="BC13" s="147"/>
      <c r="BD13" s="147"/>
      <c r="BE13" s="147"/>
      <c r="BF13" s="147"/>
      <c r="BG13" s="147"/>
      <c r="BH13" s="147"/>
      <c r="BI13" s="147"/>
      <c r="BJ13" s="147"/>
      <c r="BK13" s="147"/>
      <c r="BL13" s="147"/>
      <c r="BM13" s="147"/>
      <c r="BN13" s="147"/>
      <c r="BO13" s="147"/>
      <c r="BP13" s="147"/>
      <c r="BQ13" s="147"/>
      <c r="BR13" s="147"/>
      <c r="BS13" s="147"/>
      <c r="BT13" s="147"/>
      <c r="BU13" s="147"/>
      <c r="BV13" s="147"/>
      <c r="BW13" s="147"/>
      <c r="BX13" s="147"/>
      <c r="BY13" s="147"/>
      <c r="BZ13" s="147"/>
      <c r="CA13" s="147"/>
      <c r="CB13" s="147"/>
      <c r="CC13" s="147"/>
      <c r="CD13" s="147"/>
      <c r="CE13" s="147"/>
      <c r="CF13" s="147"/>
      <c r="CG13" s="147"/>
      <c r="CH13" s="147"/>
      <c r="CI13" s="147"/>
      <c r="CJ13" s="147"/>
      <c r="CK13" s="147"/>
      <c r="CL13" s="147"/>
      <c r="CM13" s="147"/>
      <c r="CN13" s="147"/>
      <c r="CO13" s="147"/>
      <c r="CP13" s="147"/>
    </row>
    <row r="14" spans="1:94" s="153" customFormat="1" ht="5.45" customHeight="1" x14ac:dyDescent="0.25">
      <c r="A14" s="139"/>
      <c r="B14" s="139"/>
      <c r="C14" s="364"/>
      <c r="D14" s="370"/>
      <c r="E14" s="217"/>
      <c r="F14" s="220"/>
      <c r="G14" s="219"/>
      <c r="H14" s="219"/>
      <c r="I14" s="219"/>
      <c r="J14" s="219"/>
      <c r="K14" s="268"/>
      <c r="L14" s="219"/>
      <c r="M14" s="222"/>
      <c r="N14" s="222"/>
      <c r="O14"/>
      <c r="P14"/>
      <c r="Q14"/>
      <c r="R14"/>
      <c r="S14"/>
      <c r="T14"/>
      <c r="U14"/>
      <c r="V14"/>
      <c r="W14"/>
      <c r="X14"/>
      <c r="Y14"/>
      <c r="Z14" s="344"/>
      <c r="AA14" s="336"/>
      <c r="AB14" s="336"/>
      <c r="AC14" s="336"/>
      <c r="AD14" s="329"/>
      <c r="AE14" s="147"/>
      <c r="AF14" s="147"/>
      <c r="AG14" s="147"/>
      <c r="AH14" s="147"/>
      <c r="AI14" s="147"/>
      <c r="AJ14" s="147"/>
      <c r="AK14" s="147"/>
      <c r="AL14" s="147"/>
      <c r="AM14" s="147"/>
      <c r="AN14" s="147"/>
      <c r="AO14" s="147"/>
      <c r="AP14" s="147"/>
      <c r="AQ14" s="147"/>
      <c r="AR14" s="147"/>
      <c r="AS14" s="147"/>
      <c r="AT14" s="147"/>
      <c r="AU14" s="147"/>
      <c r="AV14" s="147"/>
      <c r="AW14" s="147"/>
      <c r="AX14" s="147"/>
      <c r="AY14" s="147"/>
      <c r="AZ14" s="147"/>
      <c r="BA14" s="147"/>
      <c r="BB14" s="147"/>
      <c r="BC14" s="147"/>
      <c r="BD14" s="147"/>
      <c r="BE14" s="147"/>
      <c r="BF14" s="147"/>
      <c r="BG14" s="147"/>
      <c r="BH14" s="147"/>
      <c r="BI14" s="147"/>
      <c r="BJ14" s="147"/>
      <c r="BK14" s="147"/>
      <c r="BL14" s="147"/>
      <c r="BM14" s="147"/>
      <c r="BN14" s="147"/>
      <c r="BO14" s="147"/>
      <c r="BP14" s="147"/>
      <c r="BQ14" s="147"/>
      <c r="BR14" s="147"/>
      <c r="BS14" s="147"/>
      <c r="BT14" s="147"/>
      <c r="BU14" s="147"/>
      <c r="BV14" s="147"/>
      <c r="BW14" s="147"/>
      <c r="BX14" s="147"/>
      <c r="BY14" s="147"/>
      <c r="BZ14" s="147"/>
      <c r="CA14" s="147"/>
      <c r="CB14" s="147"/>
      <c r="CC14" s="147"/>
      <c r="CD14" s="147"/>
      <c r="CE14" s="147"/>
      <c r="CF14" s="147"/>
      <c r="CG14" s="147"/>
      <c r="CH14" s="147"/>
      <c r="CI14" s="147"/>
      <c r="CJ14" s="147"/>
      <c r="CK14" s="147"/>
      <c r="CL14" s="147"/>
      <c r="CM14" s="147"/>
      <c r="CN14" s="147"/>
      <c r="CO14" s="147"/>
      <c r="CP14" s="147"/>
    </row>
    <row r="15" spans="1:94" s="153" customFormat="1" ht="15.75" customHeight="1" x14ac:dyDescent="0.25">
      <c r="A15" s="139"/>
      <c r="B15" s="156"/>
      <c r="C15" s="157" t="str">
        <f>"FY "&amp;'TAAC|0338-02'!FiscalYear-1</f>
        <v>FY 2022</v>
      </c>
      <c r="D15" s="158" t="s">
        <v>31</v>
      </c>
      <c r="E15" s="354">
        <v>621500</v>
      </c>
      <c r="F15" s="55">
        <v>10.85</v>
      </c>
      <c r="G15" s="223">
        <f>IF(OrigApprop=0,0,(G13/$J$13)*OrigApprop)</f>
        <v>422143.24753459718</v>
      </c>
      <c r="H15" s="223">
        <f>IF(OrigApprop=0,0,(H13/$J$13)*OrigApprop)</f>
        <v>109339.89092295252</v>
      </c>
      <c r="I15" s="223">
        <f>IF(G15=0,0,(I13/$J$13)*OrigApprop)</f>
        <v>90016.861542450337</v>
      </c>
      <c r="J15" s="223">
        <f>SUM(G15:I15)</f>
        <v>621500.00000000012</v>
      </c>
      <c r="K15" s="268"/>
      <c r="L15" s="224"/>
      <c r="M15" s="224"/>
      <c r="N15" s="224"/>
      <c r="O15"/>
      <c r="P15"/>
      <c r="Q15"/>
      <c r="R15"/>
      <c r="S15"/>
      <c r="T15"/>
      <c r="U15"/>
      <c r="V15"/>
      <c r="W15"/>
      <c r="X15"/>
      <c r="Y15"/>
      <c r="Z15" s="344"/>
      <c r="AA15" s="336"/>
      <c r="AB15" s="336"/>
      <c r="AC15" s="336"/>
      <c r="AD15" s="329"/>
      <c r="AE15" s="147"/>
      <c r="AF15" s="147"/>
      <c r="AG15" s="147"/>
      <c r="AH15" s="147"/>
      <c r="AI15" s="147"/>
      <c r="AJ15" s="147"/>
      <c r="AK15" s="147"/>
      <c r="AL15" s="147"/>
      <c r="AM15" s="147"/>
      <c r="AN15" s="147"/>
      <c r="AO15" s="147"/>
      <c r="AP15" s="147"/>
      <c r="AQ15" s="147"/>
      <c r="AR15" s="147"/>
      <c r="AS15" s="147"/>
      <c r="AT15" s="147"/>
      <c r="AU15" s="147"/>
      <c r="AV15" s="147"/>
      <c r="AW15" s="147"/>
      <c r="AX15" s="147"/>
      <c r="AY15" s="147"/>
      <c r="AZ15" s="147"/>
      <c r="BA15" s="147"/>
      <c r="BB15" s="147"/>
      <c r="BC15" s="147"/>
      <c r="BD15" s="147"/>
      <c r="BE15" s="147"/>
      <c r="BF15" s="147"/>
      <c r="BG15" s="147"/>
      <c r="BH15" s="147"/>
      <c r="BI15" s="147"/>
      <c r="BJ15" s="147"/>
      <c r="BK15" s="147"/>
      <c r="BL15" s="147"/>
      <c r="BM15" s="147"/>
      <c r="BN15" s="147"/>
      <c r="BO15" s="147"/>
      <c r="BP15" s="147"/>
      <c r="BQ15" s="147"/>
      <c r="BR15" s="147"/>
      <c r="BS15" s="147"/>
      <c r="BT15" s="147"/>
      <c r="BU15" s="147"/>
      <c r="BV15" s="147"/>
      <c r="BW15" s="147"/>
      <c r="BX15" s="147"/>
      <c r="BY15" s="147"/>
      <c r="BZ15" s="147"/>
      <c r="CA15" s="147"/>
      <c r="CB15" s="147"/>
      <c r="CC15" s="147"/>
      <c r="CD15" s="147"/>
      <c r="CE15" s="147"/>
      <c r="CF15" s="147"/>
      <c r="CG15" s="147"/>
      <c r="CH15" s="147"/>
      <c r="CI15" s="147"/>
      <c r="CJ15" s="147"/>
      <c r="CK15" s="147"/>
      <c r="CL15" s="147"/>
      <c r="CM15" s="147"/>
      <c r="CN15" s="147"/>
      <c r="CO15" s="147"/>
      <c r="CP15" s="147"/>
    </row>
    <row r="16" spans="1:94" s="153" customFormat="1" ht="15.75" customHeight="1" x14ac:dyDescent="0.25">
      <c r="A16" s="139"/>
      <c r="B16" s="139"/>
      <c r="C16" s="453" t="s">
        <v>32</v>
      </c>
      <c r="D16" s="454"/>
      <c r="E16" s="160" t="s">
        <v>33</v>
      </c>
      <c r="F16" s="161">
        <f>F15-F13</f>
        <v>0.25</v>
      </c>
      <c r="G16" s="162">
        <f>G15-G13</f>
        <v>-54631.232465402805</v>
      </c>
      <c r="H16" s="162">
        <f>H15-H13</f>
        <v>-14150.109077047484</v>
      </c>
      <c r="I16" s="162">
        <f>I15-I13</f>
        <v>-11649.439183149661</v>
      </c>
      <c r="J16" s="162">
        <f>J15-J13</f>
        <v>-80430.780725599849</v>
      </c>
      <c r="K16" s="269"/>
      <c r="L16" s="56" t="str">
        <f>IF('TAAC|0338-02'!OrigApprop=0,"ERROR! Enter Original Appropriation amount in DU 3.00!","Calculated "&amp;IF('TAAC|0338-02'!AdjustedTotal&gt;0,"overfunding ","underfunding ")&amp;"is "&amp;TEXT('TAAC|0338-02'!AdjustedTotal/'TAAC|0338-02'!AppropTotal,"#.0%;(#.0% );0% ;")&amp;" of Original Appropriation")</f>
        <v>Calculated underfunding is (12.9% ) of Original Appropriation</v>
      </c>
      <c r="M16" s="163"/>
      <c r="N16" s="164"/>
      <c r="O16"/>
      <c r="P16"/>
      <c r="Q16"/>
      <c r="R16"/>
      <c r="S16"/>
      <c r="T16"/>
      <c r="U16"/>
      <c r="V16"/>
      <c r="W16"/>
      <c r="X16"/>
      <c r="Y16"/>
      <c r="Z16" s="344"/>
      <c r="AA16" s="336"/>
      <c r="AB16" s="336"/>
      <c r="AC16" s="336"/>
      <c r="AD16" s="329"/>
      <c r="AE16" s="147"/>
      <c r="AF16" s="147"/>
      <c r="AG16" s="147"/>
      <c r="AH16" s="147"/>
      <c r="AI16" s="147"/>
      <c r="AJ16" s="147"/>
      <c r="AK16" s="147"/>
      <c r="AL16" s="147"/>
      <c r="AM16" s="147"/>
      <c r="AN16" s="147"/>
      <c r="AO16" s="147"/>
      <c r="AP16" s="147"/>
      <c r="AQ16" s="147"/>
      <c r="AR16" s="147"/>
      <c r="AS16" s="147"/>
      <c r="AT16" s="147"/>
      <c r="AU16" s="147"/>
      <c r="AV16" s="147"/>
      <c r="AW16" s="147"/>
      <c r="AX16" s="147"/>
      <c r="AY16" s="147"/>
      <c r="AZ16" s="147"/>
      <c r="BA16" s="147"/>
      <c r="BB16" s="147"/>
      <c r="BC16" s="147"/>
      <c r="BD16" s="147"/>
      <c r="BE16" s="147"/>
      <c r="BF16" s="147"/>
      <c r="BG16" s="147"/>
      <c r="BH16" s="147"/>
      <c r="BI16" s="147"/>
      <c r="BJ16" s="147"/>
      <c r="BK16" s="147"/>
      <c r="BL16" s="147"/>
      <c r="BM16" s="147"/>
      <c r="BN16" s="147"/>
      <c r="BO16" s="147"/>
      <c r="BP16" s="147"/>
      <c r="BQ16" s="147"/>
      <c r="BR16" s="147"/>
      <c r="BS16" s="147"/>
      <c r="BT16" s="147"/>
      <c r="BU16" s="147"/>
      <c r="BV16" s="147"/>
      <c r="BW16" s="147"/>
      <c r="BX16" s="147"/>
      <c r="BY16" s="147"/>
      <c r="BZ16" s="147"/>
      <c r="CA16" s="147"/>
      <c r="CB16" s="147"/>
      <c r="CC16" s="147"/>
      <c r="CD16" s="147"/>
      <c r="CE16" s="147"/>
      <c r="CF16" s="147"/>
      <c r="CG16" s="147"/>
      <c r="CH16" s="147"/>
      <c r="CI16" s="147"/>
      <c r="CJ16" s="147"/>
      <c r="CK16" s="147"/>
      <c r="CL16" s="147"/>
      <c r="CM16" s="147"/>
      <c r="CN16" s="147"/>
      <c r="CO16" s="147"/>
      <c r="CP16" s="147"/>
    </row>
    <row r="17" spans="1:94" s="153" customFormat="1" x14ac:dyDescent="0.25">
      <c r="A17" s="139"/>
      <c r="B17" s="139"/>
      <c r="C17" s="455" t="s">
        <v>34</v>
      </c>
      <c r="D17" s="456"/>
      <c r="E17" s="147"/>
      <c r="F17" s="258"/>
      <c r="G17" s="147"/>
      <c r="H17" s="166"/>
      <c r="I17" s="167"/>
      <c r="J17" s="166"/>
      <c r="K17" s="166"/>
      <c r="L17" s="166"/>
      <c r="M17" s="166"/>
      <c r="N17" s="166"/>
      <c r="O17"/>
      <c r="P17"/>
      <c r="Q17"/>
      <c r="R17"/>
      <c r="S17"/>
      <c r="T17"/>
      <c r="U17"/>
      <c r="V17"/>
      <c r="W17"/>
      <c r="X17"/>
      <c r="Y17"/>
      <c r="Z17" s="344"/>
      <c r="AA17" s="336"/>
      <c r="AB17" s="336"/>
      <c r="AC17" s="336"/>
      <c r="AD17" s="329"/>
      <c r="AE17" s="147"/>
      <c r="AF17" s="147"/>
      <c r="AG17" s="147"/>
      <c r="AH17" s="147"/>
      <c r="AI17" s="147"/>
      <c r="AJ17" s="147"/>
      <c r="AK17" s="147"/>
      <c r="AL17" s="147"/>
      <c r="AM17" s="147"/>
      <c r="AN17" s="147"/>
      <c r="AO17" s="147"/>
      <c r="AP17" s="147"/>
      <c r="AQ17" s="147"/>
      <c r="AR17" s="147"/>
      <c r="AS17" s="147"/>
      <c r="AT17" s="147"/>
      <c r="AU17" s="147"/>
      <c r="AV17" s="147"/>
      <c r="AW17" s="147"/>
      <c r="AX17" s="147"/>
      <c r="AY17" s="147"/>
      <c r="AZ17" s="147"/>
      <c r="BA17" s="147"/>
      <c r="BB17" s="147"/>
      <c r="BC17" s="147"/>
      <c r="BD17" s="147"/>
      <c r="BE17" s="147"/>
      <c r="BF17" s="147"/>
      <c r="BG17" s="147"/>
      <c r="BH17" s="147"/>
      <c r="BI17" s="147"/>
      <c r="BJ17" s="147"/>
      <c r="BK17" s="147"/>
      <c r="BL17" s="147"/>
      <c r="BM17" s="147"/>
      <c r="BN17" s="147"/>
      <c r="BO17" s="147"/>
      <c r="BP17" s="147"/>
      <c r="BQ17" s="147"/>
      <c r="BR17" s="147"/>
      <c r="BS17" s="147"/>
      <c r="BT17" s="147"/>
      <c r="BU17" s="147"/>
      <c r="BV17" s="147"/>
      <c r="BW17" s="147"/>
      <c r="BX17" s="147"/>
      <c r="BY17" s="147"/>
      <c r="BZ17" s="147"/>
      <c r="CA17" s="147"/>
      <c r="CB17" s="147"/>
      <c r="CC17" s="147"/>
      <c r="CD17" s="147"/>
      <c r="CE17" s="147"/>
      <c r="CF17" s="147"/>
      <c r="CG17" s="147"/>
      <c r="CH17" s="147"/>
      <c r="CI17" s="147"/>
      <c r="CJ17" s="147"/>
      <c r="CK17" s="147"/>
      <c r="CL17" s="147"/>
      <c r="CM17" s="147"/>
      <c r="CN17" s="147"/>
      <c r="CO17" s="147"/>
      <c r="CP17" s="147"/>
    </row>
    <row r="18" spans="1:94" s="153" customFormat="1" ht="26.25" customHeight="1" x14ac:dyDescent="0.25">
      <c r="A18" s="139"/>
      <c r="B18" s="168"/>
      <c r="C18" s="457" t="s">
        <v>35</v>
      </c>
      <c r="D18" s="458"/>
      <c r="E18" s="150"/>
      <c r="F18" s="165"/>
      <c r="G18" s="166"/>
      <c r="H18" s="169"/>
      <c r="I18" s="166"/>
      <c r="J18" s="166"/>
      <c r="K18" s="166"/>
      <c r="L18" s="166"/>
      <c r="M18" s="166"/>
      <c r="N18" s="166"/>
      <c r="O18"/>
      <c r="P18"/>
      <c r="Q18"/>
      <c r="R18"/>
      <c r="S18"/>
      <c r="T18"/>
      <c r="U18"/>
      <c r="V18"/>
      <c r="W18"/>
      <c r="X18"/>
      <c r="Y18"/>
      <c r="Z18" s="344"/>
      <c r="AA18" s="336"/>
      <c r="AB18" s="336"/>
      <c r="AC18" s="336"/>
      <c r="AD18" s="329"/>
      <c r="AE18" s="147"/>
      <c r="AF18" s="147"/>
      <c r="AG18" s="147"/>
      <c r="AH18" s="147"/>
      <c r="AI18" s="147"/>
      <c r="AJ18" s="147"/>
      <c r="AK18" s="147"/>
      <c r="AL18" s="147"/>
      <c r="AM18" s="147"/>
      <c r="AN18" s="147"/>
      <c r="AO18" s="147"/>
      <c r="AP18" s="147"/>
      <c r="AQ18" s="147"/>
      <c r="AR18" s="147"/>
      <c r="AS18" s="147"/>
      <c r="AT18" s="147"/>
      <c r="AU18" s="147"/>
      <c r="AV18" s="147"/>
      <c r="AW18" s="147"/>
      <c r="AX18" s="147"/>
      <c r="AY18" s="147"/>
      <c r="AZ18" s="147"/>
      <c r="BA18" s="147"/>
      <c r="BB18" s="147"/>
      <c r="BC18" s="147"/>
      <c r="BD18" s="147"/>
      <c r="BE18" s="147"/>
      <c r="BF18" s="147"/>
      <c r="BG18" s="147"/>
      <c r="BH18" s="147"/>
      <c r="BI18" s="147"/>
      <c r="BJ18" s="147"/>
      <c r="BK18" s="147"/>
      <c r="BL18" s="147"/>
      <c r="BM18" s="147"/>
      <c r="BN18" s="147"/>
      <c r="BO18" s="147"/>
      <c r="BP18" s="147"/>
      <c r="BQ18" s="147"/>
      <c r="BR18" s="147"/>
      <c r="BS18" s="147"/>
      <c r="BT18" s="147"/>
      <c r="BU18" s="147"/>
      <c r="BV18" s="147"/>
      <c r="BW18" s="147"/>
      <c r="BX18" s="147"/>
      <c r="BY18" s="147"/>
      <c r="BZ18" s="147"/>
      <c r="CA18" s="147"/>
      <c r="CB18" s="147"/>
      <c r="CC18" s="147"/>
      <c r="CD18" s="147"/>
      <c r="CE18" s="147"/>
      <c r="CF18" s="147"/>
      <c r="CG18" s="147"/>
      <c r="CH18" s="147"/>
      <c r="CI18" s="147"/>
      <c r="CJ18" s="147"/>
      <c r="CK18" s="147"/>
      <c r="CL18" s="147"/>
    </row>
    <row r="19" spans="1:94" s="153" customFormat="1" ht="25.5" x14ac:dyDescent="0.25">
      <c r="A19" s="238"/>
      <c r="B19" s="202"/>
      <c r="C19" s="239" t="s">
        <v>86</v>
      </c>
      <c r="D19" s="240" t="s">
        <v>87</v>
      </c>
      <c r="E19" s="241"/>
      <c r="F19" s="165"/>
      <c r="G19" s="166"/>
      <c r="H19" s="169"/>
      <c r="I19" s="170"/>
      <c r="J19" s="166"/>
      <c r="K19" s="166"/>
      <c r="L19" s="169"/>
      <c r="M19" s="166"/>
      <c r="N19" s="166"/>
      <c r="O19"/>
      <c r="P19"/>
      <c r="Q19"/>
      <c r="R19"/>
      <c r="S19"/>
      <c r="T19"/>
      <c r="U19"/>
      <c r="V19"/>
      <c r="W19"/>
      <c r="X19"/>
      <c r="Y19"/>
      <c r="Z19" s="344"/>
      <c r="AA19" s="363"/>
      <c r="AB19" s="363"/>
      <c r="AC19" s="363"/>
      <c r="AD19" s="329"/>
      <c r="AE19" s="147"/>
      <c r="AF19" s="147"/>
      <c r="AG19" s="147"/>
      <c r="AH19" s="147"/>
      <c r="AI19" s="147"/>
      <c r="AJ19" s="147"/>
      <c r="AK19" s="147"/>
      <c r="AL19" s="147"/>
      <c r="AM19" s="147"/>
      <c r="AN19" s="147"/>
      <c r="AO19" s="147"/>
      <c r="AP19" s="147"/>
      <c r="AQ19" s="147"/>
      <c r="AR19" s="147"/>
      <c r="AS19" s="147"/>
      <c r="AT19" s="147"/>
      <c r="AU19" s="147"/>
      <c r="AV19" s="147"/>
      <c r="AW19" s="147"/>
      <c r="AX19" s="147"/>
      <c r="AY19" s="147"/>
      <c r="AZ19" s="147"/>
      <c r="BA19" s="147"/>
      <c r="BB19" s="147"/>
      <c r="BC19" s="147"/>
      <c r="BD19" s="147"/>
      <c r="BE19" s="147"/>
      <c r="BF19" s="147"/>
      <c r="BG19" s="147"/>
      <c r="BH19" s="147"/>
      <c r="BI19" s="147"/>
      <c r="BJ19" s="147"/>
      <c r="BK19" s="147"/>
      <c r="BL19" s="147"/>
      <c r="BM19" s="147"/>
      <c r="BN19" s="147"/>
      <c r="BO19" s="147"/>
      <c r="BP19" s="147"/>
      <c r="BQ19" s="147"/>
      <c r="BR19" s="147"/>
      <c r="BS19" s="147"/>
      <c r="BT19" s="147"/>
      <c r="BU19" s="147"/>
      <c r="BV19" s="147"/>
      <c r="BW19" s="147"/>
      <c r="BX19" s="147"/>
      <c r="BY19" s="147"/>
      <c r="BZ19" s="147"/>
      <c r="CA19" s="147"/>
      <c r="CB19" s="147"/>
      <c r="CC19" s="147"/>
      <c r="CD19" s="147"/>
      <c r="CE19" s="147"/>
      <c r="CF19" s="147"/>
      <c r="CG19" s="147"/>
      <c r="CH19" s="147"/>
      <c r="CI19" s="147"/>
      <c r="CJ19" s="147"/>
      <c r="CK19" s="147"/>
      <c r="CL19" s="147"/>
      <c r="CM19" s="147"/>
      <c r="CN19" s="147"/>
      <c r="CO19" s="147"/>
      <c r="CP19" s="147"/>
    </row>
    <row r="20" spans="1:94" s="177" customFormat="1" ht="15" x14ac:dyDescent="0.25">
      <c r="A20" s="171"/>
      <c r="B20" s="172"/>
      <c r="C20" s="244"/>
      <c r="D20" s="242"/>
      <c r="E20" s="173"/>
      <c r="F20" s="174">
        <v>0</v>
      </c>
      <c r="G20" s="175">
        <v>0</v>
      </c>
      <c r="H20" s="176">
        <f t="shared" ref="H20:H30" si="0">IF(AND($F20&lt;&gt;0,$G20&lt;&gt;0,OR($E20=1,$E20=3)),$F20*Health,0)</f>
        <v>0</v>
      </c>
      <c r="I20" s="176">
        <f t="shared" ref="I20:I30" si="1">IF(AND($E20=1,$C20=""),$G20*PermVB+$G20*Retire1,IF($E20=1,$G20*PermVB+$G20*VLOOKUP($C20,Retirement_Rates,3,FALSE),IF($E20=2,$G20*GroupVB,IF(AND($E20=3,$C20=""),$G20*ElectVB+$G20*Retire1,IF($E20=3,$G20*ElectVB+$G20*VLOOKUP($C20,Retirement_Rates,3,FALSE),0)))))</f>
        <v>0</v>
      </c>
      <c r="J20" s="159">
        <f>IF($E20&gt;0,SUM($G20:$I20),0)</f>
        <v>0</v>
      </c>
      <c r="K20" s="166"/>
      <c r="L20" s="176">
        <f t="shared" ref="L20:L30" si="2">IF(AND($F20&lt;&gt;0,$G20&lt;&gt;0,OR($E20=1,$E20=3)),$F20*HealthCHG,0)</f>
        <v>0</v>
      </c>
      <c r="M20" s="176">
        <f>IF(AND($E20=1,$C20=""),$G20*PermVBCHG+$G20*Retire1CHG,IF($E20=1,$G20*PermVBCHG+$G20*VLOOKUP($C20,Retirement_Rates,5,FALSE),IF($E20=2,0,IF(AND($E20=3,$C20=""),$G20*ElectVBCHG+$G20*Retire1CHG,IF($E20=3,$G20*ElectVBCHG+$G20*VLOOKUP($C20,Retirement_Rates,5,FALSE),0)))))</f>
        <v>0</v>
      </c>
      <c r="N20" s="176">
        <f>SUM(L20:M20)</f>
        <v>0</v>
      </c>
      <c r="O20"/>
      <c r="P20"/>
      <c r="Q20"/>
      <c r="R20"/>
      <c r="S20"/>
      <c r="T20"/>
      <c r="U20"/>
      <c r="V20"/>
      <c r="W20"/>
      <c r="X20"/>
      <c r="Y20"/>
      <c r="Z20" s="344"/>
      <c r="AA20" s="363"/>
      <c r="AB20" s="363"/>
      <c r="AC20" s="363"/>
      <c r="AD20" s="329"/>
      <c r="AE20" s="147"/>
      <c r="AF20" s="147"/>
      <c r="AG20" s="147"/>
      <c r="AH20" s="147"/>
      <c r="AI20" s="147"/>
      <c r="AJ20" s="147"/>
      <c r="AK20" s="147"/>
      <c r="AL20" s="147"/>
      <c r="AM20" s="147"/>
      <c r="AN20" s="147"/>
      <c r="AO20" s="147"/>
      <c r="AP20" s="147"/>
      <c r="AQ20" s="147"/>
      <c r="AR20" s="147"/>
      <c r="AS20" s="147"/>
      <c r="AT20" s="147"/>
      <c r="AU20" s="147"/>
      <c r="AV20" s="147"/>
      <c r="AW20" s="147"/>
      <c r="AX20" s="147"/>
      <c r="AY20" s="147"/>
      <c r="AZ20" s="147"/>
      <c r="BA20" s="147"/>
      <c r="BB20" s="147"/>
      <c r="BC20" s="147"/>
      <c r="BD20" s="147"/>
      <c r="BE20" s="147"/>
      <c r="BF20" s="147"/>
      <c r="BG20" s="147"/>
      <c r="BH20" s="147"/>
      <c r="BI20" s="147"/>
      <c r="BJ20" s="147"/>
      <c r="BK20" s="147"/>
      <c r="BL20" s="147"/>
      <c r="BM20" s="147"/>
      <c r="BN20" s="147"/>
      <c r="BO20" s="147"/>
      <c r="BP20" s="147"/>
      <c r="BQ20" s="147"/>
      <c r="BR20" s="147"/>
      <c r="BS20" s="147"/>
      <c r="BT20" s="147"/>
      <c r="BU20" s="147"/>
      <c r="BV20" s="147"/>
      <c r="BW20" s="147"/>
      <c r="BX20" s="147"/>
      <c r="BY20" s="147"/>
      <c r="BZ20" s="147"/>
      <c r="CA20" s="147"/>
      <c r="CB20" s="147"/>
      <c r="CC20" s="147"/>
      <c r="CD20" s="147"/>
      <c r="CE20" s="147"/>
      <c r="CF20" s="147"/>
      <c r="CG20" s="147"/>
      <c r="CH20" s="147"/>
      <c r="CI20" s="147"/>
      <c r="CJ20" s="147"/>
      <c r="CK20" s="147"/>
      <c r="CL20" s="147"/>
      <c r="CM20" s="147"/>
      <c r="CN20" s="147"/>
      <c r="CO20" s="147"/>
      <c r="CP20" s="147"/>
    </row>
    <row r="21" spans="1:94" s="177" customFormat="1" ht="15" x14ac:dyDescent="0.25">
      <c r="A21" s="178"/>
      <c r="B21" s="179"/>
      <c r="C21" s="244"/>
      <c r="D21" s="242"/>
      <c r="E21" s="180"/>
      <c r="F21" s="181">
        <v>0</v>
      </c>
      <c r="G21" s="175">
        <v>0</v>
      </c>
      <c r="H21" s="176">
        <f t="shared" si="0"/>
        <v>0</v>
      </c>
      <c r="I21" s="176">
        <f t="shared" si="1"/>
        <v>0</v>
      </c>
      <c r="J21" s="159">
        <f t="shared" ref="J21:J35" si="3">IF($E21&gt;0,SUM($G21:$I21),0)</f>
        <v>0</v>
      </c>
      <c r="K21" s="166"/>
      <c r="L21" s="176">
        <f t="shared" si="2"/>
        <v>0</v>
      </c>
      <c r="M21" s="176">
        <f t="shared" ref="M21:M30" si="4">IF(AND($E21=1,$C21=""),$G21*PermVBCHG+$G21*Retire1CHG,IF($E21=1,$G21*PermVBCHG+$G21*VLOOKUP($C21,Retirement_Rates,5,FALSE),IF($E21=2,0,IF(AND($E21=3,$C21=""),$G21*ElectVBCHG+$G21*Retire1CHG,IF($E21=3,$G21*ElectVBCHG+$G21*VLOOKUP($C21,Retirement_Rates,5,FALSE),0)))))</f>
        <v>0</v>
      </c>
      <c r="N21" s="183">
        <f t="shared" ref="N21:N30" si="5">SUM(L21:M21)</f>
        <v>0</v>
      </c>
      <c r="O21"/>
      <c r="P21"/>
      <c r="Q21"/>
      <c r="R21"/>
      <c r="S21"/>
      <c r="T21"/>
      <c r="U21"/>
      <c r="V21"/>
      <c r="W21"/>
      <c r="X21"/>
      <c r="Y21"/>
      <c r="Z21" s="344"/>
      <c r="AA21" s="363"/>
      <c r="AB21" s="363"/>
      <c r="AC21" s="363"/>
      <c r="AD21" s="329"/>
      <c r="AE21" s="147"/>
      <c r="AF21" s="147"/>
      <c r="AG21" s="147"/>
      <c r="AH21" s="147"/>
      <c r="AI21" s="147"/>
      <c r="AJ21" s="147"/>
      <c r="AK21" s="147"/>
      <c r="AL21" s="147"/>
      <c r="AM21" s="147"/>
      <c r="AN21" s="147"/>
      <c r="AO21" s="147"/>
      <c r="AP21" s="147"/>
      <c r="AQ21" s="147"/>
      <c r="AR21" s="147"/>
      <c r="AS21" s="147"/>
      <c r="AT21" s="147"/>
      <c r="AU21" s="147"/>
      <c r="AV21" s="147"/>
      <c r="AW21" s="147"/>
      <c r="AX21" s="147"/>
      <c r="AY21" s="147"/>
      <c r="AZ21" s="147"/>
      <c r="BA21" s="147"/>
      <c r="BB21" s="147"/>
      <c r="BC21" s="147"/>
      <c r="BD21" s="147"/>
      <c r="BE21" s="147"/>
      <c r="BF21" s="147"/>
      <c r="BG21" s="147"/>
      <c r="BH21" s="147"/>
      <c r="BI21" s="147"/>
      <c r="BJ21" s="147"/>
      <c r="BK21" s="147"/>
      <c r="BL21" s="147"/>
      <c r="BM21" s="147"/>
      <c r="BN21" s="147"/>
      <c r="BO21" s="147"/>
      <c r="BP21" s="147"/>
      <c r="BQ21" s="147"/>
      <c r="BR21" s="147"/>
      <c r="BS21" s="147"/>
      <c r="BT21" s="147"/>
      <c r="BU21" s="147"/>
      <c r="BV21" s="147"/>
      <c r="BW21" s="147"/>
      <c r="BX21" s="147"/>
      <c r="BY21" s="147"/>
      <c r="BZ21" s="147"/>
      <c r="CA21" s="147"/>
      <c r="CB21" s="147"/>
      <c r="CC21" s="147"/>
      <c r="CD21" s="147"/>
      <c r="CE21" s="147"/>
      <c r="CF21" s="147"/>
      <c r="CG21" s="147"/>
      <c r="CH21" s="147"/>
      <c r="CI21" s="147"/>
      <c r="CJ21" s="147"/>
      <c r="CK21" s="147"/>
      <c r="CL21" s="147"/>
      <c r="CM21" s="147"/>
      <c r="CN21" s="147"/>
      <c r="CO21" s="147"/>
      <c r="CP21" s="147"/>
    </row>
    <row r="22" spans="1:94" s="177" customFormat="1" ht="15" x14ac:dyDescent="0.25">
      <c r="A22" s="178"/>
      <c r="B22" s="179"/>
      <c r="C22" s="244"/>
      <c r="D22" s="242"/>
      <c r="E22" s="180"/>
      <c r="F22" s="181">
        <v>0</v>
      </c>
      <c r="G22" s="175">
        <v>0</v>
      </c>
      <c r="H22" s="176">
        <f t="shared" si="0"/>
        <v>0</v>
      </c>
      <c r="I22" s="176">
        <f t="shared" si="1"/>
        <v>0</v>
      </c>
      <c r="J22" s="159">
        <f t="shared" si="3"/>
        <v>0</v>
      </c>
      <c r="K22" s="166"/>
      <c r="L22" s="176">
        <f t="shared" si="2"/>
        <v>0</v>
      </c>
      <c r="M22" s="176">
        <f t="shared" si="4"/>
        <v>0</v>
      </c>
      <c r="N22" s="183">
        <f t="shared" si="5"/>
        <v>0</v>
      </c>
      <c r="O22"/>
      <c r="P22"/>
      <c r="Q22"/>
      <c r="R22"/>
      <c r="S22"/>
      <c r="T22"/>
      <c r="U22"/>
      <c r="V22"/>
      <c r="W22"/>
      <c r="X22"/>
      <c r="Y22"/>
      <c r="Z22" s="344"/>
      <c r="AA22" s="363"/>
      <c r="AB22" s="363"/>
      <c r="AC22" s="363"/>
      <c r="AD22" s="329"/>
      <c r="AE22" s="147"/>
      <c r="AF22" s="147"/>
      <c r="AG22" s="147"/>
      <c r="AH22" s="147"/>
      <c r="AI22" s="147"/>
      <c r="AJ22" s="147"/>
      <c r="AK22" s="147"/>
      <c r="AL22" s="147"/>
      <c r="AM22" s="147"/>
      <c r="AN22" s="147"/>
      <c r="AO22" s="147"/>
      <c r="AP22" s="147"/>
      <c r="AQ22" s="147"/>
      <c r="AR22" s="147"/>
      <c r="AS22" s="147"/>
      <c r="AT22" s="147"/>
      <c r="AU22" s="147"/>
      <c r="AV22" s="147"/>
      <c r="AW22" s="147"/>
      <c r="AX22" s="147"/>
      <c r="AY22" s="147"/>
      <c r="AZ22" s="147"/>
      <c r="BA22" s="147"/>
      <c r="BB22" s="147"/>
      <c r="BC22" s="147"/>
      <c r="BD22" s="147"/>
      <c r="BE22" s="147"/>
      <c r="BF22" s="147"/>
      <c r="BG22" s="147"/>
      <c r="BH22" s="147"/>
      <c r="BI22" s="147"/>
      <c r="BJ22" s="147"/>
      <c r="BK22" s="147"/>
      <c r="BL22" s="147"/>
      <c r="BM22" s="147"/>
      <c r="BN22" s="147"/>
      <c r="BO22" s="147"/>
      <c r="BP22" s="147"/>
      <c r="BQ22" s="147"/>
      <c r="BR22" s="147"/>
      <c r="BS22" s="147"/>
      <c r="BT22" s="147"/>
      <c r="BU22" s="147"/>
      <c r="BV22" s="147"/>
      <c r="BW22" s="147"/>
      <c r="BX22" s="147"/>
      <c r="BY22" s="147"/>
      <c r="BZ22" s="147"/>
      <c r="CA22" s="147"/>
      <c r="CB22" s="147"/>
      <c r="CC22" s="147"/>
      <c r="CD22" s="147"/>
      <c r="CE22" s="147"/>
      <c r="CF22" s="147"/>
      <c r="CG22" s="147"/>
      <c r="CH22" s="147"/>
      <c r="CI22" s="147"/>
      <c r="CJ22" s="147"/>
      <c r="CK22" s="147"/>
      <c r="CL22" s="147"/>
      <c r="CM22" s="147"/>
      <c r="CN22" s="147"/>
      <c r="CO22" s="147"/>
      <c r="CP22" s="147"/>
    </row>
    <row r="23" spans="1:94" s="177" customFormat="1" ht="15" x14ac:dyDescent="0.25">
      <c r="A23" s="178"/>
      <c r="B23" s="179"/>
      <c r="C23" s="244"/>
      <c r="D23" s="242"/>
      <c r="E23" s="180"/>
      <c r="F23" s="181">
        <v>0</v>
      </c>
      <c r="G23" s="175">
        <v>0</v>
      </c>
      <c r="H23" s="176">
        <f t="shared" si="0"/>
        <v>0</v>
      </c>
      <c r="I23" s="176">
        <f t="shared" si="1"/>
        <v>0</v>
      </c>
      <c r="J23" s="159">
        <f t="shared" si="3"/>
        <v>0</v>
      </c>
      <c r="K23" s="166"/>
      <c r="L23" s="176">
        <f t="shared" si="2"/>
        <v>0</v>
      </c>
      <c r="M23" s="176">
        <f t="shared" si="4"/>
        <v>0</v>
      </c>
      <c r="N23" s="183">
        <f t="shared" si="5"/>
        <v>0</v>
      </c>
      <c r="O23"/>
      <c r="P23"/>
      <c r="Q23"/>
      <c r="R23"/>
      <c r="S23"/>
      <c r="T23"/>
      <c r="U23"/>
      <c r="V23"/>
      <c r="W23"/>
      <c r="X23"/>
      <c r="Y23"/>
      <c r="Z23" s="344"/>
      <c r="AA23" s="363"/>
      <c r="AB23" s="363"/>
      <c r="AC23" s="363"/>
      <c r="AD23" s="329"/>
      <c r="AE23" s="147"/>
      <c r="AF23" s="147"/>
      <c r="AG23" s="147"/>
      <c r="AH23" s="147"/>
      <c r="AI23" s="147"/>
      <c r="AJ23" s="147"/>
      <c r="AK23" s="147"/>
      <c r="AL23" s="147"/>
      <c r="AM23" s="147"/>
      <c r="AN23" s="147"/>
      <c r="AO23" s="147"/>
      <c r="AP23" s="147"/>
      <c r="AQ23" s="147"/>
      <c r="AR23" s="147"/>
      <c r="AS23" s="147"/>
      <c r="AT23" s="147"/>
      <c r="AU23" s="147"/>
      <c r="AV23" s="147"/>
      <c r="AW23" s="147"/>
      <c r="AX23" s="147"/>
      <c r="AY23" s="147"/>
      <c r="AZ23" s="147"/>
      <c r="BA23" s="147"/>
      <c r="BB23" s="147"/>
      <c r="BC23" s="147"/>
      <c r="BD23" s="147"/>
      <c r="BE23" s="147"/>
      <c r="BF23" s="147"/>
      <c r="BG23" s="147"/>
      <c r="BH23" s="147"/>
      <c r="BI23" s="147"/>
      <c r="BJ23" s="147"/>
      <c r="BK23" s="147"/>
      <c r="BL23" s="147"/>
      <c r="BM23" s="147"/>
      <c r="BN23" s="147"/>
      <c r="BO23" s="147"/>
      <c r="BP23" s="147"/>
      <c r="BQ23" s="147"/>
      <c r="BR23" s="147"/>
      <c r="BS23" s="147"/>
      <c r="BT23" s="147"/>
      <c r="BU23" s="147"/>
      <c r="BV23" s="147"/>
      <c r="BW23" s="147"/>
      <c r="BX23" s="147"/>
      <c r="BY23" s="147"/>
      <c r="BZ23" s="147"/>
      <c r="CA23" s="147"/>
      <c r="CB23" s="147"/>
      <c r="CC23" s="147"/>
      <c r="CD23" s="147"/>
      <c r="CE23" s="147"/>
      <c r="CF23" s="147"/>
      <c r="CG23" s="147"/>
      <c r="CH23" s="147"/>
      <c r="CI23" s="147"/>
      <c r="CJ23" s="147"/>
      <c r="CK23" s="147"/>
      <c r="CL23" s="147"/>
      <c r="CM23" s="147"/>
      <c r="CN23" s="147"/>
      <c r="CO23" s="147"/>
      <c r="CP23" s="147"/>
    </row>
    <row r="24" spans="1:94" s="177" customFormat="1" ht="15" x14ac:dyDescent="0.25">
      <c r="A24" s="178"/>
      <c r="B24" s="179"/>
      <c r="C24" s="244"/>
      <c r="D24" s="242"/>
      <c r="E24" s="180"/>
      <c r="F24" s="181">
        <v>0</v>
      </c>
      <c r="G24" s="175">
        <v>0</v>
      </c>
      <c r="H24" s="176">
        <f t="shared" si="0"/>
        <v>0</v>
      </c>
      <c r="I24" s="176">
        <f t="shared" si="1"/>
        <v>0</v>
      </c>
      <c r="J24" s="159">
        <f t="shared" si="3"/>
        <v>0</v>
      </c>
      <c r="K24" s="166"/>
      <c r="L24" s="176">
        <f t="shared" si="2"/>
        <v>0</v>
      </c>
      <c r="M24" s="176">
        <f t="shared" si="4"/>
        <v>0</v>
      </c>
      <c r="N24" s="183">
        <f t="shared" si="5"/>
        <v>0</v>
      </c>
      <c r="O24"/>
      <c r="P24"/>
      <c r="Q24"/>
      <c r="R24"/>
      <c r="S24"/>
      <c r="T24"/>
      <c r="U24"/>
      <c r="V24"/>
      <c r="W24"/>
      <c r="X24"/>
      <c r="Y24"/>
      <c r="Z24" s="344"/>
      <c r="AA24" s="345"/>
      <c r="AB24" s="363"/>
      <c r="AC24" s="363"/>
      <c r="AD24" s="329"/>
      <c r="AE24" s="147"/>
      <c r="AF24" s="147"/>
      <c r="AG24" s="147"/>
      <c r="AH24" s="147"/>
      <c r="AI24" s="147"/>
      <c r="AJ24" s="147"/>
      <c r="AK24" s="147"/>
      <c r="AL24" s="147"/>
      <c r="AM24" s="147"/>
      <c r="AN24" s="147"/>
      <c r="AO24" s="147"/>
      <c r="AP24" s="147"/>
      <c r="AQ24" s="147"/>
      <c r="AR24" s="147"/>
      <c r="AS24" s="147"/>
      <c r="AT24" s="147"/>
      <c r="AU24" s="147"/>
      <c r="AV24" s="147"/>
      <c r="AW24" s="147"/>
      <c r="AX24" s="147"/>
      <c r="AY24" s="147"/>
      <c r="AZ24" s="147"/>
      <c r="BA24" s="147"/>
      <c r="BB24" s="147"/>
      <c r="BC24" s="147"/>
      <c r="BD24" s="147"/>
      <c r="BE24" s="147"/>
      <c r="BF24" s="147"/>
      <c r="BG24" s="147"/>
      <c r="BH24" s="147"/>
      <c r="BI24" s="147"/>
      <c r="BJ24" s="147"/>
      <c r="BK24" s="147"/>
      <c r="BL24" s="147"/>
      <c r="BM24" s="147"/>
      <c r="BN24" s="147"/>
      <c r="BO24" s="147"/>
      <c r="BP24" s="147"/>
      <c r="BQ24" s="147"/>
      <c r="BR24" s="147"/>
      <c r="BS24" s="147"/>
      <c r="BT24" s="147"/>
      <c r="BU24" s="147"/>
      <c r="BV24" s="147"/>
      <c r="BW24" s="147"/>
      <c r="BX24" s="147"/>
      <c r="BY24" s="147"/>
      <c r="BZ24" s="147"/>
      <c r="CA24" s="147"/>
      <c r="CB24" s="147"/>
      <c r="CC24" s="147"/>
      <c r="CD24" s="147"/>
      <c r="CE24" s="147"/>
      <c r="CF24" s="147"/>
      <c r="CG24" s="147"/>
      <c r="CH24" s="147"/>
      <c r="CI24" s="147"/>
      <c r="CJ24" s="147"/>
      <c r="CK24" s="147"/>
      <c r="CL24" s="147"/>
      <c r="CM24" s="147"/>
      <c r="CN24" s="147"/>
      <c r="CO24" s="147"/>
      <c r="CP24" s="147"/>
    </row>
    <row r="25" spans="1:94" s="177" customFormat="1" ht="15" x14ac:dyDescent="0.25">
      <c r="A25" s="178"/>
      <c r="B25" s="179"/>
      <c r="C25" s="244"/>
      <c r="D25" s="242"/>
      <c r="E25" s="180"/>
      <c r="F25" s="181">
        <v>0</v>
      </c>
      <c r="G25" s="182">
        <v>0</v>
      </c>
      <c r="H25" s="176">
        <f t="shared" si="0"/>
        <v>0</v>
      </c>
      <c r="I25" s="176">
        <f t="shared" si="1"/>
        <v>0</v>
      </c>
      <c r="J25" s="159">
        <f t="shared" si="3"/>
        <v>0</v>
      </c>
      <c r="K25" s="166"/>
      <c r="L25" s="176">
        <f t="shared" si="2"/>
        <v>0</v>
      </c>
      <c r="M25" s="176">
        <f t="shared" si="4"/>
        <v>0</v>
      </c>
      <c r="N25" s="183">
        <f t="shared" si="5"/>
        <v>0</v>
      </c>
      <c r="O25"/>
      <c r="P25"/>
      <c r="Q25"/>
      <c r="R25"/>
      <c r="S25"/>
      <c r="T25"/>
      <c r="U25"/>
      <c r="V25"/>
      <c r="W25"/>
      <c r="X25"/>
      <c r="Y25"/>
      <c r="Z25" s="344"/>
      <c r="AA25" s="345"/>
      <c r="AB25" s="363"/>
      <c r="AC25" s="363"/>
      <c r="AD25" s="329"/>
      <c r="AE25" s="147"/>
      <c r="AF25" s="147"/>
      <c r="AG25" s="147"/>
      <c r="AH25" s="147"/>
      <c r="AI25" s="147"/>
      <c r="AJ25" s="147"/>
      <c r="AK25" s="147"/>
      <c r="AL25" s="147"/>
      <c r="AM25" s="147"/>
      <c r="AN25" s="147"/>
      <c r="AO25" s="147"/>
      <c r="AP25" s="147"/>
      <c r="AQ25" s="147"/>
      <c r="AR25" s="147"/>
      <c r="AS25" s="147"/>
      <c r="AT25" s="147"/>
      <c r="AU25" s="147"/>
      <c r="AV25" s="147"/>
      <c r="AW25" s="147"/>
      <c r="AX25" s="147"/>
      <c r="AY25" s="147"/>
      <c r="AZ25" s="147"/>
      <c r="BA25" s="147"/>
      <c r="BB25" s="147"/>
      <c r="BC25" s="147"/>
      <c r="BD25" s="147"/>
      <c r="BE25" s="147"/>
      <c r="BF25" s="147"/>
      <c r="BG25" s="147"/>
      <c r="BH25" s="147"/>
      <c r="BI25" s="147"/>
      <c r="BJ25" s="147"/>
      <c r="BK25" s="147"/>
      <c r="BL25" s="147"/>
      <c r="BM25" s="147"/>
      <c r="BN25" s="147"/>
      <c r="BO25" s="147"/>
      <c r="BP25" s="147"/>
      <c r="BQ25" s="147"/>
      <c r="BR25" s="147"/>
      <c r="BS25" s="147"/>
      <c r="BT25" s="147"/>
      <c r="BU25" s="147"/>
      <c r="BV25" s="147"/>
      <c r="BW25" s="147"/>
      <c r="BX25" s="147"/>
      <c r="BY25" s="147"/>
      <c r="BZ25" s="147"/>
      <c r="CA25" s="147"/>
      <c r="CB25" s="147"/>
      <c r="CC25" s="147"/>
      <c r="CD25" s="147"/>
      <c r="CE25" s="147"/>
      <c r="CF25" s="147"/>
      <c r="CG25" s="147"/>
      <c r="CH25" s="147"/>
      <c r="CI25" s="147"/>
      <c r="CJ25" s="147"/>
      <c r="CK25" s="147"/>
      <c r="CL25" s="147"/>
      <c r="CM25" s="147"/>
      <c r="CN25" s="147"/>
      <c r="CO25" s="147"/>
      <c r="CP25" s="147"/>
    </row>
    <row r="26" spans="1:94" s="177" customFormat="1" ht="15" x14ac:dyDescent="0.25">
      <c r="A26" s="178"/>
      <c r="B26" s="179"/>
      <c r="C26" s="244"/>
      <c r="D26" s="242"/>
      <c r="E26" s="180"/>
      <c r="F26" s="181">
        <v>0</v>
      </c>
      <c r="G26" s="182">
        <v>0</v>
      </c>
      <c r="H26" s="176">
        <f t="shared" si="0"/>
        <v>0</v>
      </c>
      <c r="I26" s="176">
        <f t="shared" si="1"/>
        <v>0</v>
      </c>
      <c r="J26" s="159">
        <f t="shared" si="3"/>
        <v>0</v>
      </c>
      <c r="K26" s="166"/>
      <c r="L26" s="176">
        <f t="shared" si="2"/>
        <v>0</v>
      </c>
      <c r="M26" s="176">
        <f t="shared" si="4"/>
        <v>0</v>
      </c>
      <c r="N26" s="183">
        <f t="shared" si="5"/>
        <v>0</v>
      </c>
      <c r="O26"/>
      <c r="P26"/>
      <c r="Q26"/>
      <c r="R26"/>
      <c r="S26"/>
      <c r="T26"/>
      <c r="U26"/>
      <c r="V26"/>
      <c r="W26"/>
      <c r="X26"/>
      <c r="Y26"/>
      <c r="Z26" s="344"/>
      <c r="AA26" s="345"/>
      <c r="AB26" s="363"/>
      <c r="AC26" s="363"/>
      <c r="AD26" s="329"/>
      <c r="AE26" s="147"/>
      <c r="AF26" s="147"/>
      <c r="AG26" s="147"/>
      <c r="AH26" s="147"/>
      <c r="AI26" s="147"/>
      <c r="AJ26" s="147"/>
      <c r="AK26" s="147"/>
      <c r="AL26" s="147"/>
      <c r="AM26" s="147"/>
      <c r="AN26" s="147"/>
      <c r="AO26" s="147"/>
      <c r="AP26" s="147"/>
      <c r="AQ26" s="147"/>
      <c r="AR26" s="147"/>
      <c r="AS26" s="147"/>
      <c r="AT26" s="147"/>
      <c r="AU26" s="147"/>
      <c r="AV26" s="147"/>
      <c r="AW26" s="147"/>
      <c r="AX26" s="147"/>
      <c r="AY26" s="147"/>
      <c r="AZ26" s="147"/>
      <c r="BA26" s="147"/>
      <c r="BB26" s="147"/>
      <c r="BC26" s="147"/>
      <c r="BD26" s="147"/>
      <c r="BE26" s="147"/>
      <c r="BF26" s="147"/>
      <c r="BG26" s="147"/>
      <c r="BH26" s="147"/>
      <c r="BI26" s="147"/>
      <c r="BJ26" s="147"/>
      <c r="BK26" s="147"/>
      <c r="BL26" s="147"/>
      <c r="BM26" s="147"/>
      <c r="BN26" s="147"/>
      <c r="BO26" s="147"/>
      <c r="BP26" s="147"/>
      <c r="BQ26" s="147"/>
      <c r="BR26" s="147"/>
      <c r="BS26" s="147"/>
      <c r="BT26" s="147"/>
      <c r="BU26" s="147"/>
      <c r="BV26" s="147"/>
      <c r="BW26" s="147"/>
      <c r="BX26" s="147"/>
      <c r="BY26" s="147"/>
      <c r="BZ26" s="147"/>
      <c r="CA26" s="147"/>
      <c r="CB26" s="147"/>
      <c r="CC26" s="147"/>
      <c r="CD26" s="147"/>
      <c r="CE26" s="147"/>
      <c r="CF26" s="147"/>
      <c r="CG26" s="147"/>
      <c r="CH26" s="147"/>
      <c r="CI26" s="147"/>
      <c r="CJ26" s="147"/>
      <c r="CK26" s="147"/>
      <c r="CL26" s="147"/>
      <c r="CM26" s="147"/>
      <c r="CN26" s="147"/>
      <c r="CO26" s="147"/>
      <c r="CP26" s="147"/>
    </row>
    <row r="27" spans="1:94" s="177" customFormat="1" ht="15" x14ac:dyDescent="0.25">
      <c r="A27" s="178"/>
      <c r="B27" s="179"/>
      <c r="C27" s="244"/>
      <c r="D27" s="242"/>
      <c r="E27" s="180"/>
      <c r="F27" s="181">
        <v>0</v>
      </c>
      <c r="G27" s="182">
        <v>0</v>
      </c>
      <c r="H27" s="176">
        <f t="shared" si="0"/>
        <v>0</v>
      </c>
      <c r="I27" s="176">
        <f t="shared" si="1"/>
        <v>0</v>
      </c>
      <c r="J27" s="159">
        <f t="shared" si="3"/>
        <v>0</v>
      </c>
      <c r="K27" s="166"/>
      <c r="L27" s="176">
        <f t="shared" si="2"/>
        <v>0</v>
      </c>
      <c r="M27" s="176">
        <f t="shared" si="4"/>
        <v>0</v>
      </c>
      <c r="N27" s="183">
        <f t="shared" si="5"/>
        <v>0</v>
      </c>
      <c r="O27"/>
      <c r="P27"/>
      <c r="Q27"/>
      <c r="R27"/>
      <c r="S27"/>
      <c r="T27"/>
      <c r="U27"/>
      <c r="V27"/>
      <c r="W27"/>
      <c r="X27"/>
      <c r="Y27"/>
      <c r="Z27" s="344"/>
      <c r="AA27" s="363"/>
      <c r="AB27" s="363"/>
      <c r="AC27" s="363"/>
      <c r="AD27" s="329"/>
      <c r="AE27" s="147"/>
      <c r="AF27" s="147"/>
      <c r="AG27" s="147"/>
      <c r="AH27" s="147"/>
      <c r="AI27" s="147"/>
      <c r="AJ27" s="147"/>
      <c r="AK27" s="147"/>
      <c r="AL27" s="147"/>
      <c r="AM27" s="147"/>
      <c r="AN27" s="147"/>
      <c r="AO27" s="147"/>
      <c r="AP27" s="147"/>
      <c r="AQ27" s="147"/>
      <c r="AR27" s="147"/>
      <c r="AS27" s="147"/>
      <c r="AT27" s="147"/>
      <c r="AU27" s="147"/>
      <c r="AV27" s="147"/>
      <c r="AW27" s="147"/>
      <c r="AX27" s="147"/>
      <c r="AY27" s="147"/>
      <c r="AZ27" s="147"/>
      <c r="BA27" s="147"/>
      <c r="BB27" s="147"/>
      <c r="BC27" s="147"/>
      <c r="BD27" s="147"/>
      <c r="BE27" s="147"/>
      <c r="BF27" s="147"/>
      <c r="BG27" s="147"/>
      <c r="BH27" s="147"/>
      <c r="BI27" s="147"/>
      <c r="BJ27" s="147"/>
      <c r="BK27" s="147"/>
      <c r="BL27" s="147"/>
      <c r="BM27" s="147"/>
      <c r="BN27" s="147"/>
      <c r="BO27" s="147"/>
      <c r="BP27" s="147"/>
      <c r="BQ27" s="147"/>
      <c r="BR27" s="147"/>
      <c r="BS27" s="147"/>
      <c r="BT27" s="147"/>
      <c r="BU27" s="147"/>
      <c r="BV27" s="147"/>
      <c r="BW27" s="147"/>
      <c r="BX27" s="147"/>
      <c r="BY27" s="147"/>
      <c r="BZ27" s="147"/>
      <c r="CA27" s="147"/>
      <c r="CB27" s="147"/>
      <c r="CC27" s="147"/>
      <c r="CD27" s="147"/>
      <c r="CE27" s="147"/>
      <c r="CF27" s="147"/>
      <c r="CG27" s="147"/>
      <c r="CH27" s="147"/>
      <c r="CI27" s="147"/>
      <c r="CJ27" s="147"/>
      <c r="CK27" s="147"/>
      <c r="CL27" s="147"/>
      <c r="CM27" s="147"/>
      <c r="CN27" s="147"/>
      <c r="CO27" s="147"/>
      <c r="CP27" s="147"/>
    </row>
    <row r="28" spans="1:94" s="177" customFormat="1" ht="15" x14ac:dyDescent="0.25">
      <c r="A28" s="178"/>
      <c r="B28" s="179"/>
      <c r="C28" s="244"/>
      <c r="D28" s="242"/>
      <c r="E28" s="180"/>
      <c r="F28" s="181">
        <v>0</v>
      </c>
      <c r="G28" s="182">
        <v>0</v>
      </c>
      <c r="H28" s="176">
        <f t="shared" si="0"/>
        <v>0</v>
      </c>
      <c r="I28" s="176">
        <f t="shared" si="1"/>
        <v>0</v>
      </c>
      <c r="J28" s="159">
        <f t="shared" si="3"/>
        <v>0</v>
      </c>
      <c r="K28" s="166"/>
      <c r="L28" s="176">
        <f t="shared" si="2"/>
        <v>0</v>
      </c>
      <c r="M28" s="176">
        <f t="shared" si="4"/>
        <v>0</v>
      </c>
      <c r="N28" s="183">
        <f t="shared" si="5"/>
        <v>0</v>
      </c>
      <c r="O28"/>
      <c r="P28"/>
      <c r="Q28"/>
      <c r="R28"/>
      <c r="S28"/>
      <c r="T28"/>
      <c r="U28"/>
      <c r="V28"/>
      <c r="W28"/>
      <c r="X28"/>
      <c r="Y28"/>
      <c r="Z28" s="344"/>
      <c r="AA28" s="363"/>
      <c r="AB28" s="363"/>
      <c r="AC28" s="363"/>
      <c r="AD28" s="329"/>
      <c r="AE28" s="147"/>
      <c r="AF28" s="147"/>
      <c r="AG28" s="147"/>
      <c r="AH28" s="147"/>
      <c r="AI28" s="147"/>
      <c r="AJ28" s="147"/>
      <c r="AK28" s="147"/>
      <c r="AL28" s="147"/>
      <c r="AM28" s="147"/>
      <c r="AN28" s="147"/>
      <c r="AO28" s="147"/>
      <c r="AP28" s="147"/>
      <c r="AQ28" s="147"/>
      <c r="AR28" s="147"/>
      <c r="AS28" s="147"/>
      <c r="AT28" s="147"/>
      <c r="AU28" s="147"/>
      <c r="AV28" s="147"/>
      <c r="AW28" s="147"/>
      <c r="AX28" s="147"/>
      <c r="AY28" s="147"/>
      <c r="AZ28" s="147"/>
      <c r="BA28" s="147"/>
      <c r="BB28" s="147"/>
      <c r="BC28" s="147"/>
      <c r="BD28" s="147"/>
      <c r="BE28" s="147"/>
      <c r="BF28" s="147"/>
      <c r="BG28" s="147"/>
      <c r="BH28" s="147"/>
      <c r="BI28" s="147"/>
      <c r="BJ28" s="147"/>
      <c r="BK28" s="147"/>
      <c r="BL28" s="147"/>
      <c r="BM28" s="147"/>
      <c r="BN28" s="147"/>
      <c r="BO28" s="147"/>
      <c r="BP28" s="147"/>
      <c r="BQ28" s="147"/>
      <c r="BR28" s="147"/>
      <c r="BS28" s="147"/>
      <c r="BT28" s="147"/>
      <c r="BU28" s="147"/>
      <c r="BV28" s="147"/>
      <c r="BW28" s="147"/>
      <c r="BX28" s="147"/>
      <c r="BY28" s="147"/>
      <c r="BZ28" s="147"/>
      <c r="CA28" s="147"/>
      <c r="CB28" s="147"/>
      <c r="CC28" s="147"/>
      <c r="CD28" s="147"/>
      <c r="CE28" s="147"/>
      <c r="CF28" s="147"/>
      <c r="CG28" s="147"/>
      <c r="CH28" s="147"/>
      <c r="CI28" s="147"/>
      <c r="CJ28" s="147"/>
      <c r="CK28" s="147"/>
      <c r="CL28" s="147"/>
      <c r="CM28" s="147"/>
      <c r="CN28" s="147"/>
      <c r="CO28" s="147"/>
      <c r="CP28" s="147"/>
    </row>
    <row r="29" spans="1:94" s="177" customFormat="1" ht="15" x14ac:dyDescent="0.25">
      <c r="A29" s="179"/>
      <c r="B29" s="179"/>
      <c r="C29" s="171"/>
      <c r="D29" s="243"/>
      <c r="E29" s="180"/>
      <c r="F29" s="181">
        <v>0</v>
      </c>
      <c r="G29" s="182">
        <v>0</v>
      </c>
      <c r="H29" s="176">
        <f t="shared" si="0"/>
        <v>0</v>
      </c>
      <c r="I29" s="176">
        <f t="shared" si="1"/>
        <v>0</v>
      </c>
      <c r="J29" s="159">
        <f t="shared" si="3"/>
        <v>0</v>
      </c>
      <c r="K29" s="166"/>
      <c r="L29" s="176">
        <f t="shared" si="2"/>
        <v>0</v>
      </c>
      <c r="M29" s="176">
        <f t="shared" si="4"/>
        <v>0</v>
      </c>
      <c r="N29" s="183">
        <f t="shared" si="5"/>
        <v>0</v>
      </c>
      <c r="O29"/>
      <c r="P29"/>
      <c r="Q29"/>
      <c r="R29"/>
      <c r="S29"/>
      <c r="T29"/>
      <c r="U29"/>
      <c r="V29"/>
      <c r="W29"/>
      <c r="X29"/>
      <c r="Y29"/>
      <c r="Z29" s="344"/>
      <c r="AA29" s="363"/>
      <c r="AB29" s="363"/>
      <c r="AC29" s="363"/>
      <c r="AD29" s="329"/>
      <c r="AE29" s="147"/>
      <c r="AF29" s="147"/>
      <c r="AG29" s="147"/>
      <c r="AH29" s="147"/>
      <c r="AI29" s="147"/>
      <c r="AJ29" s="147"/>
      <c r="AK29" s="147"/>
      <c r="AL29" s="147"/>
      <c r="AM29" s="147"/>
      <c r="AN29" s="147"/>
      <c r="AO29" s="147"/>
      <c r="AP29" s="147"/>
      <c r="AQ29" s="147"/>
      <c r="AR29" s="147"/>
      <c r="AS29" s="147"/>
      <c r="AT29" s="147"/>
      <c r="AU29" s="147"/>
      <c r="AV29" s="147"/>
      <c r="AW29" s="147"/>
      <c r="AX29" s="147"/>
      <c r="AY29" s="147"/>
      <c r="AZ29" s="147"/>
      <c r="BA29" s="147"/>
      <c r="BB29" s="147"/>
      <c r="BC29" s="147"/>
      <c r="BD29" s="147"/>
      <c r="BE29" s="147"/>
      <c r="BF29" s="147"/>
      <c r="BG29" s="147"/>
      <c r="BH29" s="147"/>
      <c r="BI29" s="147"/>
      <c r="BJ29" s="147"/>
      <c r="BK29" s="147"/>
      <c r="BL29" s="147"/>
      <c r="BM29" s="147"/>
      <c r="BN29" s="147"/>
      <c r="BO29" s="147"/>
      <c r="BP29" s="147"/>
      <c r="BQ29" s="147"/>
      <c r="BR29" s="147"/>
      <c r="BS29" s="147"/>
      <c r="BT29" s="147"/>
      <c r="BU29" s="147"/>
      <c r="BV29" s="147"/>
      <c r="BW29" s="147"/>
      <c r="BX29" s="147"/>
      <c r="BY29" s="147"/>
      <c r="BZ29" s="147"/>
      <c r="CA29" s="147"/>
      <c r="CB29" s="147"/>
      <c r="CC29" s="147"/>
      <c r="CD29" s="147"/>
      <c r="CE29" s="147"/>
      <c r="CF29" s="147"/>
      <c r="CG29" s="147"/>
      <c r="CH29" s="147"/>
      <c r="CI29" s="147"/>
      <c r="CJ29" s="147"/>
      <c r="CK29" s="147"/>
      <c r="CL29" s="147"/>
      <c r="CM29" s="147"/>
      <c r="CN29" s="147"/>
      <c r="CO29" s="147"/>
      <c r="CP29" s="147"/>
    </row>
    <row r="30" spans="1:94" s="177" customFormat="1" ht="15" x14ac:dyDescent="0.25">
      <c r="A30" s="179"/>
      <c r="B30" s="184"/>
      <c r="C30" s="171"/>
      <c r="D30" s="243"/>
      <c r="E30" s="180"/>
      <c r="F30" s="181">
        <v>0</v>
      </c>
      <c r="G30" s="182">
        <v>0</v>
      </c>
      <c r="H30" s="176">
        <f t="shared" si="0"/>
        <v>0</v>
      </c>
      <c r="I30" s="176">
        <f t="shared" si="1"/>
        <v>0</v>
      </c>
      <c r="J30" s="159">
        <f t="shared" si="3"/>
        <v>0</v>
      </c>
      <c r="K30" s="166"/>
      <c r="L30" s="176">
        <f t="shared" si="2"/>
        <v>0</v>
      </c>
      <c r="M30" s="176">
        <f t="shared" si="4"/>
        <v>0</v>
      </c>
      <c r="N30" s="183">
        <f t="shared" si="5"/>
        <v>0</v>
      </c>
      <c r="O30"/>
      <c r="P30"/>
      <c r="Q30"/>
      <c r="R30"/>
      <c r="S30"/>
      <c r="T30"/>
      <c r="U30"/>
      <c r="V30"/>
      <c r="W30"/>
      <c r="X30"/>
      <c r="Y30"/>
      <c r="Z30" s="344"/>
      <c r="AA30" s="363"/>
      <c r="AB30" s="363"/>
      <c r="AC30" s="363"/>
      <c r="AD30" s="329"/>
      <c r="AE30" s="147"/>
      <c r="AF30" s="147"/>
      <c r="AG30" s="147"/>
      <c r="AH30" s="147"/>
      <c r="AI30" s="147"/>
      <c r="AJ30" s="147"/>
      <c r="AK30" s="147"/>
      <c r="AL30" s="147"/>
      <c r="AM30" s="147"/>
      <c r="AN30" s="147"/>
      <c r="AO30" s="147"/>
      <c r="AP30" s="147"/>
      <c r="AQ30" s="147"/>
      <c r="AR30" s="147"/>
      <c r="AS30" s="147"/>
      <c r="AT30" s="147"/>
      <c r="AU30" s="147"/>
      <c r="AV30" s="147"/>
      <c r="AW30" s="147"/>
      <c r="AX30" s="147"/>
      <c r="AY30" s="147"/>
      <c r="AZ30" s="147"/>
      <c r="BA30" s="147"/>
      <c r="BB30" s="147"/>
      <c r="BC30" s="147"/>
      <c r="BD30" s="147"/>
      <c r="BE30" s="147"/>
      <c r="BF30" s="147"/>
      <c r="BG30" s="147"/>
      <c r="BH30" s="147"/>
      <c r="BI30" s="147"/>
      <c r="BJ30" s="147"/>
      <c r="BK30" s="147"/>
      <c r="BL30" s="147"/>
      <c r="BM30" s="147"/>
      <c r="BN30" s="147"/>
      <c r="BO30" s="147"/>
      <c r="BP30" s="147"/>
      <c r="BQ30" s="147"/>
      <c r="BR30" s="147"/>
      <c r="BS30" s="147"/>
      <c r="BT30" s="147"/>
      <c r="BU30" s="147"/>
      <c r="BV30" s="147"/>
      <c r="BW30" s="147"/>
      <c r="BX30" s="147"/>
      <c r="BY30" s="147"/>
      <c r="BZ30" s="147"/>
      <c r="CA30" s="147"/>
      <c r="CB30" s="147"/>
      <c r="CC30" s="147"/>
      <c r="CD30" s="147"/>
      <c r="CE30" s="147"/>
      <c r="CF30" s="147"/>
      <c r="CG30" s="147"/>
      <c r="CH30" s="147"/>
      <c r="CI30" s="147"/>
      <c r="CJ30" s="147"/>
      <c r="CK30" s="147"/>
      <c r="CL30" s="147"/>
      <c r="CM30" s="147"/>
      <c r="CN30" s="147"/>
      <c r="CO30" s="147"/>
      <c r="CP30" s="147"/>
    </row>
    <row r="31" spans="1:94" s="153" customFormat="1" ht="15" x14ac:dyDescent="0.25">
      <c r="A31" s="139"/>
      <c r="B31" s="168"/>
      <c r="C31" s="245"/>
      <c r="D31" s="246" t="s">
        <v>36</v>
      </c>
      <c r="E31" s="150"/>
      <c r="F31" s="165"/>
      <c r="G31" s="166"/>
      <c r="H31" s="166"/>
      <c r="I31" s="166"/>
      <c r="J31" s="166"/>
      <c r="K31" s="166"/>
      <c r="L31" s="166"/>
      <c r="M31" s="166"/>
      <c r="N31" s="166"/>
      <c r="O31"/>
      <c r="P31"/>
      <c r="Q31"/>
      <c r="R31"/>
      <c r="S31"/>
      <c r="T31"/>
      <c r="U31"/>
      <c r="V31"/>
      <c r="W31"/>
      <c r="X31"/>
      <c r="Y31"/>
      <c r="Z31" s="344"/>
      <c r="AA31" s="363"/>
      <c r="AB31" s="363"/>
      <c r="AC31" s="363"/>
      <c r="AD31" s="329"/>
      <c r="AE31" s="147"/>
      <c r="AF31" s="147"/>
      <c r="AG31" s="147"/>
      <c r="AH31" s="147"/>
      <c r="AI31" s="147"/>
      <c r="AJ31" s="147"/>
      <c r="AK31" s="147"/>
      <c r="AL31" s="147"/>
      <c r="AM31" s="147"/>
      <c r="AN31" s="147"/>
      <c r="AO31" s="147"/>
      <c r="AP31" s="147"/>
      <c r="AQ31" s="147"/>
      <c r="AR31" s="147"/>
      <c r="AS31" s="147"/>
      <c r="AT31" s="147"/>
      <c r="AU31" s="147"/>
      <c r="AV31" s="147"/>
      <c r="AW31" s="147"/>
      <c r="AX31" s="147"/>
      <c r="AY31" s="147"/>
      <c r="AZ31" s="147"/>
      <c r="BA31" s="147"/>
      <c r="BB31" s="147"/>
      <c r="BC31" s="147"/>
      <c r="BD31" s="147"/>
      <c r="BE31" s="147"/>
      <c r="BF31" s="147"/>
      <c r="BG31" s="147"/>
      <c r="BH31" s="147"/>
      <c r="BI31" s="147"/>
      <c r="BJ31" s="147"/>
      <c r="BK31" s="147"/>
      <c r="BL31" s="147"/>
      <c r="BM31" s="147"/>
      <c r="BN31" s="147"/>
      <c r="BO31" s="147"/>
      <c r="BP31" s="147"/>
      <c r="BQ31" s="147"/>
      <c r="BR31" s="147"/>
      <c r="BS31" s="147"/>
      <c r="BT31" s="147"/>
      <c r="BU31" s="147"/>
      <c r="BV31" s="147"/>
      <c r="BW31" s="147"/>
      <c r="BX31" s="147"/>
      <c r="BY31" s="147"/>
      <c r="BZ31" s="147"/>
      <c r="CA31" s="147"/>
      <c r="CB31" s="147"/>
      <c r="CC31" s="147"/>
      <c r="CD31" s="147"/>
      <c r="CE31" s="147"/>
      <c r="CF31" s="147"/>
      <c r="CG31" s="147"/>
      <c r="CH31" s="147"/>
      <c r="CI31" s="147"/>
      <c r="CJ31" s="147"/>
      <c r="CK31" s="147"/>
      <c r="CL31" s="147"/>
      <c r="CM31" s="147"/>
      <c r="CN31" s="147"/>
      <c r="CO31" s="147"/>
      <c r="CP31" s="147"/>
    </row>
    <row r="32" spans="1:94" s="177" customFormat="1" ht="15" x14ac:dyDescent="0.25">
      <c r="A32" s="185"/>
      <c r="B32" s="185"/>
      <c r="C32" s="244"/>
      <c r="D32" s="242"/>
      <c r="E32" s="173"/>
      <c r="F32" s="174">
        <v>0</v>
      </c>
      <c r="G32" s="175">
        <v>0</v>
      </c>
      <c r="H32" s="176">
        <f t="shared" ref="H32:H35" si="6">IF(AND($F32&lt;&gt;0,$G32&lt;&gt;0,OR($E32=1,$E32=3)),$F32*Health,0)</f>
        <v>0</v>
      </c>
      <c r="I32" s="176">
        <f t="shared" ref="I32:I34" si="7">IF(AND($E32=1,$C32=""),$G32*PermVB+$G32*Retire1,IF($E32=1,$G32*PermVB+$G32*VLOOKUP($C32,Retirement_Rates,3,FALSE),IF($E32=2,$G32*GroupVB,IF(AND($E32=3,$C32=""),$G32*ElectVB+$G32*Retire1,IF($E32=3,$G32*ElectVB+$G32*VLOOKUP($C32,Retirement_Rates,3,FALSE),0)))))</f>
        <v>0</v>
      </c>
      <c r="J32" s="279">
        <f t="shared" si="3"/>
        <v>0</v>
      </c>
      <c r="K32" s="166"/>
      <c r="L32" s="176">
        <f t="shared" ref="L32:L35" si="8">IF(AND($F32&lt;&gt;0,$G32&lt;&gt;0,OR($E32=1,$E32=3)),$F32*HealthCHG,0)</f>
        <v>0</v>
      </c>
      <c r="M32" s="176">
        <f t="shared" ref="M32:M35" si="9">IF(AND($E32=1,$C32=""),$G32*PermVBCHG+$G32*Retire1CHG,IF($E32=1,$G32*PermVBCHG+$G32*VLOOKUP($C32,Retirement_Rates,5,FALSE),IF($E32=2,0,IF(AND($E32=3,$C32=""),$G32*ElectVBCHG+$G32*Retire1CHG,IF($E32=3,$G32*ElectVBCHG+$G32*VLOOKUP($C32,Retirement_Rates,5,FALSE),0)))))</f>
        <v>0</v>
      </c>
      <c r="N32" s="176">
        <f t="shared" ref="N32:N35" si="10">SUM(L32:M32)</f>
        <v>0</v>
      </c>
      <c r="O32"/>
      <c r="P32"/>
      <c r="Q32"/>
      <c r="R32"/>
      <c r="S32"/>
      <c r="T32"/>
      <c r="U32"/>
      <c r="V32"/>
      <c r="W32"/>
      <c r="X32"/>
      <c r="Y32"/>
      <c r="Z32" s="344"/>
      <c r="AA32" s="363"/>
      <c r="AB32" s="363"/>
      <c r="AC32" s="363"/>
      <c r="AD32" s="329"/>
      <c r="AE32" s="147"/>
      <c r="AF32" s="147"/>
      <c r="AG32" s="147"/>
      <c r="AH32" s="147"/>
      <c r="AI32" s="147"/>
      <c r="AJ32" s="147"/>
      <c r="AK32" s="147"/>
      <c r="AL32" s="147"/>
      <c r="AM32" s="147"/>
      <c r="AN32" s="147"/>
      <c r="AO32" s="147"/>
      <c r="AP32" s="147"/>
      <c r="AQ32" s="147"/>
      <c r="AR32" s="147"/>
      <c r="AS32" s="147"/>
      <c r="AT32" s="147"/>
      <c r="AU32" s="147"/>
      <c r="AV32" s="147"/>
      <c r="AW32" s="147"/>
      <c r="AX32" s="147"/>
      <c r="AY32" s="147"/>
      <c r="AZ32" s="147"/>
      <c r="BA32" s="147"/>
      <c r="BB32" s="147"/>
      <c r="BC32" s="147"/>
      <c r="BD32" s="147"/>
      <c r="BE32" s="147"/>
      <c r="BF32" s="147"/>
      <c r="BG32" s="147"/>
      <c r="BH32" s="147"/>
      <c r="BI32" s="147"/>
      <c r="BJ32" s="147"/>
      <c r="BK32" s="147"/>
      <c r="BL32" s="147"/>
      <c r="BM32" s="147"/>
      <c r="BN32" s="147"/>
      <c r="BO32" s="147"/>
      <c r="BP32" s="147"/>
      <c r="BQ32" s="147"/>
      <c r="BR32" s="147"/>
      <c r="BS32" s="147"/>
      <c r="BT32" s="147"/>
      <c r="BU32" s="147"/>
      <c r="BV32" s="147"/>
      <c r="BW32" s="147"/>
      <c r="BX32" s="147"/>
      <c r="BY32" s="147"/>
      <c r="BZ32" s="147"/>
      <c r="CA32" s="147"/>
      <c r="CB32" s="147"/>
      <c r="CC32" s="147"/>
      <c r="CD32" s="147"/>
      <c r="CE32" s="147"/>
      <c r="CF32" s="147"/>
      <c r="CG32" s="147"/>
      <c r="CH32" s="147"/>
      <c r="CI32" s="147"/>
      <c r="CJ32" s="147"/>
      <c r="CK32" s="147"/>
      <c r="CL32" s="147"/>
      <c r="CM32" s="147"/>
      <c r="CN32" s="147"/>
      <c r="CO32" s="147"/>
      <c r="CP32" s="147"/>
    </row>
    <row r="33" spans="1:94" s="177" customFormat="1" ht="15" x14ac:dyDescent="0.25">
      <c r="A33" s="186"/>
      <c r="B33" s="187"/>
      <c r="C33" s="244"/>
      <c r="D33" s="242"/>
      <c r="E33" s="180"/>
      <c r="F33" s="181">
        <v>0</v>
      </c>
      <c r="G33" s="182">
        <v>0</v>
      </c>
      <c r="H33" s="176">
        <f t="shared" si="6"/>
        <v>0</v>
      </c>
      <c r="I33" s="176">
        <f t="shared" si="7"/>
        <v>0</v>
      </c>
      <c r="J33" s="279">
        <f t="shared" si="3"/>
        <v>0</v>
      </c>
      <c r="K33" s="166"/>
      <c r="L33" s="176">
        <f t="shared" si="8"/>
        <v>0</v>
      </c>
      <c r="M33" s="176">
        <f t="shared" si="9"/>
        <v>0</v>
      </c>
      <c r="N33" s="183">
        <f t="shared" si="10"/>
        <v>0</v>
      </c>
      <c r="O33"/>
      <c r="P33"/>
      <c r="Q33"/>
      <c r="R33"/>
      <c r="S33"/>
      <c r="T33"/>
      <c r="U33"/>
      <c r="V33"/>
      <c r="W33"/>
      <c r="X33"/>
      <c r="Y33"/>
      <c r="Z33" s="344"/>
      <c r="AA33" s="363"/>
      <c r="AB33" s="363"/>
      <c r="AC33" s="363"/>
      <c r="AD33" s="329"/>
      <c r="AE33" s="147"/>
      <c r="AF33" s="147"/>
      <c r="AG33" s="147"/>
      <c r="AH33" s="147"/>
      <c r="AI33" s="147"/>
      <c r="AJ33" s="147"/>
      <c r="AK33" s="147"/>
      <c r="AL33" s="147"/>
      <c r="AM33" s="147"/>
      <c r="AN33" s="147"/>
      <c r="AO33" s="147"/>
      <c r="AP33" s="147"/>
      <c r="AQ33" s="147"/>
      <c r="AR33" s="147"/>
      <c r="AS33" s="147"/>
      <c r="AT33" s="147"/>
      <c r="AU33" s="147"/>
      <c r="AV33" s="147"/>
      <c r="AW33" s="147"/>
      <c r="AX33" s="147"/>
      <c r="AY33" s="147"/>
      <c r="AZ33" s="147"/>
      <c r="BA33" s="147"/>
      <c r="BB33" s="147"/>
      <c r="BC33" s="147"/>
      <c r="BD33" s="147"/>
      <c r="BE33" s="147"/>
      <c r="BF33" s="147"/>
      <c r="BG33" s="147"/>
      <c r="BH33" s="147"/>
      <c r="BI33" s="147"/>
      <c r="BJ33" s="147"/>
      <c r="BK33" s="147"/>
      <c r="BL33" s="147"/>
      <c r="BM33" s="147"/>
      <c r="BN33" s="147"/>
      <c r="BO33" s="147"/>
      <c r="BP33" s="147"/>
      <c r="BQ33" s="147"/>
      <c r="BR33" s="147"/>
      <c r="BS33" s="147"/>
      <c r="BT33" s="147"/>
      <c r="BU33" s="147"/>
      <c r="BV33" s="147"/>
      <c r="BW33" s="147"/>
      <c r="BX33" s="147"/>
      <c r="BY33" s="147"/>
      <c r="BZ33" s="147"/>
      <c r="CA33" s="147"/>
      <c r="CB33" s="147"/>
      <c r="CC33" s="147"/>
      <c r="CD33" s="147"/>
      <c r="CE33" s="147"/>
      <c r="CF33" s="147"/>
      <c r="CG33" s="147"/>
      <c r="CH33" s="147"/>
      <c r="CI33" s="147"/>
      <c r="CJ33" s="147"/>
      <c r="CK33" s="147"/>
      <c r="CL33" s="147"/>
      <c r="CM33" s="147"/>
      <c r="CN33" s="147"/>
      <c r="CO33" s="147"/>
      <c r="CP33" s="147"/>
    </row>
    <row r="34" spans="1:94" s="177" customFormat="1" ht="15" x14ac:dyDescent="0.25">
      <c r="A34" s="186"/>
      <c r="B34" s="187"/>
      <c r="C34" s="244"/>
      <c r="D34" s="242"/>
      <c r="E34" s="180"/>
      <c r="F34" s="181">
        <v>0</v>
      </c>
      <c r="G34" s="182">
        <v>0</v>
      </c>
      <c r="H34" s="176">
        <f t="shared" si="6"/>
        <v>0</v>
      </c>
      <c r="I34" s="176">
        <f t="shared" si="7"/>
        <v>0</v>
      </c>
      <c r="J34" s="279">
        <f t="shared" si="3"/>
        <v>0</v>
      </c>
      <c r="K34" s="280"/>
      <c r="L34" s="176">
        <f t="shared" si="8"/>
        <v>0</v>
      </c>
      <c r="M34" s="176">
        <f t="shared" si="9"/>
        <v>0</v>
      </c>
      <c r="N34" s="183">
        <f t="shared" si="10"/>
        <v>0</v>
      </c>
      <c r="O34"/>
      <c r="P34"/>
      <c r="Q34"/>
      <c r="R34"/>
      <c r="S34"/>
      <c r="T34"/>
      <c r="U34"/>
      <c r="V34"/>
      <c r="W34"/>
      <c r="X34"/>
      <c r="Y34"/>
      <c r="Z34" s="344"/>
      <c r="AA34" s="363"/>
      <c r="AB34" s="363"/>
      <c r="AC34" s="363"/>
      <c r="AD34" s="329"/>
      <c r="AE34" s="147"/>
      <c r="AF34" s="147"/>
      <c r="AG34" s="147"/>
      <c r="AH34" s="147"/>
      <c r="AI34" s="147"/>
      <c r="AJ34" s="147"/>
      <c r="AK34" s="147"/>
      <c r="AL34" s="147"/>
      <c r="AM34" s="147"/>
      <c r="AN34" s="147"/>
      <c r="AO34" s="147"/>
      <c r="AP34" s="147"/>
      <c r="AQ34" s="147"/>
      <c r="AR34" s="147"/>
      <c r="AS34" s="147"/>
      <c r="AT34" s="147"/>
      <c r="AU34" s="147"/>
      <c r="AV34" s="147"/>
      <c r="AW34" s="147"/>
      <c r="AX34" s="147"/>
      <c r="AY34" s="147"/>
      <c r="AZ34" s="147"/>
      <c r="BA34" s="147"/>
      <c r="BB34" s="147"/>
      <c r="BC34" s="147"/>
      <c r="BD34" s="147"/>
      <c r="BE34" s="147"/>
      <c r="BF34" s="147"/>
      <c r="BG34" s="147"/>
      <c r="BH34" s="147"/>
      <c r="BI34" s="147"/>
      <c r="BJ34" s="147"/>
      <c r="BK34" s="147"/>
      <c r="BL34" s="147"/>
      <c r="BM34" s="147"/>
      <c r="BN34" s="147"/>
      <c r="BO34" s="147"/>
      <c r="BP34" s="147"/>
      <c r="BQ34" s="147"/>
      <c r="BR34" s="147"/>
      <c r="BS34" s="147"/>
      <c r="BT34" s="147"/>
      <c r="BU34" s="147"/>
      <c r="BV34" s="147"/>
      <c r="BW34" s="147"/>
      <c r="BX34" s="147"/>
      <c r="BY34" s="147"/>
      <c r="BZ34" s="147"/>
      <c r="CA34" s="147"/>
      <c r="CB34" s="147"/>
      <c r="CC34" s="147"/>
      <c r="CD34" s="147"/>
      <c r="CE34" s="147"/>
      <c r="CF34" s="147"/>
      <c r="CG34" s="147"/>
      <c r="CH34" s="147"/>
      <c r="CI34" s="147"/>
      <c r="CJ34" s="147"/>
      <c r="CK34" s="147"/>
      <c r="CL34" s="147"/>
      <c r="CM34" s="147"/>
      <c r="CN34" s="147"/>
      <c r="CO34" s="147"/>
      <c r="CP34" s="147"/>
    </row>
    <row r="35" spans="1:94" s="177" customFormat="1" ht="15" x14ac:dyDescent="0.25">
      <c r="A35" s="186"/>
      <c r="B35" s="187"/>
      <c r="C35" s="244"/>
      <c r="D35" s="242"/>
      <c r="E35" s="180"/>
      <c r="F35" s="181">
        <v>0</v>
      </c>
      <c r="G35" s="182">
        <v>0</v>
      </c>
      <c r="H35" s="176">
        <f t="shared" si="6"/>
        <v>0</v>
      </c>
      <c r="I35" s="176">
        <f>IF(AND($E35=1,$C35=""),$G35*(PermVB+Retire1),IF($E35=1,$G35*PermVB+$G35*VLOOKUP($C35,Retirement_Rates,3,FALSE),IF($E35=2,$G35*GroupVB,IF(AND($E35=3,$C35=""),$G35*ElectVB+$G35*Retire1,IF($E35=3,$G35*ElectVB+$G35*VLOOKUP($C35,Retirement_Rates,3,FALSE),0)))))</f>
        <v>0</v>
      </c>
      <c r="J35" s="279">
        <f t="shared" si="3"/>
        <v>0</v>
      </c>
      <c r="K35" s="309"/>
      <c r="L35" s="176">
        <f t="shared" si="8"/>
        <v>0</v>
      </c>
      <c r="M35" s="176">
        <f t="shared" si="9"/>
        <v>0</v>
      </c>
      <c r="N35" s="183">
        <f t="shared" si="10"/>
        <v>0</v>
      </c>
      <c r="O35"/>
      <c r="P35"/>
      <c r="Q35"/>
      <c r="R35"/>
      <c r="S35"/>
      <c r="T35"/>
      <c r="U35"/>
      <c r="V35"/>
      <c r="W35"/>
      <c r="X35"/>
      <c r="Y35"/>
      <c r="Z35" s="344"/>
      <c r="AA35" s="363"/>
      <c r="AB35" s="363"/>
      <c r="AC35" s="363"/>
      <c r="AD35" s="329"/>
      <c r="AE35" s="147"/>
      <c r="AF35" s="147"/>
      <c r="AG35" s="147"/>
      <c r="AH35" s="147"/>
      <c r="AI35" s="147"/>
      <c r="AJ35" s="147"/>
      <c r="AK35" s="147"/>
      <c r="AL35" s="147"/>
      <c r="AM35" s="147"/>
      <c r="AN35" s="147"/>
      <c r="AO35" s="147"/>
      <c r="AP35" s="147"/>
      <c r="AQ35" s="147"/>
      <c r="AR35" s="147"/>
      <c r="AS35" s="147"/>
      <c r="AT35" s="147"/>
      <c r="AU35" s="147"/>
      <c r="AV35" s="147"/>
      <c r="AW35" s="147"/>
      <c r="AX35" s="147"/>
      <c r="AY35" s="147"/>
      <c r="AZ35" s="147"/>
      <c r="BA35" s="147"/>
      <c r="BB35" s="147"/>
      <c r="BC35" s="147"/>
      <c r="BD35" s="147"/>
      <c r="BE35" s="147"/>
      <c r="BF35" s="147"/>
      <c r="BG35" s="147"/>
      <c r="BH35" s="147"/>
      <c r="BI35" s="147"/>
      <c r="BJ35" s="147"/>
      <c r="BK35" s="147"/>
      <c r="BL35" s="147"/>
      <c r="BM35" s="147"/>
      <c r="BN35" s="147"/>
      <c r="BO35" s="147"/>
      <c r="BP35" s="147"/>
      <c r="BQ35" s="147"/>
      <c r="BR35" s="147"/>
      <c r="BS35" s="147"/>
      <c r="BT35" s="147"/>
      <c r="BU35" s="147"/>
      <c r="BV35" s="147"/>
      <c r="BW35" s="147"/>
      <c r="BX35" s="147"/>
      <c r="BY35" s="147"/>
      <c r="BZ35" s="147"/>
      <c r="CA35" s="147"/>
      <c r="CB35" s="147"/>
      <c r="CC35" s="147"/>
      <c r="CD35" s="147"/>
      <c r="CE35" s="147"/>
      <c r="CF35" s="147"/>
      <c r="CG35" s="147"/>
      <c r="CH35" s="147"/>
      <c r="CI35" s="147"/>
      <c r="CJ35" s="147"/>
      <c r="CK35" s="147"/>
      <c r="CL35" s="147"/>
      <c r="CM35" s="147"/>
      <c r="CN35" s="147"/>
      <c r="CO35" s="147"/>
      <c r="CP35" s="147"/>
    </row>
    <row r="36" spans="1:94" s="213" customFormat="1" ht="15" x14ac:dyDescent="0.25">
      <c r="A36" s="281"/>
      <c r="B36" s="282"/>
      <c r="C36" s="283"/>
      <c r="D36" s="284"/>
      <c r="E36" s="285"/>
      <c r="F36" s="197"/>
      <c r="G36" s="259"/>
      <c r="H36" s="259"/>
      <c r="I36" s="259"/>
      <c r="J36" s="286"/>
      <c r="K36" s="280"/>
      <c r="L36" s="321"/>
      <c r="M36" s="259"/>
      <c r="N36" s="259"/>
      <c r="O36"/>
      <c r="P36"/>
      <c r="Q36"/>
      <c r="R36"/>
      <c r="S36"/>
      <c r="T36"/>
      <c r="U36"/>
      <c r="V36"/>
      <c r="W36"/>
      <c r="X36"/>
      <c r="Y36"/>
      <c r="Z36" s="344"/>
      <c r="AA36" s="363" t="s">
        <v>94</v>
      </c>
      <c r="AB36" s="333" t="s">
        <v>95</v>
      </c>
      <c r="AC36" s="333" t="s">
        <v>106</v>
      </c>
      <c r="AD36" s="330"/>
    </row>
    <row r="37" spans="1:94" s="153" customFormat="1" ht="17.25" customHeight="1" x14ac:dyDescent="0.25">
      <c r="A37" s="139"/>
      <c r="B37" s="188"/>
      <c r="C37" s="459" t="s">
        <v>37</v>
      </c>
      <c r="D37" s="460"/>
      <c r="E37" s="150"/>
      <c r="F37" s="165"/>
      <c r="G37" s="166"/>
      <c r="H37" s="166"/>
      <c r="I37" s="166"/>
      <c r="J37" s="322"/>
      <c r="K37" s="166"/>
      <c r="L37" s="166"/>
      <c r="M37" s="166"/>
      <c r="N37" s="166"/>
      <c r="O37"/>
      <c r="P37"/>
      <c r="Q37"/>
      <c r="R37"/>
      <c r="S37"/>
      <c r="T37"/>
      <c r="U37"/>
      <c r="V37"/>
      <c r="W37"/>
      <c r="X37"/>
      <c r="Y37"/>
      <c r="Z37" s="344"/>
      <c r="AA37" s="461" t="s">
        <v>107</v>
      </c>
      <c r="AB37" s="462"/>
      <c r="AC37" s="462"/>
      <c r="AD37" s="329"/>
      <c r="AE37" s="147"/>
      <c r="AF37" s="147"/>
      <c r="AG37" s="147"/>
      <c r="AH37" s="147"/>
      <c r="AI37" s="147"/>
      <c r="AJ37" s="147"/>
      <c r="AK37" s="147"/>
      <c r="AL37" s="147"/>
      <c r="AM37" s="147"/>
      <c r="AN37" s="147"/>
      <c r="AO37" s="147"/>
      <c r="AP37" s="147"/>
      <c r="AQ37" s="147"/>
      <c r="AR37" s="147"/>
      <c r="AS37" s="147"/>
      <c r="AT37" s="147"/>
      <c r="AU37" s="147"/>
      <c r="AV37" s="147"/>
      <c r="AW37" s="147"/>
      <c r="AX37" s="147"/>
      <c r="AY37" s="147"/>
      <c r="AZ37" s="147"/>
      <c r="BA37" s="147"/>
      <c r="BB37" s="147"/>
      <c r="BC37" s="147"/>
      <c r="BD37" s="147"/>
      <c r="BE37" s="147"/>
      <c r="BF37" s="147"/>
      <c r="BG37" s="147"/>
      <c r="BH37" s="147"/>
      <c r="BI37" s="147"/>
      <c r="BJ37" s="147"/>
      <c r="BK37" s="147"/>
      <c r="BL37" s="147"/>
      <c r="BM37" s="147"/>
      <c r="BN37" s="147"/>
      <c r="BO37" s="147"/>
      <c r="BP37" s="147"/>
      <c r="BQ37" s="147"/>
      <c r="BR37" s="147"/>
      <c r="BS37" s="147"/>
      <c r="BT37" s="147"/>
      <c r="BU37" s="147"/>
      <c r="BV37" s="147"/>
      <c r="BW37" s="147"/>
      <c r="BX37" s="147"/>
      <c r="BY37" s="147"/>
      <c r="BZ37" s="147"/>
      <c r="CA37" s="147"/>
      <c r="CB37" s="147"/>
      <c r="CC37" s="147"/>
      <c r="CD37" s="147"/>
      <c r="CE37" s="147"/>
      <c r="CF37" s="147"/>
      <c r="CG37" s="147"/>
      <c r="CH37" s="147"/>
      <c r="CI37" s="147"/>
      <c r="CJ37" s="147"/>
      <c r="CK37" s="147"/>
      <c r="CL37" s="147"/>
      <c r="CM37" s="147"/>
      <c r="CN37" s="147"/>
      <c r="CO37" s="147"/>
      <c r="CP37" s="147"/>
    </row>
    <row r="38" spans="1:94" s="153" customFormat="1" ht="15" x14ac:dyDescent="0.25">
      <c r="A38" s="139"/>
      <c r="B38" s="188"/>
      <c r="C38" s="443" t="str">
        <f>perm_name</f>
        <v>Permanent Positions</v>
      </c>
      <c r="D38" s="444"/>
      <c r="E38" s="189">
        <v>1</v>
      </c>
      <c r="F38" s="190">
        <f>SUMIF($E9:$E35,$E38,$F9:$F35)</f>
        <v>10.6</v>
      </c>
      <c r="G38" s="191">
        <f>SUMIF($E10:$E35,$E38,$G10:$G35)</f>
        <v>476774.48</v>
      </c>
      <c r="H38" s="192">
        <f>SUMIF($E10:$E35,$E38,$H10:$H35)</f>
        <v>123490</v>
      </c>
      <c r="I38" s="192">
        <f>SUMIF($E10:$E35,$E38,$I10:$I35)</f>
        <v>101666.3007256</v>
      </c>
      <c r="J38" s="192">
        <f>SUM(G38:I38)</f>
        <v>701930.78072559997</v>
      </c>
      <c r="K38" s="166"/>
      <c r="L38" s="191">
        <f>SUMIF($E10:$E35,$E38,$L10:$L35)</f>
        <v>0</v>
      </c>
      <c r="M38" s="192">
        <f>SUMIF($E10:$E35,$E38,$M10:$M35)</f>
        <v>-2288.5175039999999</v>
      </c>
      <c r="N38" s="192">
        <f>SUM(L38:M38)</f>
        <v>-2288.5175039999999</v>
      </c>
      <c r="O38"/>
      <c r="P38"/>
      <c r="Q38"/>
      <c r="R38"/>
      <c r="S38"/>
      <c r="T38"/>
      <c r="U38"/>
      <c r="V38"/>
      <c r="W38"/>
      <c r="X38"/>
      <c r="Y38"/>
      <c r="Z38" s="344"/>
      <c r="AA38" s="338">
        <f>ROUND(AdjPermSalary*CECPerm,-2)</f>
        <v>4800</v>
      </c>
      <c r="AB38" s="338">
        <f>ROUND((AdjPermVB*CECPerm+AdjPermVBBY*CECPerm),-2)</f>
        <v>1000</v>
      </c>
      <c r="AC38" s="338">
        <f>SUM(AA38:AB38)</f>
        <v>5800</v>
      </c>
      <c r="AD38" s="329"/>
      <c r="AE38" s="147"/>
      <c r="AF38" s="147"/>
      <c r="AG38" s="147"/>
      <c r="AH38" s="147"/>
      <c r="AI38" s="147"/>
      <c r="AJ38" s="147"/>
      <c r="AK38" s="147"/>
      <c r="AL38" s="147"/>
      <c r="AM38" s="147"/>
      <c r="AN38" s="147"/>
      <c r="AO38" s="147"/>
      <c r="AP38" s="147"/>
      <c r="AQ38" s="147"/>
      <c r="AR38" s="147"/>
      <c r="AS38" s="147"/>
      <c r="AT38" s="147"/>
      <c r="AU38" s="147"/>
      <c r="AV38" s="147"/>
      <c r="AW38" s="147"/>
      <c r="AX38" s="147"/>
      <c r="AY38" s="147"/>
      <c r="AZ38" s="147"/>
      <c r="BA38" s="147"/>
      <c r="BB38" s="147"/>
      <c r="BC38" s="147"/>
      <c r="BD38" s="147"/>
      <c r="BE38" s="147"/>
      <c r="BF38" s="147"/>
      <c r="BG38" s="147"/>
      <c r="BH38" s="147"/>
      <c r="BI38" s="147"/>
      <c r="BJ38" s="147"/>
      <c r="BK38" s="147"/>
      <c r="BL38" s="147"/>
      <c r="BM38" s="147"/>
      <c r="BN38" s="147"/>
      <c r="BO38" s="147"/>
      <c r="BP38" s="147"/>
      <c r="BQ38" s="147"/>
      <c r="BR38" s="147"/>
      <c r="BS38" s="147"/>
      <c r="BT38" s="147"/>
      <c r="BU38" s="147"/>
      <c r="BV38" s="147"/>
      <c r="BW38" s="147"/>
      <c r="BX38" s="147"/>
      <c r="BY38" s="147"/>
      <c r="BZ38" s="147"/>
      <c r="CA38" s="147"/>
      <c r="CB38" s="147"/>
      <c r="CC38" s="147"/>
      <c r="CD38" s="147"/>
      <c r="CE38" s="147"/>
      <c r="CF38" s="147"/>
      <c r="CG38" s="147"/>
      <c r="CH38" s="147"/>
      <c r="CI38" s="147"/>
      <c r="CJ38" s="147"/>
      <c r="CK38" s="147"/>
      <c r="CL38" s="147"/>
      <c r="CM38" s="147"/>
      <c r="CN38" s="147"/>
      <c r="CO38" s="147"/>
      <c r="CP38" s="147"/>
    </row>
    <row r="39" spans="1:94" s="153" customFormat="1" ht="15" x14ac:dyDescent="0.25">
      <c r="A39" s="139"/>
      <c r="B39" s="188"/>
      <c r="C39" s="443" t="str">
        <f>Group_name</f>
        <v>Board &amp; Group Positions</v>
      </c>
      <c r="D39" s="444"/>
      <c r="E39" s="189">
        <v>2</v>
      </c>
      <c r="F39" s="151">
        <f>SUMIF($E9:$E35,$E39,$F9:$F35)</f>
        <v>0</v>
      </c>
      <c r="G39" s="193">
        <f>SUMIF($E10:$E35,$E39,$G10:$G35)</f>
        <v>0</v>
      </c>
      <c r="H39" s="152">
        <f>SUMIF($E10:$E35,$E39,$H10:$H35)</f>
        <v>0</v>
      </c>
      <c r="I39" s="152">
        <f>SUMIF($E10:$E35,$E39,$I10:$I35)</f>
        <v>0</v>
      </c>
      <c r="J39" s="152">
        <f>SUM(G39:I39)</f>
        <v>0</v>
      </c>
      <c r="K39" s="259"/>
      <c r="L39" s="193">
        <f>SUMIF($E10:$E35,$E39,$L10:$L35)</f>
        <v>0</v>
      </c>
      <c r="M39" s="152">
        <f>SUMIF($E11:$E37,$E39,$M11:$M37)</f>
        <v>0</v>
      </c>
      <c r="N39" s="152">
        <f>SUM(L39:M39)</f>
        <v>0</v>
      </c>
      <c r="O39"/>
      <c r="P39"/>
      <c r="Q39"/>
      <c r="R39"/>
      <c r="S39"/>
      <c r="T39"/>
      <c r="U39"/>
      <c r="V39"/>
      <c r="W39"/>
      <c r="X39"/>
      <c r="Y39"/>
      <c r="Z39" s="344"/>
      <c r="AA39" s="338">
        <f>ROUND(AdjGroupSalary*CECGroup,-2)</f>
        <v>0</v>
      </c>
      <c r="AB39" s="338">
        <f>ROUND(AdjGroupVB*CECGroup,-2)</f>
        <v>0</v>
      </c>
      <c r="AC39" s="338">
        <f>SUM(AA39:AB39)</f>
        <v>0</v>
      </c>
      <c r="AD39" s="329"/>
      <c r="AE39" s="147"/>
      <c r="AF39" s="147"/>
      <c r="AG39" s="147"/>
      <c r="AH39" s="147"/>
      <c r="AI39" s="147"/>
      <c r="AJ39" s="147"/>
      <c r="AK39" s="147"/>
      <c r="AL39" s="147"/>
      <c r="AM39" s="147"/>
      <c r="AN39" s="147"/>
      <c r="AO39" s="147"/>
      <c r="AP39" s="147"/>
      <c r="AQ39" s="147"/>
      <c r="AR39" s="147"/>
      <c r="AS39" s="147"/>
      <c r="AT39" s="147"/>
      <c r="AU39" s="147"/>
      <c r="AV39" s="147"/>
      <c r="AW39" s="147"/>
      <c r="AX39" s="147"/>
      <c r="AY39" s="147"/>
      <c r="AZ39" s="147"/>
      <c r="BA39" s="147"/>
      <c r="BB39" s="147"/>
      <c r="BC39" s="147"/>
      <c r="BD39" s="147"/>
      <c r="BE39" s="147"/>
      <c r="BF39" s="147"/>
      <c r="BG39" s="147"/>
      <c r="BH39" s="147"/>
      <c r="BI39" s="147"/>
      <c r="BJ39" s="147"/>
      <c r="BK39" s="147"/>
      <c r="BL39" s="147"/>
      <c r="BM39" s="147"/>
      <c r="BN39" s="147"/>
      <c r="BO39" s="147"/>
      <c r="BP39" s="147"/>
      <c r="BQ39" s="147"/>
      <c r="BR39" s="147"/>
      <c r="BS39" s="147"/>
      <c r="BT39" s="147"/>
      <c r="BU39" s="147"/>
      <c r="BV39" s="147"/>
      <c r="BW39" s="147"/>
      <c r="BX39" s="147"/>
      <c r="BY39" s="147"/>
      <c r="BZ39" s="147"/>
      <c r="CA39" s="147"/>
      <c r="CB39" s="147"/>
      <c r="CC39" s="147"/>
      <c r="CD39" s="147"/>
      <c r="CE39" s="147"/>
      <c r="CF39" s="147"/>
      <c r="CG39" s="147"/>
      <c r="CH39" s="147"/>
      <c r="CI39" s="147"/>
      <c r="CJ39" s="147"/>
      <c r="CK39" s="147"/>
      <c r="CL39" s="147"/>
      <c r="CM39" s="147"/>
      <c r="CN39" s="147"/>
      <c r="CO39" s="147"/>
      <c r="CP39" s="147"/>
    </row>
    <row r="40" spans="1:94" s="153" customFormat="1" ht="15" x14ac:dyDescent="0.25">
      <c r="A40" s="139"/>
      <c r="B40" s="188"/>
      <c r="C40" s="364" t="str">
        <f>Elect_name</f>
        <v>Elected Officials &amp; Full Time Commissioners</v>
      </c>
      <c r="D40" s="365"/>
      <c r="E40" s="189">
        <v>3</v>
      </c>
      <c r="F40" s="151">
        <f>SUMIF($E9:$E35,$E40,$F9:$F35)</f>
        <v>0</v>
      </c>
      <c r="G40" s="193">
        <f>SUMIF($E10:$E35,$E40,$G10:$G35)</f>
        <v>0</v>
      </c>
      <c r="H40" s="152">
        <f>SUMIF($E10:$E35,$E40,$H10:$H35)</f>
        <v>0</v>
      </c>
      <c r="I40" s="152">
        <f>SUMIF($E10:$E35,$E40,$I10:$I35)</f>
        <v>0</v>
      </c>
      <c r="J40" s="152">
        <f>SUM(G40:I40)</f>
        <v>0</v>
      </c>
      <c r="K40" s="259"/>
      <c r="L40" s="193">
        <f>SUMIF($E10:$E35,$E40,$L10:$L35)</f>
        <v>0</v>
      </c>
      <c r="M40" s="152">
        <f>SUMIF($E10:$E35,$E40,$M10:$M35)</f>
        <v>0</v>
      </c>
      <c r="N40" s="152">
        <f>SUM(L40:M40)</f>
        <v>0</v>
      </c>
      <c r="O40"/>
      <c r="P40"/>
      <c r="Q40"/>
      <c r="R40"/>
      <c r="S40"/>
      <c r="T40"/>
      <c r="U40"/>
      <c r="V40"/>
      <c r="W40"/>
      <c r="X40"/>
      <c r="Y40"/>
      <c r="Z40" s="344"/>
      <c r="AA40" s="363"/>
      <c r="AB40" s="363"/>
      <c r="AC40" s="363"/>
      <c r="AD40" s="329"/>
      <c r="AE40" s="147"/>
      <c r="AF40" s="147"/>
      <c r="AG40" s="147"/>
      <c r="AH40" s="147"/>
      <c r="AI40" s="147"/>
      <c r="AJ40" s="147"/>
      <c r="AK40" s="147"/>
      <c r="AL40" s="147"/>
      <c r="AM40" s="147"/>
      <c r="AN40" s="147"/>
      <c r="AO40" s="147"/>
      <c r="AP40" s="147"/>
      <c r="AQ40" s="147"/>
      <c r="AR40" s="147"/>
      <c r="AS40" s="147"/>
      <c r="AT40" s="147"/>
      <c r="AU40" s="147"/>
      <c r="AV40" s="147"/>
      <c r="AW40" s="147"/>
      <c r="AX40" s="147"/>
      <c r="AY40" s="147"/>
      <c r="AZ40" s="147"/>
      <c r="BA40" s="147"/>
      <c r="BB40" s="147"/>
      <c r="BC40" s="147"/>
      <c r="BD40" s="147"/>
      <c r="BE40" s="147"/>
      <c r="BF40" s="147"/>
      <c r="BG40" s="147"/>
      <c r="BH40" s="147"/>
      <c r="BI40" s="147"/>
      <c r="BJ40" s="147"/>
      <c r="BK40" s="147"/>
      <c r="BL40" s="147"/>
      <c r="BM40" s="147"/>
      <c r="BN40" s="147"/>
      <c r="BO40" s="147"/>
      <c r="BP40" s="147"/>
      <c r="BQ40" s="147"/>
      <c r="BR40" s="147"/>
      <c r="BS40" s="147"/>
      <c r="BT40" s="147"/>
      <c r="BU40" s="147"/>
      <c r="BV40" s="147"/>
      <c r="BW40" s="147"/>
      <c r="BX40" s="147"/>
      <c r="BY40" s="147"/>
      <c r="BZ40" s="147"/>
      <c r="CA40" s="147"/>
      <c r="CB40" s="147"/>
      <c r="CC40" s="147"/>
      <c r="CD40" s="147"/>
      <c r="CE40" s="147"/>
      <c r="CF40" s="147"/>
      <c r="CG40" s="147"/>
      <c r="CH40" s="147"/>
      <c r="CI40" s="147"/>
      <c r="CJ40" s="147"/>
      <c r="CK40" s="147"/>
      <c r="CL40" s="147"/>
      <c r="CM40" s="147"/>
      <c r="CN40" s="147"/>
      <c r="CO40" s="147"/>
      <c r="CP40" s="147"/>
    </row>
    <row r="41" spans="1:94" s="153" customFormat="1" ht="15" x14ac:dyDescent="0.25">
      <c r="A41" s="139"/>
      <c r="B41" s="188"/>
      <c r="C41" s="443" t="s">
        <v>38</v>
      </c>
      <c r="D41" s="444"/>
      <c r="E41" s="189"/>
      <c r="F41" s="161">
        <f>SUM(F38:F40)</f>
        <v>10.6</v>
      </c>
      <c r="G41" s="195">
        <f>SUM($G$38:$G$40)</f>
        <v>476774.48</v>
      </c>
      <c r="H41" s="162">
        <f>SUM($H$38:$H$40)</f>
        <v>123490</v>
      </c>
      <c r="I41" s="162">
        <f>SUM($I$38:$I$40)</f>
        <v>101666.3007256</v>
      </c>
      <c r="J41" s="162">
        <f>SUM($J$38:$J$40)</f>
        <v>701930.78072559997</v>
      </c>
      <c r="K41" s="259"/>
      <c r="L41" s="195">
        <f>SUM($L$38:$L$40)</f>
        <v>0</v>
      </c>
      <c r="M41" s="162">
        <f>SUM($M$38:$M$40)</f>
        <v>-2288.5175039999999</v>
      </c>
      <c r="N41" s="162">
        <f>SUM(L41:M41)</f>
        <v>-2288.5175039999999</v>
      </c>
      <c r="O41"/>
      <c r="P41"/>
      <c r="Q41"/>
      <c r="R41"/>
      <c r="S41"/>
      <c r="T41"/>
      <c r="U41"/>
      <c r="V41"/>
      <c r="W41"/>
      <c r="X41"/>
      <c r="Y41"/>
      <c r="Z41" s="344"/>
      <c r="AA41" s="363" t="s">
        <v>94</v>
      </c>
      <c r="AB41" s="333" t="s">
        <v>95</v>
      </c>
      <c r="AC41" s="333" t="s">
        <v>106</v>
      </c>
      <c r="AD41" s="329"/>
      <c r="AE41" s="147"/>
      <c r="AF41" s="147"/>
      <c r="AG41" s="147"/>
      <c r="AH41" s="147"/>
      <c r="AI41" s="147"/>
      <c r="AJ41" s="147"/>
      <c r="AK41" s="147"/>
      <c r="AL41" s="147"/>
      <c r="AM41" s="147"/>
      <c r="AN41" s="147"/>
      <c r="AO41" s="147"/>
      <c r="AP41" s="147"/>
      <c r="AQ41" s="147"/>
      <c r="AR41" s="147"/>
      <c r="AS41" s="147"/>
      <c r="AT41" s="147"/>
      <c r="AU41" s="147"/>
      <c r="AV41" s="147"/>
      <c r="AW41" s="147"/>
      <c r="AX41" s="147"/>
      <c r="AY41" s="147"/>
      <c r="AZ41" s="147"/>
      <c r="BA41" s="147"/>
      <c r="BB41" s="147"/>
      <c r="BC41" s="147"/>
      <c r="BD41" s="147"/>
      <c r="BE41" s="147"/>
      <c r="BF41" s="147"/>
      <c r="BG41" s="147"/>
      <c r="BH41" s="147"/>
      <c r="BI41" s="147"/>
      <c r="BJ41" s="147"/>
      <c r="BK41" s="147"/>
      <c r="BL41" s="147"/>
      <c r="BM41" s="147"/>
      <c r="BN41" s="147"/>
      <c r="BO41" s="147"/>
      <c r="BP41" s="147"/>
      <c r="BQ41" s="147"/>
      <c r="BR41" s="147"/>
      <c r="BS41" s="147"/>
      <c r="BT41" s="147"/>
      <c r="BU41" s="147"/>
      <c r="BV41" s="147"/>
      <c r="BW41" s="147"/>
      <c r="BX41" s="147"/>
      <c r="BY41" s="147"/>
      <c r="BZ41" s="147"/>
      <c r="CA41" s="147"/>
      <c r="CB41" s="147"/>
      <c r="CC41" s="147"/>
      <c r="CD41" s="147"/>
      <c r="CE41" s="147"/>
      <c r="CF41" s="147"/>
      <c r="CG41" s="147"/>
      <c r="CH41" s="147"/>
      <c r="CI41" s="147"/>
      <c r="CJ41" s="147"/>
      <c r="CK41" s="147"/>
      <c r="CL41" s="147"/>
      <c r="CM41" s="147"/>
      <c r="CN41" s="147"/>
      <c r="CO41" s="147"/>
      <c r="CP41" s="147"/>
    </row>
    <row r="42" spans="1:94" s="153" customFormat="1" ht="4.5" customHeight="1" x14ac:dyDescent="0.25">
      <c r="A42" s="139"/>
      <c r="B42" s="188"/>
      <c r="C42" s="445"/>
      <c r="D42" s="446"/>
      <c r="E42" s="196"/>
      <c r="F42" s="197"/>
      <c r="G42" s="198"/>
      <c r="H42" s="199"/>
      <c r="I42" s="199"/>
      <c r="J42" s="324"/>
      <c r="K42" s="200"/>
      <c r="L42" s="323"/>
      <c r="M42" s="323"/>
      <c r="N42" s="201"/>
      <c r="O42"/>
      <c r="P42"/>
      <c r="Q42"/>
      <c r="R42"/>
      <c r="S42"/>
      <c r="T42"/>
      <c r="U42"/>
      <c r="V42"/>
      <c r="W42"/>
      <c r="X42"/>
      <c r="Y42"/>
      <c r="Z42" s="344"/>
      <c r="AA42" s="363"/>
      <c r="AB42" s="363"/>
      <c r="AC42" s="363"/>
      <c r="AD42" s="329"/>
      <c r="AE42" s="147"/>
      <c r="AF42" s="147"/>
      <c r="AG42" s="147"/>
      <c r="AH42" s="147"/>
      <c r="AI42" s="147"/>
      <c r="AJ42" s="147"/>
      <c r="AK42" s="147"/>
      <c r="AL42" s="147"/>
      <c r="AM42" s="147"/>
      <c r="AN42" s="147"/>
      <c r="AO42" s="147"/>
      <c r="AP42" s="147"/>
      <c r="AQ42" s="147"/>
      <c r="AR42" s="147"/>
      <c r="AS42" s="147"/>
      <c r="AT42" s="147"/>
      <c r="AU42" s="147"/>
      <c r="AV42" s="147"/>
      <c r="AW42" s="147"/>
      <c r="AX42" s="147"/>
      <c r="AY42" s="147"/>
      <c r="AZ42" s="147"/>
      <c r="BA42" s="147"/>
      <c r="BB42" s="147"/>
      <c r="BC42" s="147"/>
      <c r="BD42" s="147"/>
      <c r="BE42" s="147"/>
      <c r="BF42" s="147"/>
      <c r="BG42" s="147"/>
      <c r="BH42" s="147"/>
      <c r="BI42" s="147"/>
      <c r="BJ42" s="147"/>
      <c r="BK42" s="147"/>
      <c r="BL42" s="147"/>
      <c r="BM42" s="147"/>
      <c r="BN42" s="147"/>
      <c r="BO42" s="147"/>
      <c r="BP42" s="147"/>
      <c r="BQ42" s="147"/>
      <c r="BR42" s="147"/>
      <c r="BS42" s="147"/>
      <c r="BT42" s="147"/>
      <c r="BU42" s="147"/>
      <c r="BV42" s="147"/>
      <c r="BW42" s="147"/>
      <c r="BX42" s="147"/>
      <c r="BY42" s="147"/>
      <c r="BZ42" s="147"/>
      <c r="CA42" s="147"/>
      <c r="CB42" s="147"/>
      <c r="CC42" s="147"/>
      <c r="CD42" s="147"/>
      <c r="CE42" s="147"/>
      <c r="CF42" s="147"/>
      <c r="CG42" s="147"/>
      <c r="CH42" s="147"/>
      <c r="CI42" s="147"/>
      <c r="CJ42" s="147"/>
      <c r="CK42" s="147"/>
      <c r="CL42" s="147"/>
      <c r="CM42" s="147"/>
      <c r="CN42" s="147"/>
      <c r="CO42" s="147"/>
      <c r="CP42" s="147"/>
    </row>
    <row r="43" spans="1:94" s="153" customFormat="1" ht="15.75" customHeight="1" x14ac:dyDescent="0.25">
      <c r="A43" s="139"/>
      <c r="B43" s="202"/>
      <c r="C43" s="447" t="s">
        <v>39</v>
      </c>
      <c r="D43" s="448"/>
      <c r="E43" s="203" t="s">
        <v>40</v>
      </c>
      <c r="F43" s="205">
        <f>ROUND(F51-F41,2)</f>
        <v>0.25</v>
      </c>
      <c r="G43" s="206">
        <f>ROUND(G51-G41,-2)</f>
        <v>-54600</v>
      </c>
      <c r="H43" s="159">
        <f>ROUND(H51-H41,-2)</f>
        <v>-14200</v>
      </c>
      <c r="I43" s="159">
        <f>ROUND(I51-I41,-2)</f>
        <v>-11600</v>
      </c>
      <c r="J43" s="159">
        <f>SUM(G43:I43)</f>
        <v>-80400</v>
      </c>
      <c r="K43" s="424" t="str">
        <f>IF(E51=0,"ERROR! Enter Original Appropriation amount in DU 3.00!","Calculated "&amp;IF(J43&gt;0,"overfunding ","underfunding ")&amp;"is "&amp;TEXT(J43/J51,"#.0%;(#.0% );0% ;")&amp;" of Original Appropriation")</f>
        <v>Calculated underfunding is (12.9% ) of Original Appropriation</v>
      </c>
      <c r="L43" s="425"/>
      <c r="M43" s="425"/>
      <c r="N43" s="426"/>
      <c r="O43"/>
      <c r="P43"/>
      <c r="Q43"/>
      <c r="R43"/>
      <c r="S43"/>
      <c r="T43"/>
      <c r="U43"/>
      <c r="V43"/>
      <c r="W43"/>
      <c r="X43"/>
      <c r="Y43"/>
      <c r="Z43" s="344"/>
      <c r="AA43" s="451" t="s">
        <v>108</v>
      </c>
      <c r="AB43" s="452"/>
      <c r="AC43" s="452"/>
      <c r="AD43" s="329"/>
      <c r="AE43" s="147"/>
      <c r="AF43" s="147"/>
      <c r="AG43" s="147"/>
      <c r="AH43" s="147"/>
      <c r="AI43" s="147"/>
      <c r="AJ43" s="147"/>
      <c r="AK43" s="147"/>
      <c r="AL43" s="147"/>
      <c r="AM43" s="147"/>
      <c r="AN43" s="147"/>
      <c r="AO43" s="147"/>
      <c r="AP43" s="147"/>
      <c r="AQ43" s="147"/>
      <c r="AR43" s="147"/>
      <c r="AS43" s="147"/>
      <c r="AT43" s="147"/>
      <c r="AU43" s="147"/>
      <c r="AV43" s="147"/>
      <c r="AW43" s="147"/>
      <c r="AX43" s="147"/>
      <c r="AY43" s="147"/>
      <c r="AZ43" s="147"/>
      <c r="BA43" s="147"/>
      <c r="BB43" s="147"/>
      <c r="BC43" s="147"/>
      <c r="BD43" s="147"/>
      <c r="BE43" s="147"/>
      <c r="BF43" s="147"/>
      <c r="BG43" s="147"/>
      <c r="BH43" s="147"/>
      <c r="BI43" s="147"/>
      <c r="BJ43" s="147"/>
      <c r="BK43" s="147"/>
      <c r="BL43" s="147"/>
      <c r="BM43" s="147"/>
      <c r="BN43" s="147"/>
      <c r="BO43" s="147"/>
      <c r="BP43" s="147"/>
      <c r="BQ43" s="147"/>
      <c r="BR43" s="147"/>
      <c r="BS43" s="147"/>
      <c r="BT43" s="147"/>
      <c r="BU43" s="147"/>
      <c r="BV43" s="147"/>
      <c r="BW43" s="147"/>
      <c r="BX43" s="147"/>
      <c r="BY43" s="147"/>
      <c r="BZ43" s="147"/>
      <c r="CA43" s="147"/>
      <c r="CB43" s="147"/>
      <c r="CC43" s="147"/>
      <c r="CD43" s="147"/>
      <c r="CE43" s="147"/>
      <c r="CF43" s="147"/>
      <c r="CG43" s="147"/>
      <c r="CH43" s="147"/>
      <c r="CI43" s="147"/>
      <c r="CJ43" s="147"/>
      <c r="CK43" s="147"/>
      <c r="CL43" s="147"/>
      <c r="CM43" s="147"/>
      <c r="CN43" s="147"/>
      <c r="CO43" s="147"/>
      <c r="CP43" s="147"/>
    </row>
    <row r="44" spans="1:94" s="153" customFormat="1" ht="15.75" customHeight="1" x14ac:dyDescent="0.25">
      <c r="A44" s="139"/>
      <c r="B44" s="202"/>
      <c r="C44" s="449"/>
      <c r="D44" s="450"/>
      <c r="E44" s="204" t="s">
        <v>41</v>
      </c>
      <c r="F44" s="205">
        <f>ROUND(F60-F41,2)</f>
        <v>0.25</v>
      </c>
      <c r="G44" s="206">
        <f>ROUND(G60-G41,-2)</f>
        <v>-54700</v>
      </c>
      <c r="H44" s="159">
        <f>ROUND(H60-H41,-2)</f>
        <v>-14200</v>
      </c>
      <c r="I44" s="159">
        <f>ROUND(I60-I41,-2)</f>
        <v>-11700</v>
      </c>
      <c r="J44" s="159">
        <f>SUM(G44:I44)</f>
        <v>-80600</v>
      </c>
      <c r="K44" s="424" t="str">
        <f>IF(E51=0,"ERROR! Enter Original Appropriation amount in DU 3.00!","Calculated "&amp;IF(J44&gt;0,"overfunding ","underfunding ")&amp;"is "&amp;TEXT(J44/J60,"#.0%;(#.0% );0% ;")&amp;" of Estimated Expenditures")</f>
        <v>Calculated underfunding is (13.0% ) of Estimated Expenditures</v>
      </c>
      <c r="L44" s="425"/>
      <c r="M44" s="425"/>
      <c r="N44" s="426"/>
      <c r="O44"/>
      <c r="P44"/>
      <c r="Q44"/>
      <c r="R44"/>
      <c r="S44"/>
      <c r="T44"/>
      <c r="U44"/>
      <c r="V44"/>
      <c r="W44"/>
      <c r="X44"/>
      <c r="Y44"/>
      <c r="Z44" s="344"/>
      <c r="AA44" s="338">
        <f>NEW_AdjPermSalary-NEW_PermSalaryFilled</f>
        <v>0</v>
      </c>
      <c r="AB44" s="338">
        <f>NEW_AdjPermVB-NEW_PermVBFilled</f>
        <v>0</v>
      </c>
      <c r="AC44" s="338">
        <f>SUM(AA44:AB44)</f>
        <v>0</v>
      </c>
      <c r="AD44" s="329"/>
      <c r="AE44" s="147"/>
      <c r="AF44" s="147"/>
      <c r="AG44" s="147"/>
      <c r="AH44" s="147"/>
      <c r="AI44" s="147"/>
      <c r="AJ44" s="147"/>
      <c r="AK44" s="147"/>
      <c r="AL44" s="147"/>
      <c r="AM44" s="147"/>
      <c r="AN44" s="147"/>
      <c r="AO44" s="147"/>
      <c r="AP44" s="147"/>
      <c r="AQ44" s="147"/>
      <c r="AR44" s="147"/>
      <c r="AS44" s="147"/>
      <c r="AT44" s="147"/>
      <c r="AU44" s="147"/>
      <c r="AV44" s="147"/>
      <c r="AW44" s="147"/>
      <c r="AX44" s="147"/>
      <c r="AY44" s="147"/>
      <c r="AZ44" s="147"/>
      <c r="BA44" s="147"/>
      <c r="BB44" s="147"/>
      <c r="BC44" s="147"/>
      <c r="BD44" s="147"/>
      <c r="BE44" s="147"/>
      <c r="BF44" s="147"/>
      <c r="BG44" s="147"/>
      <c r="BH44" s="147"/>
      <c r="BI44" s="147"/>
      <c r="BJ44" s="147"/>
      <c r="BK44" s="147"/>
      <c r="BL44" s="147"/>
      <c r="BM44" s="147"/>
      <c r="BN44" s="147"/>
      <c r="BO44" s="147"/>
      <c r="BP44" s="147"/>
      <c r="BQ44" s="147"/>
      <c r="BR44" s="147"/>
      <c r="BS44" s="147"/>
      <c r="BT44" s="147"/>
      <c r="BU44" s="147"/>
      <c r="BV44" s="147"/>
      <c r="BW44" s="147"/>
      <c r="BX44" s="147"/>
      <c r="BY44" s="147"/>
      <c r="BZ44" s="147"/>
      <c r="CA44" s="147"/>
      <c r="CB44" s="147"/>
      <c r="CC44" s="147"/>
      <c r="CD44" s="147"/>
      <c r="CE44" s="147"/>
      <c r="CF44" s="147"/>
      <c r="CG44" s="147"/>
      <c r="CH44" s="147"/>
      <c r="CI44" s="147"/>
      <c r="CJ44" s="147"/>
      <c r="CK44" s="147"/>
      <c r="CL44" s="147"/>
      <c r="CM44" s="147"/>
      <c r="CN44" s="147"/>
      <c r="CO44" s="147"/>
      <c r="CP44" s="147"/>
    </row>
    <row r="45" spans="1:94" s="153" customFormat="1" ht="15.75" customHeight="1" x14ac:dyDescent="0.25">
      <c r="A45" s="139"/>
      <c r="B45" s="202"/>
      <c r="C45" s="215"/>
      <c r="D45" s="215"/>
      <c r="E45" s="204" t="s">
        <v>99</v>
      </c>
      <c r="F45" s="205">
        <f>ROUND(F67-F41-F63,2)</f>
        <v>0.25</v>
      </c>
      <c r="G45" s="206">
        <f>ROUND(G67-G41-G63,-2)</f>
        <v>-54700</v>
      </c>
      <c r="H45" s="206">
        <f>ROUND(H67-H41-H63,-2)</f>
        <v>-14200</v>
      </c>
      <c r="I45" s="206">
        <f>ROUND(I67-I41-I63,-2)</f>
        <v>-11700</v>
      </c>
      <c r="J45" s="159">
        <f>SUM(G45:I45)</f>
        <v>-80600</v>
      </c>
      <c r="K45" s="424" t="str">
        <f>IF(J67=0,"Program has a zero base",IF(E51=0,"ERROR! Enter Original Appropriation amount in DU 3.00!","Calculated "&amp;IF(J45&gt;0,"overfunding ","underfunding ")&amp;"is "&amp;TEXT(J45/J67,"#.0%;(#.0% );0% ;")&amp;" of the Base"))</f>
        <v>Calculated underfunding is (13.0% ) of the Base</v>
      </c>
      <c r="L45" s="425"/>
      <c r="M45" s="425"/>
      <c r="N45" s="426"/>
      <c r="O45"/>
      <c r="P45"/>
      <c r="Q45"/>
      <c r="R45"/>
      <c r="S45"/>
      <c r="T45"/>
      <c r="U45"/>
      <c r="V45"/>
      <c r="W45"/>
      <c r="X45"/>
      <c r="Y45"/>
      <c r="Z45" s="344"/>
      <c r="AA45" s="338">
        <f>NEW_AdjGroupSalary-NEW_GroupSalaryFilled</f>
        <v>0</v>
      </c>
      <c r="AB45" s="338">
        <f>NEW_AdjGroupVB-NEW_GroupVBFilled</f>
        <v>0</v>
      </c>
      <c r="AC45" s="338">
        <f>SUM(AA45:AB45)</f>
        <v>0</v>
      </c>
      <c r="AD45" s="329"/>
      <c r="AE45" s="147"/>
      <c r="AF45" s="147"/>
      <c r="AG45" s="147"/>
      <c r="AH45" s="147"/>
      <c r="AI45" s="147"/>
      <c r="AJ45" s="147"/>
      <c r="AK45" s="147"/>
      <c r="AL45" s="147"/>
      <c r="AM45" s="147"/>
      <c r="AN45" s="147"/>
      <c r="AO45" s="147"/>
      <c r="AP45" s="147"/>
      <c r="AQ45" s="147"/>
      <c r="AR45" s="147"/>
      <c r="AS45" s="147"/>
      <c r="AT45" s="147"/>
      <c r="AU45" s="147"/>
      <c r="AV45" s="147"/>
      <c r="AW45" s="147"/>
      <c r="AX45" s="147"/>
      <c r="AY45" s="147"/>
      <c r="AZ45" s="147"/>
      <c r="BA45" s="147"/>
      <c r="BB45" s="147"/>
      <c r="BC45" s="147"/>
      <c r="BD45" s="147"/>
      <c r="BE45" s="147"/>
      <c r="BF45" s="147"/>
      <c r="BG45" s="147"/>
      <c r="BH45" s="147"/>
      <c r="BI45" s="147"/>
      <c r="BJ45" s="147"/>
      <c r="BK45" s="147"/>
      <c r="BL45" s="147"/>
      <c r="BM45" s="147"/>
      <c r="BN45" s="147"/>
      <c r="BO45" s="147"/>
      <c r="BP45" s="147"/>
      <c r="BQ45" s="147"/>
      <c r="BR45" s="147"/>
      <c r="BS45" s="147"/>
      <c r="BT45" s="147"/>
      <c r="BU45" s="147"/>
      <c r="BV45" s="147"/>
      <c r="BW45" s="147"/>
      <c r="BX45" s="147"/>
      <c r="BY45" s="147"/>
      <c r="BZ45" s="147"/>
      <c r="CA45" s="147"/>
      <c r="CB45" s="147"/>
      <c r="CC45" s="147"/>
      <c r="CD45" s="147"/>
      <c r="CE45" s="147"/>
      <c r="CF45" s="147"/>
      <c r="CG45" s="147"/>
      <c r="CH45" s="147"/>
      <c r="CI45" s="147"/>
      <c r="CJ45" s="147"/>
      <c r="CK45" s="147"/>
      <c r="CL45" s="147"/>
      <c r="CM45" s="147"/>
      <c r="CN45" s="147"/>
      <c r="CO45" s="147"/>
      <c r="CP45" s="147"/>
    </row>
    <row r="46" spans="1:94" s="153" customFormat="1" ht="28.5" customHeight="1" x14ac:dyDescent="0.25">
      <c r="A46" s="139"/>
      <c r="B46" s="202"/>
      <c r="C46" s="215"/>
      <c r="D46" s="215"/>
      <c r="E46" s="427" t="s">
        <v>100</v>
      </c>
      <c r="F46" s="428"/>
      <c r="G46" s="428"/>
      <c r="H46" s="428"/>
      <c r="I46" s="428"/>
      <c r="J46" s="429"/>
      <c r="K46" s="433" t="str">
        <f>IF(OR(J45&lt;0,F45&lt;0),"You may not have sufficient funding or authorized FTP, and may need to make additional adjustments to finalize this form.  Please contact both your DFM and LSO analysts.","")</f>
        <v>You may not have sufficient funding or authorized FTP, and may need to make additional adjustments to finalize this form.  Please contact both your DFM and LSO analysts.</v>
      </c>
      <c r="L46" s="434"/>
      <c r="M46" s="434"/>
      <c r="N46" s="435"/>
      <c r="O46"/>
      <c r="P46"/>
      <c r="Q46"/>
      <c r="R46"/>
      <c r="S46"/>
      <c r="T46"/>
      <c r="U46"/>
      <c r="V46"/>
      <c r="W46"/>
      <c r="X46"/>
      <c r="Y46"/>
      <c r="Z46" s="344"/>
      <c r="AA46" s="363"/>
      <c r="AB46" s="363"/>
      <c r="AC46" s="363"/>
      <c r="AD46" s="329"/>
      <c r="AE46" s="147"/>
      <c r="AF46" s="147"/>
      <c r="AG46" s="147"/>
      <c r="AH46" s="147"/>
      <c r="AI46" s="147"/>
      <c r="AJ46" s="147"/>
      <c r="AK46" s="147"/>
      <c r="AL46" s="147"/>
      <c r="AM46" s="147"/>
      <c r="AN46" s="147"/>
      <c r="AO46" s="147"/>
      <c r="AP46" s="147"/>
      <c r="AQ46" s="147"/>
      <c r="AR46" s="147"/>
      <c r="AS46" s="147"/>
      <c r="AT46" s="147"/>
      <c r="AU46" s="147"/>
      <c r="AV46" s="147"/>
      <c r="AW46" s="147"/>
      <c r="AX46" s="147"/>
      <c r="AY46" s="147"/>
      <c r="AZ46" s="147"/>
      <c r="BA46" s="147"/>
      <c r="BB46" s="147"/>
      <c r="BC46" s="147"/>
      <c r="BD46" s="147"/>
      <c r="BE46" s="147"/>
      <c r="BF46" s="147"/>
      <c r="BG46" s="147"/>
      <c r="BH46" s="147"/>
      <c r="BI46" s="147"/>
      <c r="BJ46" s="147"/>
      <c r="BK46" s="147"/>
      <c r="BL46" s="147"/>
      <c r="BM46" s="147"/>
      <c r="BN46" s="147"/>
      <c r="BO46" s="147"/>
      <c r="BP46" s="147"/>
      <c r="BQ46" s="147"/>
      <c r="BR46" s="147"/>
      <c r="BS46" s="147"/>
      <c r="BT46" s="147"/>
      <c r="BU46" s="147"/>
      <c r="BV46" s="147"/>
      <c r="BW46" s="147"/>
      <c r="BX46" s="147"/>
      <c r="BY46" s="147"/>
      <c r="BZ46" s="147"/>
      <c r="CA46" s="147"/>
      <c r="CB46" s="147"/>
      <c r="CC46" s="147"/>
      <c r="CD46" s="147"/>
      <c r="CE46" s="147"/>
      <c r="CF46" s="147"/>
      <c r="CG46" s="147"/>
      <c r="CH46" s="147"/>
      <c r="CI46" s="147"/>
      <c r="CJ46" s="147"/>
      <c r="CK46" s="147"/>
      <c r="CL46" s="147"/>
      <c r="CM46" s="147"/>
      <c r="CN46" s="147"/>
      <c r="CO46" s="147"/>
      <c r="CP46" s="147"/>
    </row>
    <row r="47" spans="1:94" s="153" customFormat="1" ht="21.75" customHeight="1" x14ac:dyDescent="0.25">
      <c r="A47" s="139"/>
      <c r="B47" s="202"/>
      <c r="C47" s="215"/>
      <c r="D47" s="215"/>
      <c r="E47" s="430"/>
      <c r="F47" s="431"/>
      <c r="G47" s="431"/>
      <c r="H47" s="431"/>
      <c r="I47" s="431"/>
      <c r="J47" s="432"/>
      <c r="K47" s="436"/>
      <c r="L47" s="437"/>
      <c r="M47" s="437"/>
      <c r="N47" s="438"/>
      <c r="O47"/>
      <c r="P47"/>
      <c r="Q47"/>
      <c r="R47"/>
      <c r="S47"/>
      <c r="T47"/>
      <c r="U47"/>
      <c r="V47"/>
      <c r="W47"/>
      <c r="X47"/>
      <c r="Y47"/>
      <c r="Z47" s="344"/>
      <c r="AA47" s="363"/>
      <c r="AB47" s="363"/>
      <c r="AC47" s="363"/>
      <c r="AD47" s="329"/>
      <c r="AE47" s="147"/>
      <c r="AF47" s="147"/>
      <c r="AG47" s="147"/>
      <c r="AH47" s="147"/>
      <c r="AI47" s="147"/>
      <c r="AJ47" s="147"/>
      <c r="AK47" s="147"/>
      <c r="AL47" s="147"/>
      <c r="AM47" s="147"/>
      <c r="AN47" s="147"/>
      <c r="AO47" s="147"/>
      <c r="AP47" s="147"/>
      <c r="AQ47" s="147"/>
      <c r="AR47" s="147"/>
      <c r="AS47" s="147"/>
      <c r="AT47" s="147"/>
      <c r="AU47" s="147"/>
      <c r="AV47" s="147"/>
      <c r="AW47" s="147"/>
      <c r="AX47" s="147"/>
      <c r="AY47" s="147"/>
      <c r="AZ47" s="147"/>
      <c r="BA47" s="147"/>
      <c r="BB47" s="147"/>
      <c r="BC47" s="147"/>
      <c r="BD47" s="147"/>
      <c r="BE47" s="147"/>
      <c r="BF47" s="147"/>
      <c r="BG47" s="147"/>
      <c r="BH47" s="147"/>
      <c r="BI47" s="147"/>
      <c r="BJ47" s="147"/>
      <c r="BK47" s="147"/>
      <c r="BL47" s="147"/>
      <c r="BM47" s="147"/>
      <c r="BN47" s="147"/>
      <c r="BO47" s="147"/>
      <c r="BP47" s="147"/>
      <c r="BQ47" s="147"/>
      <c r="BR47" s="147"/>
      <c r="BS47" s="147"/>
      <c r="BT47" s="147"/>
      <c r="BU47" s="147"/>
      <c r="BV47" s="147"/>
      <c r="BW47" s="147"/>
      <c r="BX47" s="147"/>
      <c r="BY47" s="147"/>
      <c r="BZ47" s="147"/>
      <c r="CA47" s="147"/>
      <c r="CB47" s="147"/>
      <c r="CC47" s="147"/>
      <c r="CD47" s="147"/>
      <c r="CE47" s="147"/>
      <c r="CF47" s="147"/>
      <c r="CG47" s="147"/>
      <c r="CH47" s="147"/>
      <c r="CI47" s="147"/>
      <c r="CJ47" s="147"/>
      <c r="CK47" s="147"/>
      <c r="CL47" s="147"/>
      <c r="CM47" s="147"/>
      <c r="CN47" s="147"/>
      <c r="CO47" s="147"/>
      <c r="CP47" s="147"/>
    </row>
    <row r="48" spans="1:94" s="214" customFormat="1" ht="8.25" customHeight="1" x14ac:dyDescent="0.25">
      <c r="A48" s="207"/>
      <c r="B48" s="208"/>
      <c r="C48" s="136"/>
      <c r="D48" s="136"/>
      <c r="E48" s="209"/>
      <c r="F48" s="210"/>
      <c r="G48" s="211"/>
      <c r="H48" s="211"/>
      <c r="I48" s="211"/>
      <c r="J48" s="211"/>
      <c r="K48" s="211"/>
      <c r="L48" s="137"/>
      <c r="M48" s="138"/>
      <c r="N48" s="212"/>
      <c r="O48"/>
      <c r="P48"/>
      <c r="Q48"/>
      <c r="R48"/>
      <c r="S48"/>
      <c r="T48"/>
      <c r="U48"/>
      <c r="V48"/>
      <c r="W48"/>
      <c r="X48"/>
      <c r="Y48"/>
      <c r="Z48" s="344"/>
      <c r="AA48" s="339"/>
      <c r="AB48" s="339"/>
      <c r="AC48" s="339"/>
      <c r="AD48" s="330"/>
      <c r="AE48" s="213"/>
      <c r="AF48" s="213"/>
      <c r="AG48" s="213"/>
      <c r="AH48" s="213"/>
      <c r="AI48" s="213"/>
      <c r="AJ48" s="213"/>
      <c r="AK48" s="213"/>
      <c r="AL48" s="213"/>
      <c r="AM48" s="213"/>
      <c r="AN48" s="213"/>
      <c r="AO48" s="213"/>
      <c r="AP48" s="213"/>
      <c r="AQ48" s="213"/>
      <c r="AR48" s="213"/>
      <c r="AS48" s="213"/>
      <c r="AT48" s="213"/>
      <c r="AU48" s="213"/>
      <c r="AV48" s="213"/>
      <c r="AW48" s="213"/>
      <c r="AX48" s="213"/>
      <c r="AY48" s="213"/>
      <c r="AZ48" s="213"/>
      <c r="BA48" s="213"/>
      <c r="BB48" s="213"/>
      <c r="BC48" s="213"/>
      <c r="BD48" s="213"/>
      <c r="BE48" s="213"/>
      <c r="BF48" s="213"/>
      <c r="BG48" s="213"/>
      <c r="BH48" s="213"/>
      <c r="BI48" s="213"/>
      <c r="BJ48" s="213"/>
      <c r="BK48" s="213"/>
      <c r="BL48" s="213"/>
      <c r="BM48" s="213"/>
      <c r="BN48" s="213"/>
      <c r="BO48" s="213"/>
      <c r="BP48" s="213"/>
      <c r="BQ48" s="213"/>
      <c r="BR48" s="213"/>
      <c r="BS48" s="213"/>
      <c r="BT48" s="213"/>
      <c r="BU48" s="213"/>
      <c r="BV48" s="213"/>
      <c r="BW48" s="213"/>
      <c r="BX48" s="213"/>
      <c r="BY48" s="213"/>
      <c r="BZ48" s="213"/>
      <c r="CA48" s="213"/>
      <c r="CB48" s="213"/>
      <c r="CC48" s="213"/>
      <c r="CD48" s="213"/>
      <c r="CE48" s="213"/>
      <c r="CF48" s="213"/>
      <c r="CG48" s="213"/>
      <c r="CH48" s="213"/>
      <c r="CI48" s="213"/>
      <c r="CJ48" s="213"/>
      <c r="CK48" s="213"/>
      <c r="CL48" s="213"/>
      <c r="CM48" s="213"/>
      <c r="CN48" s="213"/>
      <c r="CO48" s="213"/>
      <c r="CP48" s="213"/>
    </row>
    <row r="49" spans="1:94" s="53" customFormat="1" ht="6" customHeight="1" x14ac:dyDescent="0.25">
      <c r="A49" s="63"/>
      <c r="B49" s="64"/>
      <c r="C49" s="65"/>
      <c r="D49" s="66"/>
      <c r="E49" s="67"/>
      <c r="F49" s="68"/>
      <c r="G49" s="64"/>
      <c r="H49" s="64"/>
      <c r="I49" s="64"/>
      <c r="J49" s="64"/>
      <c r="K49" s="64"/>
      <c r="L49" s="69"/>
      <c r="M49" s="69"/>
      <c r="N49" s="70"/>
      <c r="O49"/>
      <c r="P49"/>
      <c r="Q49"/>
      <c r="R49"/>
      <c r="S49"/>
      <c r="T49"/>
      <c r="U49"/>
      <c r="V49"/>
      <c r="W49"/>
      <c r="X49"/>
      <c r="Y49"/>
      <c r="Z49" s="344"/>
      <c r="AA49" s="363"/>
      <c r="AB49" s="363"/>
      <c r="AC49" s="363"/>
      <c r="AD49" s="110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1"/>
      <c r="AV49" s="41"/>
      <c r="AW49" s="41"/>
      <c r="AX49" s="41"/>
      <c r="AY49" s="41"/>
      <c r="AZ49" s="41"/>
      <c r="BA49" s="41"/>
      <c r="BB49" s="41"/>
      <c r="BC49" s="41"/>
      <c r="BD49" s="41"/>
      <c r="BE49" s="41"/>
      <c r="BF49" s="41"/>
      <c r="BG49" s="41"/>
      <c r="BH49" s="41"/>
      <c r="BI49" s="41"/>
      <c r="BJ49" s="41"/>
      <c r="BK49" s="41"/>
      <c r="BL49" s="41"/>
      <c r="BM49" s="41"/>
      <c r="BN49" s="41"/>
      <c r="BO49" s="41"/>
      <c r="BP49" s="41"/>
      <c r="BQ49" s="41"/>
      <c r="BR49" s="41"/>
      <c r="BS49" s="41"/>
      <c r="BT49" s="41"/>
      <c r="BU49" s="41"/>
      <c r="BV49" s="41"/>
      <c r="BW49" s="41"/>
      <c r="BX49" s="41"/>
      <c r="BY49" s="41"/>
      <c r="BZ49" s="41"/>
      <c r="CA49" s="41"/>
      <c r="CB49" s="41"/>
      <c r="CC49" s="41"/>
      <c r="CD49" s="41"/>
      <c r="CE49" s="41"/>
      <c r="CF49" s="41"/>
      <c r="CG49" s="41"/>
      <c r="CH49" s="41"/>
      <c r="CI49" s="41"/>
      <c r="CJ49" s="41"/>
      <c r="CK49" s="41"/>
      <c r="CL49" s="41"/>
      <c r="CM49" s="41"/>
      <c r="CN49" s="41"/>
      <c r="CO49" s="41"/>
      <c r="CP49" s="41"/>
    </row>
    <row r="50" spans="1:94" s="53" customFormat="1" ht="24.75" customHeight="1" x14ac:dyDescent="0.25">
      <c r="A50" s="257" t="s">
        <v>42</v>
      </c>
      <c r="B50" s="71"/>
      <c r="C50" s="439"/>
      <c r="D50" s="440"/>
      <c r="E50" s="72" t="s">
        <v>43</v>
      </c>
      <c r="F50" s="73" t="s">
        <v>24</v>
      </c>
      <c r="G50" s="72" t="str">
        <f>"FY "&amp;M4-2001&amp;" Salary"</f>
        <v>FY 22 Salary</v>
      </c>
      <c r="H50" s="72" t="str">
        <f>"FY "&amp;M4-2001&amp;" Health Ben"</f>
        <v>FY 22 Health Ben</v>
      </c>
      <c r="I50" s="72" t="str">
        <f>"FY "&amp;M4-2001&amp;" Var Ben"</f>
        <v>FY 22 Var Ben</v>
      </c>
      <c r="J50" s="72" t="str">
        <f>"FY "&amp;M4-1&amp;" Total"</f>
        <v>FY 2022 Total</v>
      </c>
      <c r="K50" s="307" t="str">
        <f>"FY "&amp;FiscalYear&amp;" SALARY CHG"</f>
        <v>FY 2023 SALARY CHG</v>
      </c>
      <c r="L50" s="74" t="str">
        <f>"FY "&amp;M4-2000&amp;" Chg Health Bens"</f>
        <v>FY 23 Chg Health Bens</v>
      </c>
      <c r="M50" s="74" t="str">
        <f>"FY "&amp;M4-2000&amp;" Chg Var Bens"</f>
        <v>FY 23 Chg Var Bens</v>
      </c>
      <c r="N50" s="74" t="s">
        <v>44</v>
      </c>
      <c r="O50"/>
      <c r="P50"/>
      <c r="Q50"/>
      <c r="R50"/>
      <c r="S50"/>
      <c r="T50"/>
      <c r="U50"/>
      <c r="V50"/>
      <c r="W50"/>
      <c r="X50"/>
      <c r="Y50"/>
      <c r="Z50" s="344"/>
      <c r="AA50" s="363"/>
      <c r="AB50" s="363"/>
      <c r="AC50" s="363"/>
      <c r="AD50" s="110"/>
      <c r="AE50" s="41"/>
      <c r="AF50" s="41"/>
      <c r="AG50" s="41"/>
      <c r="AH50" s="41"/>
      <c r="AI50" s="41"/>
      <c r="AJ50" s="41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U50" s="41"/>
      <c r="AV50" s="41"/>
      <c r="AW50" s="41"/>
      <c r="AX50" s="41"/>
      <c r="AY50" s="41"/>
      <c r="AZ50" s="41"/>
      <c r="BA50" s="41"/>
      <c r="BB50" s="41"/>
      <c r="BC50" s="41"/>
      <c r="BD50" s="41"/>
      <c r="BE50" s="41"/>
      <c r="BF50" s="41"/>
      <c r="BG50" s="41"/>
      <c r="BH50" s="41"/>
      <c r="BI50" s="41"/>
      <c r="BJ50" s="41"/>
      <c r="BK50" s="41"/>
      <c r="BL50" s="41"/>
      <c r="BM50" s="41"/>
      <c r="BN50" s="41"/>
      <c r="BO50" s="41"/>
      <c r="BP50" s="41"/>
      <c r="BQ50" s="41"/>
      <c r="BR50" s="41"/>
      <c r="BS50" s="41"/>
      <c r="BT50" s="41"/>
      <c r="BU50" s="41"/>
      <c r="BV50" s="41"/>
      <c r="BW50" s="41"/>
      <c r="BX50" s="41"/>
      <c r="BY50" s="41"/>
      <c r="BZ50" s="41"/>
      <c r="CA50" s="41"/>
      <c r="CB50" s="41"/>
      <c r="CC50" s="41"/>
      <c r="CD50" s="41"/>
      <c r="CE50" s="41"/>
      <c r="CF50" s="41"/>
      <c r="CG50" s="41"/>
      <c r="CH50" s="41"/>
      <c r="CI50" s="41"/>
      <c r="CJ50" s="41"/>
      <c r="CK50" s="41"/>
      <c r="CL50" s="41"/>
      <c r="CM50" s="41"/>
      <c r="CN50" s="41"/>
      <c r="CO50" s="41"/>
      <c r="CP50" s="41"/>
    </row>
    <row r="51" spans="1:94" s="53" customFormat="1" ht="15.75" customHeight="1" x14ac:dyDescent="0.25">
      <c r="A51" s="75">
        <v>3</v>
      </c>
      <c r="B51" s="76" t="s">
        <v>45</v>
      </c>
      <c r="C51" s="54" t="str">
        <f>"FY "&amp;M4-1</f>
        <v>FY 2022</v>
      </c>
      <c r="D51" s="77" t="s">
        <v>31</v>
      </c>
      <c r="E51" s="78">
        <f>OrigApprop</f>
        <v>621500</v>
      </c>
      <c r="F51" s="272">
        <f>AppropFTP</f>
        <v>10.85</v>
      </c>
      <c r="G51" s="274">
        <f>IF(E51=0,0,(G41/$J$41)*$E$51)</f>
        <v>422143.24753459718</v>
      </c>
      <c r="H51" s="274">
        <f>IF(E51=0,0,(H41/$J$41)*$E$51)</f>
        <v>109339.89092295252</v>
      </c>
      <c r="I51" s="275">
        <f>IF(E51=0,0,(I41/$J$41)*$E$51)</f>
        <v>90016.861542450337</v>
      </c>
      <c r="J51" s="90">
        <f>SUM(G51:I51)</f>
        <v>621500.00000000012</v>
      </c>
      <c r="K51" s="263"/>
      <c r="L51" s="61"/>
      <c r="M51" s="81"/>
      <c r="N51" s="81"/>
      <c r="O51"/>
      <c r="P51"/>
      <c r="Q51"/>
      <c r="R51"/>
      <c r="S51"/>
      <c r="T51"/>
      <c r="U51"/>
      <c r="V51"/>
      <c r="W51"/>
      <c r="X51"/>
      <c r="Y51"/>
      <c r="Z51" s="344"/>
      <c r="AA51" s="346"/>
      <c r="AB51" s="363"/>
      <c r="AC51" s="363"/>
      <c r="AD51" s="110"/>
      <c r="AE51" s="41"/>
      <c r="AF51" s="41"/>
      <c r="AG51" s="41"/>
      <c r="AH51" s="41"/>
      <c r="AI51" s="41"/>
      <c r="AJ51" s="41"/>
      <c r="AK51" s="41"/>
      <c r="AL51" s="41"/>
      <c r="AM51" s="41"/>
      <c r="AN51" s="41"/>
      <c r="AO51" s="41"/>
      <c r="AP51" s="41"/>
      <c r="AQ51" s="41"/>
      <c r="AR51" s="41"/>
      <c r="AS51" s="41"/>
      <c r="AT51" s="41"/>
      <c r="AU51" s="41"/>
      <c r="AV51" s="41"/>
      <c r="AW51" s="41"/>
      <c r="AX51" s="41"/>
      <c r="AY51" s="41"/>
      <c r="AZ51" s="41"/>
      <c r="BA51" s="41"/>
      <c r="BB51" s="41"/>
      <c r="BC51" s="41"/>
      <c r="BD51" s="41"/>
      <c r="BE51" s="41"/>
      <c r="BF51" s="41"/>
      <c r="BG51" s="41"/>
      <c r="BH51" s="41"/>
      <c r="BI51" s="41"/>
      <c r="BJ51" s="41"/>
      <c r="BK51" s="41"/>
      <c r="BL51" s="41"/>
      <c r="BM51" s="41"/>
      <c r="BN51" s="41"/>
      <c r="BO51" s="41"/>
      <c r="BP51" s="41"/>
      <c r="BQ51" s="41"/>
      <c r="BR51" s="41"/>
      <c r="BS51" s="41"/>
      <c r="BT51" s="41"/>
      <c r="BU51" s="41"/>
      <c r="BV51" s="41"/>
      <c r="BW51" s="41"/>
      <c r="BX51" s="41"/>
      <c r="BY51" s="41"/>
      <c r="BZ51" s="41"/>
      <c r="CA51" s="41"/>
      <c r="CB51" s="41"/>
      <c r="CC51" s="41"/>
      <c r="CD51" s="41"/>
      <c r="CE51" s="41"/>
      <c r="CF51" s="41"/>
      <c r="CG51" s="41"/>
      <c r="CH51" s="41"/>
      <c r="CI51" s="41"/>
      <c r="CJ51" s="41"/>
      <c r="CK51" s="41"/>
      <c r="CL51" s="41"/>
      <c r="CM51" s="41"/>
      <c r="CN51" s="41"/>
      <c r="CO51" s="41"/>
      <c r="CP51" s="41"/>
    </row>
    <row r="52" spans="1:94" s="53" customFormat="1" ht="15.75" customHeight="1" x14ac:dyDescent="0.25">
      <c r="A52" s="82"/>
      <c r="B52" s="83"/>
      <c r="C52" s="84"/>
      <c r="D52" s="132" t="s">
        <v>46</v>
      </c>
      <c r="E52" s="133"/>
      <c r="F52" s="55">
        <f>F51</f>
        <v>10.85</v>
      </c>
      <c r="G52" s="79">
        <f>ROUND(G51,-2)</f>
        <v>422100</v>
      </c>
      <c r="H52" s="79">
        <f>ROUND(H51,-2)</f>
        <v>109300</v>
      </c>
      <c r="I52" s="266">
        <f>ROUND(I51,-2)</f>
        <v>90000</v>
      </c>
      <c r="J52" s="80">
        <f>ROUND(J51,-2)</f>
        <v>621500</v>
      </c>
      <c r="K52" s="263"/>
      <c r="L52" s="61"/>
      <c r="M52" s="81"/>
      <c r="N52" s="81"/>
      <c r="O52"/>
      <c r="P52"/>
      <c r="Q52"/>
      <c r="R52"/>
      <c r="S52"/>
      <c r="T52"/>
      <c r="U52"/>
      <c r="V52"/>
      <c r="W52"/>
      <c r="X52"/>
      <c r="Y52"/>
      <c r="Z52" s="344"/>
      <c r="AA52" s="347"/>
      <c r="AB52" s="363"/>
      <c r="AC52" s="363"/>
      <c r="AD52" s="110"/>
      <c r="AE52" s="41"/>
      <c r="AF52" s="41"/>
      <c r="AG52" s="41"/>
      <c r="AH52" s="41"/>
      <c r="AI52" s="41"/>
      <c r="AJ52" s="41"/>
      <c r="AK52" s="41"/>
      <c r="AL52" s="41"/>
      <c r="AM52" s="41"/>
      <c r="AN52" s="41"/>
      <c r="AO52" s="41"/>
      <c r="AP52" s="41"/>
      <c r="AQ52" s="41"/>
      <c r="AR52" s="41"/>
      <c r="AS52" s="41"/>
      <c r="AT52" s="41"/>
      <c r="AU52" s="41"/>
      <c r="AV52" s="41"/>
      <c r="AW52" s="41"/>
      <c r="AX52" s="41"/>
      <c r="AY52" s="41"/>
      <c r="AZ52" s="41"/>
      <c r="BA52" s="41"/>
      <c r="BB52" s="41"/>
      <c r="BC52" s="41"/>
      <c r="BD52" s="41"/>
      <c r="BE52" s="41"/>
      <c r="BF52" s="41"/>
      <c r="BG52" s="41"/>
      <c r="BH52" s="41"/>
      <c r="BI52" s="41"/>
      <c r="BJ52" s="41"/>
      <c r="BK52" s="41"/>
      <c r="BL52" s="41"/>
      <c r="BM52" s="41"/>
      <c r="BN52" s="41"/>
      <c r="BO52" s="41"/>
      <c r="BP52" s="41"/>
      <c r="BQ52" s="41"/>
      <c r="BR52" s="41"/>
      <c r="BS52" s="41"/>
      <c r="BT52" s="41"/>
      <c r="BU52" s="41"/>
      <c r="BV52" s="41"/>
      <c r="BW52" s="41"/>
      <c r="BX52" s="41"/>
      <c r="BY52" s="41"/>
      <c r="BZ52" s="41"/>
      <c r="CA52" s="41"/>
      <c r="CB52" s="41"/>
      <c r="CC52" s="41"/>
      <c r="CD52" s="41"/>
      <c r="CE52" s="41"/>
      <c r="CF52" s="41"/>
      <c r="CG52" s="41"/>
      <c r="CH52" s="41"/>
      <c r="CI52" s="41"/>
      <c r="CJ52" s="41"/>
      <c r="CK52" s="41"/>
      <c r="CL52" s="41"/>
      <c r="CM52" s="41"/>
      <c r="CN52" s="41"/>
      <c r="CO52" s="41"/>
      <c r="CP52" s="41"/>
    </row>
    <row r="53" spans="1:94" s="53" customFormat="1" ht="15" x14ac:dyDescent="0.25">
      <c r="A53" s="85"/>
      <c r="B53" s="83"/>
      <c r="C53" s="441" t="s">
        <v>47</v>
      </c>
      <c r="D53" s="442"/>
      <c r="E53" s="271"/>
      <c r="F53" s="273"/>
      <c r="G53" s="62"/>
      <c r="H53" s="62"/>
      <c r="I53" s="62"/>
      <c r="J53" s="62"/>
      <c r="K53" s="62"/>
      <c r="L53" s="61"/>
      <c r="M53" s="86"/>
      <c r="N53" s="86"/>
      <c r="O53"/>
      <c r="P53"/>
      <c r="Q53"/>
      <c r="R53"/>
      <c r="S53"/>
      <c r="T53"/>
      <c r="U53"/>
      <c r="V53"/>
      <c r="W53"/>
      <c r="X53"/>
      <c r="Y53"/>
      <c r="Z53" s="344"/>
      <c r="AA53" s="363"/>
      <c r="AB53" s="363"/>
      <c r="AC53" s="363"/>
      <c r="AD53" s="110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U53" s="41"/>
      <c r="AV53" s="41"/>
      <c r="AW53" s="41"/>
      <c r="AX53" s="41"/>
      <c r="AY53" s="41"/>
      <c r="AZ53" s="41"/>
      <c r="BA53" s="41"/>
      <c r="BB53" s="41"/>
      <c r="BC53" s="41"/>
      <c r="BD53" s="41"/>
      <c r="BE53" s="41"/>
      <c r="BF53" s="41"/>
      <c r="BG53" s="41"/>
      <c r="BH53" s="41"/>
      <c r="BI53" s="41"/>
      <c r="BJ53" s="41"/>
      <c r="BK53" s="41"/>
      <c r="BL53" s="41"/>
      <c r="BM53" s="41"/>
      <c r="BN53" s="41"/>
      <c r="BO53" s="41"/>
      <c r="BP53" s="41"/>
      <c r="BQ53" s="41"/>
      <c r="BR53" s="41"/>
      <c r="BS53" s="41"/>
      <c r="BT53" s="41"/>
      <c r="BU53" s="41"/>
      <c r="BV53" s="41"/>
      <c r="BW53" s="41"/>
      <c r="BX53" s="41"/>
      <c r="BY53" s="41"/>
      <c r="BZ53" s="41"/>
      <c r="CA53" s="41"/>
      <c r="CB53" s="41"/>
      <c r="CC53" s="41"/>
      <c r="CD53" s="41"/>
      <c r="CE53" s="41"/>
      <c r="CF53" s="41"/>
      <c r="CG53" s="41"/>
      <c r="CH53" s="41"/>
      <c r="CI53" s="41"/>
      <c r="CJ53" s="41"/>
      <c r="CK53" s="41"/>
      <c r="CL53" s="41"/>
      <c r="CM53" s="41"/>
      <c r="CN53" s="41"/>
      <c r="CO53" s="41"/>
      <c r="CP53" s="41"/>
    </row>
    <row r="54" spans="1:94" s="53" customFormat="1" ht="15.75" customHeight="1" x14ac:dyDescent="0.25">
      <c r="A54" s="85">
        <v>4.1100000000000003</v>
      </c>
      <c r="B54" s="83"/>
      <c r="C54" s="408" t="s">
        <v>48</v>
      </c>
      <c r="D54" s="409"/>
      <c r="E54" s="59"/>
      <c r="F54" s="58">
        <v>0</v>
      </c>
      <c r="G54" s="88">
        <v>0</v>
      </c>
      <c r="H54" s="88">
        <v>0</v>
      </c>
      <c r="I54" s="265">
        <v>0</v>
      </c>
      <c r="J54" s="89">
        <f>SUM(G54:I54)</f>
        <v>0</v>
      </c>
      <c r="K54" s="62"/>
      <c r="L54" s="61"/>
      <c r="M54" s="86"/>
      <c r="N54" s="86"/>
      <c r="O54"/>
      <c r="P54"/>
      <c r="Q54"/>
      <c r="R54"/>
      <c r="S54"/>
      <c r="T54"/>
      <c r="U54"/>
      <c r="V54"/>
      <c r="W54"/>
      <c r="X54"/>
      <c r="Y54"/>
      <c r="Z54" s="344"/>
      <c r="AA54" s="363"/>
      <c r="AB54" s="363"/>
      <c r="AC54" s="363"/>
      <c r="AD54" s="110"/>
      <c r="AE54" s="41"/>
      <c r="AF54" s="41"/>
      <c r="AG54" s="41"/>
      <c r="AH54" s="41"/>
      <c r="AI54" s="41"/>
      <c r="AJ54" s="41"/>
      <c r="AK54" s="41"/>
      <c r="AL54" s="41"/>
      <c r="AM54" s="41"/>
      <c r="AN54" s="41"/>
      <c r="AO54" s="41"/>
      <c r="AP54" s="41"/>
      <c r="AQ54" s="41"/>
      <c r="AR54" s="41"/>
      <c r="AS54" s="41"/>
      <c r="AT54" s="41"/>
      <c r="AU54" s="41"/>
      <c r="AV54" s="41"/>
      <c r="AW54" s="41"/>
      <c r="AX54" s="41"/>
      <c r="AY54" s="41"/>
      <c r="AZ54" s="41"/>
      <c r="BA54" s="41"/>
      <c r="BB54" s="41"/>
      <c r="BC54" s="41"/>
      <c r="BD54" s="41"/>
      <c r="BE54" s="41"/>
      <c r="BF54" s="41"/>
      <c r="BG54" s="41"/>
      <c r="BH54" s="41"/>
      <c r="BI54" s="41"/>
      <c r="BJ54" s="41"/>
      <c r="BK54" s="41"/>
      <c r="BL54" s="41"/>
      <c r="BM54" s="41"/>
      <c r="BN54" s="41"/>
      <c r="BO54" s="41"/>
      <c r="BP54" s="41"/>
      <c r="BQ54" s="41"/>
      <c r="BR54" s="41"/>
      <c r="BS54" s="41"/>
      <c r="BT54" s="41"/>
      <c r="BU54" s="41"/>
      <c r="BV54" s="41"/>
      <c r="BW54" s="41"/>
      <c r="BX54" s="41"/>
      <c r="BY54" s="41"/>
      <c r="BZ54" s="41"/>
      <c r="CA54" s="41"/>
      <c r="CB54" s="41"/>
      <c r="CC54" s="41"/>
      <c r="CD54" s="41"/>
      <c r="CE54" s="41"/>
      <c r="CF54" s="41"/>
      <c r="CG54" s="41"/>
      <c r="CH54" s="41"/>
      <c r="CI54" s="41"/>
      <c r="CJ54" s="41"/>
      <c r="CK54" s="41"/>
      <c r="CL54" s="41"/>
      <c r="CM54" s="41"/>
      <c r="CN54" s="41"/>
      <c r="CO54" s="41"/>
      <c r="CP54" s="41"/>
    </row>
    <row r="55" spans="1:94" s="53" customFormat="1" ht="15.75" customHeight="1" x14ac:dyDescent="0.25">
      <c r="A55" s="85">
        <v>4.3099999999999996</v>
      </c>
      <c r="B55" s="83"/>
      <c r="C55" s="421" t="s">
        <v>49</v>
      </c>
      <c r="D55" s="422"/>
      <c r="E55" s="59"/>
      <c r="F55" s="277">
        <v>0</v>
      </c>
      <c r="G55" s="92">
        <v>0</v>
      </c>
      <c r="H55" s="92">
        <v>0</v>
      </c>
      <c r="I55" s="264">
        <v>0</v>
      </c>
      <c r="J55" s="287">
        <f>SUM(G55:I55)</f>
        <v>0</v>
      </c>
      <c r="K55" s="62"/>
      <c r="L55" s="88"/>
      <c r="M55" s="261"/>
      <c r="N55" s="89">
        <f>SUM(L55:M55)</f>
        <v>0</v>
      </c>
      <c r="O55"/>
      <c r="P55"/>
      <c r="Q55"/>
      <c r="R55"/>
      <c r="S55"/>
      <c r="T55"/>
      <c r="U55"/>
      <c r="V55"/>
      <c r="W55"/>
      <c r="X55"/>
      <c r="Y55"/>
      <c r="Z55" s="344"/>
      <c r="AA55" s="363"/>
      <c r="AB55" s="363"/>
      <c r="AC55" s="363"/>
      <c r="AD55" s="110"/>
      <c r="AE55" s="41"/>
      <c r="AF55" s="41"/>
      <c r="AG55" s="41"/>
      <c r="AH55" s="41"/>
      <c r="AI55" s="41"/>
      <c r="AJ55" s="41"/>
      <c r="AK55" s="41"/>
      <c r="AL55" s="41"/>
      <c r="AM55" s="41"/>
      <c r="AN55" s="41"/>
      <c r="AO55" s="41"/>
      <c r="AP55" s="41"/>
      <c r="AQ55" s="41"/>
      <c r="AR55" s="41"/>
      <c r="AS55" s="41"/>
      <c r="AT55" s="41"/>
      <c r="AU55" s="41"/>
      <c r="AV55" s="41"/>
      <c r="AW55" s="41"/>
      <c r="AX55" s="41"/>
      <c r="AY55" s="41"/>
      <c r="AZ55" s="41"/>
      <c r="BA55" s="41"/>
      <c r="BB55" s="41"/>
      <c r="BC55" s="41"/>
      <c r="BD55" s="41"/>
      <c r="BE55" s="41"/>
      <c r="BF55" s="41"/>
      <c r="BG55" s="41"/>
      <c r="BH55" s="41"/>
      <c r="BI55" s="41"/>
      <c r="BJ55" s="41"/>
      <c r="BK55" s="41"/>
      <c r="BL55" s="41"/>
      <c r="BM55" s="41"/>
      <c r="BN55" s="41"/>
      <c r="BO55" s="41"/>
      <c r="BP55" s="41"/>
      <c r="BQ55" s="41"/>
      <c r="BR55" s="41"/>
      <c r="BS55" s="41"/>
      <c r="BT55" s="41"/>
      <c r="BU55" s="41"/>
      <c r="BV55" s="41"/>
      <c r="BW55" s="41"/>
      <c r="BX55" s="41"/>
      <c r="BY55" s="41"/>
      <c r="BZ55" s="41"/>
      <c r="CA55" s="41"/>
      <c r="CB55" s="41"/>
      <c r="CC55" s="41"/>
      <c r="CD55" s="41"/>
      <c r="CE55" s="41"/>
      <c r="CF55" s="41"/>
      <c r="CG55" s="41"/>
      <c r="CH55" s="41"/>
      <c r="CI55" s="41"/>
      <c r="CJ55" s="41"/>
      <c r="CK55" s="41"/>
      <c r="CL55" s="41"/>
      <c r="CM55" s="41"/>
      <c r="CN55" s="41"/>
      <c r="CO55" s="41"/>
      <c r="CP55" s="41"/>
    </row>
    <row r="56" spans="1:94" s="53" customFormat="1" ht="15.75" customHeight="1" x14ac:dyDescent="0.25">
      <c r="A56" s="75">
        <v>5</v>
      </c>
      <c r="B56" s="76"/>
      <c r="C56" s="54" t="str">
        <f>"FY "&amp;M4-1</f>
        <v>FY 2022</v>
      </c>
      <c r="D56" s="131" t="s">
        <v>50</v>
      </c>
      <c r="E56" s="135"/>
      <c r="F56" s="55">
        <f>SUM(F52:F55)</f>
        <v>10.85</v>
      </c>
      <c r="G56" s="80">
        <f>SUM(G52:G55)</f>
        <v>422100</v>
      </c>
      <c r="H56" s="80">
        <f>SUM(H52:H55)</f>
        <v>109300</v>
      </c>
      <c r="I56" s="260">
        <f>SUM(I52:I55)</f>
        <v>90000</v>
      </c>
      <c r="J56" s="80">
        <f>SUM(J52:J55)</f>
        <v>621500</v>
      </c>
      <c r="K56" s="263"/>
      <c r="L56" s="61"/>
      <c r="M56" s="61"/>
      <c r="N56" s="61"/>
      <c r="O56"/>
      <c r="P56"/>
      <c r="Q56"/>
      <c r="R56"/>
      <c r="S56"/>
      <c r="T56"/>
      <c r="U56"/>
      <c r="V56"/>
      <c r="W56"/>
      <c r="X56"/>
      <c r="Y56"/>
      <c r="Z56" s="344"/>
      <c r="AA56" s="363"/>
      <c r="AB56" s="363"/>
      <c r="AC56" s="363"/>
      <c r="AD56" s="110"/>
      <c r="AE56" s="41"/>
      <c r="AF56" s="41"/>
      <c r="AG56" s="41"/>
      <c r="AH56" s="41"/>
      <c r="AI56" s="41"/>
      <c r="AJ56" s="41"/>
      <c r="AK56" s="41"/>
      <c r="AL56" s="41"/>
      <c r="AM56" s="41"/>
      <c r="AN56" s="41"/>
      <c r="AO56" s="41"/>
      <c r="AP56" s="41"/>
      <c r="AQ56" s="41"/>
      <c r="AR56" s="41"/>
      <c r="AS56" s="41"/>
      <c r="AT56" s="41"/>
      <c r="AU56" s="41"/>
      <c r="AV56" s="41"/>
      <c r="AW56" s="41"/>
      <c r="AX56" s="41"/>
      <c r="AY56" s="41"/>
      <c r="AZ56" s="41"/>
      <c r="BA56" s="41"/>
      <c r="BB56" s="41"/>
      <c r="BC56" s="41"/>
      <c r="BD56" s="41"/>
      <c r="BE56" s="41"/>
      <c r="BF56" s="41"/>
      <c r="BG56" s="41"/>
      <c r="BH56" s="41"/>
      <c r="BI56" s="41"/>
      <c r="BJ56" s="41"/>
      <c r="BK56" s="41"/>
      <c r="BL56" s="41"/>
      <c r="BM56" s="41"/>
      <c r="BN56" s="41"/>
      <c r="BO56" s="41"/>
      <c r="BP56" s="41"/>
      <c r="BQ56" s="41"/>
      <c r="BR56" s="41"/>
      <c r="BS56" s="41"/>
      <c r="BT56" s="41"/>
      <c r="BU56" s="41"/>
      <c r="BV56" s="41"/>
      <c r="BW56" s="41"/>
      <c r="BX56" s="41"/>
      <c r="BY56" s="41"/>
      <c r="BZ56" s="41"/>
      <c r="CA56" s="41"/>
      <c r="CB56" s="41"/>
      <c r="CC56" s="41"/>
      <c r="CD56" s="41"/>
      <c r="CE56" s="41"/>
      <c r="CF56" s="41"/>
      <c r="CG56" s="41"/>
      <c r="CH56" s="41"/>
      <c r="CI56" s="41"/>
      <c r="CJ56" s="41"/>
      <c r="CK56" s="41"/>
      <c r="CL56" s="41"/>
      <c r="CM56" s="41"/>
      <c r="CN56" s="41"/>
      <c r="CO56" s="41"/>
      <c r="CP56" s="41"/>
    </row>
    <row r="57" spans="1:94" s="53" customFormat="1" ht="15.75" customHeight="1" x14ac:dyDescent="0.25">
      <c r="A57" s="85"/>
      <c r="B57" s="83"/>
      <c r="C57" s="419" t="s">
        <v>51</v>
      </c>
      <c r="D57" s="423"/>
      <c r="E57" s="367"/>
      <c r="F57" s="273"/>
      <c r="G57" s="62"/>
      <c r="H57" s="62"/>
      <c r="I57" s="62"/>
      <c r="J57" s="62"/>
      <c r="K57" s="62"/>
      <c r="L57" s="61"/>
      <c r="M57" s="61"/>
      <c r="N57" s="61"/>
      <c r="O57"/>
      <c r="P57"/>
      <c r="Q57"/>
      <c r="R57"/>
      <c r="S57"/>
      <c r="T57"/>
      <c r="U57"/>
      <c r="V57"/>
      <c r="W57"/>
      <c r="X57"/>
      <c r="Y57"/>
      <c r="Z57" s="344"/>
      <c r="AA57" s="363"/>
      <c r="AB57" s="363"/>
      <c r="AC57" s="363"/>
      <c r="AD57" s="110"/>
      <c r="AE57" s="41"/>
      <c r="AF57" s="41"/>
      <c r="AG57" s="41"/>
      <c r="AH57" s="41"/>
      <c r="AI57" s="41"/>
      <c r="AJ57" s="41"/>
      <c r="AK57" s="41"/>
      <c r="AL57" s="41"/>
      <c r="AM57" s="41"/>
      <c r="AN57" s="41"/>
      <c r="AO57" s="41"/>
      <c r="AP57" s="41"/>
      <c r="AQ57" s="41"/>
      <c r="AR57" s="41"/>
      <c r="AS57" s="41"/>
      <c r="AT57" s="41"/>
      <c r="AU57" s="41"/>
      <c r="AV57" s="41"/>
      <c r="AW57" s="41"/>
      <c r="AX57" s="41"/>
      <c r="AY57" s="41"/>
      <c r="AZ57" s="41"/>
      <c r="BA57" s="41"/>
      <c r="BB57" s="41"/>
      <c r="BC57" s="41"/>
      <c r="BD57" s="41"/>
      <c r="BE57" s="41"/>
      <c r="BF57" s="41"/>
      <c r="BG57" s="41"/>
      <c r="BH57" s="41"/>
      <c r="BI57" s="41"/>
      <c r="BJ57" s="41"/>
      <c r="BK57" s="41"/>
      <c r="BL57" s="41"/>
      <c r="BM57" s="41"/>
      <c r="BN57" s="41"/>
      <c r="BO57" s="41"/>
      <c r="BP57" s="41"/>
      <c r="BQ57" s="41"/>
      <c r="BR57" s="41"/>
      <c r="BS57" s="41"/>
      <c r="BT57" s="41"/>
      <c r="BU57" s="41"/>
      <c r="BV57" s="41"/>
      <c r="BW57" s="41"/>
      <c r="BX57" s="41"/>
      <c r="BY57" s="41"/>
      <c r="BZ57" s="41"/>
      <c r="CA57" s="41"/>
      <c r="CB57" s="41"/>
      <c r="CC57" s="41"/>
      <c r="CD57" s="41"/>
      <c r="CE57" s="41"/>
      <c r="CF57" s="41"/>
      <c r="CG57" s="41"/>
      <c r="CH57" s="41"/>
      <c r="CI57" s="41"/>
      <c r="CJ57" s="41"/>
      <c r="CK57" s="41"/>
      <c r="CL57" s="41"/>
      <c r="CM57" s="41"/>
      <c r="CN57" s="41"/>
      <c r="CO57" s="41"/>
      <c r="CP57" s="41"/>
    </row>
    <row r="58" spans="1:94" s="53" customFormat="1" ht="15.75" customHeight="1" x14ac:dyDescent="0.25">
      <c r="A58" s="85">
        <v>6.31</v>
      </c>
      <c r="B58" s="83"/>
      <c r="C58" s="408" t="s">
        <v>52</v>
      </c>
      <c r="D58" s="409"/>
      <c r="E58" s="102"/>
      <c r="F58" s="58">
        <v>0</v>
      </c>
      <c r="G58" s="88">
        <v>0</v>
      </c>
      <c r="H58" s="88">
        <v>0</v>
      </c>
      <c r="I58" s="265">
        <v>0</v>
      </c>
      <c r="J58" s="89">
        <f>SUM(G58:I58)</f>
        <v>0</v>
      </c>
      <c r="K58" s="62"/>
      <c r="L58" s="88"/>
      <c r="M58" s="262"/>
      <c r="N58" s="89">
        <f>SUM(L58:M58)</f>
        <v>0</v>
      </c>
      <c r="O58"/>
      <c r="P58"/>
      <c r="Q58"/>
      <c r="R58"/>
      <c r="S58"/>
      <c r="T58"/>
      <c r="U58"/>
      <c r="V58"/>
      <c r="W58"/>
      <c r="X58"/>
      <c r="Y58"/>
      <c r="Z58" s="344"/>
      <c r="AA58" s="363"/>
      <c r="AB58" s="363"/>
      <c r="AC58" s="363"/>
      <c r="AD58" s="110"/>
      <c r="AE58" s="41"/>
      <c r="AF58" s="41"/>
      <c r="AG58" s="41"/>
      <c r="AH58" s="41"/>
      <c r="AI58" s="41"/>
      <c r="AJ58" s="41"/>
      <c r="AK58" s="41"/>
      <c r="AL58" s="41"/>
      <c r="AM58" s="41"/>
      <c r="AN58" s="41"/>
      <c r="AO58" s="41"/>
      <c r="AP58" s="41"/>
      <c r="AQ58" s="41"/>
      <c r="AR58" s="41"/>
      <c r="AS58" s="41"/>
      <c r="AT58" s="41"/>
      <c r="AU58" s="41"/>
      <c r="AV58" s="41"/>
      <c r="AW58" s="41"/>
      <c r="AX58" s="41"/>
      <c r="AY58" s="41"/>
      <c r="AZ58" s="41"/>
      <c r="BA58" s="41"/>
      <c r="BB58" s="41"/>
      <c r="BC58" s="41"/>
      <c r="BD58" s="41"/>
      <c r="BE58" s="41"/>
      <c r="BF58" s="41"/>
      <c r="BG58" s="41"/>
      <c r="BH58" s="41"/>
      <c r="BI58" s="41"/>
      <c r="BJ58" s="41"/>
      <c r="BK58" s="41"/>
      <c r="BL58" s="41"/>
      <c r="BM58" s="41"/>
      <c r="BN58" s="41"/>
      <c r="BO58" s="41"/>
      <c r="BP58" s="41"/>
      <c r="BQ58" s="41"/>
      <c r="BR58" s="41"/>
      <c r="BS58" s="41"/>
      <c r="BT58" s="41"/>
      <c r="BU58" s="41"/>
      <c r="BV58" s="41"/>
      <c r="BW58" s="41"/>
      <c r="BX58" s="41"/>
      <c r="BY58" s="41"/>
      <c r="BZ58" s="41"/>
      <c r="CA58" s="41"/>
      <c r="CB58" s="41"/>
      <c r="CC58" s="41"/>
      <c r="CD58" s="41"/>
      <c r="CE58" s="41"/>
      <c r="CF58" s="41"/>
      <c r="CG58" s="41"/>
      <c r="CH58" s="41"/>
      <c r="CI58" s="41"/>
      <c r="CJ58" s="41"/>
      <c r="CK58" s="41"/>
      <c r="CL58" s="41"/>
      <c r="CM58" s="41"/>
      <c r="CN58" s="41"/>
      <c r="CO58" s="41"/>
      <c r="CP58" s="41"/>
    </row>
    <row r="59" spans="1:94" s="53" customFormat="1" ht="15.75" customHeight="1" x14ac:dyDescent="0.25">
      <c r="A59" s="85">
        <v>6.51</v>
      </c>
      <c r="B59" s="83"/>
      <c r="C59" s="421" t="s">
        <v>66</v>
      </c>
      <c r="D59" s="422"/>
      <c r="E59" s="102"/>
      <c r="F59" s="58">
        <v>0</v>
      </c>
      <c r="G59" s="88">
        <v>0</v>
      </c>
      <c r="H59" s="92">
        <v>0</v>
      </c>
      <c r="I59" s="264">
        <v>0</v>
      </c>
      <c r="J59" s="267">
        <f>SUM(G59:I59)</f>
        <v>0</v>
      </c>
      <c r="K59" s="62"/>
      <c r="L59" s="88"/>
      <c r="M59" s="261"/>
      <c r="N59" s="89">
        <f>SUM(L59:M59)</f>
        <v>0</v>
      </c>
      <c r="O59"/>
      <c r="P59"/>
      <c r="Q59"/>
      <c r="R59"/>
      <c r="S59"/>
      <c r="T59"/>
      <c r="U59"/>
      <c r="V59"/>
      <c r="W59"/>
      <c r="X59"/>
      <c r="Y59"/>
      <c r="Z59" s="344"/>
      <c r="AA59" s="363"/>
      <c r="AB59" s="363"/>
      <c r="AC59" s="363"/>
      <c r="AD59" s="110"/>
      <c r="AE59" s="41"/>
      <c r="AF59" s="41"/>
      <c r="AG59" s="41"/>
      <c r="AH59" s="41"/>
      <c r="AI59" s="41"/>
      <c r="AJ59" s="41"/>
      <c r="AK59" s="41"/>
      <c r="AL59" s="41"/>
      <c r="AM59" s="41"/>
      <c r="AN59" s="41"/>
      <c r="AO59" s="41"/>
      <c r="AP59" s="41"/>
      <c r="AQ59" s="41"/>
      <c r="AR59" s="41"/>
      <c r="AS59" s="41"/>
      <c r="AT59" s="41"/>
      <c r="AU59" s="41"/>
      <c r="AV59" s="41"/>
      <c r="AW59" s="41"/>
      <c r="AX59" s="41"/>
      <c r="AY59" s="41"/>
      <c r="AZ59" s="41"/>
      <c r="BA59" s="41"/>
      <c r="BB59" s="41"/>
      <c r="BC59" s="41"/>
      <c r="BD59" s="41"/>
      <c r="BE59" s="41"/>
      <c r="BF59" s="41"/>
      <c r="BG59" s="41"/>
      <c r="BH59" s="41"/>
      <c r="BI59" s="41"/>
      <c r="BJ59" s="41"/>
      <c r="BK59" s="41"/>
      <c r="BL59" s="41"/>
      <c r="BM59" s="41"/>
      <c r="BN59" s="41"/>
      <c r="BO59" s="41"/>
      <c r="BP59" s="41"/>
      <c r="BQ59" s="41"/>
      <c r="BR59" s="41"/>
      <c r="BS59" s="41"/>
      <c r="BT59" s="41"/>
      <c r="BU59" s="41"/>
      <c r="BV59" s="41"/>
      <c r="BW59" s="41"/>
      <c r="BX59" s="41"/>
      <c r="BY59" s="41"/>
      <c r="BZ59" s="41"/>
      <c r="CA59" s="41"/>
      <c r="CB59" s="41"/>
      <c r="CC59" s="41"/>
      <c r="CD59" s="41"/>
      <c r="CE59" s="41"/>
      <c r="CF59" s="41"/>
      <c r="CG59" s="41"/>
      <c r="CH59" s="41"/>
      <c r="CI59" s="41"/>
      <c r="CJ59" s="41"/>
      <c r="CK59" s="41"/>
      <c r="CL59" s="41"/>
      <c r="CM59" s="41"/>
      <c r="CN59" s="41"/>
      <c r="CO59" s="41"/>
      <c r="CP59" s="41"/>
    </row>
    <row r="60" spans="1:94" s="53" customFormat="1" ht="15.75" customHeight="1" x14ac:dyDescent="0.25">
      <c r="A60" s="75">
        <v>7</v>
      </c>
      <c r="B60" s="76"/>
      <c r="C60" s="54" t="str">
        <f>"FY "&amp;M4-1</f>
        <v>FY 2022</v>
      </c>
      <c r="D60" s="131" t="s">
        <v>53</v>
      </c>
      <c r="E60" s="135"/>
      <c r="F60" s="55">
        <f>SUM(F56:F59)</f>
        <v>10.85</v>
      </c>
      <c r="G60" s="80">
        <f>SUM(G56:G59)</f>
        <v>422100</v>
      </c>
      <c r="H60" s="80">
        <f>SUM(H56:H59)</f>
        <v>109300</v>
      </c>
      <c r="I60" s="260">
        <f>SUM(I56:I59)</f>
        <v>90000</v>
      </c>
      <c r="J60" s="80">
        <f>SUM(J56:J59)</f>
        <v>621500</v>
      </c>
      <c r="K60" s="263"/>
      <c r="L60" s="61"/>
      <c r="M60" s="61"/>
      <c r="N60" s="60"/>
      <c r="O60"/>
      <c r="P60"/>
      <c r="Q60"/>
      <c r="R60"/>
      <c r="S60"/>
      <c r="T60"/>
      <c r="U60"/>
      <c r="V60"/>
      <c r="W60"/>
      <c r="X60"/>
      <c r="Y60"/>
      <c r="Z60" s="344"/>
      <c r="AA60" s="363"/>
      <c r="AB60" s="363"/>
      <c r="AC60" s="363"/>
      <c r="AD60" s="110"/>
      <c r="AE60" s="41"/>
      <c r="AF60" s="41"/>
      <c r="AG60" s="41"/>
      <c r="AH60" s="41"/>
      <c r="AI60" s="41"/>
      <c r="AJ60" s="41"/>
      <c r="AK60" s="41"/>
      <c r="AL60" s="41"/>
      <c r="AM60" s="41"/>
      <c r="AN60" s="41"/>
      <c r="AO60" s="41"/>
      <c r="AP60" s="41"/>
      <c r="AQ60" s="41"/>
      <c r="AR60" s="41"/>
      <c r="AS60" s="41"/>
      <c r="AT60" s="41"/>
      <c r="AU60" s="41"/>
      <c r="AV60" s="41"/>
      <c r="AW60" s="41"/>
      <c r="AX60" s="41"/>
      <c r="AY60" s="41"/>
      <c r="AZ60" s="41"/>
      <c r="BA60" s="41"/>
      <c r="BB60" s="41"/>
      <c r="BC60" s="41"/>
      <c r="BD60" s="41"/>
      <c r="BE60" s="41"/>
      <c r="BF60" s="41"/>
      <c r="BG60" s="41"/>
      <c r="BH60" s="41"/>
      <c r="BI60" s="41"/>
      <c r="BJ60" s="41"/>
      <c r="BK60" s="41"/>
      <c r="BL60" s="41"/>
      <c r="BM60" s="41"/>
      <c r="BN60" s="41"/>
      <c r="BO60" s="41"/>
      <c r="BP60" s="41"/>
      <c r="BQ60" s="41"/>
      <c r="BR60" s="41"/>
      <c r="BS60" s="41"/>
      <c r="BT60" s="41"/>
      <c r="BU60" s="41"/>
      <c r="BV60" s="41"/>
      <c r="BW60" s="41"/>
      <c r="BX60" s="41"/>
      <c r="BY60" s="41"/>
      <c r="BZ60" s="41"/>
      <c r="CA60" s="41"/>
      <c r="CB60" s="41"/>
      <c r="CC60" s="41"/>
      <c r="CD60" s="41"/>
      <c r="CE60" s="41"/>
      <c r="CF60" s="41"/>
      <c r="CG60" s="41"/>
      <c r="CH60" s="41"/>
      <c r="CI60" s="41"/>
      <c r="CJ60" s="41"/>
      <c r="CK60" s="41"/>
      <c r="CL60" s="41"/>
      <c r="CM60" s="41"/>
      <c r="CN60" s="41"/>
      <c r="CO60" s="41"/>
      <c r="CP60" s="41"/>
    </row>
    <row r="61" spans="1:94" s="53" customFormat="1" ht="15.75" customHeight="1" x14ac:dyDescent="0.25">
      <c r="A61" s="85"/>
      <c r="B61" s="83"/>
      <c r="C61" s="419" t="s">
        <v>54</v>
      </c>
      <c r="D61" s="423"/>
      <c r="E61" s="367"/>
      <c r="F61" s="273"/>
      <c r="G61" s="62"/>
      <c r="H61" s="62"/>
      <c r="I61" s="62"/>
      <c r="J61" s="62"/>
      <c r="K61" s="62"/>
      <c r="L61" s="61"/>
      <c r="M61" s="61"/>
      <c r="N61" s="60"/>
      <c r="O61"/>
      <c r="P61"/>
      <c r="Q61"/>
      <c r="R61"/>
      <c r="S61"/>
      <c r="T61"/>
      <c r="U61"/>
      <c r="V61"/>
      <c r="W61"/>
      <c r="X61"/>
      <c r="Y61"/>
      <c r="Z61" s="344"/>
      <c r="AA61" s="363"/>
      <c r="AB61" s="363"/>
      <c r="AC61" s="363"/>
      <c r="AD61" s="110"/>
      <c r="AE61" s="41"/>
      <c r="AF61" s="41"/>
      <c r="AG61" s="41"/>
      <c r="AH61" s="41"/>
      <c r="AI61" s="41"/>
      <c r="AJ61" s="41"/>
      <c r="AK61" s="41"/>
      <c r="AL61" s="41"/>
      <c r="AM61" s="41"/>
      <c r="AN61" s="41"/>
      <c r="AO61" s="41"/>
      <c r="AP61" s="41"/>
      <c r="AQ61" s="41"/>
      <c r="AR61" s="41"/>
      <c r="AS61" s="41"/>
      <c r="AT61" s="41"/>
      <c r="AU61" s="41"/>
      <c r="AV61" s="41"/>
      <c r="AW61" s="41"/>
      <c r="AX61" s="41"/>
      <c r="AY61" s="41"/>
      <c r="AZ61" s="41"/>
      <c r="BA61" s="41"/>
      <c r="BB61" s="41"/>
      <c r="BC61" s="41"/>
      <c r="BD61" s="41"/>
      <c r="BE61" s="41"/>
      <c r="BF61" s="41"/>
      <c r="BG61" s="41"/>
      <c r="BH61" s="41"/>
      <c r="BI61" s="41"/>
      <c r="BJ61" s="41"/>
      <c r="BK61" s="41"/>
      <c r="BL61" s="41"/>
      <c r="BM61" s="41"/>
      <c r="BN61" s="41"/>
      <c r="BO61" s="41"/>
      <c r="BP61" s="41"/>
      <c r="BQ61" s="41"/>
      <c r="BR61" s="41"/>
      <c r="BS61" s="41"/>
      <c r="BT61" s="41"/>
      <c r="BU61" s="41"/>
      <c r="BV61" s="41"/>
      <c r="BW61" s="41"/>
      <c r="BX61" s="41"/>
      <c r="BY61" s="41"/>
      <c r="BZ61" s="41"/>
      <c r="CA61" s="41"/>
      <c r="CB61" s="41"/>
      <c r="CC61" s="41"/>
      <c r="CD61" s="41"/>
      <c r="CE61" s="41"/>
      <c r="CF61" s="41"/>
      <c r="CG61" s="41"/>
      <c r="CH61" s="41"/>
      <c r="CI61" s="41"/>
      <c r="CJ61" s="41"/>
      <c r="CK61" s="41"/>
      <c r="CL61" s="41"/>
      <c r="CM61" s="41"/>
      <c r="CN61" s="41"/>
      <c r="CO61" s="41"/>
      <c r="CP61" s="41"/>
    </row>
    <row r="62" spans="1:94" s="53" customFormat="1" ht="15.75" customHeight="1" x14ac:dyDescent="0.25">
      <c r="A62" s="85">
        <v>8.31</v>
      </c>
      <c r="B62" s="83"/>
      <c r="C62" s="408" t="s">
        <v>67</v>
      </c>
      <c r="D62" s="409"/>
      <c r="E62" s="102"/>
      <c r="F62" s="58">
        <v>0</v>
      </c>
      <c r="G62" s="88">
        <v>0</v>
      </c>
      <c r="H62" s="91">
        <v>0</v>
      </c>
      <c r="I62" s="276">
        <v>0</v>
      </c>
      <c r="J62" s="89">
        <f>SUM(G62:I62)</f>
        <v>0</v>
      </c>
      <c r="K62" s="62"/>
      <c r="L62" s="88"/>
      <c r="M62" s="261"/>
      <c r="N62" s="89">
        <f>SUM(L62:M62)</f>
        <v>0</v>
      </c>
      <c r="O62"/>
      <c r="P62"/>
      <c r="Q62"/>
      <c r="R62"/>
      <c r="S62"/>
      <c r="T62"/>
      <c r="U62"/>
      <c r="V62"/>
      <c r="W62"/>
      <c r="X62"/>
      <c r="Y62"/>
      <c r="Z62" s="344"/>
      <c r="AA62" s="363"/>
      <c r="AB62" s="363"/>
      <c r="AC62" s="363"/>
      <c r="AD62" s="110"/>
      <c r="AE62" s="41"/>
      <c r="AF62" s="41"/>
      <c r="AG62" s="41"/>
      <c r="AH62" s="41"/>
      <c r="AI62" s="41"/>
      <c r="AJ62" s="41"/>
      <c r="AK62" s="41"/>
      <c r="AL62" s="41"/>
      <c r="AM62" s="41"/>
      <c r="AN62" s="41"/>
      <c r="AO62" s="41"/>
      <c r="AP62" s="41"/>
      <c r="AQ62" s="41"/>
      <c r="AR62" s="41"/>
      <c r="AS62" s="41"/>
      <c r="AT62" s="41"/>
      <c r="AU62" s="41"/>
      <c r="AV62" s="41"/>
      <c r="AW62" s="41"/>
      <c r="AX62" s="41"/>
      <c r="AY62" s="41"/>
      <c r="AZ62" s="41"/>
      <c r="BA62" s="41"/>
      <c r="BB62" s="41"/>
      <c r="BC62" s="41"/>
      <c r="BD62" s="41"/>
      <c r="BE62" s="41"/>
      <c r="BF62" s="41"/>
      <c r="BG62" s="41"/>
      <c r="BH62" s="41"/>
      <c r="BI62" s="41"/>
      <c r="BJ62" s="41"/>
      <c r="BK62" s="41"/>
      <c r="BL62" s="41"/>
      <c r="BM62" s="41"/>
      <c r="BN62" s="41"/>
      <c r="BO62" s="41"/>
      <c r="BP62" s="41"/>
      <c r="BQ62" s="41"/>
      <c r="BR62" s="41"/>
      <c r="BS62" s="41"/>
      <c r="BT62" s="41"/>
      <c r="BU62" s="41"/>
      <c r="BV62" s="41"/>
      <c r="BW62" s="41"/>
      <c r="BX62" s="41"/>
      <c r="BY62" s="41"/>
      <c r="BZ62" s="41"/>
      <c r="CA62" s="41"/>
      <c r="CB62" s="41"/>
      <c r="CC62" s="41"/>
      <c r="CD62" s="41"/>
      <c r="CE62" s="41"/>
      <c r="CF62" s="41"/>
      <c r="CG62" s="41"/>
      <c r="CH62" s="41"/>
      <c r="CI62" s="41"/>
      <c r="CJ62" s="41"/>
      <c r="CK62" s="41"/>
      <c r="CL62" s="41"/>
      <c r="CM62" s="41"/>
      <c r="CN62" s="41"/>
      <c r="CO62" s="41"/>
      <c r="CP62" s="41"/>
    </row>
    <row r="63" spans="1:94" s="53" customFormat="1" ht="15.75" customHeight="1" x14ac:dyDescent="0.25">
      <c r="A63" s="85">
        <v>8.41</v>
      </c>
      <c r="B63" s="83"/>
      <c r="C63" s="408" t="s">
        <v>55</v>
      </c>
      <c r="D63" s="409"/>
      <c r="E63" s="102"/>
      <c r="F63" s="58">
        <v>0</v>
      </c>
      <c r="G63" s="89">
        <f>ROUND((OneTimePC_Total-H63)/(1+(PermVB+Retire1)),-2)</f>
        <v>0</v>
      </c>
      <c r="H63" s="89">
        <f>ROUND(IF(AND(F63&lt;0,OneTimePC_Total&lt;0),F63*Health,0),-2)</f>
        <v>0</v>
      </c>
      <c r="I63" s="310">
        <f>OneTimePC_Total-G63-H63</f>
        <v>0</v>
      </c>
      <c r="J63" s="89">
        <v>0</v>
      </c>
      <c r="K63" s="308"/>
      <c r="L63" s="88"/>
      <c r="M63" s="261"/>
      <c r="N63" s="89">
        <f>SUM(L63:M63)</f>
        <v>0</v>
      </c>
      <c r="O63"/>
      <c r="P63"/>
      <c r="Q63"/>
      <c r="R63"/>
      <c r="S63"/>
      <c r="T63"/>
      <c r="U63"/>
      <c r="V63"/>
      <c r="W63"/>
      <c r="X63"/>
      <c r="Y63"/>
      <c r="Z63" s="344"/>
      <c r="AA63" s="363"/>
      <c r="AB63" s="363"/>
      <c r="AC63" s="363"/>
      <c r="AD63" s="110"/>
      <c r="AE63" s="41"/>
      <c r="AF63" s="41"/>
      <c r="AG63" s="41"/>
      <c r="AH63" s="41"/>
      <c r="AI63" s="41"/>
      <c r="AJ63" s="41"/>
      <c r="AK63" s="41"/>
      <c r="AL63" s="41"/>
      <c r="AM63" s="41"/>
      <c r="AN63" s="41"/>
      <c r="AO63" s="41"/>
      <c r="AP63" s="41"/>
      <c r="AQ63" s="41"/>
      <c r="AR63" s="41"/>
      <c r="AS63" s="41"/>
      <c r="AT63" s="41"/>
      <c r="AU63" s="41"/>
      <c r="AV63" s="41"/>
      <c r="AW63" s="41"/>
      <c r="AX63" s="41"/>
      <c r="AY63" s="41"/>
      <c r="AZ63" s="41"/>
      <c r="BA63" s="41"/>
      <c r="BB63" s="41"/>
      <c r="BC63" s="41"/>
      <c r="BD63" s="41"/>
      <c r="BE63" s="41"/>
      <c r="BF63" s="41"/>
      <c r="BG63" s="41"/>
      <c r="BH63" s="41"/>
      <c r="BI63" s="41"/>
      <c r="BJ63" s="41"/>
      <c r="BK63" s="41"/>
      <c r="BL63" s="41"/>
      <c r="BM63" s="41"/>
      <c r="BN63" s="41"/>
      <c r="BO63" s="41"/>
      <c r="BP63" s="41"/>
      <c r="BQ63" s="41"/>
      <c r="BR63" s="41"/>
      <c r="BS63" s="41"/>
      <c r="BT63" s="41"/>
      <c r="BU63" s="41"/>
      <c r="BV63" s="41"/>
      <c r="BW63" s="41"/>
      <c r="BX63" s="41"/>
      <c r="BY63" s="41"/>
      <c r="BZ63" s="41"/>
      <c r="CA63" s="41"/>
      <c r="CB63" s="41"/>
      <c r="CC63" s="41"/>
      <c r="CD63" s="41"/>
      <c r="CE63" s="41"/>
      <c r="CF63" s="41"/>
      <c r="CG63" s="41"/>
      <c r="CH63" s="41"/>
      <c r="CI63" s="41"/>
      <c r="CJ63" s="41"/>
      <c r="CK63" s="41"/>
      <c r="CL63" s="41"/>
      <c r="CM63" s="41"/>
      <c r="CN63" s="41"/>
      <c r="CO63" s="41"/>
      <c r="CP63" s="41"/>
    </row>
    <row r="64" spans="1:94" s="53" customFormat="1" ht="15.75" customHeight="1" thickBot="1" x14ac:dyDescent="0.3">
      <c r="A64" s="93">
        <v>8.51</v>
      </c>
      <c r="B64" s="93"/>
      <c r="C64" s="413" t="s">
        <v>56</v>
      </c>
      <c r="D64" s="414"/>
      <c r="E64" s="134"/>
      <c r="F64" s="58">
        <v>0</v>
      </c>
      <c r="G64" s="88"/>
      <c r="H64" s="88">
        <v>0</v>
      </c>
      <c r="I64" s="265"/>
      <c r="J64" s="89">
        <f>SUM(G64:I64)</f>
        <v>0</v>
      </c>
      <c r="K64" s="62"/>
      <c r="L64" s="88"/>
      <c r="M64" s="261"/>
      <c r="N64" s="89">
        <f>SUM(L64:M64)</f>
        <v>0</v>
      </c>
      <c r="O64"/>
      <c r="P64"/>
      <c r="Q64"/>
      <c r="R64"/>
      <c r="S64"/>
      <c r="T64"/>
      <c r="U64"/>
      <c r="V64"/>
      <c r="W64"/>
      <c r="X64"/>
      <c r="Y64"/>
      <c r="Z64" s="344"/>
      <c r="AA64" s="363"/>
      <c r="AB64" s="363"/>
      <c r="AC64" s="363"/>
      <c r="AD64" s="110"/>
      <c r="AE64" s="41"/>
      <c r="AF64" s="41"/>
      <c r="AG64" s="41"/>
      <c r="AH64" s="41"/>
      <c r="AI64" s="41"/>
      <c r="AJ64" s="41"/>
      <c r="AK64" s="41"/>
      <c r="AL64" s="41"/>
      <c r="AM64" s="41"/>
      <c r="AN64" s="41"/>
      <c r="AO64" s="41"/>
      <c r="AP64" s="41"/>
      <c r="AQ64" s="41"/>
      <c r="AR64" s="41"/>
      <c r="AS64" s="41"/>
      <c r="AT64" s="41"/>
      <c r="AU64" s="41"/>
      <c r="AV64" s="41"/>
      <c r="AW64" s="41"/>
      <c r="AX64" s="41"/>
      <c r="AY64" s="41"/>
      <c r="AZ64" s="41"/>
      <c r="BA64" s="41"/>
      <c r="BB64" s="41"/>
      <c r="BC64" s="41"/>
      <c r="BD64" s="41"/>
      <c r="BE64" s="41"/>
      <c r="BF64" s="41"/>
      <c r="BG64" s="41"/>
      <c r="BH64" s="41"/>
      <c r="BI64" s="41"/>
      <c r="BJ64" s="41"/>
      <c r="BK64" s="41"/>
      <c r="BL64" s="41"/>
      <c r="BM64" s="41"/>
      <c r="BN64" s="41"/>
      <c r="BO64" s="41"/>
      <c r="BP64" s="41"/>
      <c r="BQ64" s="41"/>
      <c r="BR64" s="41"/>
      <c r="BS64" s="41"/>
      <c r="BT64" s="41"/>
      <c r="BU64" s="41"/>
      <c r="BV64" s="41"/>
      <c r="BW64" s="41"/>
      <c r="BX64" s="41"/>
      <c r="BY64" s="41"/>
      <c r="BZ64" s="41"/>
      <c r="CA64" s="41"/>
      <c r="CB64" s="41"/>
      <c r="CC64" s="41"/>
      <c r="CD64" s="41"/>
      <c r="CE64" s="41"/>
      <c r="CF64" s="41"/>
      <c r="CG64" s="41"/>
      <c r="CH64" s="41"/>
      <c r="CI64" s="41"/>
      <c r="CJ64" s="41"/>
      <c r="CK64" s="41"/>
      <c r="CL64" s="41"/>
      <c r="CM64" s="41"/>
      <c r="CN64" s="41"/>
      <c r="CO64" s="41"/>
      <c r="CP64" s="41"/>
    </row>
    <row r="65" spans="1:94" s="53" customFormat="1" ht="6" customHeight="1" thickTop="1" x14ac:dyDescent="0.25">
      <c r="A65" s="94"/>
      <c r="B65" s="95"/>
      <c r="C65" s="415"/>
      <c r="D65" s="416"/>
      <c r="E65" s="96"/>
      <c r="F65" s="97"/>
      <c r="G65" s="98"/>
      <c r="H65" s="98"/>
      <c r="I65" s="98"/>
      <c r="J65" s="98"/>
      <c r="K65" s="98"/>
      <c r="L65" s="98"/>
      <c r="M65" s="99"/>
      <c r="N65" s="95"/>
      <c r="O65"/>
      <c r="P65"/>
      <c r="Q65"/>
      <c r="R65"/>
      <c r="S65"/>
      <c r="T65"/>
      <c r="U65"/>
      <c r="V65"/>
      <c r="W65"/>
      <c r="X65"/>
      <c r="Y65"/>
      <c r="Z65" s="344"/>
      <c r="AA65" s="363"/>
      <c r="AB65" s="363"/>
      <c r="AC65" s="363"/>
      <c r="AD65" s="110"/>
      <c r="AE65" s="41"/>
      <c r="AF65" s="41"/>
      <c r="AG65" s="41"/>
      <c r="AH65" s="41"/>
      <c r="AI65" s="41"/>
      <c r="AJ65" s="41"/>
      <c r="AK65" s="41"/>
      <c r="AL65" s="41"/>
      <c r="AM65" s="41"/>
      <c r="AN65" s="41"/>
      <c r="AO65" s="41"/>
      <c r="AP65" s="41"/>
      <c r="AQ65" s="41"/>
      <c r="AR65" s="41"/>
      <c r="AS65" s="41"/>
      <c r="AT65" s="41"/>
      <c r="AU65" s="41"/>
      <c r="AV65" s="41"/>
      <c r="AW65" s="41"/>
      <c r="AX65" s="41"/>
      <c r="AY65" s="41"/>
      <c r="AZ65" s="41"/>
      <c r="BA65" s="41"/>
      <c r="BB65" s="41"/>
      <c r="BC65" s="41"/>
      <c r="BD65" s="41"/>
      <c r="BE65" s="41"/>
      <c r="BF65" s="41"/>
      <c r="BG65" s="41"/>
      <c r="BH65" s="41"/>
      <c r="BI65" s="41"/>
      <c r="BJ65" s="41"/>
      <c r="BK65" s="41"/>
      <c r="BL65" s="41"/>
      <c r="BM65" s="41"/>
      <c r="BN65" s="41"/>
      <c r="BO65" s="41"/>
      <c r="BP65" s="41"/>
      <c r="BQ65" s="41"/>
      <c r="BR65" s="41"/>
      <c r="BS65" s="41"/>
      <c r="BT65" s="41"/>
      <c r="BU65" s="41"/>
      <c r="BV65" s="41"/>
      <c r="BW65" s="41"/>
      <c r="BX65" s="41"/>
      <c r="BY65" s="41"/>
      <c r="BZ65" s="41"/>
      <c r="CA65" s="41"/>
      <c r="CB65" s="41"/>
      <c r="CC65" s="41"/>
      <c r="CD65" s="41"/>
      <c r="CE65" s="41"/>
      <c r="CF65" s="41"/>
      <c r="CG65" s="41"/>
      <c r="CH65" s="41"/>
      <c r="CI65" s="41"/>
      <c r="CJ65" s="41"/>
      <c r="CK65" s="41"/>
      <c r="CL65" s="41"/>
      <c r="CM65" s="41"/>
      <c r="CN65" s="41"/>
      <c r="CO65" s="41"/>
      <c r="CP65" s="41"/>
    </row>
    <row r="66" spans="1:94" s="107" customFormat="1" ht="15" x14ac:dyDescent="0.25">
      <c r="A66" s="100"/>
      <c r="B66" s="101"/>
      <c r="C66" s="417"/>
      <c r="D66" s="418"/>
      <c r="E66" s="102"/>
      <c r="F66" s="103" t="s">
        <v>24</v>
      </c>
      <c r="G66" s="104" t="str">
        <f>"FY "&amp;M4-2000&amp;" Salary"</f>
        <v>FY 23 Salary</v>
      </c>
      <c r="H66" s="104" t="str">
        <f>"FY"&amp;M4-2000&amp;" Health Ben"</f>
        <v>FY23 Health Ben</v>
      </c>
      <c r="I66" s="104" t="str">
        <f>"FY "&amp;M4-2000&amp;" Var Ben"</f>
        <v>FY 23 Var Ben</v>
      </c>
      <c r="J66" s="104" t="str">
        <f>"FY "&amp;M4&amp;" Total"</f>
        <v>FY 2023 Total</v>
      </c>
      <c r="K66" s="104"/>
      <c r="L66" s="105"/>
      <c r="M66" s="105"/>
      <c r="N66" s="101"/>
      <c r="O66"/>
      <c r="P66"/>
      <c r="Q66"/>
      <c r="R66"/>
      <c r="S66"/>
      <c r="T66"/>
      <c r="U66"/>
      <c r="V66"/>
      <c r="W66"/>
      <c r="X66"/>
      <c r="Y66"/>
      <c r="Z66" s="344"/>
      <c r="AA66" s="339"/>
      <c r="AB66" s="339"/>
      <c r="AC66" s="339"/>
      <c r="AD66" s="105"/>
      <c r="AE66" s="106"/>
      <c r="AF66" s="106"/>
      <c r="AG66" s="106"/>
      <c r="AH66" s="106"/>
      <c r="AI66" s="106"/>
      <c r="AJ66" s="106"/>
      <c r="AK66" s="106"/>
      <c r="AL66" s="106"/>
      <c r="AM66" s="106"/>
      <c r="AN66" s="106"/>
      <c r="AO66" s="106"/>
      <c r="AP66" s="106"/>
      <c r="AQ66" s="106"/>
      <c r="AR66" s="106"/>
      <c r="AS66" s="106"/>
      <c r="AT66" s="106"/>
      <c r="AU66" s="106"/>
      <c r="AV66" s="106"/>
      <c r="AW66" s="106"/>
      <c r="AX66" s="106"/>
      <c r="AY66" s="106"/>
      <c r="AZ66" s="106"/>
      <c r="BA66" s="106"/>
      <c r="BB66" s="106"/>
      <c r="BC66" s="106"/>
      <c r="BD66" s="106"/>
      <c r="BE66" s="106"/>
      <c r="BF66" s="106"/>
      <c r="BG66" s="106"/>
      <c r="BH66" s="106"/>
      <c r="BI66" s="106"/>
      <c r="BJ66" s="106"/>
      <c r="BK66" s="106"/>
      <c r="BL66" s="106"/>
      <c r="BM66" s="106"/>
      <c r="BN66" s="106"/>
      <c r="BO66" s="106"/>
      <c r="BP66" s="106"/>
      <c r="BQ66" s="106"/>
      <c r="BR66" s="106"/>
      <c r="BS66" s="106"/>
      <c r="BT66" s="106"/>
      <c r="BU66" s="106"/>
      <c r="BV66" s="106"/>
      <c r="BW66" s="106"/>
      <c r="BX66" s="106"/>
      <c r="BY66" s="106"/>
      <c r="BZ66" s="106"/>
      <c r="CA66" s="106"/>
      <c r="CB66" s="106"/>
      <c r="CC66" s="106"/>
      <c r="CD66" s="106"/>
      <c r="CE66" s="106"/>
      <c r="CF66" s="106"/>
      <c r="CG66" s="106"/>
      <c r="CH66" s="106"/>
      <c r="CI66" s="106"/>
      <c r="CJ66" s="106"/>
      <c r="CK66" s="106"/>
      <c r="CL66" s="106"/>
      <c r="CM66" s="106"/>
      <c r="CN66" s="106"/>
      <c r="CO66" s="106"/>
      <c r="CP66" s="106"/>
    </row>
    <row r="67" spans="1:94" s="53" customFormat="1" ht="15" x14ac:dyDescent="0.25">
      <c r="A67" s="82">
        <v>9</v>
      </c>
      <c r="B67" s="83"/>
      <c r="C67" s="84" t="str">
        <f>"FY "&amp;M4</f>
        <v>FY 2023</v>
      </c>
      <c r="D67" s="108" t="s">
        <v>57</v>
      </c>
      <c r="E67" s="109"/>
      <c r="F67" s="55">
        <f>SUM(F60:F64)</f>
        <v>10.85</v>
      </c>
      <c r="G67" s="80">
        <f>SUM(G60:G64)</f>
        <v>422100</v>
      </c>
      <c r="H67" s="80">
        <f>SUM(H60:H64)</f>
        <v>109300</v>
      </c>
      <c r="I67" s="80">
        <f>SUM(I60:I64)</f>
        <v>90000</v>
      </c>
      <c r="J67" s="80">
        <f>SUM(J60:J64)</f>
        <v>621500</v>
      </c>
      <c r="K67" s="263"/>
      <c r="L67" s="110"/>
      <c r="M67" s="110"/>
      <c r="N67" s="111"/>
      <c r="O67"/>
      <c r="P67"/>
      <c r="Q67"/>
      <c r="R67"/>
      <c r="S67"/>
      <c r="T67"/>
      <c r="U67"/>
      <c r="V67"/>
      <c r="W67"/>
      <c r="X67"/>
      <c r="Y67"/>
      <c r="Z67" s="344"/>
      <c r="AA67" s="363"/>
      <c r="AB67" s="363"/>
      <c r="AC67" s="363"/>
      <c r="AD67" s="110"/>
      <c r="AE67" s="41"/>
      <c r="AF67" s="41"/>
      <c r="AG67" s="41"/>
      <c r="AH67" s="41"/>
      <c r="AI67" s="41"/>
      <c r="AJ67" s="41"/>
      <c r="AK67" s="41"/>
      <c r="AL67" s="41"/>
      <c r="AM67" s="41"/>
      <c r="AN67" s="41"/>
      <c r="AO67" s="41"/>
      <c r="AP67" s="41"/>
      <c r="AQ67" s="41"/>
      <c r="AR67" s="41"/>
      <c r="AS67" s="41"/>
      <c r="AT67" s="41"/>
      <c r="AU67" s="41"/>
      <c r="AV67" s="41"/>
      <c r="AW67" s="41"/>
      <c r="AX67" s="41"/>
      <c r="AY67" s="41"/>
      <c r="AZ67" s="41"/>
      <c r="BA67" s="41"/>
      <c r="BB67" s="41"/>
      <c r="BC67" s="41"/>
      <c r="BD67" s="41"/>
      <c r="BE67" s="41"/>
      <c r="BF67" s="41"/>
      <c r="BG67" s="41"/>
      <c r="BH67" s="41"/>
      <c r="BI67" s="41"/>
      <c r="BJ67" s="41"/>
      <c r="BK67" s="41"/>
      <c r="BL67" s="41"/>
      <c r="BM67" s="41"/>
      <c r="BN67" s="41"/>
      <c r="BO67" s="41"/>
      <c r="BP67" s="41"/>
      <c r="BQ67" s="41"/>
      <c r="BR67" s="41"/>
      <c r="BS67" s="41"/>
      <c r="BT67" s="41"/>
      <c r="BU67" s="41"/>
      <c r="BV67" s="41"/>
      <c r="BW67" s="41"/>
      <c r="BX67" s="41"/>
      <c r="BY67" s="41"/>
      <c r="BZ67" s="41"/>
      <c r="CA67" s="41"/>
      <c r="CB67" s="41"/>
      <c r="CC67" s="41"/>
      <c r="CD67" s="41"/>
      <c r="CE67" s="41"/>
      <c r="CF67" s="41"/>
      <c r="CG67" s="41"/>
      <c r="CH67" s="41"/>
      <c r="CI67" s="41"/>
      <c r="CJ67" s="41"/>
      <c r="CK67" s="41"/>
      <c r="CL67" s="41"/>
      <c r="CM67" s="41"/>
      <c r="CN67" s="41"/>
      <c r="CO67" s="41"/>
      <c r="CP67" s="41"/>
    </row>
    <row r="68" spans="1:94" s="53" customFormat="1" ht="15.75" customHeight="1" x14ac:dyDescent="0.25">
      <c r="A68" s="85">
        <v>10.11</v>
      </c>
      <c r="B68" s="83"/>
      <c r="C68" s="419" t="s">
        <v>58</v>
      </c>
      <c r="D68" s="420"/>
      <c r="E68" s="112"/>
      <c r="F68" s="288"/>
      <c r="G68" s="287"/>
      <c r="H68" s="113">
        <f>IF(DUNine=0,0,ROUND(SUM(L41:L65),-2))</f>
        <v>0</v>
      </c>
      <c r="I68" s="113"/>
      <c r="J68" s="287">
        <f>SUM(G68:I68)</f>
        <v>0</v>
      </c>
      <c r="K68" s="291"/>
      <c r="L68" s="292"/>
      <c r="M68" s="292"/>
      <c r="N68" s="293"/>
      <c r="O68"/>
      <c r="P68"/>
      <c r="Q68"/>
      <c r="R68"/>
      <c r="S68"/>
      <c r="T68"/>
      <c r="U68"/>
      <c r="V68"/>
      <c r="W68"/>
      <c r="X68"/>
      <c r="Y68"/>
      <c r="Z68" s="344"/>
      <c r="AA68" s="363"/>
      <c r="AB68" s="363"/>
      <c r="AC68" s="363"/>
      <c r="AD68" s="110"/>
      <c r="AE68" s="41"/>
      <c r="AF68" s="41"/>
      <c r="AG68" s="41"/>
      <c r="AH68" s="41"/>
      <c r="AI68" s="41"/>
      <c r="AJ68" s="41"/>
      <c r="AK68" s="41"/>
      <c r="AL68" s="41"/>
      <c r="AM68" s="41"/>
      <c r="AN68" s="41"/>
      <c r="AO68" s="41"/>
      <c r="AP68" s="41"/>
      <c r="AQ68" s="41"/>
      <c r="AR68" s="41"/>
      <c r="AS68" s="41"/>
      <c r="AT68" s="41"/>
      <c r="AU68" s="41"/>
      <c r="AV68" s="41"/>
      <c r="AW68" s="41"/>
      <c r="AX68" s="41"/>
      <c r="AY68" s="41"/>
      <c r="AZ68" s="41"/>
      <c r="BA68" s="41"/>
      <c r="BB68" s="41"/>
      <c r="BC68" s="41"/>
      <c r="BD68" s="41"/>
      <c r="BE68" s="41"/>
      <c r="BF68" s="41"/>
      <c r="BG68" s="41"/>
      <c r="BH68" s="41"/>
      <c r="BI68" s="41"/>
      <c r="BJ68" s="41"/>
      <c r="BK68" s="41"/>
      <c r="BL68" s="41"/>
      <c r="BM68" s="41"/>
      <c r="BN68" s="41"/>
      <c r="BO68" s="41"/>
      <c r="BP68" s="41"/>
      <c r="BQ68" s="41"/>
      <c r="BR68" s="41"/>
      <c r="BS68" s="41"/>
      <c r="BT68" s="41"/>
      <c r="BU68" s="41"/>
      <c r="BV68" s="41"/>
      <c r="BW68" s="41"/>
      <c r="BX68" s="41"/>
      <c r="BY68" s="41"/>
      <c r="BZ68" s="41"/>
      <c r="CA68" s="41"/>
      <c r="CB68" s="41"/>
      <c r="CC68" s="41"/>
      <c r="CD68" s="41"/>
      <c r="CE68" s="41"/>
      <c r="CF68" s="41"/>
      <c r="CG68" s="41"/>
      <c r="CH68" s="41"/>
      <c r="CI68" s="41"/>
      <c r="CJ68" s="41"/>
      <c r="CK68" s="41"/>
      <c r="CL68" s="41"/>
      <c r="CM68" s="41"/>
      <c r="CN68" s="41"/>
      <c r="CO68" s="41"/>
      <c r="CP68" s="41"/>
    </row>
    <row r="69" spans="1:94" s="53" customFormat="1" ht="15" x14ac:dyDescent="0.25">
      <c r="A69" s="85">
        <v>10.119999999999999</v>
      </c>
      <c r="B69" s="83"/>
      <c r="C69" s="419" t="s">
        <v>59</v>
      </c>
      <c r="D69" s="420"/>
      <c r="E69" s="112"/>
      <c r="F69" s="288"/>
      <c r="G69" s="113"/>
      <c r="H69" s="113"/>
      <c r="I69" s="113">
        <f>IF(DUNine=0,0,ROUND(SUM(M41:M64),-2))</f>
        <v>-2300</v>
      </c>
      <c r="J69" s="287">
        <f>SUM(G69:I69)</f>
        <v>-2300</v>
      </c>
      <c r="K69" s="291"/>
      <c r="L69" s="292"/>
      <c r="M69" s="292"/>
      <c r="N69" s="293"/>
      <c r="O69"/>
      <c r="P69"/>
      <c r="Q69"/>
      <c r="R69"/>
      <c r="S69"/>
      <c r="T69"/>
      <c r="U69"/>
      <c r="V69"/>
      <c r="W69"/>
      <c r="X69"/>
      <c r="Y69"/>
      <c r="Z69" s="344"/>
      <c r="AA69" s="363"/>
      <c r="AB69" s="363"/>
      <c r="AC69" s="363"/>
      <c r="AD69" s="110"/>
      <c r="AE69" s="41"/>
      <c r="AF69" s="41"/>
      <c r="AG69" s="41"/>
      <c r="AH69" s="41"/>
      <c r="AI69" s="41"/>
      <c r="AJ69" s="41"/>
      <c r="AK69" s="41"/>
      <c r="AL69" s="41"/>
      <c r="AM69" s="41"/>
      <c r="AN69" s="41"/>
      <c r="AO69" s="41"/>
      <c r="AP69" s="41"/>
      <c r="AQ69" s="41"/>
      <c r="AR69" s="41"/>
      <c r="AS69" s="41"/>
      <c r="AT69" s="41"/>
      <c r="AU69" s="41"/>
      <c r="AV69" s="41"/>
      <c r="AW69" s="41"/>
      <c r="AX69" s="41"/>
      <c r="AY69" s="41"/>
      <c r="AZ69" s="41"/>
      <c r="BA69" s="41"/>
      <c r="BB69" s="41"/>
      <c r="BC69" s="41"/>
      <c r="BD69" s="41"/>
      <c r="BE69" s="41"/>
      <c r="BF69" s="41"/>
      <c r="BG69" s="41"/>
      <c r="BH69" s="41"/>
      <c r="BI69" s="41"/>
      <c r="BJ69" s="41"/>
      <c r="BK69" s="41"/>
      <c r="BL69" s="41"/>
      <c r="BM69" s="41"/>
      <c r="BN69" s="41"/>
      <c r="BO69" s="41"/>
      <c r="BP69" s="41"/>
      <c r="BQ69" s="41"/>
      <c r="BR69" s="41"/>
      <c r="BS69" s="41"/>
      <c r="BT69" s="41"/>
      <c r="BU69" s="41"/>
      <c r="BV69" s="41"/>
      <c r="BW69" s="41"/>
      <c r="BX69" s="41"/>
      <c r="BY69" s="41"/>
      <c r="BZ69" s="41"/>
      <c r="CA69" s="41"/>
      <c r="CB69" s="41"/>
      <c r="CC69" s="41"/>
      <c r="CD69" s="41"/>
      <c r="CE69" s="41"/>
      <c r="CF69" s="41"/>
      <c r="CG69" s="41"/>
      <c r="CH69" s="41"/>
      <c r="CI69" s="41"/>
      <c r="CJ69" s="41"/>
      <c r="CK69" s="41"/>
      <c r="CL69" s="41"/>
      <c r="CM69" s="41"/>
      <c r="CN69" s="41"/>
      <c r="CO69" s="41"/>
      <c r="CP69" s="41"/>
    </row>
    <row r="70" spans="1:94" s="53" customFormat="1" ht="15" x14ac:dyDescent="0.25">
      <c r="A70" s="85"/>
      <c r="B70" s="83"/>
      <c r="C70" s="406"/>
      <c r="D70" s="407"/>
      <c r="E70" s="236" t="s">
        <v>23</v>
      </c>
      <c r="F70" s="288"/>
      <c r="G70" s="113"/>
      <c r="H70" s="113"/>
      <c r="I70" s="113"/>
      <c r="J70" s="287">
        <f>SUM(G70:I70)</f>
        <v>0</v>
      </c>
      <c r="K70" s="291"/>
      <c r="L70" s="292"/>
      <c r="M70" s="294"/>
      <c r="N70" s="295"/>
      <c r="O70"/>
      <c r="P70"/>
      <c r="Q70"/>
      <c r="R70"/>
      <c r="S70"/>
      <c r="T70"/>
      <c r="U70"/>
      <c r="V70"/>
      <c r="W70"/>
      <c r="X70"/>
      <c r="Y70"/>
      <c r="Z70" s="344"/>
      <c r="AA70" s="363"/>
      <c r="AB70" s="363"/>
      <c r="AC70" s="363"/>
      <c r="AD70" s="110"/>
      <c r="AE70" s="41"/>
      <c r="AF70" s="41"/>
      <c r="AG70" s="41"/>
      <c r="AH70" s="41"/>
      <c r="AI70" s="41"/>
      <c r="AJ70" s="41"/>
      <c r="AK70" s="41"/>
      <c r="AL70" s="41"/>
      <c r="AM70" s="41"/>
      <c r="AN70" s="41"/>
      <c r="AO70" s="41"/>
      <c r="AP70" s="41"/>
      <c r="AQ70" s="41"/>
      <c r="AR70" s="41"/>
      <c r="AS70" s="41"/>
      <c r="AT70" s="41"/>
      <c r="AU70" s="41"/>
      <c r="AV70" s="41"/>
      <c r="AW70" s="41"/>
      <c r="AX70" s="41"/>
      <c r="AY70" s="41"/>
      <c r="AZ70" s="41"/>
      <c r="BA70" s="41"/>
      <c r="BB70" s="41"/>
      <c r="BC70" s="41"/>
      <c r="BD70" s="41"/>
      <c r="BE70" s="41"/>
      <c r="BF70" s="41"/>
      <c r="BG70" s="41"/>
      <c r="BH70" s="41"/>
      <c r="BI70" s="41"/>
      <c r="BJ70" s="41"/>
      <c r="BK70" s="41"/>
      <c r="BL70" s="41"/>
      <c r="BM70" s="41"/>
      <c r="BN70" s="41"/>
      <c r="BO70" s="41"/>
      <c r="BP70" s="41"/>
      <c r="BQ70" s="41"/>
      <c r="BR70" s="41"/>
      <c r="BS70" s="41"/>
      <c r="BT70" s="41"/>
      <c r="BU70" s="41"/>
      <c r="BV70" s="41"/>
      <c r="BW70" s="41"/>
      <c r="BX70" s="41"/>
      <c r="BY70" s="41"/>
      <c r="BZ70" s="41"/>
      <c r="CA70" s="41"/>
      <c r="CB70" s="41"/>
      <c r="CC70" s="41"/>
      <c r="CD70" s="41"/>
      <c r="CE70" s="41"/>
      <c r="CF70" s="41"/>
      <c r="CG70" s="41"/>
      <c r="CH70" s="41"/>
      <c r="CI70" s="41"/>
      <c r="CJ70" s="41"/>
      <c r="CK70" s="41"/>
      <c r="CL70" s="41"/>
      <c r="CM70" s="41"/>
      <c r="CN70" s="41"/>
      <c r="CO70" s="41"/>
      <c r="CP70" s="41"/>
    </row>
    <row r="71" spans="1:94" s="53" customFormat="1" ht="15.75" customHeight="1" x14ac:dyDescent="0.25">
      <c r="A71" s="85">
        <v>10.51</v>
      </c>
      <c r="B71" s="83"/>
      <c r="C71" s="408" t="s">
        <v>60</v>
      </c>
      <c r="D71" s="409"/>
      <c r="E71" s="237"/>
      <c r="F71" s="288"/>
      <c r="G71" s="92">
        <v>0</v>
      </c>
      <c r="H71" s="92">
        <v>0</v>
      </c>
      <c r="I71" s="287">
        <f>ROUND(IF(AND($G71&lt;&gt;0,$E71=1),$G71*PermVBBY+$G71*Retire1BY,IF(AND($G71&lt;&gt;0,$E71=2),$G71*GroupVBBY,IF(AND($G71&lt;&gt;0,$E71=3),$G71*ElectVBBY+$G71*Retire1BY,0))),-2)</f>
        <v>0</v>
      </c>
      <c r="J71" s="113">
        <f t="shared" ref="J71:J74" si="11">SUM(G71:I71)</f>
        <v>0</v>
      </c>
      <c r="K71" s="296"/>
      <c r="L71" s="297"/>
      <c r="M71" s="348" t="s">
        <v>112</v>
      </c>
      <c r="N71" s="356"/>
      <c r="O71" s="357"/>
      <c r="P71" s="357"/>
      <c r="Q71"/>
      <c r="R71"/>
      <c r="S71"/>
      <c r="T71"/>
      <c r="U71"/>
      <c r="V71"/>
      <c r="W71"/>
      <c r="X71"/>
      <c r="Y71"/>
      <c r="Z71" s="344"/>
      <c r="AA71" s="363"/>
      <c r="AB71" s="363"/>
      <c r="AC71" s="363"/>
      <c r="AD71" s="110"/>
      <c r="AE71" s="41"/>
      <c r="AF71" s="41"/>
      <c r="AG71" s="41"/>
      <c r="AH71" s="41"/>
      <c r="AI71" s="41"/>
      <c r="AJ71" s="41"/>
      <c r="AK71" s="41"/>
      <c r="AL71" s="41"/>
      <c r="AM71" s="41"/>
      <c r="AN71" s="41"/>
      <c r="AO71" s="41"/>
      <c r="AP71" s="41"/>
      <c r="AQ71" s="41"/>
      <c r="AR71" s="41"/>
      <c r="AS71" s="41"/>
      <c r="AT71" s="41"/>
      <c r="AU71" s="41"/>
      <c r="AV71" s="41"/>
      <c r="AW71" s="41"/>
      <c r="AX71" s="41"/>
      <c r="AY71" s="41"/>
      <c r="AZ71" s="41"/>
      <c r="BA71" s="41"/>
      <c r="BB71" s="41"/>
      <c r="BC71" s="41"/>
      <c r="BD71" s="41"/>
      <c r="BE71" s="41"/>
      <c r="BF71" s="41"/>
      <c r="BG71" s="41"/>
      <c r="BH71" s="41"/>
      <c r="BI71" s="41"/>
      <c r="BJ71" s="41"/>
      <c r="BK71" s="41"/>
      <c r="BL71" s="41"/>
      <c r="BM71" s="41"/>
      <c r="BN71" s="41"/>
      <c r="BO71" s="41"/>
      <c r="BP71" s="41"/>
      <c r="BQ71" s="41"/>
      <c r="BR71" s="41"/>
      <c r="BS71" s="41"/>
      <c r="BT71" s="41"/>
      <c r="BU71" s="41"/>
      <c r="BV71" s="41"/>
      <c r="BW71" s="41"/>
      <c r="BX71" s="41"/>
      <c r="BY71" s="41"/>
      <c r="BZ71" s="41"/>
      <c r="CA71" s="41"/>
      <c r="CB71" s="41"/>
      <c r="CC71" s="41"/>
      <c r="CD71" s="41"/>
      <c r="CE71" s="41"/>
      <c r="CF71" s="41"/>
      <c r="CG71" s="41"/>
      <c r="CH71" s="41"/>
      <c r="CI71" s="41"/>
      <c r="CJ71" s="41"/>
      <c r="CK71" s="41"/>
      <c r="CL71" s="41"/>
      <c r="CM71" s="41"/>
      <c r="CN71" s="41"/>
      <c r="CO71" s="41"/>
      <c r="CP71" s="41"/>
    </row>
    <row r="72" spans="1:94" s="53" customFormat="1" ht="15.75" customHeight="1" x14ac:dyDescent="0.25">
      <c r="A72" s="85">
        <v>10.61</v>
      </c>
      <c r="B72" s="83"/>
      <c r="C72" s="408" t="s">
        <v>101</v>
      </c>
      <c r="D72" s="410"/>
      <c r="E72" s="290">
        <f>CECPerm</f>
        <v>0.01</v>
      </c>
      <c r="F72" s="288"/>
      <c r="G72" s="355">
        <f>IF(DUNine=0,0,IF(DUNine&lt;0,0,ROUND(AdjPermSalary*CECPerm,-2)))</f>
        <v>4800</v>
      </c>
      <c r="H72" s="287"/>
      <c r="I72" s="287">
        <f>ROUND(($G72*PermVBBY+$G72*Retire1BY),-2)</f>
        <v>1000</v>
      </c>
      <c r="J72" s="113">
        <f>SUM(G72:I72)</f>
        <v>5800</v>
      </c>
      <c r="K72" s="296"/>
      <c r="L72" s="298"/>
      <c r="M72" s="349" t="e">
        <f>IF(DUNine=0,0,IF(((#REF!-G39-G40)*E72)&lt;0,0,ROUND(((#REF!-G39-G40)*E72),-2)))</f>
        <v>#REF!</v>
      </c>
      <c r="N72" s="358"/>
      <c r="O72" s="357" t="e">
        <f>IF(DUNine=0,0,IF(DUNine&lt;0,0,IF(SubCECBase&lt;RoundedAppropSalary,ROUND(AdjPermSalary*CECpermCalc,-2)+((SubCECBase-RoundedAppropSalary)*CECpermCalc),IF(SubCECBase&gt;RoundedAppropSalary,ROUND(AdjPermSalary*CECpermCalc,-2)+((SubCECBase-RoundedAppropSalary)*CECpermCalc),ROUND(AdjPermSalary*CECpermCalc,-2)))))</f>
        <v>#REF!</v>
      </c>
      <c r="P72" s="357"/>
      <c r="Q72"/>
      <c r="R72"/>
      <c r="S72"/>
      <c r="T72"/>
      <c r="U72"/>
      <c r="V72"/>
      <c r="W72"/>
      <c r="X72"/>
      <c r="Y72"/>
      <c r="Z72" s="344"/>
      <c r="AA72" s="363"/>
      <c r="AB72" s="363"/>
      <c r="AC72" s="363"/>
      <c r="AD72" s="110"/>
      <c r="AE72" s="41"/>
      <c r="AF72" s="41"/>
      <c r="AG72" s="41"/>
      <c r="AH72" s="41"/>
      <c r="AI72" s="41"/>
      <c r="AJ72" s="41"/>
      <c r="AK72" s="41"/>
      <c r="AL72" s="41"/>
      <c r="AM72" s="41"/>
      <c r="AN72" s="41"/>
      <c r="AO72" s="41"/>
      <c r="AP72" s="41"/>
      <c r="AQ72" s="41"/>
      <c r="AR72" s="41"/>
      <c r="AS72" s="41"/>
      <c r="AT72" s="41"/>
      <c r="AU72" s="41"/>
      <c r="AV72" s="41"/>
      <c r="AW72" s="41"/>
      <c r="AX72" s="41"/>
      <c r="AY72" s="41"/>
      <c r="AZ72" s="41"/>
      <c r="BA72" s="41"/>
      <c r="BB72" s="41"/>
      <c r="BC72" s="41"/>
      <c r="BD72" s="41"/>
      <c r="BE72" s="41"/>
      <c r="BF72" s="41"/>
      <c r="BG72" s="41"/>
      <c r="BH72" s="41"/>
      <c r="BI72" s="41"/>
      <c r="BJ72" s="41"/>
      <c r="BK72" s="41"/>
      <c r="BL72" s="41"/>
      <c r="BM72" s="41"/>
      <c r="BN72" s="41"/>
      <c r="BO72" s="41"/>
      <c r="BP72" s="41"/>
      <c r="BQ72" s="41"/>
      <c r="BR72" s="41"/>
      <c r="BS72" s="41"/>
      <c r="BT72" s="41"/>
      <c r="BU72" s="41"/>
      <c r="BV72" s="41"/>
      <c r="BW72" s="41"/>
      <c r="BX72" s="41"/>
      <c r="BY72" s="41"/>
      <c r="BZ72" s="41"/>
      <c r="CA72" s="41"/>
      <c r="CB72" s="41"/>
      <c r="CC72" s="41"/>
      <c r="CD72" s="41"/>
      <c r="CE72" s="41"/>
      <c r="CF72" s="41"/>
      <c r="CG72" s="41"/>
      <c r="CH72" s="41"/>
      <c r="CI72" s="41"/>
      <c r="CJ72" s="41"/>
      <c r="CK72" s="41"/>
      <c r="CL72" s="41"/>
      <c r="CM72" s="41"/>
      <c r="CN72" s="41"/>
      <c r="CO72" s="41"/>
      <c r="CP72" s="41"/>
    </row>
    <row r="73" spans="1:94" s="53" customFormat="1" ht="15.6" customHeight="1" x14ac:dyDescent="0.25">
      <c r="A73" s="85">
        <v>10.62</v>
      </c>
      <c r="B73" s="83"/>
      <c r="C73" s="408" t="s">
        <v>61</v>
      </c>
      <c r="D73" s="410"/>
      <c r="E73" s="289">
        <f>CECGroup</f>
        <v>0.01</v>
      </c>
      <c r="F73" s="288"/>
      <c r="G73" s="355">
        <f>IF(DUNine=0,0,IF(DUNine&lt;0,0,ROUND(AdjGroupSalary*CECGroup,-2)))</f>
        <v>0</v>
      </c>
      <c r="H73" s="287"/>
      <c r="I73" s="287">
        <f>ROUND(($G73*GroupVBBY),-2)</f>
        <v>0</v>
      </c>
      <c r="J73" s="113">
        <f t="shared" si="11"/>
        <v>0</v>
      </c>
      <c r="K73" s="301"/>
      <c r="L73" s="302"/>
      <c r="M73" s="359"/>
      <c r="N73" s="360"/>
      <c r="O73" s="357"/>
      <c r="P73" s="357"/>
      <c r="Q73"/>
      <c r="R73"/>
      <c r="S73"/>
      <c r="T73"/>
      <c r="U73"/>
      <c r="V73"/>
      <c r="W73"/>
      <c r="X73"/>
      <c r="Y73"/>
      <c r="Z73" s="344"/>
      <c r="AA73" s="363"/>
      <c r="AB73" s="363"/>
      <c r="AC73" s="363"/>
      <c r="AD73" s="110"/>
      <c r="AE73" s="41"/>
      <c r="AF73" s="41"/>
      <c r="AG73" s="41"/>
      <c r="AH73" s="41"/>
      <c r="AI73" s="41"/>
      <c r="AJ73" s="41"/>
      <c r="AK73" s="41"/>
      <c r="AL73" s="41"/>
      <c r="AM73" s="41"/>
      <c r="AN73" s="41"/>
      <c r="AO73" s="41"/>
      <c r="AP73" s="41"/>
      <c r="AQ73" s="41"/>
      <c r="AR73" s="41"/>
      <c r="AS73" s="41"/>
      <c r="AT73" s="41"/>
      <c r="AU73" s="41"/>
      <c r="AV73" s="41"/>
      <c r="AW73" s="41"/>
      <c r="AX73" s="41"/>
      <c r="AY73" s="41"/>
      <c r="AZ73" s="41"/>
      <c r="BA73" s="41"/>
      <c r="BB73" s="41"/>
      <c r="BC73" s="41"/>
      <c r="BD73" s="41"/>
      <c r="BE73" s="41"/>
      <c r="BF73" s="41"/>
      <c r="BG73" s="41"/>
      <c r="BH73" s="41"/>
      <c r="BI73" s="41"/>
      <c r="BJ73" s="41"/>
      <c r="BK73" s="41"/>
      <c r="BL73" s="41"/>
      <c r="BM73" s="41"/>
      <c r="BN73" s="41"/>
      <c r="BO73" s="41"/>
      <c r="BP73" s="41"/>
      <c r="BQ73" s="41"/>
      <c r="BR73" s="41"/>
      <c r="BS73" s="41"/>
      <c r="BT73" s="41"/>
      <c r="BU73" s="41"/>
      <c r="BV73" s="41"/>
      <c r="BW73" s="41"/>
      <c r="BX73" s="41"/>
      <c r="BY73" s="41"/>
      <c r="BZ73" s="41"/>
      <c r="CA73" s="41"/>
      <c r="CB73" s="41"/>
      <c r="CC73" s="41"/>
      <c r="CD73" s="41"/>
      <c r="CE73" s="41"/>
      <c r="CF73" s="41"/>
      <c r="CG73" s="41"/>
      <c r="CH73" s="41"/>
      <c r="CI73" s="41"/>
      <c r="CJ73" s="41"/>
      <c r="CK73" s="41"/>
      <c r="CL73" s="41"/>
      <c r="CM73" s="41"/>
      <c r="CN73" s="41"/>
      <c r="CO73" s="41"/>
      <c r="CP73" s="41"/>
    </row>
    <row r="74" spans="1:94" s="53" customFormat="1" ht="15.6" customHeight="1" x14ac:dyDescent="0.25">
      <c r="A74" s="85">
        <v>10.63</v>
      </c>
      <c r="B74" s="83"/>
      <c r="C74" s="366" t="s">
        <v>62</v>
      </c>
      <c r="D74" s="368"/>
      <c r="E74" s="112"/>
      <c r="F74" s="288"/>
      <c r="G74" s="92">
        <v>0</v>
      </c>
      <c r="H74" s="287"/>
      <c r="I74" s="287">
        <f>ROUND(($G74*ElectVBBY+$G74*Retire1BY),-2)</f>
        <v>0</v>
      </c>
      <c r="J74" s="113">
        <f t="shared" si="11"/>
        <v>0</v>
      </c>
      <c r="K74" s="301"/>
      <c r="L74" s="302"/>
      <c r="M74" s="303"/>
      <c r="N74" s="304"/>
      <c r="O74"/>
      <c r="P74"/>
      <c r="Q74"/>
      <c r="R74"/>
      <c r="S74"/>
      <c r="T74"/>
      <c r="U74"/>
      <c r="V74"/>
      <c r="W74"/>
      <c r="X74"/>
      <c r="Y74"/>
      <c r="Z74" s="344"/>
      <c r="AA74" s="363"/>
      <c r="AB74" s="363"/>
      <c r="AC74" s="363"/>
      <c r="AD74" s="110"/>
      <c r="AE74" s="41"/>
      <c r="AF74" s="41"/>
      <c r="AG74" s="41"/>
      <c r="AH74" s="41"/>
      <c r="AI74" s="41"/>
      <c r="AJ74" s="41"/>
      <c r="AK74" s="41"/>
      <c r="AL74" s="41"/>
      <c r="AM74" s="41"/>
      <c r="AN74" s="41"/>
      <c r="AO74" s="41"/>
      <c r="AP74" s="41"/>
      <c r="AQ74" s="41"/>
      <c r="AR74" s="41"/>
      <c r="AS74" s="41"/>
      <c r="AT74" s="41"/>
      <c r="AU74" s="41"/>
      <c r="AV74" s="41"/>
      <c r="AW74" s="41"/>
      <c r="AX74" s="41"/>
      <c r="AY74" s="41"/>
      <c r="AZ74" s="41"/>
      <c r="BA74" s="41"/>
      <c r="BB74" s="41"/>
      <c r="BC74" s="41"/>
      <c r="BD74" s="41"/>
      <c r="BE74" s="41"/>
      <c r="BF74" s="41"/>
      <c r="BG74" s="41"/>
      <c r="BH74" s="41"/>
      <c r="BI74" s="41"/>
      <c r="BJ74" s="41"/>
      <c r="BK74" s="41"/>
      <c r="BL74" s="41"/>
      <c r="BM74" s="41"/>
      <c r="BN74" s="41"/>
      <c r="BO74" s="41"/>
      <c r="BP74" s="41"/>
      <c r="BQ74" s="41"/>
      <c r="BR74" s="41"/>
      <c r="BS74" s="41"/>
      <c r="BT74" s="41"/>
      <c r="BU74" s="41"/>
      <c r="BV74" s="41"/>
      <c r="BW74" s="41"/>
      <c r="BX74" s="41"/>
      <c r="BY74" s="41"/>
      <c r="BZ74" s="41"/>
      <c r="CA74" s="41"/>
      <c r="CB74" s="41"/>
      <c r="CC74" s="41"/>
      <c r="CD74" s="41"/>
      <c r="CE74" s="41"/>
      <c r="CF74" s="41"/>
      <c r="CG74" s="41"/>
      <c r="CH74" s="41"/>
      <c r="CI74" s="41"/>
      <c r="CJ74" s="41"/>
      <c r="CK74" s="41"/>
      <c r="CL74" s="41"/>
      <c r="CM74" s="41"/>
      <c r="CN74" s="41"/>
      <c r="CO74" s="41"/>
      <c r="CP74" s="41"/>
    </row>
    <row r="75" spans="1:94" s="53" customFormat="1" ht="15.75" customHeight="1" x14ac:dyDescent="0.25">
      <c r="A75" s="75">
        <v>11</v>
      </c>
      <c r="B75" s="76"/>
      <c r="C75" s="54" t="str">
        <f>"FY "&amp;M4</f>
        <v>FY 2023</v>
      </c>
      <c r="D75" s="77" t="s">
        <v>63</v>
      </c>
      <c r="E75" s="112"/>
      <c r="F75" s="55">
        <f>SUM(F67:F74)</f>
        <v>10.85</v>
      </c>
      <c r="G75" s="80">
        <f>SUM(G67:G74)</f>
        <v>426900</v>
      </c>
      <c r="H75" s="80">
        <f>SUM(H67:H74)</f>
        <v>109300</v>
      </c>
      <c r="I75" s="80">
        <f>SUM(I67:I74)</f>
        <v>88700</v>
      </c>
      <c r="J75" s="80">
        <f>SUM(J67:K74)</f>
        <v>625000</v>
      </c>
      <c r="K75" s="296"/>
      <c r="L75" s="299"/>
      <c r="M75" s="299"/>
      <c r="N75" s="300"/>
      <c r="O75"/>
      <c r="P75"/>
      <c r="Q75"/>
      <c r="R75"/>
      <c r="S75"/>
      <c r="T75"/>
      <c r="U75"/>
      <c r="V75"/>
      <c r="W75"/>
      <c r="X75"/>
      <c r="Y75"/>
      <c r="Z75" s="344"/>
      <c r="AA75" s="363"/>
      <c r="AB75" s="363"/>
      <c r="AC75" s="363"/>
      <c r="AD75" s="110"/>
      <c r="AE75" s="41"/>
      <c r="AF75" s="41"/>
      <c r="AG75" s="41"/>
      <c r="AH75" s="41"/>
      <c r="AI75" s="41"/>
      <c r="AJ75" s="41"/>
      <c r="AK75" s="41"/>
      <c r="AL75" s="41"/>
      <c r="AM75" s="41"/>
      <c r="AN75" s="41"/>
      <c r="AO75" s="41"/>
      <c r="AP75" s="41"/>
      <c r="AQ75" s="41"/>
      <c r="AR75" s="41"/>
      <c r="AS75" s="41"/>
      <c r="AT75" s="41"/>
      <c r="AU75" s="41"/>
      <c r="AV75" s="41"/>
      <c r="AW75" s="41"/>
      <c r="AX75" s="41"/>
      <c r="AY75" s="41"/>
      <c r="AZ75" s="41"/>
      <c r="BA75" s="41"/>
      <c r="BB75" s="41"/>
      <c r="BC75" s="41"/>
      <c r="BD75" s="41"/>
      <c r="BE75" s="41"/>
      <c r="BF75" s="41"/>
      <c r="BG75" s="41"/>
      <c r="BH75" s="41"/>
      <c r="BI75" s="41"/>
      <c r="BJ75" s="41"/>
      <c r="BK75" s="41"/>
      <c r="BL75" s="41"/>
      <c r="BM75" s="41"/>
      <c r="BN75" s="41"/>
      <c r="BO75" s="41"/>
      <c r="BP75" s="41"/>
      <c r="BQ75" s="41"/>
      <c r="BR75" s="41"/>
      <c r="BS75" s="41"/>
      <c r="BT75" s="41"/>
      <c r="BU75" s="41"/>
      <c r="BV75" s="41"/>
      <c r="BW75" s="41"/>
      <c r="BX75" s="41"/>
      <c r="BY75" s="41"/>
      <c r="BZ75" s="41"/>
      <c r="CA75" s="41"/>
      <c r="CB75" s="41"/>
      <c r="CC75" s="41"/>
      <c r="CD75" s="41"/>
      <c r="CE75" s="41"/>
      <c r="CF75" s="41"/>
      <c r="CG75" s="41"/>
      <c r="CH75" s="41"/>
      <c r="CI75" s="41"/>
      <c r="CJ75" s="41"/>
      <c r="CK75" s="41"/>
      <c r="CL75" s="41"/>
      <c r="CM75" s="41"/>
      <c r="CN75" s="41"/>
      <c r="CO75" s="41"/>
      <c r="CP75" s="41"/>
    </row>
    <row r="76" spans="1:94" s="53" customFormat="1" ht="28.5" customHeight="1" x14ac:dyDescent="0.25">
      <c r="A76" s="85"/>
      <c r="B76" s="83"/>
      <c r="C76" s="411" t="s">
        <v>64</v>
      </c>
      <c r="D76" s="412"/>
      <c r="E76" s="59"/>
      <c r="F76" s="59"/>
      <c r="G76" s="61"/>
      <c r="H76" s="61"/>
      <c r="I76" s="61"/>
      <c r="J76" s="61"/>
      <c r="K76" s="291"/>
      <c r="L76" s="292"/>
      <c r="M76" s="305"/>
      <c r="N76" s="293"/>
      <c r="O76"/>
      <c r="P76"/>
      <c r="Q76"/>
      <c r="R76"/>
      <c r="S76"/>
      <c r="T76"/>
      <c r="U76"/>
      <c r="V76"/>
      <c r="W76"/>
      <c r="X76"/>
      <c r="Y76"/>
      <c r="Z76" s="344"/>
      <c r="AA76" s="363"/>
      <c r="AB76" s="363"/>
      <c r="AC76" s="363"/>
      <c r="AD76" s="110"/>
      <c r="AE76" s="41"/>
      <c r="AF76" s="41"/>
      <c r="AG76" s="41"/>
      <c r="AH76" s="41"/>
      <c r="AI76" s="41"/>
      <c r="AJ76" s="41"/>
      <c r="AK76" s="41"/>
      <c r="AL76" s="41"/>
      <c r="AM76" s="41"/>
      <c r="AN76" s="41"/>
      <c r="AO76" s="41"/>
      <c r="AP76" s="41"/>
      <c r="AQ76" s="41"/>
      <c r="AR76" s="41"/>
      <c r="AS76" s="41"/>
      <c r="AT76" s="41"/>
      <c r="AU76" s="41"/>
      <c r="AV76" s="41"/>
      <c r="AW76" s="41"/>
      <c r="AX76" s="41"/>
      <c r="AY76" s="41"/>
      <c r="AZ76" s="41"/>
      <c r="BA76" s="41"/>
      <c r="BB76" s="41"/>
      <c r="BC76" s="41"/>
      <c r="BD76" s="41"/>
      <c r="BE76" s="41"/>
      <c r="BF76" s="41"/>
      <c r="BG76" s="41"/>
      <c r="BH76" s="41"/>
      <c r="BI76" s="41"/>
      <c r="BJ76" s="41"/>
      <c r="BK76" s="41"/>
      <c r="BL76" s="41"/>
      <c r="BM76" s="41"/>
      <c r="BN76" s="41"/>
      <c r="BO76" s="41"/>
      <c r="BP76" s="41"/>
      <c r="BQ76" s="41"/>
      <c r="BR76" s="41"/>
      <c r="BS76" s="41"/>
      <c r="BT76" s="41"/>
      <c r="BU76" s="41"/>
      <c r="BV76" s="41"/>
      <c r="BW76" s="41"/>
      <c r="BX76" s="41"/>
      <c r="BY76" s="41"/>
      <c r="BZ76" s="41"/>
      <c r="CA76" s="41"/>
      <c r="CB76" s="41"/>
      <c r="CC76" s="41"/>
      <c r="CD76" s="41"/>
      <c r="CE76" s="41"/>
      <c r="CF76" s="41"/>
      <c r="CG76" s="41"/>
      <c r="CH76" s="41"/>
      <c r="CI76" s="41"/>
      <c r="CJ76" s="41"/>
      <c r="CK76" s="41"/>
      <c r="CL76" s="41"/>
      <c r="CM76" s="41"/>
      <c r="CN76" s="41"/>
      <c r="CO76" s="41"/>
      <c r="CP76" s="41"/>
    </row>
    <row r="77" spans="1:94" s="53" customFormat="1" ht="15" x14ac:dyDescent="0.25">
      <c r="A77" s="116">
        <v>12.01</v>
      </c>
      <c r="B77" s="57"/>
      <c r="C77" s="404"/>
      <c r="D77" s="405"/>
      <c r="E77" s="87"/>
      <c r="F77" s="58"/>
      <c r="G77" s="88"/>
      <c r="H77" s="88"/>
      <c r="I77" s="88"/>
      <c r="J77" s="80">
        <f>ROUND(SUM(G77:I77),-2)</f>
        <v>0</v>
      </c>
      <c r="K77" s="296"/>
      <c r="L77" s="292"/>
      <c r="M77" s="292"/>
      <c r="N77" s="293"/>
      <c r="O77"/>
      <c r="P77"/>
      <c r="Q77"/>
      <c r="R77"/>
      <c r="S77"/>
      <c r="T77"/>
      <c r="U77"/>
      <c r="V77"/>
      <c r="W77"/>
      <c r="X77"/>
      <c r="Y77"/>
      <c r="Z77" s="344"/>
      <c r="AA77" s="363"/>
      <c r="AB77" s="363"/>
      <c r="AC77" s="363"/>
      <c r="AD77" s="110"/>
      <c r="AE77" s="41"/>
      <c r="AF77" s="41"/>
      <c r="AG77" s="41"/>
      <c r="AH77" s="41"/>
      <c r="AI77" s="41"/>
      <c r="AJ77" s="41"/>
      <c r="AK77" s="41"/>
      <c r="AL77" s="41"/>
      <c r="AM77" s="41"/>
      <c r="AN77" s="41"/>
      <c r="AO77" s="41"/>
      <c r="AP77" s="41"/>
      <c r="AQ77" s="41"/>
      <c r="AR77" s="41"/>
      <c r="AS77" s="41"/>
      <c r="AT77" s="41"/>
      <c r="AU77" s="41"/>
      <c r="AV77" s="41"/>
      <c r="AW77" s="41"/>
      <c r="AX77" s="41"/>
      <c r="AY77" s="41"/>
      <c r="AZ77" s="41"/>
      <c r="BA77" s="41"/>
      <c r="BB77" s="41"/>
      <c r="BC77" s="41"/>
      <c r="BD77" s="41"/>
      <c r="BE77" s="41"/>
      <c r="BF77" s="41"/>
      <c r="BG77" s="41"/>
      <c r="BH77" s="41"/>
      <c r="BI77" s="41"/>
      <c r="BJ77" s="41"/>
      <c r="BK77" s="41"/>
      <c r="BL77" s="41"/>
      <c r="BM77" s="41"/>
      <c r="BN77" s="41"/>
      <c r="BO77" s="41"/>
      <c r="BP77" s="41"/>
      <c r="BQ77" s="41"/>
      <c r="BR77" s="41"/>
      <c r="BS77" s="41"/>
      <c r="BT77" s="41"/>
      <c r="BU77" s="41"/>
      <c r="BV77" s="41"/>
      <c r="BW77" s="41"/>
      <c r="BX77" s="41"/>
      <c r="BY77" s="41"/>
      <c r="BZ77" s="41"/>
      <c r="CA77" s="41"/>
      <c r="CB77" s="41"/>
      <c r="CC77" s="41"/>
      <c r="CD77" s="41"/>
      <c r="CE77" s="41"/>
      <c r="CF77" s="41"/>
      <c r="CG77" s="41"/>
      <c r="CH77" s="41"/>
      <c r="CI77" s="41"/>
      <c r="CJ77" s="41"/>
      <c r="CK77" s="41"/>
      <c r="CL77" s="41"/>
      <c r="CM77" s="41"/>
      <c r="CN77" s="41"/>
      <c r="CO77" s="41"/>
      <c r="CP77" s="41"/>
    </row>
    <row r="78" spans="1:94" s="53" customFormat="1" ht="15" x14ac:dyDescent="0.25">
      <c r="A78" s="116">
        <v>12.02</v>
      </c>
      <c r="B78" s="57"/>
      <c r="C78" s="404"/>
      <c r="D78" s="405"/>
      <c r="E78" s="87"/>
      <c r="F78" s="58"/>
      <c r="G78" s="88"/>
      <c r="H78" s="88"/>
      <c r="I78" s="88"/>
      <c r="J78" s="80">
        <f>ROUND(SUM(G78:I78),-2)</f>
        <v>0</v>
      </c>
      <c r="K78" s="296"/>
      <c r="L78" s="292"/>
      <c r="M78" s="292"/>
      <c r="N78" s="293"/>
      <c r="O78"/>
      <c r="P78"/>
      <c r="Q78"/>
      <c r="R78"/>
      <c r="S78"/>
      <c r="T78"/>
      <c r="U78"/>
      <c r="V78"/>
      <c r="W78"/>
      <c r="X78"/>
      <c r="Y78"/>
      <c r="Z78" s="344"/>
      <c r="AA78" s="363"/>
      <c r="AB78" s="363"/>
      <c r="AC78" s="363"/>
      <c r="AD78" s="110"/>
      <c r="AE78" s="41"/>
      <c r="AF78" s="41"/>
      <c r="AG78" s="41"/>
      <c r="AH78" s="41"/>
      <c r="AI78" s="41"/>
      <c r="AJ78" s="41"/>
      <c r="AK78" s="41"/>
      <c r="AL78" s="41"/>
      <c r="AM78" s="41"/>
      <c r="AN78" s="41"/>
      <c r="AO78" s="41"/>
      <c r="AP78" s="41"/>
      <c r="AQ78" s="41"/>
      <c r="AR78" s="41"/>
      <c r="AS78" s="41"/>
      <c r="AT78" s="41"/>
      <c r="AU78" s="41"/>
      <c r="AV78" s="41"/>
      <c r="AW78" s="41"/>
      <c r="AX78" s="41"/>
      <c r="AY78" s="41"/>
      <c r="AZ78" s="41"/>
      <c r="BA78" s="41"/>
      <c r="BB78" s="41"/>
      <c r="BC78" s="41"/>
      <c r="BD78" s="41"/>
      <c r="BE78" s="41"/>
      <c r="BF78" s="41"/>
      <c r="BG78" s="41"/>
      <c r="BH78" s="41"/>
      <c r="BI78" s="41"/>
      <c r="BJ78" s="41"/>
      <c r="BK78" s="41"/>
      <c r="BL78" s="41"/>
      <c r="BM78" s="41"/>
      <c r="BN78" s="41"/>
      <c r="BO78" s="41"/>
      <c r="BP78" s="41"/>
      <c r="BQ78" s="41"/>
      <c r="BR78" s="41"/>
      <c r="BS78" s="41"/>
      <c r="BT78" s="41"/>
      <c r="BU78" s="41"/>
      <c r="BV78" s="41"/>
      <c r="BW78" s="41"/>
      <c r="BX78" s="41"/>
      <c r="BY78" s="41"/>
      <c r="BZ78" s="41"/>
      <c r="CA78" s="41"/>
      <c r="CB78" s="41"/>
      <c r="CC78" s="41"/>
      <c r="CD78" s="41"/>
      <c r="CE78" s="41"/>
      <c r="CF78" s="41"/>
      <c r="CG78" s="41"/>
      <c r="CH78" s="41"/>
      <c r="CI78" s="41"/>
      <c r="CJ78" s="41"/>
      <c r="CK78" s="41"/>
      <c r="CL78" s="41"/>
      <c r="CM78" s="41"/>
      <c r="CN78" s="41"/>
      <c r="CO78" s="41"/>
      <c r="CP78" s="41"/>
    </row>
    <row r="79" spans="1:94" s="53" customFormat="1" ht="15" x14ac:dyDescent="0.25">
      <c r="A79" s="116">
        <v>12.03</v>
      </c>
      <c r="B79" s="57" t="s">
        <v>45</v>
      </c>
      <c r="C79" s="404"/>
      <c r="D79" s="405"/>
      <c r="E79" s="87"/>
      <c r="F79" s="58"/>
      <c r="G79" s="88"/>
      <c r="H79" s="88"/>
      <c r="I79" s="88"/>
      <c r="J79" s="80">
        <f>ROUND(SUM(G79:I79),-2)</f>
        <v>0</v>
      </c>
      <c r="K79" s="296"/>
      <c r="L79" s="292"/>
      <c r="M79" s="292"/>
      <c r="N79" s="293"/>
      <c r="O79"/>
      <c r="P79"/>
      <c r="Q79"/>
      <c r="R79"/>
      <c r="S79"/>
      <c r="T79"/>
      <c r="U79"/>
      <c r="V79"/>
      <c r="W79"/>
      <c r="X79"/>
      <c r="Y79"/>
      <c r="Z79" s="344"/>
      <c r="AA79" s="363"/>
      <c r="AB79" s="363"/>
      <c r="AC79" s="363"/>
      <c r="AD79" s="110"/>
      <c r="AE79" s="41"/>
      <c r="AF79" s="41"/>
      <c r="AG79" s="41"/>
      <c r="AH79" s="41"/>
      <c r="AI79" s="41"/>
      <c r="AJ79" s="41"/>
      <c r="AK79" s="41"/>
      <c r="AL79" s="41"/>
      <c r="AM79" s="41"/>
      <c r="AN79" s="41"/>
      <c r="AO79" s="41"/>
      <c r="AP79" s="41"/>
      <c r="AQ79" s="41"/>
      <c r="AR79" s="41"/>
      <c r="AS79" s="41"/>
      <c r="AT79" s="41"/>
      <c r="AU79" s="41"/>
      <c r="AV79" s="41"/>
      <c r="AW79" s="41"/>
      <c r="AX79" s="41"/>
      <c r="AY79" s="41"/>
      <c r="AZ79" s="41"/>
      <c r="BA79" s="41"/>
      <c r="BB79" s="41"/>
      <c r="BC79" s="41"/>
      <c r="BD79" s="41"/>
      <c r="BE79" s="41"/>
      <c r="BF79" s="41"/>
      <c r="BG79" s="41"/>
      <c r="BH79" s="41"/>
      <c r="BI79" s="41"/>
      <c r="BJ79" s="41"/>
      <c r="BK79" s="41"/>
      <c r="BL79" s="41"/>
      <c r="BM79" s="41"/>
      <c r="BN79" s="41"/>
      <c r="BO79" s="41"/>
      <c r="BP79" s="41"/>
      <c r="BQ79" s="41"/>
      <c r="BR79" s="41"/>
      <c r="BS79" s="41"/>
      <c r="BT79" s="41"/>
      <c r="BU79" s="41"/>
      <c r="BV79" s="41"/>
      <c r="BW79" s="41"/>
      <c r="BX79" s="41"/>
      <c r="BY79" s="41"/>
      <c r="BZ79" s="41"/>
      <c r="CA79" s="41"/>
      <c r="CB79" s="41"/>
      <c r="CC79" s="41"/>
      <c r="CD79" s="41"/>
      <c r="CE79" s="41"/>
      <c r="CF79" s="41"/>
      <c r="CG79" s="41"/>
      <c r="CH79" s="41"/>
      <c r="CI79" s="41"/>
      <c r="CJ79" s="41"/>
      <c r="CK79" s="41"/>
      <c r="CL79" s="41"/>
      <c r="CM79" s="41"/>
      <c r="CN79" s="41"/>
      <c r="CO79" s="41"/>
      <c r="CP79" s="41"/>
    </row>
    <row r="80" spans="1:94" s="53" customFormat="1" ht="15.75" customHeight="1" x14ac:dyDescent="0.25">
      <c r="A80" s="117">
        <v>13</v>
      </c>
      <c r="B80" s="118"/>
      <c r="C80" s="119" t="str">
        <f>"FY "&amp;M4</f>
        <v>FY 2023</v>
      </c>
      <c r="D80" s="120" t="s">
        <v>65</v>
      </c>
      <c r="E80" s="121"/>
      <c r="F80" s="55">
        <f>SUM(F75:F79)</f>
        <v>10.85</v>
      </c>
      <c r="G80" s="80">
        <f>SUM(G75:G79)</f>
        <v>426900</v>
      </c>
      <c r="H80" s="80">
        <f>SUM(H75:H79)</f>
        <v>109300</v>
      </c>
      <c r="I80" s="80">
        <f>SUM(I75:I79)</f>
        <v>88700</v>
      </c>
      <c r="J80" s="80">
        <f>SUM(J75:J79)</f>
        <v>625000</v>
      </c>
      <c r="K80" s="270"/>
      <c r="L80" s="122"/>
      <c r="M80" s="122"/>
      <c r="N80" s="123"/>
      <c r="O80"/>
      <c r="P80"/>
      <c r="Q80"/>
      <c r="R80"/>
      <c r="S80"/>
      <c r="T80"/>
      <c r="U80"/>
      <c r="V80"/>
      <c r="W80"/>
      <c r="X80"/>
      <c r="Y80"/>
      <c r="Z80" s="344"/>
      <c r="AA80" s="363"/>
      <c r="AB80" s="363"/>
      <c r="AC80" s="363"/>
      <c r="AD80" s="110"/>
      <c r="AE80" s="41"/>
      <c r="AF80" s="41"/>
      <c r="AG80" s="41"/>
      <c r="AH80" s="41"/>
      <c r="AI80" s="41"/>
      <c r="AJ80" s="41"/>
      <c r="AK80" s="41"/>
      <c r="AL80" s="41"/>
      <c r="AM80" s="41"/>
      <c r="AN80" s="41"/>
      <c r="AO80" s="41"/>
      <c r="AP80" s="41"/>
      <c r="AQ80" s="41"/>
      <c r="AR80" s="41"/>
      <c r="AS80" s="41"/>
      <c r="AT80" s="41"/>
      <c r="AU80" s="41"/>
      <c r="AV80" s="41"/>
      <c r="AW80" s="41"/>
      <c r="AX80" s="41"/>
      <c r="AY80" s="41"/>
      <c r="AZ80" s="41"/>
      <c r="BA80" s="41"/>
      <c r="BB80" s="41"/>
      <c r="BC80" s="41"/>
      <c r="BD80" s="41"/>
      <c r="BE80" s="41"/>
      <c r="BF80" s="41"/>
      <c r="BG80" s="41"/>
      <c r="BH80" s="41"/>
      <c r="BI80" s="41"/>
      <c r="BJ80" s="41"/>
      <c r="BK80" s="41"/>
      <c r="BL80" s="41"/>
      <c r="BM80" s="41"/>
      <c r="BN80" s="41"/>
      <c r="BO80" s="41"/>
      <c r="BP80" s="41"/>
      <c r="BQ80" s="41"/>
      <c r="BR80" s="41"/>
      <c r="BS80" s="41"/>
      <c r="BT80" s="41"/>
      <c r="BU80" s="41"/>
      <c r="BV80" s="41"/>
      <c r="BW80" s="41"/>
      <c r="BX80" s="41"/>
      <c r="BY80" s="41"/>
      <c r="BZ80" s="41"/>
      <c r="CA80" s="41"/>
      <c r="CB80" s="41"/>
      <c r="CC80" s="41"/>
      <c r="CD80" s="41"/>
      <c r="CE80" s="41"/>
      <c r="CF80" s="41"/>
      <c r="CG80" s="41"/>
      <c r="CH80" s="41"/>
      <c r="CI80" s="41"/>
      <c r="CJ80" s="41"/>
      <c r="CK80" s="41"/>
      <c r="CL80" s="41"/>
      <c r="CM80" s="41"/>
      <c r="CN80" s="41"/>
      <c r="CO80" s="41"/>
      <c r="CP80" s="41"/>
    </row>
  </sheetData>
  <mergeCells count="51">
    <mergeCell ref="C13:D13"/>
    <mergeCell ref="M1:N1"/>
    <mergeCell ref="M2:N2"/>
    <mergeCell ref="M3:N3"/>
    <mergeCell ref="M4:N4"/>
    <mergeCell ref="I5:L5"/>
    <mergeCell ref="C8:D8"/>
    <mergeCell ref="AA8:AC8"/>
    <mergeCell ref="C9:D9"/>
    <mergeCell ref="C10:D10"/>
    <mergeCell ref="C11:D11"/>
    <mergeCell ref="C12:D12"/>
    <mergeCell ref="K43:N43"/>
    <mergeCell ref="AA43:AC43"/>
    <mergeCell ref="K44:N44"/>
    <mergeCell ref="C16:D16"/>
    <mergeCell ref="C17:D17"/>
    <mergeCell ref="C18:D18"/>
    <mergeCell ref="C37:D37"/>
    <mergeCell ref="AA37:AC37"/>
    <mergeCell ref="C38:D38"/>
    <mergeCell ref="C54:D54"/>
    <mergeCell ref="C39:D39"/>
    <mergeCell ref="C41:D41"/>
    <mergeCell ref="C42:D42"/>
    <mergeCell ref="C43:D44"/>
    <mergeCell ref="K45:N45"/>
    <mergeCell ref="E46:J47"/>
    <mergeCell ref="K46:N47"/>
    <mergeCell ref="C50:D50"/>
    <mergeCell ref="C53:D53"/>
    <mergeCell ref="C69:D69"/>
    <mergeCell ref="C55:D55"/>
    <mergeCell ref="C57:D57"/>
    <mergeCell ref="C58:D58"/>
    <mergeCell ref="C59:D59"/>
    <mergeCell ref="C61:D61"/>
    <mergeCell ref="C62:D62"/>
    <mergeCell ref="C63:D63"/>
    <mergeCell ref="C64:D64"/>
    <mergeCell ref="C65:D65"/>
    <mergeCell ref="C66:D66"/>
    <mergeCell ref="C68:D68"/>
    <mergeCell ref="C78:D78"/>
    <mergeCell ref="C79:D79"/>
    <mergeCell ref="C70:D70"/>
    <mergeCell ref="C71:D71"/>
    <mergeCell ref="C72:D72"/>
    <mergeCell ref="C73:D73"/>
    <mergeCell ref="C76:D76"/>
    <mergeCell ref="C77:D77"/>
  </mergeCells>
  <conditionalFormatting sqref="K44">
    <cfRule type="expression" dxfId="48" priority="5">
      <formula>$J$44&lt;0</formula>
    </cfRule>
  </conditionalFormatting>
  <conditionalFormatting sqref="K43">
    <cfRule type="expression" dxfId="47" priority="4">
      <formula>$J$43&lt;0</formula>
    </cfRule>
  </conditionalFormatting>
  <conditionalFormatting sqref="L16">
    <cfRule type="expression" dxfId="46" priority="3">
      <formula>$J$16&lt;0</formula>
    </cfRule>
  </conditionalFormatting>
  <conditionalFormatting sqref="K45">
    <cfRule type="expression" dxfId="45" priority="2">
      <formula>$J$44&lt;0</formula>
    </cfRule>
  </conditionalFormatting>
  <conditionalFormatting sqref="K43:N45">
    <cfRule type="containsText" dxfId="44" priority="1" operator="containsText" text="underfunding">
      <formula>NOT(ISERROR(SEARCH("underfunding",K43)))</formula>
    </cfRule>
  </conditionalFormatting>
  <printOptions horizontalCentered="1"/>
  <pageMargins left="0.5" right="0.5" top="0.65" bottom="0.65" header="0.26" footer="0.31"/>
  <pageSetup scale="63" fitToHeight="2" orientation="landscape" r:id="rId1"/>
  <headerFooter>
    <oddHeader>&amp;L&amp;"Helv,Bold"FORM B6:  WAGE &amp;&amp; SALARY RECONCILIATION</oddHeader>
    <oddFooter>&amp;LPrinted: &amp;D, &amp;T&amp;RPage &amp;P of &amp;N</oddFooter>
  </headerFooter>
  <rowBreaks count="1" manualBreakCount="1">
    <brk id="64" max="12" man="1"/>
  </rowBreaks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964F3E54-8B8B-4CFA-B798-9C3C4D3AF4CD}">
          <x14:formula1>
            <xm:f>Benefits!$A$20:$A$26</xm:f>
          </x14:formula1>
          <xm:sqref>C20:C30 C32:C36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256274-EC56-4463-B87E-029F5BA50295}">
  <sheetPr>
    <pageSetUpPr fitToPage="1"/>
  </sheetPr>
  <dimension ref="A1:CP80"/>
  <sheetViews>
    <sheetView showGridLines="0" zoomScaleNormal="100" workbookViewId="0">
      <selection activeCell="C8" sqref="C8:N16"/>
    </sheetView>
  </sheetViews>
  <sheetFormatPr defaultColWidth="9.140625" defaultRowHeight="15.75" x14ac:dyDescent="0.25"/>
  <cols>
    <col min="1" max="1" width="7.85546875" style="124" customWidth="1"/>
    <col min="2" max="2" width="7.7109375" style="125" customWidth="1"/>
    <col min="3" max="3" width="9" style="125" customWidth="1"/>
    <col min="4" max="4" width="39.28515625" style="53" customWidth="1"/>
    <col min="5" max="5" width="13" style="126" customWidth="1"/>
    <col min="6" max="6" width="12.28515625" style="127" customWidth="1"/>
    <col min="7" max="7" width="12.140625" style="127" bestFit="1" customWidth="1"/>
    <col min="8" max="8" width="14.5703125" style="127" customWidth="1"/>
    <col min="9" max="9" width="19.5703125" style="128" bestFit="1" customWidth="1"/>
    <col min="10" max="10" width="13.7109375" style="129" customWidth="1"/>
    <col min="11" max="11" width="13.7109375" style="129" hidden="1" customWidth="1"/>
    <col min="12" max="12" width="18.42578125" style="129" customWidth="1"/>
    <col min="13" max="13" width="16.42578125" style="129" customWidth="1"/>
    <col min="14" max="14" width="16.140625" style="128" customWidth="1"/>
    <col min="15" max="25" width="16.140625" customWidth="1"/>
    <col min="26" max="26" width="16.140625" style="344" customWidth="1"/>
    <col min="27" max="27" width="22.140625" style="334" bestFit="1" customWidth="1"/>
    <col min="28" max="28" width="31.140625" style="334" bestFit="1" customWidth="1"/>
    <col min="29" max="29" width="7.85546875" style="334" bestFit="1" customWidth="1"/>
    <col min="30" max="30" width="9.140625" style="110" customWidth="1"/>
    <col min="31" max="94" width="9.140625" style="17"/>
    <col min="95" max="16384" width="9.140625" style="18"/>
  </cols>
  <sheetData>
    <row r="1" spans="1:94" x14ac:dyDescent="0.25">
      <c r="A1" s="12" t="s">
        <v>13</v>
      </c>
      <c r="B1" s="13"/>
      <c r="C1" s="13"/>
      <c r="D1" s="14" t="s">
        <v>1989</v>
      </c>
      <c r="E1" s="15"/>
      <c r="F1" s="15"/>
      <c r="G1" s="15"/>
      <c r="H1" s="15"/>
      <c r="I1" s="15"/>
      <c r="J1" s="15"/>
      <c r="K1" s="15"/>
      <c r="L1" s="16" t="s">
        <v>14</v>
      </c>
      <c r="M1" s="467">
        <v>352</v>
      </c>
      <c r="N1" s="468"/>
      <c r="AA1" s="363"/>
      <c r="AB1" s="333"/>
      <c r="AC1" s="333"/>
      <c r="AD1" s="325"/>
    </row>
    <row r="2" spans="1:94" ht="20.25" x14ac:dyDescent="0.25">
      <c r="A2" s="19" t="s">
        <v>116</v>
      </c>
      <c r="B2" s="20"/>
      <c r="C2" s="20"/>
      <c r="D2" s="14" t="s">
        <v>1990</v>
      </c>
      <c r="E2" s="21"/>
      <c r="F2" s="21"/>
      <c r="G2" s="21"/>
      <c r="H2" s="21"/>
      <c r="I2" s="21"/>
      <c r="J2" s="20"/>
      <c r="K2" s="20"/>
      <c r="L2" s="22" t="s">
        <v>113</v>
      </c>
      <c r="M2" s="469" t="s">
        <v>1994</v>
      </c>
      <c r="N2" s="470"/>
      <c r="AA2" s="333"/>
      <c r="AB2" s="333"/>
      <c r="AC2" s="333"/>
      <c r="AD2" s="325"/>
    </row>
    <row r="3" spans="1:94" x14ac:dyDescent="0.25">
      <c r="A3" s="19" t="s">
        <v>117</v>
      </c>
      <c r="B3" s="20"/>
      <c r="C3" s="20"/>
      <c r="D3" s="23" t="s">
        <v>2027</v>
      </c>
      <c r="E3" s="24"/>
      <c r="F3" s="25"/>
      <c r="G3" s="25"/>
      <c r="H3" s="25"/>
      <c r="I3" s="26"/>
      <c r="J3" s="20"/>
      <c r="K3" s="20"/>
      <c r="L3" s="22" t="s">
        <v>114</v>
      </c>
      <c r="M3" s="467" t="s">
        <v>1369</v>
      </c>
      <c r="N3" s="468"/>
      <c r="AA3" s="363"/>
      <c r="AB3" s="333"/>
      <c r="AC3" s="333"/>
      <c r="AD3" s="325"/>
    </row>
    <row r="4" spans="1:94" x14ac:dyDescent="0.25">
      <c r="A4" s="19"/>
      <c r="B4" s="20"/>
      <c r="C4" s="20"/>
      <c r="D4" s="27"/>
      <c r="E4" s="24"/>
      <c r="F4" s="25"/>
      <c r="G4" s="25"/>
      <c r="H4" s="25"/>
      <c r="I4" s="28"/>
      <c r="J4" s="26"/>
      <c r="K4" s="26"/>
      <c r="L4" s="22" t="s">
        <v>15</v>
      </c>
      <c r="M4" s="467">
        <v>2023</v>
      </c>
      <c r="N4" s="468"/>
      <c r="AA4" s="363"/>
      <c r="AB4" s="333"/>
      <c r="AC4" s="333"/>
      <c r="AD4" s="325"/>
    </row>
    <row r="5" spans="1:94" s="34" customFormat="1" ht="18" customHeight="1" x14ac:dyDescent="0.25">
      <c r="A5" s="19" t="s">
        <v>16</v>
      </c>
      <c r="B5" s="20"/>
      <c r="C5" s="20"/>
      <c r="D5" s="350">
        <v>44440</v>
      </c>
      <c r="E5" s="27"/>
      <c r="F5" s="30"/>
      <c r="G5" s="31"/>
      <c r="H5" s="31" t="s">
        <v>17</v>
      </c>
      <c r="I5" s="469" t="s">
        <v>1992</v>
      </c>
      <c r="J5" s="471"/>
      <c r="K5" s="471"/>
      <c r="L5" s="470"/>
      <c r="M5" s="351" t="s">
        <v>115</v>
      </c>
      <c r="N5" s="32" t="s">
        <v>1993</v>
      </c>
      <c r="O5"/>
      <c r="P5"/>
      <c r="Q5"/>
      <c r="R5"/>
      <c r="S5"/>
      <c r="T5"/>
      <c r="U5"/>
      <c r="V5"/>
      <c r="W5"/>
      <c r="X5"/>
      <c r="Y5"/>
      <c r="Z5" s="344"/>
      <c r="AA5" s="363"/>
      <c r="AB5" s="333"/>
      <c r="AC5" s="333"/>
      <c r="AD5" s="326"/>
      <c r="AE5" s="33"/>
      <c r="AF5" s="33"/>
      <c r="AG5" s="33"/>
      <c r="AH5" s="33"/>
      <c r="AI5" s="33"/>
      <c r="AJ5" s="33"/>
      <c r="AK5" s="33"/>
      <c r="AL5" s="33"/>
      <c r="AM5" s="33"/>
      <c r="AN5" s="33"/>
      <c r="AO5" s="33"/>
      <c r="AP5" s="33"/>
      <c r="AQ5" s="33"/>
      <c r="AR5" s="33"/>
      <c r="AS5" s="33"/>
      <c r="AT5" s="33"/>
      <c r="AU5" s="33"/>
      <c r="AV5" s="33"/>
      <c r="AW5" s="33"/>
      <c r="AX5" s="33"/>
      <c r="AY5" s="33"/>
      <c r="AZ5" s="33"/>
      <c r="BA5" s="33"/>
      <c r="BB5" s="33"/>
      <c r="BC5" s="33"/>
      <c r="BD5" s="33"/>
      <c r="BE5" s="33"/>
      <c r="BF5" s="33"/>
      <c r="BG5" s="33"/>
      <c r="BH5" s="33"/>
      <c r="BI5" s="33"/>
      <c r="BJ5" s="33"/>
      <c r="BK5" s="33"/>
      <c r="BL5" s="33"/>
      <c r="BM5" s="33"/>
      <c r="BN5" s="33"/>
      <c r="BO5" s="33"/>
      <c r="BP5" s="33"/>
      <c r="BQ5" s="33"/>
      <c r="BR5" s="33"/>
      <c r="BS5" s="33"/>
      <c r="BT5" s="33"/>
      <c r="BU5" s="33"/>
      <c r="BV5" s="33"/>
      <c r="BW5" s="33"/>
      <c r="BX5" s="33"/>
      <c r="BY5" s="33"/>
      <c r="BZ5" s="33"/>
      <c r="CA5" s="33"/>
      <c r="CB5" s="33"/>
      <c r="CC5" s="33"/>
      <c r="CD5" s="33"/>
      <c r="CE5" s="33"/>
      <c r="CF5" s="33"/>
      <c r="CG5" s="33"/>
      <c r="CH5" s="33"/>
      <c r="CI5" s="33"/>
      <c r="CJ5" s="33"/>
      <c r="CK5" s="33"/>
      <c r="CL5" s="33"/>
      <c r="CM5" s="33"/>
      <c r="CN5" s="33"/>
      <c r="CO5" s="33"/>
      <c r="CP5" s="33"/>
    </row>
    <row r="6" spans="1:94" ht="23.25" customHeight="1" x14ac:dyDescent="0.25">
      <c r="A6" s="19"/>
      <c r="B6" s="20" t="s">
        <v>18</v>
      </c>
      <c r="C6" s="20"/>
      <c r="D6" s="29"/>
      <c r="E6" s="35" t="s">
        <v>19</v>
      </c>
      <c r="F6" s="36"/>
      <c r="G6" s="25"/>
      <c r="H6" s="25"/>
      <c r="I6" s="37"/>
      <c r="J6" s="31" t="s">
        <v>84</v>
      </c>
      <c r="K6" s="31"/>
      <c r="L6" s="352"/>
      <c r="M6" s="353" t="s">
        <v>85</v>
      </c>
      <c r="N6" s="306"/>
      <c r="AA6" s="363"/>
      <c r="AB6" s="333"/>
      <c r="AC6" s="333"/>
      <c r="AD6" s="325"/>
    </row>
    <row r="7" spans="1:94" x14ac:dyDescent="0.25">
      <c r="A7" s="38"/>
      <c r="B7" s="39"/>
      <c r="C7" s="40"/>
      <c r="D7" s="41"/>
      <c r="E7" s="42"/>
      <c r="F7" s="40"/>
      <c r="G7" s="43"/>
      <c r="H7" s="44"/>
      <c r="I7" s="45"/>
      <c r="J7" s="46"/>
      <c r="K7" s="46"/>
      <c r="L7" s="46"/>
      <c r="M7" s="46"/>
      <c r="N7" s="47"/>
    </row>
    <row r="8" spans="1:94" s="52" customFormat="1" ht="40.5" customHeight="1" x14ac:dyDescent="0.25">
      <c r="A8" s="48" t="s">
        <v>20</v>
      </c>
      <c r="B8" s="369" t="s">
        <v>21</v>
      </c>
      <c r="C8" s="472" t="s">
        <v>22</v>
      </c>
      <c r="D8" s="473"/>
      <c r="E8" s="369" t="s">
        <v>23</v>
      </c>
      <c r="F8" s="49" t="s">
        <v>24</v>
      </c>
      <c r="G8" s="50" t="str">
        <f>"FY "&amp;'TAAD|0001-00'!FiscalYear-1&amp;" SALARY"</f>
        <v>FY 2022 SALARY</v>
      </c>
      <c r="H8" s="50" t="str">
        <f>"FY "&amp;'TAAD|0001-00'!FiscalYear-1&amp;" HEALTH BENEFITS"</f>
        <v>FY 2022 HEALTH BENEFITS</v>
      </c>
      <c r="I8" s="50" t="str">
        <f>"FY "&amp;'TAAD|0001-00'!FiscalYear-1&amp;" VAR BENEFITS"</f>
        <v>FY 2022 VAR BENEFITS</v>
      </c>
      <c r="J8" s="50" t="str">
        <f>"FY "&amp;'TAAD|0001-00'!FiscalYear-1&amp;" TOTAL"</f>
        <v>FY 2022 TOTAL</v>
      </c>
      <c r="K8" s="50" t="str">
        <f>"FY "&amp;'TAAD|0001-00'!FiscalYear&amp;" SALARY CHANGE"</f>
        <v>FY 2023 SALARY CHANGE</v>
      </c>
      <c r="L8" s="50" t="str">
        <f>"FY "&amp;'TAAD|0001-00'!FiscalYear&amp;" CHG HEALTH BENEFITS"</f>
        <v>FY 2023 CHG HEALTH BENEFITS</v>
      </c>
      <c r="M8" s="50" t="str">
        <f>"FY "&amp;'TAAD|0001-00'!FiscalYear&amp;" CHG VAR BENEFITS"</f>
        <v>FY 2023 CHG VAR BENEFITS</v>
      </c>
      <c r="N8" s="50" t="s">
        <v>25</v>
      </c>
      <c r="O8"/>
      <c r="P8"/>
      <c r="Q8"/>
      <c r="R8"/>
      <c r="S8"/>
      <c r="T8"/>
      <c r="U8"/>
      <c r="V8"/>
      <c r="W8"/>
      <c r="X8"/>
      <c r="Y8"/>
      <c r="Z8" s="344"/>
      <c r="AA8" s="463" t="s">
        <v>105</v>
      </c>
      <c r="AB8" s="463"/>
      <c r="AC8" s="463"/>
      <c r="AD8" s="327"/>
      <c r="AE8" s="51"/>
      <c r="AF8" s="51"/>
      <c r="AG8" s="51"/>
      <c r="AH8" s="51"/>
      <c r="AI8" s="51"/>
      <c r="AJ8" s="51"/>
      <c r="AK8" s="51"/>
      <c r="AL8" s="51"/>
      <c r="AM8" s="51"/>
      <c r="AN8" s="51"/>
      <c r="AO8" s="51"/>
      <c r="AP8" s="51"/>
      <c r="AQ8" s="51"/>
      <c r="AR8" s="51"/>
      <c r="AS8" s="51"/>
      <c r="AT8" s="51"/>
      <c r="AU8" s="51"/>
      <c r="AV8" s="51"/>
      <c r="AW8" s="51"/>
      <c r="AX8" s="51"/>
      <c r="AY8" s="51"/>
      <c r="AZ8" s="51"/>
      <c r="BA8" s="51"/>
      <c r="BB8" s="51"/>
      <c r="BC8" s="51"/>
      <c r="BD8" s="51"/>
      <c r="BE8" s="51"/>
      <c r="BF8" s="51"/>
      <c r="BG8" s="51"/>
      <c r="BH8" s="51"/>
      <c r="BI8" s="51"/>
      <c r="BJ8" s="51"/>
      <c r="BK8" s="51"/>
      <c r="BL8" s="51"/>
      <c r="BM8" s="51"/>
      <c r="BN8" s="51"/>
      <c r="BO8" s="51"/>
      <c r="BP8" s="51"/>
      <c r="BQ8" s="51"/>
      <c r="BR8" s="51"/>
      <c r="BS8" s="51"/>
      <c r="BT8" s="51"/>
      <c r="BU8" s="51"/>
      <c r="BV8" s="51"/>
      <c r="BW8" s="51"/>
      <c r="BX8" s="51"/>
      <c r="BY8" s="51"/>
      <c r="BZ8" s="51"/>
      <c r="CA8" s="51"/>
      <c r="CB8" s="51"/>
      <c r="CC8" s="51"/>
      <c r="CD8" s="51"/>
      <c r="CE8" s="51"/>
      <c r="CF8" s="51"/>
      <c r="CG8" s="51"/>
      <c r="CH8" s="51"/>
      <c r="CI8" s="51"/>
      <c r="CJ8" s="51"/>
      <c r="CK8" s="51"/>
      <c r="CL8" s="51"/>
      <c r="CM8" s="51"/>
      <c r="CN8" s="51"/>
      <c r="CO8" s="51"/>
      <c r="CP8" s="51"/>
    </row>
    <row r="9" spans="1:94" s="149" customFormat="1" x14ac:dyDescent="0.25">
      <c r="A9" s="139"/>
      <c r="B9" s="140"/>
      <c r="C9" s="464" t="s">
        <v>26</v>
      </c>
      <c r="D9" s="465"/>
      <c r="E9" s="141"/>
      <c r="F9" s="142"/>
      <c r="G9" s="143"/>
      <c r="H9" s="143"/>
      <c r="I9" s="143"/>
      <c r="J9" s="144"/>
      <c r="K9" s="144"/>
      <c r="L9" s="145"/>
      <c r="M9" s="146"/>
      <c r="N9" s="144"/>
      <c r="O9"/>
      <c r="P9"/>
      <c r="Q9"/>
      <c r="R9"/>
      <c r="S9"/>
      <c r="T9"/>
      <c r="U9"/>
      <c r="V9"/>
      <c r="W9"/>
      <c r="X9"/>
      <c r="Y9"/>
      <c r="Z9" s="344"/>
      <c r="AA9" s="363" t="s">
        <v>94</v>
      </c>
      <c r="AB9" s="333" t="s">
        <v>95</v>
      </c>
      <c r="AC9" s="333" t="s">
        <v>106</v>
      </c>
      <c r="AD9" s="328"/>
      <c r="AE9" s="148"/>
      <c r="AF9" s="148"/>
      <c r="AG9" s="148"/>
      <c r="AH9" s="148"/>
      <c r="AI9" s="148"/>
      <c r="AJ9" s="148"/>
      <c r="AK9" s="148"/>
      <c r="AL9" s="148"/>
      <c r="AM9" s="148"/>
      <c r="AN9" s="148"/>
      <c r="AO9" s="148"/>
      <c r="AP9" s="148"/>
      <c r="AQ9" s="148"/>
      <c r="AR9" s="148"/>
      <c r="AS9" s="148"/>
      <c r="AT9" s="148"/>
      <c r="AU9" s="148"/>
      <c r="AV9" s="148"/>
      <c r="AW9" s="148"/>
      <c r="AX9" s="148"/>
      <c r="AY9" s="148"/>
      <c r="AZ9" s="148"/>
      <c r="BA9" s="148"/>
      <c r="BB9" s="148"/>
      <c r="BC9" s="148"/>
      <c r="BD9" s="148"/>
      <c r="BE9" s="148"/>
      <c r="BF9" s="148"/>
      <c r="BG9" s="148"/>
      <c r="BH9" s="148"/>
      <c r="BI9" s="148"/>
      <c r="BJ9" s="148"/>
      <c r="BK9" s="148"/>
      <c r="BL9" s="148"/>
      <c r="BM9" s="148"/>
      <c r="BN9" s="148"/>
      <c r="BO9" s="148"/>
      <c r="BP9" s="148"/>
      <c r="BQ9" s="148"/>
      <c r="BR9" s="148"/>
      <c r="BS9" s="148"/>
      <c r="BT9" s="148"/>
      <c r="BU9" s="148"/>
      <c r="BV9" s="148"/>
      <c r="BW9" s="148"/>
      <c r="BX9" s="148"/>
      <c r="BY9" s="148"/>
      <c r="BZ9" s="148"/>
      <c r="CA9" s="148"/>
      <c r="CB9" s="148"/>
      <c r="CC9" s="148"/>
      <c r="CD9" s="148"/>
      <c r="CE9" s="148"/>
      <c r="CF9" s="148"/>
      <c r="CG9" s="148"/>
      <c r="CH9" s="148"/>
      <c r="CI9" s="148"/>
      <c r="CJ9" s="148"/>
      <c r="CK9" s="148"/>
      <c r="CL9" s="148"/>
      <c r="CM9" s="148"/>
      <c r="CN9" s="148"/>
      <c r="CO9" s="148"/>
      <c r="CP9" s="148"/>
    </row>
    <row r="10" spans="1:94" s="149" customFormat="1" x14ac:dyDescent="0.25">
      <c r="A10" s="139"/>
      <c r="B10" s="139"/>
      <c r="C10" s="443" t="s">
        <v>27</v>
      </c>
      <c r="D10" s="466"/>
      <c r="E10" s="217">
        <v>1</v>
      </c>
      <c r="F10" s="288">
        <f>[0]!TAAD000100col_INC_FTI</f>
        <v>39</v>
      </c>
      <c r="G10" s="218">
        <f>[0]!TAAD000100col_FTI_SALARY_PERM</f>
        <v>2557755.2000000002</v>
      </c>
      <c r="H10" s="218">
        <f>[0]!TAAD000100col_HEALTH_PERM</f>
        <v>454350</v>
      </c>
      <c r="I10" s="218">
        <f>[0]!TAAD000100col_TOT_VB_PERM</f>
        <v>545697.15553599992</v>
      </c>
      <c r="J10" s="219">
        <f>SUM(G10:I10)</f>
        <v>3557802.3555359999</v>
      </c>
      <c r="K10" s="219">
        <f>[0]!TAAD000100col_1_27TH_PP</f>
        <v>0</v>
      </c>
      <c r="L10" s="218">
        <f>[0]!TAAD000100col_HEALTH_PERM_CHG</f>
        <v>0</v>
      </c>
      <c r="M10" s="218">
        <f>[0]!TAAD000100col_TOT_VB_PERM_CHG</f>
        <v>-12277.224959999996</v>
      </c>
      <c r="N10" s="218">
        <f>SUM(L10:M10)</f>
        <v>-12277.224959999996</v>
      </c>
      <c r="O10"/>
      <c r="P10"/>
      <c r="Q10"/>
      <c r="R10"/>
      <c r="S10"/>
      <c r="T10"/>
      <c r="U10"/>
      <c r="V10"/>
      <c r="W10"/>
      <c r="X10"/>
      <c r="Y10"/>
      <c r="Z10" s="344"/>
      <c r="AA10" s="338">
        <f>ROUND(CECPerm*PermSalary,-2)</f>
        <v>25600</v>
      </c>
      <c r="AB10" s="335">
        <f>ROUND(PermVarBen*CECPerm+(CECPerm*PermVarBenChg),-2)</f>
        <v>5300</v>
      </c>
      <c r="AC10" s="335">
        <f>SUM(AA10:AB10)</f>
        <v>30900</v>
      </c>
      <c r="AD10" s="328"/>
      <c r="AE10" s="148"/>
      <c r="AF10" s="148"/>
      <c r="AG10" s="148"/>
      <c r="AH10" s="148"/>
      <c r="AI10" s="148"/>
      <c r="AJ10" s="148"/>
      <c r="AK10" s="148"/>
      <c r="AL10" s="148"/>
      <c r="AM10" s="148"/>
      <c r="AN10" s="148"/>
      <c r="AO10" s="148"/>
      <c r="AP10" s="148"/>
      <c r="AQ10" s="148"/>
      <c r="AR10" s="148"/>
      <c r="AS10" s="148"/>
      <c r="AT10" s="148"/>
      <c r="AU10" s="148"/>
      <c r="AV10" s="148"/>
      <c r="AW10" s="148"/>
      <c r="AX10" s="148"/>
      <c r="AY10" s="148"/>
      <c r="AZ10" s="148"/>
      <c r="BA10" s="148"/>
      <c r="BB10" s="148"/>
      <c r="BC10" s="148"/>
      <c r="BD10" s="148"/>
      <c r="BE10" s="148"/>
      <c r="BF10" s="148"/>
      <c r="BG10" s="148"/>
      <c r="BH10" s="148"/>
      <c r="BI10" s="148"/>
      <c r="BJ10" s="148"/>
      <c r="BK10" s="148"/>
      <c r="BL10" s="148"/>
      <c r="BM10" s="148"/>
      <c r="BN10" s="148"/>
      <c r="BO10" s="148"/>
      <c r="BP10" s="148"/>
      <c r="BQ10" s="148"/>
      <c r="BR10" s="148"/>
      <c r="BS10" s="148"/>
      <c r="BT10" s="148"/>
      <c r="BU10" s="148"/>
      <c r="BV10" s="148"/>
      <c r="BW10" s="148"/>
      <c r="BX10" s="148"/>
      <c r="BY10" s="148"/>
      <c r="BZ10" s="148"/>
      <c r="CA10" s="148"/>
      <c r="CB10" s="148"/>
      <c r="CC10" s="148"/>
      <c r="CD10" s="148"/>
      <c r="CE10" s="148"/>
      <c r="CF10" s="148"/>
      <c r="CG10" s="148"/>
      <c r="CH10" s="148"/>
      <c r="CI10" s="148"/>
      <c r="CJ10" s="148"/>
      <c r="CK10" s="148"/>
      <c r="CL10" s="148"/>
      <c r="CM10" s="148"/>
      <c r="CN10" s="148"/>
      <c r="CO10" s="148"/>
      <c r="CP10" s="148"/>
    </row>
    <row r="11" spans="1:94" s="149" customFormat="1" x14ac:dyDescent="0.25">
      <c r="A11" s="139"/>
      <c r="B11" s="139"/>
      <c r="C11" s="443" t="s">
        <v>28</v>
      </c>
      <c r="D11" s="466"/>
      <c r="E11" s="217">
        <v>2</v>
      </c>
      <c r="F11" s="288"/>
      <c r="G11" s="218">
        <f>[0]!TAAD000100col_Group_Salary</f>
        <v>0</v>
      </c>
      <c r="H11" s="218">
        <v>0</v>
      </c>
      <c r="I11" s="218">
        <f>[0]!TAAD000100col_Group_Ben</f>
        <v>0</v>
      </c>
      <c r="J11" s="219">
        <f>SUM(G11:I11)</f>
        <v>0</v>
      </c>
      <c r="K11" s="268"/>
      <c r="L11" s="218"/>
      <c r="M11" s="218"/>
      <c r="N11" s="218"/>
      <c r="O11"/>
      <c r="P11"/>
      <c r="Q11"/>
      <c r="R11"/>
      <c r="S11"/>
      <c r="T11"/>
      <c r="U11"/>
      <c r="V11"/>
      <c r="W11"/>
      <c r="X11"/>
      <c r="Y11"/>
      <c r="Z11" s="344"/>
      <c r="AA11" s="338">
        <f>ROUND(GroupSalary*CECGroup,-2)</f>
        <v>0</v>
      </c>
      <c r="AB11" s="335">
        <f>ROUND((GroupSalary*GroupVBBY)*CECGroup,-2)</f>
        <v>0</v>
      </c>
      <c r="AC11" s="335">
        <f>SUM(AA12:AB12)</f>
        <v>0</v>
      </c>
      <c r="AD11" s="328"/>
      <c r="AE11" s="148"/>
      <c r="AF11" s="148"/>
      <c r="AG11" s="148"/>
      <c r="AH11" s="148"/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148"/>
      <c r="AV11" s="148"/>
      <c r="AW11" s="148"/>
      <c r="AX11" s="148"/>
      <c r="AY11" s="148"/>
      <c r="AZ11" s="148"/>
      <c r="BA11" s="148"/>
      <c r="BB11" s="148"/>
      <c r="BC11" s="148"/>
      <c r="BD11" s="148"/>
      <c r="BE11" s="148"/>
      <c r="BF11" s="148"/>
      <c r="BG11" s="148"/>
      <c r="BH11" s="148"/>
      <c r="BI11" s="148"/>
      <c r="BJ11" s="148"/>
      <c r="BK11" s="148"/>
      <c r="BL11" s="148"/>
      <c r="BM11" s="148"/>
      <c r="BN11" s="148"/>
      <c r="BO11" s="148"/>
      <c r="BP11" s="148"/>
      <c r="BQ11" s="148"/>
      <c r="BR11" s="148"/>
      <c r="BS11" s="148"/>
      <c r="BT11" s="148"/>
      <c r="BU11" s="148"/>
      <c r="BV11" s="148"/>
      <c r="BW11" s="148"/>
      <c r="BX11" s="148"/>
      <c r="BY11" s="148"/>
      <c r="BZ11" s="148"/>
      <c r="CA11" s="148"/>
      <c r="CB11" s="148"/>
      <c r="CC11" s="148"/>
      <c r="CD11" s="148"/>
      <c r="CE11" s="148"/>
      <c r="CF11" s="148"/>
      <c r="CG11" s="148"/>
      <c r="CH11" s="148"/>
      <c r="CI11" s="148"/>
      <c r="CJ11" s="148"/>
      <c r="CK11" s="148"/>
      <c r="CL11" s="148"/>
      <c r="CM11" s="148"/>
      <c r="CN11" s="148"/>
      <c r="CO11" s="148"/>
      <c r="CP11" s="148"/>
    </row>
    <row r="12" spans="1:94" s="149" customFormat="1" x14ac:dyDescent="0.25">
      <c r="A12" s="139"/>
      <c r="B12" s="139"/>
      <c r="C12" s="443" t="s">
        <v>29</v>
      </c>
      <c r="D12" s="444"/>
      <c r="E12" s="217">
        <v>3</v>
      </c>
      <c r="F12" s="288">
        <f>[0]!TAAD000100col_TOTAL_ELECT_PCN_FTI</f>
        <v>0</v>
      </c>
      <c r="G12" s="218">
        <f>[0]!TAAD000100col_FTI_SALARY_ELECT</f>
        <v>0</v>
      </c>
      <c r="H12" s="218">
        <f>[0]!TAAD000100col_HEALTH_ELECT</f>
        <v>0</v>
      </c>
      <c r="I12" s="218">
        <f>[0]!TAAD000100col_TOT_VB_ELECT</f>
        <v>0</v>
      </c>
      <c r="J12" s="219">
        <f>SUM(G12:I12)</f>
        <v>0</v>
      </c>
      <c r="K12" s="268"/>
      <c r="L12" s="218">
        <f>[0]!TAAD000100col_HEALTH_ELECT_CHG</f>
        <v>0</v>
      </c>
      <c r="M12" s="218">
        <f>[0]!TAAD000100col_TOT_VB_ELECT_CHG</f>
        <v>0</v>
      </c>
      <c r="N12" s="219">
        <f>SUM(L12:M12)</f>
        <v>0</v>
      </c>
      <c r="O12"/>
      <c r="P12"/>
      <c r="Q12"/>
      <c r="R12"/>
      <c r="S12"/>
      <c r="T12"/>
      <c r="U12"/>
      <c r="V12"/>
      <c r="W12"/>
      <c r="X12"/>
      <c r="Y12"/>
      <c r="Z12" s="344"/>
      <c r="AA12" s="336"/>
      <c r="AB12" s="336"/>
      <c r="AC12" s="336"/>
      <c r="AD12" s="328"/>
      <c r="AE12" s="148"/>
      <c r="AF12" s="148"/>
      <c r="AG12" s="148"/>
      <c r="AH12" s="148"/>
      <c r="AI12" s="148"/>
      <c r="AJ12" s="148"/>
      <c r="AK12" s="148"/>
      <c r="AL12" s="148"/>
      <c r="AM12" s="148"/>
      <c r="AN12" s="148"/>
      <c r="AO12" s="148"/>
      <c r="AP12" s="148"/>
      <c r="AQ12" s="148"/>
      <c r="AR12" s="148"/>
      <c r="AS12" s="148"/>
      <c r="AT12" s="148"/>
      <c r="AU12" s="148"/>
      <c r="AV12" s="148"/>
      <c r="AW12" s="148"/>
      <c r="AX12" s="148"/>
      <c r="AY12" s="148"/>
      <c r="AZ12" s="148"/>
      <c r="BA12" s="148"/>
      <c r="BB12" s="148"/>
      <c r="BC12" s="148"/>
      <c r="BD12" s="148"/>
      <c r="BE12" s="148"/>
      <c r="BF12" s="148"/>
      <c r="BG12" s="148"/>
      <c r="BH12" s="148"/>
      <c r="BI12" s="148"/>
      <c r="BJ12" s="148"/>
      <c r="BK12" s="148"/>
      <c r="BL12" s="148"/>
      <c r="BM12" s="148"/>
      <c r="BN12" s="148"/>
      <c r="BO12" s="148"/>
      <c r="BP12" s="148"/>
      <c r="BQ12" s="148"/>
      <c r="BR12" s="148"/>
      <c r="BS12" s="148"/>
      <c r="BT12" s="148"/>
      <c r="BU12" s="148"/>
      <c r="BV12" s="148"/>
      <c r="BW12" s="148"/>
      <c r="BX12" s="148"/>
      <c r="BY12" s="148"/>
      <c r="BZ12" s="148"/>
      <c r="CA12" s="148"/>
      <c r="CB12" s="148"/>
      <c r="CC12" s="148"/>
      <c r="CD12" s="148"/>
      <c r="CE12" s="148"/>
      <c r="CF12" s="148"/>
      <c r="CG12" s="148"/>
      <c r="CH12" s="148"/>
      <c r="CI12" s="148"/>
      <c r="CJ12" s="148"/>
      <c r="CK12" s="148"/>
      <c r="CL12" s="148"/>
      <c r="CM12" s="148"/>
      <c r="CN12" s="148"/>
      <c r="CO12" s="148"/>
      <c r="CP12" s="148"/>
    </row>
    <row r="13" spans="1:94" s="153" customFormat="1" x14ac:dyDescent="0.25">
      <c r="A13" s="139"/>
      <c r="B13" s="139"/>
      <c r="C13" s="443" t="s">
        <v>30</v>
      </c>
      <c r="D13" s="466"/>
      <c r="E13" s="217"/>
      <c r="F13" s="220">
        <f>SUM(F10:F12)</f>
        <v>39</v>
      </c>
      <c r="G13" s="221">
        <f>SUM(G10:G12)</f>
        <v>2557755.2000000002</v>
      </c>
      <c r="H13" s="221">
        <f>SUM(H10:H12)</f>
        <v>454350</v>
      </c>
      <c r="I13" s="221">
        <f>SUM(I10:I12)</f>
        <v>545697.15553599992</v>
      </c>
      <c r="J13" s="219">
        <f>SUM(G13:I13)</f>
        <v>3557802.3555359999</v>
      </c>
      <c r="K13" s="268"/>
      <c r="L13" s="219">
        <f>SUM(L10:L12)</f>
        <v>0</v>
      </c>
      <c r="M13" s="219">
        <f>SUM(M10:M12)</f>
        <v>-12277.224959999996</v>
      </c>
      <c r="N13" s="219">
        <f>SUM(N10:N12)</f>
        <v>-12277.224959999996</v>
      </c>
      <c r="O13"/>
      <c r="P13"/>
      <c r="Q13"/>
      <c r="R13"/>
      <c r="S13"/>
      <c r="T13"/>
      <c r="U13"/>
      <c r="V13"/>
      <c r="W13"/>
      <c r="X13"/>
      <c r="Y13"/>
      <c r="Z13" s="344"/>
      <c r="AA13" s="336"/>
      <c r="AB13" s="336"/>
      <c r="AC13" s="336"/>
      <c r="AD13" s="329"/>
      <c r="AE13" s="147"/>
      <c r="AF13" s="147"/>
      <c r="AG13" s="147"/>
      <c r="AH13" s="147"/>
      <c r="AI13" s="147"/>
      <c r="AJ13" s="147"/>
      <c r="AK13" s="147"/>
      <c r="AL13" s="147"/>
      <c r="AM13" s="147"/>
      <c r="AN13" s="147"/>
      <c r="AO13" s="147"/>
      <c r="AP13" s="147"/>
      <c r="AQ13" s="147"/>
      <c r="AR13" s="147"/>
      <c r="AS13" s="147"/>
      <c r="AT13" s="147"/>
      <c r="AU13" s="147"/>
      <c r="AV13" s="147"/>
      <c r="AW13" s="147"/>
      <c r="AX13" s="147"/>
      <c r="AY13" s="147"/>
      <c r="AZ13" s="147"/>
      <c r="BA13" s="147"/>
      <c r="BB13" s="147"/>
      <c r="BC13" s="147"/>
      <c r="BD13" s="147"/>
      <c r="BE13" s="147"/>
      <c r="BF13" s="147"/>
      <c r="BG13" s="147"/>
      <c r="BH13" s="147"/>
      <c r="BI13" s="147"/>
      <c r="BJ13" s="147"/>
      <c r="BK13" s="147"/>
      <c r="BL13" s="147"/>
      <c r="BM13" s="147"/>
      <c r="BN13" s="147"/>
      <c r="BO13" s="147"/>
      <c r="BP13" s="147"/>
      <c r="BQ13" s="147"/>
      <c r="BR13" s="147"/>
      <c r="BS13" s="147"/>
      <c r="BT13" s="147"/>
      <c r="BU13" s="147"/>
      <c r="BV13" s="147"/>
      <c r="BW13" s="147"/>
      <c r="BX13" s="147"/>
      <c r="BY13" s="147"/>
      <c r="BZ13" s="147"/>
      <c r="CA13" s="147"/>
      <c r="CB13" s="147"/>
      <c r="CC13" s="147"/>
      <c r="CD13" s="147"/>
      <c r="CE13" s="147"/>
      <c r="CF13" s="147"/>
      <c r="CG13" s="147"/>
      <c r="CH13" s="147"/>
      <c r="CI13" s="147"/>
      <c r="CJ13" s="147"/>
      <c r="CK13" s="147"/>
      <c r="CL13" s="147"/>
      <c r="CM13" s="147"/>
      <c r="CN13" s="147"/>
      <c r="CO13" s="147"/>
      <c r="CP13" s="147"/>
    </row>
    <row r="14" spans="1:94" s="153" customFormat="1" ht="5.45" customHeight="1" x14ac:dyDescent="0.25">
      <c r="A14" s="139"/>
      <c r="B14" s="139"/>
      <c r="C14" s="364"/>
      <c r="D14" s="370"/>
      <c r="E14" s="217"/>
      <c r="F14" s="220"/>
      <c r="G14" s="219"/>
      <c r="H14" s="219"/>
      <c r="I14" s="219"/>
      <c r="J14" s="219"/>
      <c r="K14" s="268"/>
      <c r="L14" s="219"/>
      <c r="M14" s="222"/>
      <c r="N14" s="222"/>
      <c r="O14"/>
      <c r="P14"/>
      <c r="Q14"/>
      <c r="R14"/>
      <c r="S14"/>
      <c r="T14"/>
      <c r="U14"/>
      <c r="V14"/>
      <c r="W14"/>
      <c r="X14"/>
      <c r="Y14"/>
      <c r="Z14" s="344"/>
      <c r="AA14" s="336"/>
      <c r="AB14" s="336"/>
      <c r="AC14" s="336"/>
      <c r="AD14" s="329"/>
      <c r="AE14" s="147"/>
      <c r="AF14" s="147"/>
      <c r="AG14" s="147"/>
      <c r="AH14" s="147"/>
      <c r="AI14" s="147"/>
      <c r="AJ14" s="147"/>
      <c r="AK14" s="147"/>
      <c r="AL14" s="147"/>
      <c r="AM14" s="147"/>
      <c r="AN14" s="147"/>
      <c r="AO14" s="147"/>
      <c r="AP14" s="147"/>
      <c r="AQ14" s="147"/>
      <c r="AR14" s="147"/>
      <c r="AS14" s="147"/>
      <c r="AT14" s="147"/>
      <c r="AU14" s="147"/>
      <c r="AV14" s="147"/>
      <c r="AW14" s="147"/>
      <c r="AX14" s="147"/>
      <c r="AY14" s="147"/>
      <c r="AZ14" s="147"/>
      <c r="BA14" s="147"/>
      <c r="BB14" s="147"/>
      <c r="BC14" s="147"/>
      <c r="BD14" s="147"/>
      <c r="BE14" s="147"/>
      <c r="BF14" s="147"/>
      <c r="BG14" s="147"/>
      <c r="BH14" s="147"/>
      <c r="BI14" s="147"/>
      <c r="BJ14" s="147"/>
      <c r="BK14" s="147"/>
      <c r="BL14" s="147"/>
      <c r="BM14" s="147"/>
      <c r="BN14" s="147"/>
      <c r="BO14" s="147"/>
      <c r="BP14" s="147"/>
      <c r="BQ14" s="147"/>
      <c r="BR14" s="147"/>
      <c r="BS14" s="147"/>
      <c r="BT14" s="147"/>
      <c r="BU14" s="147"/>
      <c r="BV14" s="147"/>
      <c r="BW14" s="147"/>
      <c r="BX14" s="147"/>
      <c r="BY14" s="147"/>
      <c r="BZ14" s="147"/>
      <c r="CA14" s="147"/>
      <c r="CB14" s="147"/>
      <c r="CC14" s="147"/>
      <c r="CD14" s="147"/>
      <c r="CE14" s="147"/>
      <c r="CF14" s="147"/>
      <c r="CG14" s="147"/>
      <c r="CH14" s="147"/>
      <c r="CI14" s="147"/>
      <c r="CJ14" s="147"/>
      <c r="CK14" s="147"/>
      <c r="CL14" s="147"/>
      <c r="CM14" s="147"/>
      <c r="CN14" s="147"/>
      <c r="CO14" s="147"/>
      <c r="CP14" s="147"/>
    </row>
    <row r="15" spans="1:94" s="153" customFormat="1" ht="15.75" customHeight="1" x14ac:dyDescent="0.25">
      <c r="A15" s="139"/>
      <c r="B15" s="156"/>
      <c r="C15" s="157" t="str">
        <f>"FY "&amp;'TAAD|0001-00'!FiscalYear-1</f>
        <v>FY 2022</v>
      </c>
      <c r="D15" s="158" t="s">
        <v>31</v>
      </c>
      <c r="E15" s="354">
        <v>3540700</v>
      </c>
      <c r="F15" s="55">
        <v>40</v>
      </c>
      <c r="G15" s="223">
        <f>IF(OrigApprop=0,0,(G13/$J$13)*OrigApprop)</f>
        <v>2545460.0710318643</v>
      </c>
      <c r="H15" s="223">
        <f>IF(OrigApprop=0,0,(H13/$J$13)*OrigApprop)</f>
        <v>452165.93959942978</v>
      </c>
      <c r="I15" s="223">
        <f>IF(G15=0,0,(I13/$J$13)*OrigApprop)</f>
        <v>543073.98936870613</v>
      </c>
      <c r="J15" s="223">
        <f>SUM(G15:I15)</f>
        <v>3540700</v>
      </c>
      <c r="K15" s="268"/>
      <c r="L15" s="224"/>
      <c r="M15" s="224"/>
      <c r="N15" s="224"/>
      <c r="O15"/>
      <c r="P15"/>
      <c r="Q15"/>
      <c r="R15"/>
      <c r="S15"/>
      <c r="T15"/>
      <c r="U15"/>
      <c r="V15"/>
      <c r="W15"/>
      <c r="X15"/>
      <c r="Y15"/>
      <c r="Z15" s="344"/>
      <c r="AA15" s="336"/>
      <c r="AB15" s="336"/>
      <c r="AC15" s="336"/>
      <c r="AD15" s="329"/>
      <c r="AE15" s="147"/>
      <c r="AF15" s="147"/>
      <c r="AG15" s="147"/>
      <c r="AH15" s="147"/>
      <c r="AI15" s="147"/>
      <c r="AJ15" s="147"/>
      <c r="AK15" s="147"/>
      <c r="AL15" s="147"/>
      <c r="AM15" s="147"/>
      <c r="AN15" s="147"/>
      <c r="AO15" s="147"/>
      <c r="AP15" s="147"/>
      <c r="AQ15" s="147"/>
      <c r="AR15" s="147"/>
      <c r="AS15" s="147"/>
      <c r="AT15" s="147"/>
      <c r="AU15" s="147"/>
      <c r="AV15" s="147"/>
      <c r="AW15" s="147"/>
      <c r="AX15" s="147"/>
      <c r="AY15" s="147"/>
      <c r="AZ15" s="147"/>
      <c r="BA15" s="147"/>
      <c r="BB15" s="147"/>
      <c r="BC15" s="147"/>
      <c r="BD15" s="147"/>
      <c r="BE15" s="147"/>
      <c r="BF15" s="147"/>
      <c r="BG15" s="147"/>
      <c r="BH15" s="147"/>
      <c r="BI15" s="147"/>
      <c r="BJ15" s="147"/>
      <c r="BK15" s="147"/>
      <c r="BL15" s="147"/>
      <c r="BM15" s="147"/>
      <c r="BN15" s="147"/>
      <c r="BO15" s="147"/>
      <c r="BP15" s="147"/>
      <c r="BQ15" s="147"/>
      <c r="BR15" s="147"/>
      <c r="BS15" s="147"/>
      <c r="BT15" s="147"/>
      <c r="BU15" s="147"/>
      <c r="BV15" s="147"/>
      <c r="BW15" s="147"/>
      <c r="BX15" s="147"/>
      <c r="BY15" s="147"/>
      <c r="BZ15" s="147"/>
      <c r="CA15" s="147"/>
      <c r="CB15" s="147"/>
      <c r="CC15" s="147"/>
      <c r="CD15" s="147"/>
      <c r="CE15" s="147"/>
      <c r="CF15" s="147"/>
      <c r="CG15" s="147"/>
      <c r="CH15" s="147"/>
      <c r="CI15" s="147"/>
      <c r="CJ15" s="147"/>
      <c r="CK15" s="147"/>
      <c r="CL15" s="147"/>
      <c r="CM15" s="147"/>
      <c r="CN15" s="147"/>
      <c r="CO15" s="147"/>
      <c r="CP15" s="147"/>
    </row>
    <row r="16" spans="1:94" s="153" customFormat="1" ht="15.75" customHeight="1" x14ac:dyDescent="0.25">
      <c r="A16" s="139"/>
      <c r="B16" s="139"/>
      <c r="C16" s="453" t="s">
        <v>32</v>
      </c>
      <c r="D16" s="454"/>
      <c r="E16" s="160" t="s">
        <v>33</v>
      </c>
      <c r="F16" s="161">
        <f>F15-F13</f>
        <v>1</v>
      </c>
      <c r="G16" s="162">
        <f>G15-G13</f>
        <v>-12295.128968135919</v>
      </c>
      <c r="H16" s="162">
        <f>H15-H13</f>
        <v>-2184.0604005702189</v>
      </c>
      <c r="I16" s="162">
        <f>I15-I13</f>
        <v>-2623.1661672937917</v>
      </c>
      <c r="J16" s="162">
        <f>J15-J13</f>
        <v>-17102.355535999872</v>
      </c>
      <c r="K16" s="269"/>
      <c r="L16" s="56" t="str">
        <f>IF('TAAD|0001-00'!OrigApprop=0,"ERROR! Enter Original Appropriation amount in DU 3.00!","Calculated "&amp;IF('TAAD|0001-00'!AdjustedTotal&gt;0,"overfunding ","underfunding ")&amp;"is "&amp;TEXT('TAAD|0001-00'!AdjustedTotal/'TAAD|0001-00'!AppropTotal,"#.0%;(#.0% );0% ;")&amp;" of Original Appropriation")</f>
        <v>Calculated underfunding is (.5% ) of Original Appropriation</v>
      </c>
      <c r="M16" s="163"/>
      <c r="N16" s="164"/>
      <c r="O16"/>
      <c r="P16"/>
      <c r="Q16"/>
      <c r="R16"/>
      <c r="S16"/>
      <c r="T16"/>
      <c r="U16"/>
      <c r="V16"/>
      <c r="W16"/>
      <c r="X16"/>
      <c r="Y16"/>
      <c r="Z16" s="344"/>
      <c r="AA16" s="336"/>
      <c r="AB16" s="336"/>
      <c r="AC16" s="336"/>
      <c r="AD16" s="329"/>
      <c r="AE16" s="147"/>
      <c r="AF16" s="147"/>
      <c r="AG16" s="147"/>
      <c r="AH16" s="147"/>
      <c r="AI16" s="147"/>
      <c r="AJ16" s="147"/>
      <c r="AK16" s="147"/>
      <c r="AL16" s="147"/>
      <c r="AM16" s="147"/>
      <c r="AN16" s="147"/>
      <c r="AO16" s="147"/>
      <c r="AP16" s="147"/>
      <c r="AQ16" s="147"/>
      <c r="AR16" s="147"/>
      <c r="AS16" s="147"/>
      <c r="AT16" s="147"/>
      <c r="AU16" s="147"/>
      <c r="AV16" s="147"/>
      <c r="AW16" s="147"/>
      <c r="AX16" s="147"/>
      <c r="AY16" s="147"/>
      <c r="AZ16" s="147"/>
      <c r="BA16" s="147"/>
      <c r="BB16" s="147"/>
      <c r="BC16" s="147"/>
      <c r="BD16" s="147"/>
      <c r="BE16" s="147"/>
      <c r="BF16" s="147"/>
      <c r="BG16" s="147"/>
      <c r="BH16" s="147"/>
      <c r="BI16" s="147"/>
      <c r="BJ16" s="147"/>
      <c r="BK16" s="147"/>
      <c r="BL16" s="147"/>
      <c r="BM16" s="147"/>
      <c r="BN16" s="147"/>
      <c r="BO16" s="147"/>
      <c r="BP16" s="147"/>
      <c r="BQ16" s="147"/>
      <c r="BR16" s="147"/>
      <c r="BS16" s="147"/>
      <c r="BT16" s="147"/>
      <c r="BU16" s="147"/>
      <c r="BV16" s="147"/>
      <c r="BW16" s="147"/>
      <c r="BX16" s="147"/>
      <c r="BY16" s="147"/>
      <c r="BZ16" s="147"/>
      <c r="CA16" s="147"/>
      <c r="CB16" s="147"/>
      <c r="CC16" s="147"/>
      <c r="CD16" s="147"/>
      <c r="CE16" s="147"/>
      <c r="CF16" s="147"/>
      <c r="CG16" s="147"/>
      <c r="CH16" s="147"/>
      <c r="CI16" s="147"/>
      <c r="CJ16" s="147"/>
      <c r="CK16" s="147"/>
      <c r="CL16" s="147"/>
      <c r="CM16" s="147"/>
      <c r="CN16" s="147"/>
      <c r="CO16" s="147"/>
      <c r="CP16" s="147"/>
    </row>
    <row r="17" spans="1:94" s="153" customFormat="1" x14ac:dyDescent="0.25">
      <c r="A17" s="139"/>
      <c r="B17" s="139"/>
      <c r="C17" s="455" t="s">
        <v>34</v>
      </c>
      <c r="D17" s="456"/>
      <c r="E17" s="147"/>
      <c r="F17" s="258"/>
      <c r="G17" s="147"/>
      <c r="H17" s="166"/>
      <c r="I17" s="167"/>
      <c r="J17" s="166"/>
      <c r="K17" s="166"/>
      <c r="L17" s="166"/>
      <c r="M17" s="166"/>
      <c r="N17" s="166"/>
      <c r="O17"/>
      <c r="P17"/>
      <c r="Q17"/>
      <c r="R17"/>
      <c r="S17"/>
      <c r="T17"/>
      <c r="U17"/>
      <c r="V17"/>
      <c r="W17"/>
      <c r="X17"/>
      <c r="Y17"/>
      <c r="Z17" s="344"/>
      <c r="AA17" s="336"/>
      <c r="AB17" s="336"/>
      <c r="AC17" s="336"/>
      <c r="AD17" s="329"/>
      <c r="AE17" s="147"/>
      <c r="AF17" s="147"/>
      <c r="AG17" s="147"/>
      <c r="AH17" s="147"/>
      <c r="AI17" s="147"/>
      <c r="AJ17" s="147"/>
      <c r="AK17" s="147"/>
      <c r="AL17" s="147"/>
      <c r="AM17" s="147"/>
      <c r="AN17" s="147"/>
      <c r="AO17" s="147"/>
      <c r="AP17" s="147"/>
      <c r="AQ17" s="147"/>
      <c r="AR17" s="147"/>
      <c r="AS17" s="147"/>
      <c r="AT17" s="147"/>
      <c r="AU17" s="147"/>
      <c r="AV17" s="147"/>
      <c r="AW17" s="147"/>
      <c r="AX17" s="147"/>
      <c r="AY17" s="147"/>
      <c r="AZ17" s="147"/>
      <c r="BA17" s="147"/>
      <c r="BB17" s="147"/>
      <c r="BC17" s="147"/>
      <c r="BD17" s="147"/>
      <c r="BE17" s="147"/>
      <c r="BF17" s="147"/>
      <c r="BG17" s="147"/>
      <c r="BH17" s="147"/>
      <c r="BI17" s="147"/>
      <c r="BJ17" s="147"/>
      <c r="BK17" s="147"/>
      <c r="BL17" s="147"/>
      <c r="BM17" s="147"/>
      <c r="BN17" s="147"/>
      <c r="BO17" s="147"/>
      <c r="BP17" s="147"/>
      <c r="BQ17" s="147"/>
      <c r="BR17" s="147"/>
      <c r="BS17" s="147"/>
      <c r="BT17" s="147"/>
      <c r="BU17" s="147"/>
      <c r="BV17" s="147"/>
      <c r="BW17" s="147"/>
      <c r="BX17" s="147"/>
      <c r="BY17" s="147"/>
      <c r="BZ17" s="147"/>
      <c r="CA17" s="147"/>
      <c r="CB17" s="147"/>
      <c r="CC17" s="147"/>
      <c r="CD17" s="147"/>
      <c r="CE17" s="147"/>
      <c r="CF17" s="147"/>
      <c r="CG17" s="147"/>
      <c r="CH17" s="147"/>
      <c r="CI17" s="147"/>
      <c r="CJ17" s="147"/>
      <c r="CK17" s="147"/>
      <c r="CL17" s="147"/>
      <c r="CM17" s="147"/>
      <c r="CN17" s="147"/>
      <c r="CO17" s="147"/>
      <c r="CP17" s="147"/>
    </row>
    <row r="18" spans="1:94" s="153" customFormat="1" ht="26.25" customHeight="1" x14ac:dyDescent="0.25">
      <c r="A18" s="139"/>
      <c r="B18" s="168"/>
      <c r="C18" s="457" t="s">
        <v>35</v>
      </c>
      <c r="D18" s="458"/>
      <c r="E18" s="150"/>
      <c r="F18" s="165"/>
      <c r="G18" s="166"/>
      <c r="H18" s="169"/>
      <c r="I18" s="166"/>
      <c r="J18" s="166"/>
      <c r="K18" s="166"/>
      <c r="L18" s="166"/>
      <c r="M18" s="166"/>
      <c r="N18" s="166"/>
      <c r="O18"/>
      <c r="P18"/>
      <c r="Q18"/>
      <c r="R18"/>
      <c r="S18"/>
      <c r="T18"/>
      <c r="U18"/>
      <c r="V18"/>
      <c r="W18"/>
      <c r="X18"/>
      <c r="Y18"/>
      <c r="Z18" s="344"/>
      <c r="AA18" s="336"/>
      <c r="AB18" s="336"/>
      <c r="AC18" s="336"/>
      <c r="AD18" s="329"/>
      <c r="AE18" s="147"/>
      <c r="AF18" s="147"/>
      <c r="AG18" s="147"/>
      <c r="AH18" s="147"/>
      <c r="AI18" s="147"/>
      <c r="AJ18" s="147"/>
      <c r="AK18" s="147"/>
      <c r="AL18" s="147"/>
      <c r="AM18" s="147"/>
      <c r="AN18" s="147"/>
      <c r="AO18" s="147"/>
      <c r="AP18" s="147"/>
      <c r="AQ18" s="147"/>
      <c r="AR18" s="147"/>
      <c r="AS18" s="147"/>
      <c r="AT18" s="147"/>
      <c r="AU18" s="147"/>
      <c r="AV18" s="147"/>
      <c r="AW18" s="147"/>
      <c r="AX18" s="147"/>
      <c r="AY18" s="147"/>
      <c r="AZ18" s="147"/>
      <c r="BA18" s="147"/>
      <c r="BB18" s="147"/>
      <c r="BC18" s="147"/>
      <c r="BD18" s="147"/>
      <c r="BE18" s="147"/>
      <c r="BF18" s="147"/>
      <c r="BG18" s="147"/>
      <c r="BH18" s="147"/>
      <c r="BI18" s="147"/>
      <c r="BJ18" s="147"/>
      <c r="BK18" s="147"/>
      <c r="BL18" s="147"/>
      <c r="BM18" s="147"/>
      <c r="BN18" s="147"/>
      <c r="BO18" s="147"/>
      <c r="BP18" s="147"/>
      <c r="BQ18" s="147"/>
      <c r="BR18" s="147"/>
      <c r="BS18" s="147"/>
      <c r="BT18" s="147"/>
      <c r="BU18" s="147"/>
      <c r="BV18" s="147"/>
      <c r="BW18" s="147"/>
      <c r="BX18" s="147"/>
      <c r="BY18" s="147"/>
      <c r="BZ18" s="147"/>
      <c r="CA18" s="147"/>
      <c r="CB18" s="147"/>
      <c r="CC18" s="147"/>
      <c r="CD18" s="147"/>
      <c r="CE18" s="147"/>
      <c r="CF18" s="147"/>
      <c r="CG18" s="147"/>
      <c r="CH18" s="147"/>
      <c r="CI18" s="147"/>
      <c r="CJ18" s="147"/>
      <c r="CK18" s="147"/>
      <c r="CL18" s="147"/>
    </row>
    <row r="19" spans="1:94" s="153" customFormat="1" ht="25.5" x14ac:dyDescent="0.25">
      <c r="A19" s="238"/>
      <c r="B19" s="202"/>
      <c r="C19" s="239" t="s">
        <v>86</v>
      </c>
      <c r="D19" s="240" t="s">
        <v>87</v>
      </c>
      <c r="E19" s="241"/>
      <c r="F19" s="165"/>
      <c r="G19" s="166"/>
      <c r="H19" s="169"/>
      <c r="I19" s="170"/>
      <c r="J19" s="166"/>
      <c r="K19" s="166"/>
      <c r="L19" s="169"/>
      <c r="M19" s="166"/>
      <c r="N19" s="166"/>
      <c r="O19"/>
      <c r="P19"/>
      <c r="Q19"/>
      <c r="R19"/>
      <c r="S19"/>
      <c r="T19"/>
      <c r="U19"/>
      <c r="V19"/>
      <c r="W19"/>
      <c r="X19"/>
      <c r="Y19"/>
      <c r="Z19" s="344"/>
      <c r="AA19" s="363"/>
      <c r="AB19" s="363"/>
      <c r="AC19" s="363"/>
      <c r="AD19" s="329"/>
      <c r="AE19" s="147"/>
      <c r="AF19" s="147"/>
      <c r="AG19" s="147"/>
      <c r="AH19" s="147"/>
      <c r="AI19" s="147"/>
      <c r="AJ19" s="147"/>
      <c r="AK19" s="147"/>
      <c r="AL19" s="147"/>
      <c r="AM19" s="147"/>
      <c r="AN19" s="147"/>
      <c r="AO19" s="147"/>
      <c r="AP19" s="147"/>
      <c r="AQ19" s="147"/>
      <c r="AR19" s="147"/>
      <c r="AS19" s="147"/>
      <c r="AT19" s="147"/>
      <c r="AU19" s="147"/>
      <c r="AV19" s="147"/>
      <c r="AW19" s="147"/>
      <c r="AX19" s="147"/>
      <c r="AY19" s="147"/>
      <c r="AZ19" s="147"/>
      <c r="BA19" s="147"/>
      <c r="BB19" s="147"/>
      <c r="BC19" s="147"/>
      <c r="BD19" s="147"/>
      <c r="BE19" s="147"/>
      <c r="BF19" s="147"/>
      <c r="BG19" s="147"/>
      <c r="BH19" s="147"/>
      <c r="BI19" s="147"/>
      <c r="BJ19" s="147"/>
      <c r="BK19" s="147"/>
      <c r="BL19" s="147"/>
      <c r="BM19" s="147"/>
      <c r="BN19" s="147"/>
      <c r="BO19" s="147"/>
      <c r="BP19" s="147"/>
      <c r="BQ19" s="147"/>
      <c r="BR19" s="147"/>
      <c r="BS19" s="147"/>
      <c r="BT19" s="147"/>
      <c r="BU19" s="147"/>
      <c r="BV19" s="147"/>
      <c r="BW19" s="147"/>
      <c r="BX19" s="147"/>
      <c r="BY19" s="147"/>
      <c r="BZ19" s="147"/>
      <c r="CA19" s="147"/>
      <c r="CB19" s="147"/>
      <c r="CC19" s="147"/>
      <c r="CD19" s="147"/>
      <c r="CE19" s="147"/>
      <c r="CF19" s="147"/>
      <c r="CG19" s="147"/>
      <c r="CH19" s="147"/>
      <c r="CI19" s="147"/>
      <c r="CJ19" s="147"/>
      <c r="CK19" s="147"/>
      <c r="CL19" s="147"/>
      <c r="CM19" s="147"/>
      <c r="CN19" s="147"/>
      <c r="CO19" s="147"/>
      <c r="CP19" s="147"/>
    </row>
    <row r="20" spans="1:94" s="177" customFormat="1" ht="15" x14ac:dyDescent="0.25">
      <c r="A20" s="171"/>
      <c r="B20" s="172"/>
      <c r="C20" s="244"/>
      <c r="D20" s="242"/>
      <c r="E20" s="173"/>
      <c r="F20" s="174">
        <v>0</v>
      </c>
      <c r="G20" s="175">
        <v>0</v>
      </c>
      <c r="H20" s="176">
        <f t="shared" ref="H20:H30" si="0">IF(AND($F20&lt;&gt;0,$G20&lt;&gt;0,OR($E20=1,$E20=3)),$F20*Health,0)</f>
        <v>0</v>
      </c>
      <c r="I20" s="176">
        <f t="shared" ref="I20:I30" si="1">IF(AND($E20=1,$C20=""),$G20*PermVB+$G20*Retire1,IF($E20=1,$G20*PermVB+$G20*VLOOKUP($C20,Retirement_Rates,3,FALSE),IF($E20=2,$G20*GroupVB,IF(AND($E20=3,$C20=""),$G20*ElectVB+$G20*Retire1,IF($E20=3,$G20*ElectVB+$G20*VLOOKUP($C20,Retirement_Rates,3,FALSE),0)))))</f>
        <v>0</v>
      </c>
      <c r="J20" s="159">
        <f>IF($E20&gt;0,SUM($G20:$I20),0)</f>
        <v>0</v>
      </c>
      <c r="K20" s="166"/>
      <c r="L20" s="176">
        <f t="shared" ref="L20:L30" si="2">IF(AND($F20&lt;&gt;0,$G20&lt;&gt;0,OR($E20=1,$E20=3)),$F20*HealthCHG,0)</f>
        <v>0</v>
      </c>
      <c r="M20" s="176">
        <f>IF(AND($E20=1,$C20=""),$G20*PermVBCHG+$G20*Retire1CHG,IF($E20=1,$G20*PermVBCHG+$G20*VLOOKUP($C20,Retirement_Rates,5,FALSE),IF($E20=2,0,IF(AND($E20=3,$C20=""),$G20*ElectVBCHG+$G20*Retire1CHG,IF($E20=3,$G20*ElectVBCHG+$G20*VLOOKUP($C20,Retirement_Rates,5,FALSE),0)))))</f>
        <v>0</v>
      </c>
      <c r="N20" s="176">
        <f>SUM(L20:M20)</f>
        <v>0</v>
      </c>
      <c r="O20"/>
      <c r="P20"/>
      <c r="Q20"/>
      <c r="R20"/>
      <c r="S20"/>
      <c r="T20"/>
      <c r="U20"/>
      <c r="V20"/>
      <c r="W20"/>
      <c r="X20"/>
      <c r="Y20"/>
      <c r="Z20" s="344"/>
      <c r="AA20" s="363"/>
      <c r="AB20" s="363"/>
      <c r="AC20" s="363"/>
      <c r="AD20" s="329"/>
      <c r="AE20" s="147"/>
      <c r="AF20" s="147"/>
      <c r="AG20" s="147"/>
      <c r="AH20" s="147"/>
      <c r="AI20" s="147"/>
      <c r="AJ20" s="147"/>
      <c r="AK20" s="147"/>
      <c r="AL20" s="147"/>
      <c r="AM20" s="147"/>
      <c r="AN20" s="147"/>
      <c r="AO20" s="147"/>
      <c r="AP20" s="147"/>
      <c r="AQ20" s="147"/>
      <c r="AR20" s="147"/>
      <c r="AS20" s="147"/>
      <c r="AT20" s="147"/>
      <c r="AU20" s="147"/>
      <c r="AV20" s="147"/>
      <c r="AW20" s="147"/>
      <c r="AX20" s="147"/>
      <c r="AY20" s="147"/>
      <c r="AZ20" s="147"/>
      <c r="BA20" s="147"/>
      <c r="BB20" s="147"/>
      <c r="BC20" s="147"/>
      <c r="BD20" s="147"/>
      <c r="BE20" s="147"/>
      <c r="BF20" s="147"/>
      <c r="BG20" s="147"/>
      <c r="BH20" s="147"/>
      <c r="BI20" s="147"/>
      <c r="BJ20" s="147"/>
      <c r="BK20" s="147"/>
      <c r="BL20" s="147"/>
      <c r="BM20" s="147"/>
      <c r="BN20" s="147"/>
      <c r="BO20" s="147"/>
      <c r="BP20" s="147"/>
      <c r="BQ20" s="147"/>
      <c r="BR20" s="147"/>
      <c r="BS20" s="147"/>
      <c r="BT20" s="147"/>
      <c r="BU20" s="147"/>
      <c r="BV20" s="147"/>
      <c r="BW20" s="147"/>
      <c r="BX20" s="147"/>
      <c r="BY20" s="147"/>
      <c r="BZ20" s="147"/>
      <c r="CA20" s="147"/>
      <c r="CB20" s="147"/>
      <c r="CC20" s="147"/>
      <c r="CD20" s="147"/>
      <c r="CE20" s="147"/>
      <c r="CF20" s="147"/>
      <c r="CG20" s="147"/>
      <c r="CH20" s="147"/>
      <c r="CI20" s="147"/>
      <c r="CJ20" s="147"/>
      <c r="CK20" s="147"/>
      <c r="CL20" s="147"/>
      <c r="CM20" s="147"/>
      <c r="CN20" s="147"/>
      <c r="CO20" s="147"/>
      <c r="CP20" s="147"/>
    </row>
    <row r="21" spans="1:94" s="177" customFormat="1" ht="15" x14ac:dyDescent="0.25">
      <c r="A21" s="178"/>
      <c r="B21" s="179"/>
      <c r="C21" s="244"/>
      <c r="D21" s="242"/>
      <c r="E21" s="180"/>
      <c r="F21" s="181">
        <v>0</v>
      </c>
      <c r="G21" s="175">
        <v>0</v>
      </c>
      <c r="H21" s="176">
        <f t="shared" si="0"/>
        <v>0</v>
      </c>
      <c r="I21" s="176">
        <f t="shared" si="1"/>
        <v>0</v>
      </c>
      <c r="J21" s="159">
        <f t="shared" ref="J21:J35" si="3">IF($E21&gt;0,SUM($G21:$I21),0)</f>
        <v>0</v>
      </c>
      <c r="K21" s="166"/>
      <c r="L21" s="176">
        <f t="shared" si="2"/>
        <v>0</v>
      </c>
      <c r="M21" s="176">
        <f t="shared" ref="M21:M30" si="4">IF(AND($E21=1,$C21=""),$G21*PermVBCHG+$G21*Retire1CHG,IF($E21=1,$G21*PermVBCHG+$G21*VLOOKUP($C21,Retirement_Rates,5,FALSE),IF($E21=2,0,IF(AND($E21=3,$C21=""),$G21*ElectVBCHG+$G21*Retire1CHG,IF($E21=3,$G21*ElectVBCHG+$G21*VLOOKUP($C21,Retirement_Rates,5,FALSE),0)))))</f>
        <v>0</v>
      </c>
      <c r="N21" s="183">
        <f t="shared" ref="N21:N30" si="5">SUM(L21:M21)</f>
        <v>0</v>
      </c>
      <c r="O21"/>
      <c r="P21"/>
      <c r="Q21"/>
      <c r="R21"/>
      <c r="S21"/>
      <c r="T21"/>
      <c r="U21"/>
      <c r="V21"/>
      <c r="W21"/>
      <c r="X21"/>
      <c r="Y21"/>
      <c r="Z21" s="344"/>
      <c r="AA21" s="363"/>
      <c r="AB21" s="363"/>
      <c r="AC21" s="363"/>
      <c r="AD21" s="329"/>
      <c r="AE21" s="147"/>
      <c r="AF21" s="147"/>
      <c r="AG21" s="147"/>
      <c r="AH21" s="147"/>
      <c r="AI21" s="147"/>
      <c r="AJ21" s="147"/>
      <c r="AK21" s="147"/>
      <c r="AL21" s="147"/>
      <c r="AM21" s="147"/>
      <c r="AN21" s="147"/>
      <c r="AO21" s="147"/>
      <c r="AP21" s="147"/>
      <c r="AQ21" s="147"/>
      <c r="AR21" s="147"/>
      <c r="AS21" s="147"/>
      <c r="AT21" s="147"/>
      <c r="AU21" s="147"/>
      <c r="AV21" s="147"/>
      <c r="AW21" s="147"/>
      <c r="AX21" s="147"/>
      <c r="AY21" s="147"/>
      <c r="AZ21" s="147"/>
      <c r="BA21" s="147"/>
      <c r="BB21" s="147"/>
      <c r="BC21" s="147"/>
      <c r="BD21" s="147"/>
      <c r="BE21" s="147"/>
      <c r="BF21" s="147"/>
      <c r="BG21" s="147"/>
      <c r="BH21" s="147"/>
      <c r="BI21" s="147"/>
      <c r="BJ21" s="147"/>
      <c r="BK21" s="147"/>
      <c r="BL21" s="147"/>
      <c r="BM21" s="147"/>
      <c r="BN21" s="147"/>
      <c r="BO21" s="147"/>
      <c r="BP21" s="147"/>
      <c r="BQ21" s="147"/>
      <c r="BR21" s="147"/>
      <c r="BS21" s="147"/>
      <c r="BT21" s="147"/>
      <c r="BU21" s="147"/>
      <c r="BV21" s="147"/>
      <c r="BW21" s="147"/>
      <c r="BX21" s="147"/>
      <c r="BY21" s="147"/>
      <c r="BZ21" s="147"/>
      <c r="CA21" s="147"/>
      <c r="CB21" s="147"/>
      <c r="CC21" s="147"/>
      <c r="CD21" s="147"/>
      <c r="CE21" s="147"/>
      <c r="CF21" s="147"/>
      <c r="CG21" s="147"/>
      <c r="CH21" s="147"/>
      <c r="CI21" s="147"/>
      <c r="CJ21" s="147"/>
      <c r="CK21" s="147"/>
      <c r="CL21" s="147"/>
      <c r="CM21" s="147"/>
      <c r="CN21" s="147"/>
      <c r="CO21" s="147"/>
      <c r="CP21" s="147"/>
    </row>
    <row r="22" spans="1:94" s="177" customFormat="1" ht="15" x14ac:dyDescent="0.25">
      <c r="A22" s="178"/>
      <c r="B22" s="179"/>
      <c r="C22" s="244"/>
      <c r="D22" s="242"/>
      <c r="E22" s="180"/>
      <c r="F22" s="181">
        <v>0</v>
      </c>
      <c r="G22" s="175">
        <v>0</v>
      </c>
      <c r="H22" s="176">
        <f t="shared" si="0"/>
        <v>0</v>
      </c>
      <c r="I22" s="176">
        <f t="shared" si="1"/>
        <v>0</v>
      </c>
      <c r="J22" s="159">
        <f t="shared" si="3"/>
        <v>0</v>
      </c>
      <c r="K22" s="166"/>
      <c r="L22" s="176">
        <f t="shared" si="2"/>
        <v>0</v>
      </c>
      <c r="M22" s="176">
        <f t="shared" si="4"/>
        <v>0</v>
      </c>
      <c r="N22" s="183">
        <f t="shared" si="5"/>
        <v>0</v>
      </c>
      <c r="O22"/>
      <c r="P22"/>
      <c r="Q22"/>
      <c r="R22"/>
      <c r="S22"/>
      <c r="T22"/>
      <c r="U22"/>
      <c r="V22"/>
      <c r="W22"/>
      <c r="X22"/>
      <c r="Y22"/>
      <c r="Z22" s="344"/>
      <c r="AA22" s="363"/>
      <c r="AB22" s="363"/>
      <c r="AC22" s="363"/>
      <c r="AD22" s="329"/>
      <c r="AE22" s="147"/>
      <c r="AF22" s="147"/>
      <c r="AG22" s="147"/>
      <c r="AH22" s="147"/>
      <c r="AI22" s="147"/>
      <c r="AJ22" s="147"/>
      <c r="AK22" s="147"/>
      <c r="AL22" s="147"/>
      <c r="AM22" s="147"/>
      <c r="AN22" s="147"/>
      <c r="AO22" s="147"/>
      <c r="AP22" s="147"/>
      <c r="AQ22" s="147"/>
      <c r="AR22" s="147"/>
      <c r="AS22" s="147"/>
      <c r="AT22" s="147"/>
      <c r="AU22" s="147"/>
      <c r="AV22" s="147"/>
      <c r="AW22" s="147"/>
      <c r="AX22" s="147"/>
      <c r="AY22" s="147"/>
      <c r="AZ22" s="147"/>
      <c r="BA22" s="147"/>
      <c r="BB22" s="147"/>
      <c r="BC22" s="147"/>
      <c r="BD22" s="147"/>
      <c r="BE22" s="147"/>
      <c r="BF22" s="147"/>
      <c r="BG22" s="147"/>
      <c r="BH22" s="147"/>
      <c r="BI22" s="147"/>
      <c r="BJ22" s="147"/>
      <c r="BK22" s="147"/>
      <c r="BL22" s="147"/>
      <c r="BM22" s="147"/>
      <c r="BN22" s="147"/>
      <c r="BO22" s="147"/>
      <c r="BP22" s="147"/>
      <c r="BQ22" s="147"/>
      <c r="BR22" s="147"/>
      <c r="BS22" s="147"/>
      <c r="BT22" s="147"/>
      <c r="BU22" s="147"/>
      <c r="BV22" s="147"/>
      <c r="BW22" s="147"/>
      <c r="BX22" s="147"/>
      <c r="BY22" s="147"/>
      <c r="BZ22" s="147"/>
      <c r="CA22" s="147"/>
      <c r="CB22" s="147"/>
      <c r="CC22" s="147"/>
      <c r="CD22" s="147"/>
      <c r="CE22" s="147"/>
      <c r="CF22" s="147"/>
      <c r="CG22" s="147"/>
      <c r="CH22" s="147"/>
      <c r="CI22" s="147"/>
      <c r="CJ22" s="147"/>
      <c r="CK22" s="147"/>
      <c r="CL22" s="147"/>
      <c r="CM22" s="147"/>
      <c r="CN22" s="147"/>
      <c r="CO22" s="147"/>
      <c r="CP22" s="147"/>
    </row>
    <row r="23" spans="1:94" s="177" customFormat="1" ht="15" x14ac:dyDescent="0.25">
      <c r="A23" s="178"/>
      <c r="B23" s="179"/>
      <c r="C23" s="244"/>
      <c r="D23" s="242"/>
      <c r="E23" s="180"/>
      <c r="F23" s="181">
        <v>0</v>
      </c>
      <c r="G23" s="175">
        <v>0</v>
      </c>
      <c r="H23" s="176">
        <f t="shared" si="0"/>
        <v>0</v>
      </c>
      <c r="I23" s="176">
        <f t="shared" si="1"/>
        <v>0</v>
      </c>
      <c r="J23" s="159">
        <f t="shared" si="3"/>
        <v>0</v>
      </c>
      <c r="K23" s="166"/>
      <c r="L23" s="176">
        <f t="shared" si="2"/>
        <v>0</v>
      </c>
      <c r="M23" s="176">
        <f t="shared" si="4"/>
        <v>0</v>
      </c>
      <c r="N23" s="183">
        <f t="shared" si="5"/>
        <v>0</v>
      </c>
      <c r="O23"/>
      <c r="P23"/>
      <c r="Q23"/>
      <c r="R23"/>
      <c r="S23"/>
      <c r="T23"/>
      <c r="U23"/>
      <c r="V23"/>
      <c r="W23"/>
      <c r="X23"/>
      <c r="Y23"/>
      <c r="Z23" s="344"/>
      <c r="AA23" s="363"/>
      <c r="AB23" s="363"/>
      <c r="AC23" s="363"/>
      <c r="AD23" s="329"/>
      <c r="AE23" s="147"/>
      <c r="AF23" s="147"/>
      <c r="AG23" s="147"/>
      <c r="AH23" s="147"/>
      <c r="AI23" s="147"/>
      <c r="AJ23" s="147"/>
      <c r="AK23" s="147"/>
      <c r="AL23" s="147"/>
      <c r="AM23" s="147"/>
      <c r="AN23" s="147"/>
      <c r="AO23" s="147"/>
      <c r="AP23" s="147"/>
      <c r="AQ23" s="147"/>
      <c r="AR23" s="147"/>
      <c r="AS23" s="147"/>
      <c r="AT23" s="147"/>
      <c r="AU23" s="147"/>
      <c r="AV23" s="147"/>
      <c r="AW23" s="147"/>
      <c r="AX23" s="147"/>
      <c r="AY23" s="147"/>
      <c r="AZ23" s="147"/>
      <c r="BA23" s="147"/>
      <c r="BB23" s="147"/>
      <c r="BC23" s="147"/>
      <c r="BD23" s="147"/>
      <c r="BE23" s="147"/>
      <c r="BF23" s="147"/>
      <c r="BG23" s="147"/>
      <c r="BH23" s="147"/>
      <c r="BI23" s="147"/>
      <c r="BJ23" s="147"/>
      <c r="BK23" s="147"/>
      <c r="BL23" s="147"/>
      <c r="BM23" s="147"/>
      <c r="BN23" s="147"/>
      <c r="BO23" s="147"/>
      <c r="BP23" s="147"/>
      <c r="BQ23" s="147"/>
      <c r="BR23" s="147"/>
      <c r="BS23" s="147"/>
      <c r="BT23" s="147"/>
      <c r="BU23" s="147"/>
      <c r="BV23" s="147"/>
      <c r="BW23" s="147"/>
      <c r="BX23" s="147"/>
      <c r="BY23" s="147"/>
      <c r="BZ23" s="147"/>
      <c r="CA23" s="147"/>
      <c r="CB23" s="147"/>
      <c r="CC23" s="147"/>
      <c r="CD23" s="147"/>
      <c r="CE23" s="147"/>
      <c r="CF23" s="147"/>
      <c r="CG23" s="147"/>
      <c r="CH23" s="147"/>
      <c r="CI23" s="147"/>
      <c r="CJ23" s="147"/>
      <c r="CK23" s="147"/>
      <c r="CL23" s="147"/>
      <c r="CM23" s="147"/>
      <c r="CN23" s="147"/>
      <c r="CO23" s="147"/>
      <c r="CP23" s="147"/>
    </row>
    <row r="24" spans="1:94" s="177" customFormat="1" ht="15" x14ac:dyDescent="0.25">
      <c r="A24" s="178"/>
      <c r="B24" s="179"/>
      <c r="C24" s="244"/>
      <c r="D24" s="242"/>
      <c r="E24" s="180"/>
      <c r="F24" s="181">
        <v>0</v>
      </c>
      <c r="G24" s="175">
        <v>0</v>
      </c>
      <c r="H24" s="176">
        <f t="shared" si="0"/>
        <v>0</v>
      </c>
      <c r="I24" s="176">
        <f t="shared" si="1"/>
        <v>0</v>
      </c>
      <c r="J24" s="159">
        <f t="shared" si="3"/>
        <v>0</v>
      </c>
      <c r="K24" s="166"/>
      <c r="L24" s="176">
        <f t="shared" si="2"/>
        <v>0</v>
      </c>
      <c r="M24" s="176">
        <f t="shared" si="4"/>
        <v>0</v>
      </c>
      <c r="N24" s="183">
        <f t="shared" si="5"/>
        <v>0</v>
      </c>
      <c r="O24"/>
      <c r="P24"/>
      <c r="Q24"/>
      <c r="R24"/>
      <c r="S24"/>
      <c r="T24"/>
      <c r="U24"/>
      <c r="V24"/>
      <c r="W24"/>
      <c r="X24"/>
      <c r="Y24"/>
      <c r="Z24" s="344"/>
      <c r="AA24" s="345"/>
      <c r="AB24" s="363"/>
      <c r="AC24" s="363"/>
      <c r="AD24" s="329"/>
      <c r="AE24" s="147"/>
      <c r="AF24" s="147"/>
      <c r="AG24" s="147"/>
      <c r="AH24" s="147"/>
      <c r="AI24" s="147"/>
      <c r="AJ24" s="147"/>
      <c r="AK24" s="147"/>
      <c r="AL24" s="147"/>
      <c r="AM24" s="147"/>
      <c r="AN24" s="147"/>
      <c r="AO24" s="147"/>
      <c r="AP24" s="147"/>
      <c r="AQ24" s="147"/>
      <c r="AR24" s="147"/>
      <c r="AS24" s="147"/>
      <c r="AT24" s="147"/>
      <c r="AU24" s="147"/>
      <c r="AV24" s="147"/>
      <c r="AW24" s="147"/>
      <c r="AX24" s="147"/>
      <c r="AY24" s="147"/>
      <c r="AZ24" s="147"/>
      <c r="BA24" s="147"/>
      <c r="BB24" s="147"/>
      <c r="BC24" s="147"/>
      <c r="BD24" s="147"/>
      <c r="BE24" s="147"/>
      <c r="BF24" s="147"/>
      <c r="BG24" s="147"/>
      <c r="BH24" s="147"/>
      <c r="BI24" s="147"/>
      <c r="BJ24" s="147"/>
      <c r="BK24" s="147"/>
      <c r="BL24" s="147"/>
      <c r="BM24" s="147"/>
      <c r="BN24" s="147"/>
      <c r="BO24" s="147"/>
      <c r="BP24" s="147"/>
      <c r="BQ24" s="147"/>
      <c r="BR24" s="147"/>
      <c r="BS24" s="147"/>
      <c r="BT24" s="147"/>
      <c r="BU24" s="147"/>
      <c r="BV24" s="147"/>
      <c r="BW24" s="147"/>
      <c r="BX24" s="147"/>
      <c r="BY24" s="147"/>
      <c r="BZ24" s="147"/>
      <c r="CA24" s="147"/>
      <c r="CB24" s="147"/>
      <c r="CC24" s="147"/>
      <c r="CD24" s="147"/>
      <c r="CE24" s="147"/>
      <c r="CF24" s="147"/>
      <c r="CG24" s="147"/>
      <c r="CH24" s="147"/>
      <c r="CI24" s="147"/>
      <c r="CJ24" s="147"/>
      <c r="CK24" s="147"/>
      <c r="CL24" s="147"/>
      <c r="CM24" s="147"/>
      <c r="CN24" s="147"/>
      <c r="CO24" s="147"/>
      <c r="CP24" s="147"/>
    </row>
    <row r="25" spans="1:94" s="177" customFormat="1" ht="15" x14ac:dyDescent="0.25">
      <c r="A25" s="178"/>
      <c r="B25" s="179"/>
      <c r="C25" s="244"/>
      <c r="D25" s="242"/>
      <c r="E25" s="180"/>
      <c r="F25" s="181">
        <v>0</v>
      </c>
      <c r="G25" s="182">
        <v>0</v>
      </c>
      <c r="H25" s="176">
        <f t="shared" si="0"/>
        <v>0</v>
      </c>
      <c r="I25" s="176">
        <f t="shared" si="1"/>
        <v>0</v>
      </c>
      <c r="J25" s="159">
        <f t="shared" si="3"/>
        <v>0</v>
      </c>
      <c r="K25" s="166"/>
      <c r="L25" s="176">
        <f t="shared" si="2"/>
        <v>0</v>
      </c>
      <c r="M25" s="176">
        <f t="shared" si="4"/>
        <v>0</v>
      </c>
      <c r="N25" s="183">
        <f t="shared" si="5"/>
        <v>0</v>
      </c>
      <c r="O25"/>
      <c r="P25"/>
      <c r="Q25"/>
      <c r="R25"/>
      <c r="S25"/>
      <c r="T25"/>
      <c r="U25"/>
      <c r="V25"/>
      <c r="W25"/>
      <c r="X25"/>
      <c r="Y25"/>
      <c r="Z25" s="344"/>
      <c r="AA25" s="345"/>
      <c r="AB25" s="363"/>
      <c r="AC25" s="363"/>
      <c r="AD25" s="329"/>
      <c r="AE25" s="147"/>
      <c r="AF25" s="147"/>
      <c r="AG25" s="147"/>
      <c r="AH25" s="147"/>
      <c r="AI25" s="147"/>
      <c r="AJ25" s="147"/>
      <c r="AK25" s="147"/>
      <c r="AL25" s="147"/>
      <c r="AM25" s="147"/>
      <c r="AN25" s="147"/>
      <c r="AO25" s="147"/>
      <c r="AP25" s="147"/>
      <c r="AQ25" s="147"/>
      <c r="AR25" s="147"/>
      <c r="AS25" s="147"/>
      <c r="AT25" s="147"/>
      <c r="AU25" s="147"/>
      <c r="AV25" s="147"/>
      <c r="AW25" s="147"/>
      <c r="AX25" s="147"/>
      <c r="AY25" s="147"/>
      <c r="AZ25" s="147"/>
      <c r="BA25" s="147"/>
      <c r="BB25" s="147"/>
      <c r="BC25" s="147"/>
      <c r="BD25" s="147"/>
      <c r="BE25" s="147"/>
      <c r="BF25" s="147"/>
      <c r="BG25" s="147"/>
      <c r="BH25" s="147"/>
      <c r="BI25" s="147"/>
      <c r="BJ25" s="147"/>
      <c r="BK25" s="147"/>
      <c r="BL25" s="147"/>
      <c r="BM25" s="147"/>
      <c r="BN25" s="147"/>
      <c r="BO25" s="147"/>
      <c r="BP25" s="147"/>
      <c r="BQ25" s="147"/>
      <c r="BR25" s="147"/>
      <c r="BS25" s="147"/>
      <c r="BT25" s="147"/>
      <c r="BU25" s="147"/>
      <c r="BV25" s="147"/>
      <c r="BW25" s="147"/>
      <c r="BX25" s="147"/>
      <c r="BY25" s="147"/>
      <c r="BZ25" s="147"/>
      <c r="CA25" s="147"/>
      <c r="CB25" s="147"/>
      <c r="CC25" s="147"/>
      <c r="CD25" s="147"/>
      <c r="CE25" s="147"/>
      <c r="CF25" s="147"/>
      <c r="CG25" s="147"/>
      <c r="CH25" s="147"/>
      <c r="CI25" s="147"/>
      <c r="CJ25" s="147"/>
      <c r="CK25" s="147"/>
      <c r="CL25" s="147"/>
      <c r="CM25" s="147"/>
      <c r="CN25" s="147"/>
      <c r="CO25" s="147"/>
      <c r="CP25" s="147"/>
    </row>
    <row r="26" spans="1:94" s="177" customFormat="1" ht="15" x14ac:dyDescent="0.25">
      <c r="A26" s="178"/>
      <c r="B26" s="179"/>
      <c r="C26" s="244"/>
      <c r="D26" s="242"/>
      <c r="E26" s="180"/>
      <c r="F26" s="181">
        <v>0</v>
      </c>
      <c r="G26" s="182">
        <v>0</v>
      </c>
      <c r="H26" s="176">
        <f t="shared" si="0"/>
        <v>0</v>
      </c>
      <c r="I26" s="176">
        <f t="shared" si="1"/>
        <v>0</v>
      </c>
      <c r="J26" s="159">
        <f t="shared" si="3"/>
        <v>0</v>
      </c>
      <c r="K26" s="166"/>
      <c r="L26" s="176">
        <f t="shared" si="2"/>
        <v>0</v>
      </c>
      <c r="M26" s="176">
        <f t="shared" si="4"/>
        <v>0</v>
      </c>
      <c r="N26" s="183">
        <f t="shared" si="5"/>
        <v>0</v>
      </c>
      <c r="O26"/>
      <c r="P26"/>
      <c r="Q26"/>
      <c r="R26"/>
      <c r="S26"/>
      <c r="T26"/>
      <c r="U26"/>
      <c r="V26"/>
      <c r="W26"/>
      <c r="X26"/>
      <c r="Y26"/>
      <c r="Z26" s="344"/>
      <c r="AA26" s="345"/>
      <c r="AB26" s="363"/>
      <c r="AC26" s="363"/>
      <c r="AD26" s="329"/>
      <c r="AE26" s="147"/>
      <c r="AF26" s="147"/>
      <c r="AG26" s="147"/>
      <c r="AH26" s="147"/>
      <c r="AI26" s="147"/>
      <c r="AJ26" s="147"/>
      <c r="AK26" s="147"/>
      <c r="AL26" s="147"/>
      <c r="AM26" s="147"/>
      <c r="AN26" s="147"/>
      <c r="AO26" s="147"/>
      <c r="AP26" s="147"/>
      <c r="AQ26" s="147"/>
      <c r="AR26" s="147"/>
      <c r="AS26" s="147"/>
      <c r="AT26" s="147"/>
      <c r="AU26" s="147"/>
      <c r="AV26" s="147"/>
      <c r="AW26" s="147"/>
      <c r="AX26" s="147"/>
      <c r="AY26" s="147"/>
      <c r="AZ26" s="147"/>
      <c r="BA26" s="147"/>
      <c r="BB26" s="147"/>
      <c r="BC26" s="147"/>
      <c r="BD26" s="147"/>
      <c r="BE26" s="147"/>
      <c r="BF26" s="147"/>
      <c r="BG26" s="147"/>
      <c r="BH26" s="147"/>
      <c r="BI26" s="147"/>
      <c r="BJ26" s="147"/>
      <c r="BK26" s="147"/>
      <c r="BL26" s="147"/>
      <c r="BM26" s="147"/>
      <c r="BN26" s="147"/>
      <c r="BO26" s="147"/>
      <c r="BP26" s="147"/>
      <c r="BQ26" s="147"/>
      <c r="BR26" s="147"/>
      <c r="BS26" s="147"/>
      <c r="BT26" s="147"/>
      <c r="BU26" s="147"/>
      <c r="BV26" s="147"/>
      <c r="BW26" s="147"/>
      <c r="BX26" s="147"/>
      <c r="BY26" s="147"/>
      <c r="BZ26" s="147"/>
      <c r="CA26" s="147"/>
      <c r="CB26" s="147"/>
      <c r="CC26" s="147"/>
      <c r="CD26" s="147"/>
      <c r="CE26" s="147"/>
      <c r="CF26" s="147"/>
      <c r="CG26" s="147"/>
      <c r="CH26" s="147"/>
      <c r="CI26" s="147"/>
      <c r="CJ26" s="147"/>
      <c r="CK26" s="147"/>
      <c r="CL26" s="147"/>
      <c r="CM26" s="147"/>
      <c r="CN26" s="147"/>
      <c r="CO26" s="147"/>
      <c r="CP26" s="147"/>
    </row>
    <row r="27" spans="1:94" s="177" customFormat="1" ht="15" x14ac:dyDescent="0.25">
      <c r="A27" s="178"/>
      <c r="B27" s="179"/>
      <c r="C27" s="244"/>
      <c r="D27" s="242"/>
      <c r="E27" s="180"/>
      <c r="F27" s="181">
        <v>0</v>
      </c>
      <c r="G27" s="182">
        <v>0</v>
      </c>
      <c r="H27" s="176">
        <f t="shared" si="0"/>
        <v>0</v>
      </c>
      <c r="I27" s="176">
        <f t="shared" si="1"/>
        <v>0</v>
      </c>
      <c r="J27" s="159">
        <f t="shared" si="3"/>
        <v>0</v>
      </c>
      <c r="K27" s="166"/>
      <c r="L27" s="176">
        <f t="shared" si="2"/>
        <v>0</v>
      </c>
      <c r="M27" s="176">
        <f t="shared" si="4"/>
        <v>0</v>
      </c>
      <c r="N27" s="183">
        <f t="shared" si="5"/>
        <v>0</v>
      </c>
      <c r="O27"/>
      <c r="P27"/>
      <c r="Q27"/>
      <c r="R27"/>
      <c r="S27"/>
      <c r="T27"/>
      <c r="U27"/>
      <c r="V27"/>
      <c r="W27"/>
      <c r="X27"/>
      <c r="Y27"/>
      <c r="Z27" s="344"/>
      <c r="AA27" s="363"/>
      <c r="AB27" s="363"/>
      <c r="AC27" s="363"/>
      <c r="AD27" s="329"/>
      <c r="AE27" s="147"/>
      <c r="AF27" s="147"/>
      <c r="AG27" s="147"/>
      <c r="AH27" s="147"/>
      <c r="AI27" s="147"/>
      <c r="AJ27" s="147"/>
      <c r="AK27" s="147"/>
      <c r="AL27" s="147"/>
      <c r="AM27" s="147"/>
      <c r="AN27" s="147"/>
      <c r="AO27" s="147"/>
      <c r="AP27" s="147"/>
      <c r="AQ27" s="147"/>
      <c r="AR27" s="147"/>
      <c r="AS27" s="147"/>
      <c r="AT27" s="147"/>
      <c r="AU27" s="147"/>
      <c r="AV27" s="147"/>
      <c r="AW27" s="147"/>
      <c r="AX27" s="147"/>
      <c r="AY27" s="147"/>
      <c r="AZ27" s="147"/>
      <c r="BA27" s="147"/>
      <c r="BB27" s="147"/>
      <c r="BC27" s="147"/>
      <c r="BD27" s="147"/>
      <c r="BE27" s="147"/>
      <c r="BF27" s="147"/>
      <c r="BG27" s="147"/>
      <c r="BH27" s="147"/>
      <c r="BI27" s="147"/>
      <c r="BJ27" s="147"/>
      <c r="BK27" s="147"/>
      <c r="BL27" s="147"/>
      <c r="BM27" s="147"/>
      <c r="BN27" s="147"/>
      <c r="BO27" s="147"/>
      <c r="BP27" s="147"/>
      <c r="BQ27" s="147"/>
      <c r="BR27" s="147"/>
      <c r="BS27" s="147"/>
      <c r="BT27" s="147"/>
      <c r="BU27" s="147"/>
      <c r="BV27" s="147"/>
      <c r="BW27" s="147"/>
      <c r="BX27" s="147"/>
      <c r="BY27" s="147"/>
      <c r="BZ27" s="147"/>
      <c r="CA27" s="147"/>
      <c r="CB27" s="147"/>
      <c r="CC27" s="147"/>
      <c r="CD27" s="147"/>
      <c r="CE27" s="147"/>
      <c r="CF27" s="147"/>
      <c r="CG27" s="147"/>
      <c r="CH27" s="147"/>
      <c r="CI27" s="147"/>
      <c r="CJ27" s="147"/>
      <c r="CK27" s="147"/>
      <c r="CL27" s="147"/>
      <c r="CM27" s="147"/>
      <c r="CN27" s="147"/>
      <c r="CO27" s="147"/>
      <c r="CP27" s="147"/>
    </row>
    <row r="28" spans="1:94" s="177" customFormat="1" ht="15" x14ac:dyDescent="0.25">
      <c r="A28" s="178"/>
      <c r="B28" s="179"/>
      <c r="C28" s="244"/>
      <c r="D28" s="242"/>
      <c r="E28" s="180"/>
      <c r="F28" s="181">
        <v>0</v>
      </c>
      <c r="G28" s="182">
        <v>0</v>
      </c>
      <c r="H28" s="176">
        <f t="shared" si="0"/>
        <v>0</v>
      </c>
      <c r="I28" s="176">
        <f t="shared" si="1"/>
        <v>0</v>
      </c>
      <c r="J28" s="159">
        <f t="shared" si="3"/>
        <v>0</v>
      </c>
      <c r="K28" s="166"/>
      <c r="L28" s="176">
        <f t="shared" si="2"/>
        <v>0</v>
      </c>
      <c r="M28" s="176">
        <f t="shared" si="4"/>
        <v>0</v>
      </c>
      <c r="N28" s="183">
        <f t="shared" si="5"/>
        <v>0</v>
      </c>
      <c r="O28"/>
      <c r="P28"/>
      <c r="Q28"/>
      <c r="R28"/>
      <c r="S28"/>
      <c r="T28"/>
      <c r="U28"/>
      <c r="V28"/>
      <c r="W28"/>
      <c r="X28"/>
      <c r="Y28"/>
      <c r="Z28" s="344"/>
      <c r="AA28" s="363"/>
      <c r="AB28" s="363"/>
      <c r="AC28" s="363"/>
      <c r="AD28" s="329"/>
      <c r="AE28" s="147"/>
      <c r="AF28" s="147"/>
      <c r="AG28" s="147"/>
      <c r="AH28" s="147"/>
      <c r="AI28" s="147"/>
      <c r="AJ28" s="147"/>
      <c r="AK28" s="147"/>
      <c r="AL28" s="147"/>
      <c r="AM28" s="147"/>
      <c r="AN28" s="147"/>
      <c r="AO28" s="147"/>
      <c r="AP28" s="147"/>
      <c r="AQ28" s="147"/>
      <c r="AR28" s="147"/>
      <c r="AS28" s="147"/>
      <c r="AT28" s="147"/>
      <c r="AU28" s="147"/>
      <c r="AV28" s="147"/>
      <c r="AW28" s="147"/>
      <c r="AX28" s="147"/>
      <c r="AY28" s="147"/>
      <c r="AZ28" s="147"/>
      <c r="BA28" s="147"/>
      <c r="BB28" s="147"/>
      <c r="BC28" s="147"/>
      <c r="BD28" s="147"/>
      <c r="BE28" s="147"/>
      <c r="BF28" s="147"/>
      <c r="BG28" s="147"/>
      <c r="BH28" s="147"/>
      <c r="BI28" s="147"/>
      <c r="BJ28" s="147"/>
      <c r="BK28" s="147"/>
      <c r="BL28" s="147"/>
      <c r="BM28" s="147"/>
      <c r="BN28" s="147"/>
      <c r="BO28" s="147"/>
      <c r="BP28" s="147"/>
      <c r="BQ28" s="147"/>
      <c r="BR28" s="147"/>
      <c r="BS28" s="147"/>
      <c r="BT28" s="147"/>
      <c r="BU28" s="147"/>
      <c r="BV28" s="147"/>
      <c r="BW28" s="147"/>
      <c r="BX28" s="147"/>
      <c r="BY28" s="147"/>
      <c r="BZ28" s="147"/>
      <c r="CA28" s="147"/>
      <c r="CB28" s="147"/>
      <c r="CC28" s="147"/>
      <c r="CD28" s="147"/>
      <c r="CE28" s="147"/>
      <c r="CF28" s="147"/>
      <c r="CG28" s="147"/>
      <c r="CH28" s="147"/>
      <c r="CI28" s="147"/>
      <c r="CJ28" s="147"/>
      <c r="CK28" s="147"/>
      <c r="CL28" s="147"/>
      <c r="CM28" s="147"/>
      <c r="CN28" s="147"/>
      <c r="CO28" s="147"/>
      <c r="CP28" s="147"/>
    </row>
    <row r="29" spans="1:94" s="177" customFormat="1" ht="15" x14ac:dyDescent="0.25">
      <c r="A29" s="179"/>
      <c r="B29" s="179"/>
      <c r="C29" s="171"/>
      <c r="D29" s="243"/>
      <c r="E29" s="180"/>
      <c r="F29" s="181">
        <v>0</v>
      </c>
      <c r="G29" s="182">
        <v>0</v>
      </c>
      <c r="H29" s="176">
        <f t="shared" si="0"/>
        <v>0</v>
      </c>
      <c r="I29" s="176">
        <f t="shared" si="1"/>
        <v>0</v>
      </c>
      <c r="J29" s="159">
        <f t="shared" si="3"/>
        <v>0</v>
      </c>
      <c r="K29" s="166"/>
      <c r="L29" s="176">
        <f t="shared" si="2"/>
        <v>0</v>
      </c>
      <c r="M29" s="176">
        <f t="shared" si="4"/>
        <v>0</v>
      </c>
      <c r="N29" s="183">
        <f t="shared" si="5"/>
        <v>0</v>
      </c>
      <c r="O29"/>
      <c r="P29"/>
      <c r="Q29"/>
      <c r="R29"/>
      <c r="S29"/>
      <c r="T29"/>
      <c r="U29"/>
      <c r="V29"/>
      <c r="W29"/>
      <c r="X29"/>
      <c r="Y29"/>
      <c r="Z29" s="344"/>
      <c r="AA29" s="363"/>
      <c r="AB29" s="363"/>
      <c r="AC29" s="363"/>
      <c r="AD29" s="329"/>
      <c r="AE29" s="147"/>
      <c r="AF29" s="147"/>
      <c r="AG29" s="147"/>
      <c r="AH29" s="147"/>
      <c r="AI29" s="147"/>
      <c r="AJ29" s="147"/>
      <c r="AK29" s="147"/>
      <c r="AL29" s="147"/>
      <c r="AM29" s="147"/>
      <c r="AN29" s="147"/>
      <c r="AO29" s="147"/>
      <c r="AP29" s="147"/>
      <c r="AQ29" s="147"/>
      <c r="AR29" s="147"/>
      <c r="AS29" s="147"/>
      <c r="AT29" s="147"/>
      <c r="AU29" s="147"/>
      <c r="AV29" s="147"/>
      <c r="AW29" s="147"/>
      <c r="AX29" s="147"/>
      <c r="AY29" s="147"/>
      <c r="AZ29" s="147"/>
      <c r="BA29" s="147"/>
      <c r="BB29" s="147"/>
      <c r="BC29" s="147"/>
      <c r="BD29" s="147"/>
      <c r="BE29" s="147"/>
      <c r="BF29" s="147"/>
      <c r="BG29" s="147"/>
      <c r="BH29" s="147"/>
      <c r="BI29" s="147"/>
      <c r="BJ29" s="147"/>
      <c r="BK29" s="147"/>
      <c r="BL29" s="147"/>
      <c r="BM29" s="147"/>
      <c r="BN29" s="147"/>
      <c r="BO29" s="147"/>
      <c r="BP29" s="147"/>
      <c r="BQ29" s="147"/>
      <c r="BR29" s="147"/>
      <c r="BS29" s="147"/>
      <c r="BT29" s="147"/>
      <c r="BU29" s="147"/>
      <c r="BV29" s="147"/>
      <c r="BW29" s="147"/>
      <c r="BX29" s="147"/>
      <c r="BY29" s="147"/>
      <c r="BZ29" s="147"/>
      <c r="CA29" s="147"/>
      <c r="CB29" s="147"/>
      <c r="CC29" s="147"/>
      <c r="CD29" s="147"/>
      <c r="CE29" s="147"/>
      <c r="CF29" s="147"/>
      <c r="CG29" s="147"/>
      <c r="CH29" s="147"/>
      <c r="CI29" s="147"/>
      <c r="CJ29" s="147"/>
      <c r="CK29" s="147"/>
      <c r="CL29" s="147"/>
      <c r="CM29" s="147"/>
      <c r="CN29" s="147"/>
      <c r="CO29" s="147"/>
      <c r="CP29" s="147"/>
    </row>
    <row r="30" spans="1:94" s="177" customFormat="1" ht="15" x14ac:dyDescent="0.25">
      <c r="A30" s="179"/>
      <c r="B30" s="184"/>
      <c r="C30" s="171"/>
      <c r="D30" s="243"/>
      <c r="E30" s="180"/>
      <c r="F30" s="181">
        <v>0</v>
      </c>
      <c r="G30" s="182">
        <v>0</v>
      </c>
      <c r="H30" s="176">
        <f t="shared" si="0"/>
        <v>0</v>
      </c>
      <c r="I30" s="176">
        <f t="shared" si="1"/>
        <v>0</v>
      </c>
      <c r="J30" s="159">
        <f t="shared" si="3"/>
        <v>0</v>
      </c>
      <c r="K30" s="166"/>
      <c r="L30" s="176">
        <f t="shared" si="2"/>
        <v>0</v>
      </c>
      <c r="M30" s="176">
        <f t="shared" si="4"/>
        <v>0</v>
      </c>
      <c r="N30" s="183">
        <f t="shared" si="5"/>
        <v>0</v>
      </c>
      <c r="O30"/>
      <c r="P30"/>
      <c r="Q30"/>
      <c r="R30"/>
      <c r="S30"/>
      <c r="T30"/>
      <c r="U30"/>
      <c r="V30"/>
      <c r="W30"/>
      <c r="X30"/>
      <c r="Y30"/>
      <c r="Z30" s="344"/>
      <c r="AA30" s="363"/>
      <c r="AB30" s="363"/>
      <c r="AC30" s="363"/>
      <c r="AD30" s="329"/>
      <c r="AE30" s="147"/>
      <c r="AF30" s="147"/>
      <c r="AG30" s="147"/>
      <c r="AH30" s="147"/>
      <c r="AI30" s="147"/>
      <c r="AJ30" s="147"/>
      <c r="AK30" s="147"/>
      <c r="AL30" s="147"/>
      <c r="AM30" s="147"/>
      <c r="AN30" s="147"/>
      <c r="AO30" s="147"/>
      <c r="AP30" s="147"/>
      <c r="AQ30" s="147"/>
      <c r="AR30" s="147"/>
      <c r="AS30" s="147"/>
      <c r="AT30" s="147"/>
      <c r="AU30" s="147"/>
      <c r="AV30" s="147"/>
      <c r="AW30" s="147"/>
      <c r="AX30" s="147"/>
      <c r="AY30" s="147"/>
      <c r="AZ30" s="147"/>
      <c r="BA30" s="147"/>
      <c r="BB30" s="147"/>
      <c r="BC30" s="147"/>
      <c r="BD30" s="147"/>
      <c r="BE30" s="147"/>
      <c r="BF30" s="147"/>
      <c r="BG30" s="147"/>
      <c r="BH30" s="147"/>
      <c r="BI30" s="147"/>
      <c r="BJ30" s="147"/>
      <c r="BK30" s="147"/>
      <c r="BL30" s="147"/>
      <c r="BM30" s="147"/>
      <c r="BN30" s="147"/>
      <c r="BO30" s="147"/>
      <c r="BP30" s="147"/>
      <c r="BQ30" s="147"/>
      <c r="BR30" s="147"/>
      <c r="BS30" s="147"/>
      <c r="BT30" s="147"/>
      <c r="BU30" s="147"/>
      <c r="BV30" s="147"/>
      <c r="BW30" s="147"/>
      <c r="BX30" s="147"/>
      <c r="BY30" s="147"/>
      <c r="BZ30" s="147"/>
      <c r="CA30" s="147"/>
      <c r="CB30" s="147"/>
      <c r="CC30" s="147"/>
      <c r="CD30" s="147"/>
      <c r="CE30" s="147"/>
      <c r="CF30" s="147"/>
      <c r="CG30" s="147"/>
      <c r="CH30" s="147"/>
      <c r="CI30" s="147"/>
      <c r="CJ30" s="147"/>
      <c r="CK30" s="147"/>
      <c r="CL30" s="147"/>
      <c r="CM30" s="147"/>
      <c r="CN30" s="147"/>
      <c r="CO30" s="147"/>
      <c r="CP30" s="147"/>
    </row>
    <row r="31" spans="1:94" s="153" customFormat="1" ht="15" x14ac:dyDescent="0.25">
      <c r="A31" s="139"/>
      <c r="B31" s="168"/>
      <c r="C31" s="245"/>
      <c r="D31" s="246" t="s">
        <v>36</v>
      </c>
      <c r="E31" s="150"/>
      <c r="F31" s="165"/>
      <c r="G31" s="166"/>
      <c r="H31" s="166"/>
      <c r="I31" s="166"/>
      <c r="J31" s="166"/>
      <c r="K31" s="166"/>
      <c r="L31" s="166"/>
      <c r="M31" s="166"/>
      <c r="N31" s="166"/>
      <c r="O31"/>
      <c r="P31"/>
      <c r="Q31"/>
      <c r="R31"/>
      <c r="S31"/>
      <c r="T31"/>
      <c r="U31"/>
      <c r="V31"/>
      <c r="W31"/>
      <c r="X31"/>
      <c r="Y31"/>
      <c r="Z31" s="344"/>
      <c r="AA31" s="363"/>
      <c r="AB31" s="363"/>
      <c r="AC31" s="363"/>
      <c r="AD31" s="329"/>
      <c r="AE31" s="147"/>
      <c r="AF31" s="147"/>
      <c r="AG31" s="147"/>
      <c r="AH31" s="147"/>
      <c r="AI31" s="147"/>
      <c r="AJ31" s="147"/>
      <c r="AK31" s="147"/>
      <c r="AL31" s="147"/>
      <c r="AM31" s="147"/>
      <c r="AN31" s="147"/>
      <c r="AO31" s="147"/>
      <c r="AP31" s="147"/>
      <c r="AQ31" s="147"/>
      <c r="AR31" s="147"/>
      <c r="AS31" s="147"/>
      <c r="AT31" s="147"/>
      <c r="AU31" s="147"/>
      <c r="AV31" s="147"/>
      <c r="AW31" s="147"/>
      <c r="AX31" s="147"/>
      <c r="AY31" s="147"/>
      <c r="AZ31" s="147"/>
      <c r="BA31" s="147"/>
      <c r="BB31" s="147"/>
      <c r="BC31" s="147"/>
      <c r="BD31" s="147"/>
      <c r="BE31" s="147"/>
      <c r="BF31" s="147"/>
      <c r="BG31" s="147"/>
      <c r="BH31" s="147"/>
      <c r="BI31" s="147"/>
      <c r="BJ31" s="147"/>
      <c r="BK31" s="147"/>
      <c r="BL31" s="147"/>
      <c r="BM31" s="147"/>
      <c r="BN31" s="147"/>
      <c r="BO31" s="147"/>
      <c r="BP31" s="147"/>
      <c r="BQ31" s="147"/>
      <c r="BR31" s="147"/>
      <c r="BS31" s="147"/>
      <c r="BT31" s="147"/>
      <c r="BU31" s="147"/>
      <c r="BV31" s="147"/>
      <c r="BW31" s="147"/>
      <c r="BX31" s="147"/>
      <c r="BY31" s="147"/>
      <c r="BZ31" s="147"/>
      <c r="CA31" s="147"/>
      <c r="CB31" s="147"/>
      <c r="CC31" s="147"/>
      <c r="CD31" s="147"/>
      <c r="CE31" s="147"/>
      <c r="CF31" s="147"/>
      <c r="CG31" s="147"/>
      <c r="CH31" s="147"/>
      <c r="CI31" s="147"/>
      <c r="CJ31" s="147"/>
      <c r="CK31" s="147"/>
      <c r="CL31" s="147"/>
      <c r="CM31" s="147"/>
      <c r="CN31" s="147"/>
      <c r="CO31" s="147"/>
      <c r="CP31" s="147"/>
    </row>
    <row r="32" spans="1:94" s="177" customFormat="1" ht="15" x14ac:dyDescent="0.25">
      <c r="A32" s="185"/>
      <c r="B32" s="185"/>
      <c r="C32" s="244"/>
      <c r="D32" s="242"/>
      <c r="E32" s="173"/>
      <c r="F32" s="174">
        <v>0</v>
      </c>
      <c r="G32" s="175">
        <v>0</v>
      </c>
      <c r="H32" s="176">
        <f t="shared" ref="H32:H35" si="6">IF(AND($F32&lt;&gt;0,$G32&lt;&gt;0,OR($E32=1,$E32=3)),$F32*Health,0)</f>
        <v>0</v>
      </c>
      <c r="I32" s="176">
        <f t="shared" ref="I32:I34" si="7">IF(AND($E32=1,$C32=""),$G32*PermVB+$G32*Retire1,IF($E32=1,$G32*PermVB+$G32*VLOOKUP($C32,Retirement_Rates,3,FALSE),IF($E32=2,$G32*GroupVB,IF(AND($E32=3,$C32=""),$G32*ElectVB+$G32*Retire1,IF($E32=3,$G32*ElectVB+$G32*VLOOKUP($C32,Retirement_Rates,3,FALSE),0)))))</f>
        <v>0</v>
      </c>
      <c r="J32" s="279">
        <f t="shared" si="3"/>
        <v>0</v>
      </c>
      <c r="K32" s="166"/>
      <c r="L32" s="176">
        <f t="shared" ref="L32:L35" si="8">IF(AND($F32&lt;&gt;0,$G32&lt;&gt;0,OR($E32=1,$E32=3)),$F32*HealthCHG,0)</f>
        <v>0</v>
      </c>
      <c r="M32" s="176">
        <f t="shared" ref="M32:M35" si="9">IF(AND($E32=1,$C32=""),$G32*PermVBCHG+$G32*Retire1CHG,IF($E32=1,$G32*PermVBCHG+$G32*VLOOKUP($C32,Retirement_Rates,5,FALSE),IF($E32=2,0,IF(AND($E32=3,$C32=""),$G32*ElectVBCHG+$G32*Retire1CHG,IF($E32=3,$G32*ElectVBCHG+$G32*VLOOKUP($C32,Retirement_Rates,5,FALSE),0)))))</f>
        <v>0</v>
      </c>
      <c r="N32" s="176">
        <f t="shared" ref="N32:N35" si="10">SUM(L32:M32)</f>
        <v>0</v>
      </c>
      <c r="O32"/>
      <c r="P32"/>
      <c r="Q32"/>
      <c r="R32"/>
      <c r="S32"/>
      <c r="T32"/>
      <c r="U32"/>
      <c r="V32"/>
      <c r="W32"/>
      <c r="X32"/>
      <c r="Y32"/>
      <c r="Z32" s="344"/>
      <c r="AA32" s="363"/>
      <c r="AB32" s="363"/>
      <c r="AC32" s="363"/>
      <c r="AD32" s="329"/>
      <c r="AE32" s="147"/>
      <c r="AF32" s="147"/>
      <c r="AG32" s="147"/>
      <c r="AH32" s="147"/>
      <c r="AI32" s="147"/>
      <c r="AJ32" s="147"/>
      <c r="AK32" s="147"/>
      <c r="AL32" s="147"/>
      <c r="AM32" s="147"/>
      <c r="AN32" s="147"/>
      <c r="AO32" s="147"/>
      <c r="AP32" s="147"/>
      <c r="AQ32" s="147"/>
      <c r="AR32" s="147"/>
      <c r="AS32" s="147"/>
      <c r="AT32" s="147"/>
      <c r="AU32" s="147"/>
      <c r="AV32" s="147"/>
      <c r="AW32" s="147"/>
      <c r="AX32" s="147"/>
      <c r="AY32" s="147"/>
      <c r="AZ32" s="147"/>
      <c r="BA32" s="147"/>
      <c r="BB32" s="147"/>
      <c r="BC32" s="147"/>
      <c r="BD32" s="147"/>
      <c r="BE32" s="147"/>
      <c r="BF32" s="147"/>
      <c r="BG32" s="147"/>
      <c r="BH32" s="147"/>
      <c r="BI32" s="147"/>
      <c r="BJ32" s="147"/>
      <c r="BK32" s="147"/>
      <c r="BL32" s="147"/>
      <c r="BM32" s="147"/>
      <c r="BN32" s="147"/>
      <c r="BO32" s="147"/>
      <c r="BP32" s="147"/>
      <c r="BQ32" s="147"/>
      <c r="BR32" s="147"/>
      <c r="BS32" s="147"/>
      <c r="BT32" s="147"/>
      <c r="BU32" s="147"/>
      <c r="BV32" s="147"/>
      <c r="BW32" s="147"/>
      <c r="BX32" s="147"/>
      <c r="BY32" s="147"/>
      <c r="BZ32" s="147"/>
      <c r="CA32" s="147"/>
      <c r="CB32" s="147"/>
      <c r="CC32" s="147"/>
      <c r="CD32" s="147"/>
      <c r="CE32" s="147"/>
      <c r="CF32" s="147"/>
      <c r="CG32" s="147"/>
      <c r="CH32" s="147"/>
      <c r="CI32" s="147"/>
      <c r="CJ32" s="147"/>
      <c r="CK32" s="147"/>
      <c r="CL32" s="147"/>
      <c r="CM32" s="147"/>
      <c r="CN32" s="147"/>
      <c r="CO32" s="147"/>
      <c r="CP32" s="147"/>
    </row>
    <row r="33" spans="1:94" s="177" customFormat="1" ht="15" x14ac:dyDescent="0.25">
      <c r="A33" s="186"/>
      <c r="B33" s="187"/>
      <c r="C33" s="244"/>
      <c r="D33" s="242"/>
      <c r="E33" s="180"/>
      <c r="F33" s="181">
        <v>0</v>
      </c>
      <c r="G33" s="182">
        <v>0</v>
      </c>
      <c r="H33" s="176">
        <f t="shared" si="6"/>
        <v>0</v>
      </c>
      <c r="I33" s="176">
        <f t="shared" si="7"/>
        <v>0</v>
      </c>
      <c r="J33" s="279">
        <f t="shared" si="3"/>
        <v>0</v>
      </c>
      <c r="K33" s="166"/>
      <c r="L33" s="176">
        <f t="shared" si="8"/>
        <v>0</v>
      </c>
      <c r="M33" s="176">
        <f t="shared" si="9"/>
        <v>0</v>
      </c>
      <c r="N33" s="183">
        <f t="shared" si="10"/>
        <v>0</v>
      </c>
      <c r="O33"/>
      <c r="P33"/>
      <c r="Q33"/>
      <c r="R33"/>
      <c r="S33"/>
      <c r="T33"/>
      <c r="U33"/>
      <c r="V33"/>
      <c r="W33"/>
      <c r="X33"/>
      <c r="Y33"/>
      <c r="Z33" s="344"/>
      <c r="AA33" s="363"/>
      <c r="AB33" s="363"/>
      <c r="AC33" s="363"/>
      <c r="AD33" s="329"/>
      <c r="AE33" s="147"/>
      <c r="AF33" s="147"/>
      <c r="AG33" s="147"/>
      <c r="AH33" s="147"/>
      <c r="AI33" s="147"/>
      <c r="AJ33" s="147"/>
      <c r="AK33" s="147"/>
      <c r="AL33" s="147"/>
      <c r="AM33" s="147"/>
      <c r="AN33" s="147"/>
      <c r="AO33" s="147"/>
      <c r="AP33" s="147"/>
      <c r="AQ33" s="147"/>
      <c r="AR33" s="147"/>
      <c r="AS33" s="147"/>
      <c r="AT33" s="147"/>
      <c r="AU33" s="147"/>
      <c r="AV33" s="147"/>
      <c r="AW33" s="147"/>
      <c r="AX33" s="147"/>
      <c r="AY33" s="147"/>
      <c r="AZ33" s="147"/>
      <c r="BA33" s="147"/>
      <c r="BB33" s="147"/>
      <c r="BC33" s="147"/>
      <c r="BD33" s="147"/>
      <c r="BE33" s="147"/>
      <c r="BF33" s="147"/>
      <c r="BG33" s="147"/>
      <c r="BH33" s="147"/>
      <c r="BI33" s="147"/>
      <c r="BJ33" s="147"/>
      <c r="BK33" s="147"/>
      <c r="BL33" s="147"/>
      <c r="BM33" s="147"/>
      <c r="BN33" s="147"/>
      <c r="BO33" s="147"/>
      <c r="BP33" s="147"/>
      <c r="BQ33" s="147"/>
      <c r="BR33" s="147"/>
      <c r="BS33" s="147"/>
      <c r="BT33" s="147"/>
      <c r="BU33" s="147"/>
      <c r="BV33" s="147"/>
      <c r="BW33" s="147"/>
      <c r="BX33" s="147"/>
      <c r="BY33" s="147"/>
      <c r="BZ33" s="147"/>
      <c r="CA33" s="147"/>
      <c r="CB33" s="147"/>
      <c r="CC33" s="147"/>
      <c r="CD33" s="147"/>
      <c r="CE33" s="147"/>
      <c r="CF33" s="147"/>
      <c r="CG33" s="147"/>
      <c r="CH33" s="147"/>
      <c r="CI33" s="147"/>
      <c r="CJ33" s="147"/>
      <c r="CK33" s="147"/>
      <c r="CL33" s="147"/>
      <c r="CM33" s="147"/>
      <c r="CN33" s="147"/>
      <c r="CO33" s="147"/>
      <c r="CP33" s="147"/>
    </row>
    <row r="34" spans="1:94" s="177" customFormat="1" ht="15" x14ac:dyDescent="0.25">
      <c r="A34" s="186"/>
      <c r="B34" s="187"/>
      <c r="C34" s="244"/>
      <c r="D34" s="242"/>
      <c r="E34" s="180"/>
      <c r="F34" s="181">
        <v>0</v>
      </c>
      <c r="G34" s="182">
        <v>0</v>
      </c>
      <c r="H34" s="176">
        <f t="shared" si="6"/>
        <v>0</v>
      </c>
      <c r="I34" s="176">
        <f t="shared" si="7"/>
        <v>0</v>
      </c>
      <c r="J34" s="279">
        <f t="shared" si="3"/>
        <v>0</v>
      </c>
      <c r="K34" s="280"/>
      <c r="L34" s="176">
        <f t="shared" si="8"/>
        <v>0</v>
      </c>
      <c r="M34" s="176">
        <f t="shared" si="9"/>
        <v>0</v>
      </c>
      <c r="N34" s="183">
        <f t="shared" si="10"/>
        <v>0</v>
      </c>
      <c r="O34"/>
      <c r="P34"/>
      <c r="Q34"/>
      <c r="R34"/>
      <c r="S34"/>
      <c r="T34"/>
      <c r="U34"/>
      <c r="V34"/>
      <c r="W34"/>
      <c r="X34"/>
      <c r="Y34"/>
      <c r="Z34" s="344"/>
      <c r="AA34" s="363"/>
      <c r="AB34" s="363"/>
      <c r="AC34" s="363"/>
      <c r="AD34" s="329"/>
      <c r="AE34" s="147"/>
      <c r="AF34" s="147"/>
      <c r="AG34" s="147"/>
      <c r="AH34" s="147"/>
      <c r="AI34" s="147"/>
      <c r="AJ34" s="147"/>
      <c r="AK34" s="147"/>
      <c r="AL34" s="147"/>
      <c r="AM34" s="147"/>
      <c r="AN34" s="147"/>
      <c r="AO34" s="147"/>
      <c r="AP34" s="147"/>
      <c r="AQ34" s="147"/>
      <c r="AR34" s="147"/>
      <c r="AS34" s="147"/>
      <c r="AT34" s="147"/>
      <c r="AU34" s="147"/>
      <c r="AV34" s="147"/>
      <c r="AW34" s="147"/>
      <c r="AX34" s="147"/>
      <c r="AY34" s="147"/>
      <c r="AZ34" s="147"/>
      <c r="BA34" s="147"/>
      <c r="BB34" s="147"/>
      <c r="BC34" s="147"/>
      <c r="BD34" s="147"/>
      <c r="BE34" s="147"/>
      <c r="BF34" s="147"/>
      <c r="BG34" s="147"/>
      <c r="BH34" s="147"/>
      <c r="BI34" s="147"/>
      <c r="BJ34" s="147"/>
      <c r="BK34" s="147"/>
      <c r="BL34" s="147"/>
      <c r="BM34" s="147"/>
      <c r="BN34" s="147"/>
      <c r="BO34" s="147"/>
      <c r="BP34" s="147"/>
      <c r="BQ34" s="147"/>
      <c r="BR34" s="147"/>
      <c r="BS34" s="147"/>
      <c r="BT34" s="147"/>
      <c r="BU34" s="147"/>
      <c r="BV34" s="147"/>
      <c r="BW34" s="147"/>
      <c r="BX34" s="147"/>
      <c r="BY34" s="147"/>
      <c r="BZ34" s="147"/>
      <c r="CA34" s="147"/>
      <c r="CB34" s="147"/>
      <c r="CC34" s="147"/>
      <c r="CD34" s="147"/>
      <c r="CE34" s="147"/>
      <c r="CF34" s="147"/>
      <c r="CG34" s="147"/>
      <c r="CH34" s="147"/>
      <c r="CI34" s="147"/>
      <c r="CJ34" s="147"/>
      <c r="CK34" s="147"/>
      <c r="CL34" s="147"/>
      <c r="CM34" s="147"/>
      <c r="CN34" s="147"/>
      <c r="CO34" s="147"/>
      <c r="CP34" s="147"/>
    </row>
    <row r="35" spans="1:94" s="177" customFormat="1" ht="15" x14ac:dyDescent="0.25">
      <c r="A35" s="186"/>
      <c r="B35" s="187"/>
      <c r="C35" s="244"/>
      <c r="D35" s="242"/>
      <c r="E35" s="180"/>
      <c r="F35" s="181">
        <v>0</v>
      </c>
      <c r="G35" s="182">
        <v>0</v>
      </c>
      <c r="H35" s="176">
        <f t="shared" si="6"/>
        <v>0</v>
      </c>
      <c r="I35" s="176">
        <f>IF(AND($E35=1,$C35=""),$G35*(PermVB+Retire1),IF($E35=1,$G35*PermVB+$G35*VLOOKUP($C35,Retirement_Rates,3,FALSE),IF($E35=2,$G35*GroupVB,IF(AND($E35=3,$C35=""),$G35*ElectVB+$G35*Retire1,IF($E35=3,$G35*ElectVB+$G35*VLOOKUP($C35,Retirement_Rates,3,FALSE),0)))))</f>
        <v>0</v>
      </c>
      <c r="J35" s="279">
        <f t="shared" si="3"/>
        <v>0</v>
      </c>
      <c r="K35" s="309"/>
      <c r="L35" s="176">
        <f t="shared" si="8"/>
        <v>0</v>
      </c>
      <c r="M35" s="176">
        <f t="shared" si="9"/>
        <v>0</v>
      </c>
      <c r="N35" s="183">
        <f t="shared" si="10"/>
        <v>0</v>
      </c>
      <c r="O35"/>
      <c r="P35"/>
      <c r="Q35"/>
      <c r="R35"/>
      <c r="S35"/>
      <c r="T35"/>
      <c r="U35"/>
      <c r="V35"/>
      <c r="W35"/>
      <c r="X35"/>
      <c r="Y35"/>
      <c r="Z35" s="344"/>
      <c r="AA35" s="363"/>
      <c r="AB35" s="363"/>
      <c r="AC35" s="363"/>
      <c r="AD35" s="329"/>
      <c r="AE35" s="147"/>
      <c r="AF35" s="147"/>
      <c r="AG35" s="147"/>
      <c r="AH35" s="147"/>
      <c r="AI35" s="147"/>
      <c r="AJ35" s="147"/>
      <c r="AK35" s="147"/>
      <c r="AL35" s="147"/>
      <c r="AM35" s="147"/>
      <c r="AN35" s="147"/>
      <c r="AO35" s="147"/>
      <c r="AP35" s="147"/>
      <c r="AQ35" s="147"/>
      <c r="AR35" s="147"/>
      <c r="AS35" s="147"/>
      <c r="AT35" s="147"/>
      <c r="AU35" s="147"/>
      <c r="AV35" s="147"/>
      <c r="AW35" s="147"/>
      <c r="AX35" s="147"/>
      <c r="AY35" s="147"/>
      <c r="AZ35" s="147"/>
      <c r="BA35" s="147"/>
      <c r="BB35" s="147"/>
      <c r="BC35" s="147"/>
      <c r="BD35" s="147"/>
      <c r="BE35" s="147"/>
      <c r="BF35" s="147"/>
      <c r="BG35" s="147"/>
      <c r="BH35" s="147"/>
      <c r="BI35" s="147"/>
      <c r="BJ35" s="147"/>
      <c r="BK35" s="147"/>
      <c r="BL35" s="147"/>
      <c r="BM35" s="147"/>
      <c r="BN35" s="147"/>
      <c r="BO35" s="147"/>
      <c r="BP35" s="147"/>
      <c r="BQ35" s="147"/>
      <c r="BR35" s="147"/>
      <c r="BS35" s="147"/>
      <c r="BT35" s="147"/>
      <c r="BU35" s="147"/>
      <c r="BV35" s="147"/>
      <c r="BW35" s="147"/>
      <c r="BX35" s="147"/>
      <c r="BY35" s="147"/>
      <c r="BZ35" s="147"/>
      <c r="CA35" s="147"/>
      <c r="CB35" s="147"/>
      <c r="CC35" s="147"/>
      <c r="CD35" s="147"/>
      <c r="CE35" s="147"/>
      <c r="CF35" s="147"/>
      <c r="CG35" s="147"/>
      <c r="CH35" s="147"/>
      <c r="CI35" s="147"/>
      <c r="CJ35" s="147"/>
      <c r="CK35" s="147"/>
      <c r="CL35" s="147"/>
      <c r="CM35" s="147"/>
      <c r="CN35" s="147"/>
      <c r="CO35" s="147"/>
      <c r="CP35" s="147"/>
    </row>
    <row r="36" spans="1:94" s="213" customFormat="1" ht="15" x14ac:dyDescent="0.25">
      <c r="A36" s="281"/>
      <c r="B36" s="282"/>
      <c r="C36" s="283"/>
      <c r="D36" s="284"/>
      <c r="E36" s="285"/>
      <c r="F36" s="197"/>
      <c r="G36" s="259"/>
      <c r="H36" s="259"/>
      <c r="I36" s="259"/>
      <c r="J36" s="286"/>
      <c r="K36" s="280"/>
      <c r="L36" s="321"/>
      <c r="M36" s="259"/>
      <c r="N36" s="259"/>
      <c r="O36"/>
      <c r="P36"/>
      <c r="Q36"/>
      <c r="R36"/>
      <c r="S36"/>
      <c r="T36"/>
      <c r="U36"/>
      <c r="V36"/>
      <c r="W36"/>
      <c r="X36"/>
      <c r="Y36"/>
      <c r="Z36" s="344"/>
      <c r="AA36" s="363" t="s">
        <v>94</v>
      </c>
      <c r="AB36" s="333" t="s">
        <v>95</v>
      </c>
      <c r="AC36" s="333" t="s">
        <v>106</v>
      </c>
      <c r="AD36" s="330"/>
    </row>
    <row r="37" spans="1:94" s="153" customFormat="1" ht="17.25" customHeight="1" x14ac:dyDescent="0.25">
      <c r="A37" s="139"/>
      <c r="B37" s="188"/>
      <c r="C37" s="459" t="s">
        <v>37</v>
      </c>
      <c r="D37" s="460"/>
      <c r="E37" s="150"/>
      <c r="F37" s="165"/>
      <c r="G37" s="166"/>
      <c r="H37" s="166"/>
      <c r="I37" s="166"/>
      <c r="J37" s="322"/>
      <c r="K37" s="166"/>
      <c r="L37" s="166"/>
      <c r="M37" s="166"/>
      <c r="N37" s="166"/>
      <c r="O37"/>
      <c r="P37"/>
      <c r="Q37"/>
      <c r="R37"/>
      <c r="S37"/>
      <c r="T37"/>
      <c r="U37"/>
      <c r="V37"/>
      <c r="W37"/>
      <c r="X37"/>
      <c r="Y37"/>
      <c r="Z37" s="344"/>
      <c r="AA37" s="461" t="s">
        <v>107</v>
      </c>
      <c r="AB37" s="462"/>
      <c r="AC37" s="462"/>
      <c r="AD37" s="329"/>
      <c r="AE37" s="147"/>
      <c r="AF37" s="147"/>
      <c r="AG37" s="147"/>
      <c r="AH37" s="147"/>
      <c r="AI37" s="147"/>
      <c r="AJ37" s="147"/>
      <c r="AK37" s="147"/>
      <c r="AL37" s="147"/>
      <c r="AM37" s="147"/>
      <c r="AN37" s="147"/>
      <c r="AO37" s="147"/>
      <c r="AP37" s="147"/>
      <c r="AQ37" s="147"/>
      <c r="AR37" s="147"/>
      <c r="AS37" s="147"/>
      <c r="AT37" s="147"/>
      <c r="AU37" s="147"/>
      <c r="AV37" s="147"/>
      <c r="AW37" s="147"/>
      <c r="AX37" s="147"/>
      <c r="AY37" s="147"/>
      <c r="AZ37" s="147"/>
      <c r="BA37" s="147"/>
      <c r="BB37" s="147"/>
      <c r="BC37" s="147"/>
      <c r="BD37" s="147"/>
      <c r="BE37" s="147"/>
      <c r="BF37" s="147"/>
      <c r="BG37" s="147"/>
      <c r="BH37" s="147"/>
      <c r="BI37" s="147"/>
      <c r="BJ37" s="147"/>
      <c r="BK37" s="147"/>
      <c r="BL37" s="147"/>
      <c r="BM37" s="147"/>
      <c r="BN37" s="147"/>
      <c r="BO37" s="147"/>
      <c r="BP37" s="147"/>
      <c r="BQ37" s="147"/>
      <c r="BR37" s="147"/>
      <c r="BS37" s="147"/>
      <c r="BT37" s="147"/>
      <c r="BU37" s="147"/>
      <c r="BV37" s="147"/>
      <c r="BW37" s="147"/>
      <c r="BX37" s="147"/>
      <c r="BY37" s="147"/>
      <c r="BZ37" s="147"/>
      <c r="CA37" s="147"/>
      <c r="CB37" s="147"/>
      <c r="CC37" s="147"/>
      <c r="CD37" s="147"/>
      <c r="CE37" s="147"/>
      <c r="CF37" s="147"/>
      <c r="CG37" s="147"/>
      <c r="CH37" s="147"/>
      <c r="CI37" s="147"/>
      <c r="CJ37" s="147"/>
      <c r="CK37" s="147"/>
      <c r="CL37" s="147"/>
      <c r="CM37" s="147"/>
      <c r="CN37" s="147"/>
      <c r="CO37" s="147"/>
      <c r="CP37" s="147"/>
    </row>
    <row r="38" spans="1:94" s="153" customFormat="1" ht="15" x14ac:dyDescent="0.25">
      <c r="A38" s="139"/>
      <c r="B38" s="188"/>
      <c r="C38" s="443" t="str">
        <f>perm_name</f>
        <v>Permanent Positions</v>
      </c>
      <c r="D38" s="444"/>
      <c r="E38" s="189">
        <v>1</v>
      </c>
      <c r="F38" s="190">
        <f>SUMIF($E9:$E35,$E38,$F9:$F35)</f>
        <v>39</v>
      </c>
      <c r="G38" s="191">
        <f>SUMIF($E10:$E35,$E38,$G10:$G35)</f>
        <v>2557755.2000000002</v>
      </c>
      <c r="H38" s="192">
        <f>SUMIF($E10:$E35,$E38,$H10:$H35)</f>
        <v>454350</v>
      </c>
      <c r="I38" s="192">
        <f>SUMIF($E10:$E35,$E38,$I10:$I35)</f>
        <v>545697.15553599992</v>
      </c>
      <c r="J38" s="192">
        <f>SUM(G38:I38)</f>
        <v>3557802.3555359999</v>
      </c>
      <c r="K38" s="166"/>
      <c r="L38" s="191">
        <f>SUMIF($E10:$E35,$E38,$L10:$L35)</f>
        <v>0</v>
      </c>
      <c r="M38" s="192">
        <f>SUMIF($E10:$E35,$E38,$M10:$M35)</f>
        <v>-12277.224959999996</v>
      </c>
      <c r="N38" s="192">
        <f>SUM(L38:M38)</f>
        <v>-12277.224959999996</v>
      </c>
      <c r="O38"/>
      <c r="P38"/>
      <c r="Q38"/>
      <c r="R38"/>
      <c r="S38"/>
      <c r="T38"/>
      <c r="U38"/>
      <c r="V38"/>
      <c r="W38"/>
      <c r="X38"/>
      <c r="Y38"/>
      <c r="Z38" s="344"/>
      <c r="AA38" s="338">
        <f>ROUND(AdjPermSalary*CECPerm,-2)</f>
        <v>25600</v>
      </c>
      <c r="AB38" s="338">
        <f>ROUND((AdjPermVB*CECPerm+AdjPermVBBY*CECPerm),-2)</f>
        <v>5300</v>
      </c>
      <c r="AC38" s="338">
        <f>SUM(AA38:AB38)</f>
        <v>30900</v>
      </c>
      <c r="AD38" s="329"/>
      <c r="AE38" s="147"/>
      <c r="AF38" s="147"/>
      <c r="AG38" s="147"/>
      <c r="AH38" s="147"/>
      <c r="AI38" s="147"/>
      <c r="AJ38" s="147"/>
      <c r="AK38" s="147"/>
      <c r="AL38" s="147"/>
      <c r="AM38" s="147"/>
      <c r="AN38" s="147"/>
      <c r="AO38" s="147"/>
      <c r="AP38" s="147"/>
      <c r="AQ38" s="147"/>
      <c r="AR38" s="147"/>
      <c r="AS38" s="147"/>
      <c r="AT38" s="147"/>
      <c r="AU38" s="147"/>
      <c r="AV38" s="147"/>
      <c r="AW38" s="147"/>
      <c r="AX38" s="147"/>
      <c r="AY38" s="147"/>
      <c r="AZ38" s="147"/>
      <c r="BA38" s="147"/>
      <c r="BB38" s="147"/>
      <c r="BC38" s="147"/>
      <c r="BD38" s="147"/>
      <c r="BE38" s="147"/>
      <c r="BF38" s="147"/>
      <c r="BG38" s="147"/>
      <c r="BH38" s="147"/>
      <c r="BI38" s="147"/>
      <c r="BJ38" s="147"/>
      <c r="BK38" s="147"/>
      <c r="BL38" s="147"/>
      <c r="BM38" s="147"/>
      <c r="BN38" s="147"/>
      <c r="BO38" s="147"/>
      <c r="BP38" s="147"/>
      <c r="BQ38" s="147"/>
      <c r="BR38" s="147"/>
      <c r="BS38" s="147"/>
      <c r="BT38" s="147"/>
      <c r="BU38" s="147"/>
      <c r="BV38" s="147"/>
      <c r="BW38" s="147"/>
      <c r="BX38" s="147"/>
      <c r="BY38" s="147"/>
      <c r="BZ38" s="147"/>
      <c r="CA38" s="147"/>
      <c r="CB38" s="147"/>
      <c r="CC38" s="147"/>
      <c r="CD38" s="147"/>
      <c r="CE38" s="147"/>
      <c r="CF38" s="147"/>
      <c r="CG38" s="147"/>
      <c r="CH38" s="147"/>
      <c r="CI38" s="147"/>
      <c r="CJ38" s="147"/>
      <c r="CK38" s="147"/>
      <c r="CL38" s="147"/>
      <c r="CM38" s="147"/>
      <c r="CN38" s="147"/>
      <c r="CO38" s="147"/>
      <c r="CP38" s="147"/>
    </row>
    <row r="39" spans="1:94" s="153" customFormat="1" ht="15" x14ac:dyDescent="0.25">
      <c r="A39" s="139"/>
      <c r="B39" s="188"/>
      <c r="C39" s="443" t="str">
        <f>Group_name</f>
        <v>Board &amp; Group Positions</v>
      </c>
      <c r="D39" s="444"/>
      <c r="E39" s="189">
        <v>2</v>
      </c>
      <c r="F39" s="151">
        <f>SUMIF($E9:$E35,$E39,$F9:$F35)</f>
        <v>0</v>
      </c>
      <c r="G39" s="193">
        <f>SUMIF($E10:$E35,$E39,$G10:$G35)</f>
        <v>0</v>
      </c>
      <c r="H39" s="152">
        <f>SUMIF($E10:$E35,$E39,$H10:$H35)</f>
        <v>0</v>
      </c>
      <c r="I39" s="152">
        <f>SUMIF($E10:$E35,$E39,$I10:$I35)</f>
        <v>0</v>
      </c>
      <c r="J39" s="152">
        <f>SUM(G39:I39)</f>
        <v>0</v>
      </c>
      <c r="K39" s="259"/>
      <c r="L39" s="193">
        <f>SUMIF($E10:$E35,$E39,$L10:$L35)</f>
        <v>0</v>
      </c>
      <c r="M39" s="152">
        <f>SUMIF($E11:$E37,$E39,$M11:$M37)</f>
        <v>0</v>
      </c>
      <c r="N39" s="152">
        <f>SUM(L39:M39)</f>
        <v>0</v>
      </c>
      <c r="O39"/>
      <c r="P39"/>
      <c r="Q39"/>
      <c r="R39"/>
      <c r="S39"/>
      <c r="T39"/>
      <c r="U39"/>
      <c r="V39"/>
      <c r="W39"/>
      <c r="X39"/>
      <c r="Y39"/>
      <c r="Z39" s="344"/>
      <c r="AA39" s="338">
        <f>ROUND(AdjGroupSalary*CECGroup,-2)</f>
        <v>0</v>
      </c>
      <c r="AB39" s="338">
        <f>ROUND(AdjGroupVB*CECGroup,-2)</f>
        <v>0</v>
      </c>
      <c r="AC39" s="338">
        <f>SUM(AA39:AB39)</f>
        <v>0</v>
      </c>
      <c r="AD39" s="329"/>
      <c r="AE39" s="147"/>
      <c r="AF39" s="147"/>
      <c r="AG39" s="147"/>
      <c r="AH39" s="147"/>
      <c r="AI39" s="147"/>
      <c r="AJ39" s="147"/>
      <c r="AK39" s="147"/>
      <c r="AL39" s="147"/>
      <c r="AM39" s="147"/>
      <c r="AN39" s="147"/>
      <c r="AO39" s="147"/>
      <c r="AP39" s="147"/>
      <c r="AQ39" s="147"/>
      <c r="AR39" s="147"/>
      <c r="AS39" s="147"/>
      <c r="AT39" s="147"/>
      <c r="AU39" s="147"/>
      <c r="AV39" s="147"/>
      <c r="AW39" s="147"/>
      <c r="AX39" s="147"/>
      <c r="AY39" s="147"/>
      <c r="AZ39" s="147"/>
      <c r="BA39" s="147"/>
      <c r="BB39" s="147"/>
      <c r="BC39" s="147"/>
      <c r="BD39" s="147"/>
      <c r="BE39" s="147"/>
      <c r="BF39" s="147"/>
      <c r="BG39" s="147"/>
      <c r="BH39" s="147"/>
      <c r="BI39" s="147"/>
      <c r="BJ39" s="147"/>
      <c r="BK39" s="147"/>
      <c r="BL39" s="147"/>
      <c r="BM39" s="147"/>
      <c r="BN39" s="147"/>
      <c r="BO39" s="147"/>
      <c r="BP39" s="147"/>
      <c r="BQ39" s="147"/>
      <c r="BR39" s="147"/>
      <c r="BS39" s="147"/>
      <c r="BT39" s="147"/>
      <c r="BU39" s="147"/>
      <c r="BV39" s="147"/>
      <c r="BW39" s="147"/>
      <c r="BX39" s="147"/>
      <c r="BY39" s="147"/>
      <c r="BZ39" s="147"/>
      <c r="CA39" s="147"/>
      <c r="CB39" s="147"/>
      <c r="CC39" s="147"/>
      <c r="CD39" s="147"/>
      <c r="CE39" s="147"/>
      <c r="CF39" s="147"/>
      <c r="CG39" s="147"/>
      <c r="CH39" s="147"/>
      <c r="CI39" s="147"/>
      <c r="CJ39" s="147"/>
      <c r="CK39" s="147"/>
      <c r="CL39" s="147"/>
      <c r="CM39" s="147"/>
      <c r="CN39" s="147"/>
      <c r="CO39" s="147"/>
      <c r="CP39" s="147"/>
    </row>
    <row r="40" spans="1:94" s="153" customFormat="1" ht="15" x14ac:dyDescent="0.25">
      <c r="A40" s="139"/>
      <c r="B40" s="188"/>
      <c r="C40" s="364" t="str">
        <f>Elect_name</f>
        <v>Elected Officials &amp; Full Time Commissioners</v>
      </c>
      <c r="D40" s="365"/>
      <c r="E40" s="189">
        <v>3</v>
      </c>
      <c r="F40" s="151">
        <f>SUMIF($E9:$E35,$E40,$F9:$F35)</f>
        <v>0</v>
      </c>
      <c r="G40" s="193">
        <f>SUMIF($E10:$E35,$E40,$G10:$G35)</f>
        <v>0</v>
      </c>
      <c r="H40" s="152">
        <f>SUMIF($E10:$E35,$E40,$H10:$H35)</f>
        <v>0</v>
      </c>
      <c r="I40" s="152">
        <f>SUMIF($E10:$E35,$E40,$I10:$I35)</f>
        <v>0</v>
      </c>
      <c r="J40" s="152">
        <f>SUM(G40:I40)</f>
        <v>0</v>
      </c>
      <c r="K40" s="259"/>
      <c r="L40" s="193">
        <f>SUMIF($E10:$E35,$E40,$L10:$L35)</f>
        <v>0</v>
      </c>
      <c r="M40" s="152">
        <f>SUMIF($E10:$E35,$E40,$M10:$M35)</f>
        <v>0</v>
      </c>
      <c r="N40" s="152">
        <f>SUM(L40:M40)</f>
        <v>0</v>
      </c>
      <c r="O40"/>
      <c r="P40"/>
      <c r="Q40"/>
      <c r="R40"/>
      <c r="S40"/>
      <c r="T40"/>
      <c r="U40"/>
      <c r="V40"/>
      <c r="W40"/>
      <c r="X40"/>
      <c r="Y40"/>
      <c r="Z40" s="344"/>
      <c r="AA40" s="363"/>
      <c r="AB40" s="363"/>
      <c r="AC40" s="363"/>
      <c r="AD40" s="329"/>
      <c r="AE40" s="147"/>
      <c r="AF40" s="147"/>
      <c r="AG40" s="147"/>
      <c r="AH40" s="147"/>
      <c r="AI40" s="147"/>
      <c r="AJ40" s="147"/>
      <c r="AK40" s="147"/>
      <c r="AL40" s="147"/>
      <c r="AM40" s="147"/>
      <c r="AN40" s="147"/>
      <c r="AO40" s="147"/>
      <c r="AP40" s="147"/>
      <c r="AQ40" s="147"/>
      <c r="AR40" s="147"/>
      <c r="AS40" s="147"/>
      <c r="AT40" s="147"/>
      <c r="AU40" s="147"/>
      <c r="AV40" s="147"/>
      <c r="AW40" s="147"/>
      <c r="AX40" s="147"/>
      <c r="AY40" s="147"/>
      <c r="AZ40" s="147"/>
      <c r="BA40" s="147"/>
      <c r="BB40" s="147"/>
      <c r="BC40" s="147"/>
      <c r="BD40" s="147"/>
      <c r="BE40" s="147"/>
      <c r="BF40" s="147"/>
      <c r="BG40" s="147"/>
      <c r="BH40" s="147"/>
      <c r="BI40" s="147"/>
      <c r="BJ40" s="147"/>
      <c r="BK40" s="147"/>
      <c r="BL40" s="147"/>
      <c r="BM40" s="147"/>
      <c r="BN40" s="147"/>
      <c r="BO40" s="147"/>
      <c r="BP40" s="147"/>
      <c r="BQ40" s="147"/>
      <c r="BR40" s="147"/>
      <c r="BS40" s="147"/>
      <c r="BT40" s="147"/>
      <c r="BU40" s="147"/>
      <c r="BV40" s="147"/>
      <c r="BW40" s="147"/>
      <c r="BX40" s="147"/>
      <c r="BY40" s="147"/>
      <c r="BZ40" s="147"/>
      <c r="CA40" s="147"/>
      <c r="CB40" s="147"/>
      <c r="CC40" s="147"/>
      <c r="CD40" s="147"/>
      <c r="CE40" s="147"/>
      <c r="CF40" s="147"/>
      <c r="CG40" s="147"/>
      <c r="CH40" s="147"/>
      <c r="CI40" s="147"/>
      <c r="CJ40" s="147"/>
      <c r="CK40" s="147"/>
      <c r="CL40" s="147"/>
      <c r="CM40" s="147"/>
      <c r="CN40" s="147"/>
      <c r="CO40" s="147"/>
      <c r="CP40" s="147"/>
    </row>
    <row r="41" spans="1:94" s="153" customFormat="1" ht="15" x14ac:dyDescent="0.25">
      <c r="A41" s="139"/>
      <c r="B41" s="188"/>
      <c r="C41" s="443" t="s">
        <v>38</v>
      </c>
      <c r="D41" s="444"/>
      <c r="E41" s="189"/>
      <c r="F41" s="161">
        <f>SUM(F38:F40)</f>
        <v>39</v>
      </c>
      <c r="G41" s="195">
        <f>SUM($G$38:$G$40)</f>
        <v>2557755.2000000002</v>
      </c>
      <c r="H41" s="162">
        <f>SUM($H$38:$H$40)</f>
        <v>454350</v>
      </c>
      <c r="I41" s="162">
        <f>SUM($I$38:$I$40)</f>
        <v>545697.15553599992</v>
      </c>
      <c r="J41" s="162">
        <f>SUM($J$38:$J$40)</f>
        <v>3557802.3555359999</v>
      </c>
      <c r="K41" s="259"/>
      <c r="L41" s="195">
        <f>SUM($L$38:$L$40)</f>
        <v>0</v>
      </c>
      <c r="M41" s="162">
        <f>SUM($M$38:$M$40)</f>
        <v>-12277.224959999996</v>
      </c>
      <c r="N41" s="162">
        <f>SUM(L41:M41)</f>
        <v>-12277.224959999996</v>
      </c>
      <c r="O41"/>
      <c r="P41"/>
      <c r="Q41"/>
      <c r="R41"/>
      <c r="S41"/>
      <c r="T41"/>
      <c r="U41"/>
      <c r="V41"/>
      <c r="W41"/>
      <c r="X41"/>
      <c r="Y41"/>
      <c r="Z41" s="344"/>
      <c r="AA41" s="363" t="s">
        <v>94</v>
      </c>
      <c r="AB41" s="333" t="s">
        <v>95</v>
      </c>
      <c r="AC41" s="333" t="s">
        <v>106</v>
      </c>
      <c r="AD41" s="329"/>
      <c r="AE41" s="147"/>
      <c r="AF41" s="147"/>
      <c r="AG41" s="147"/>
      <c r="AH41" s="147"/>
      <c r="AI41" s="147"/>
      <c r="AJ41" s="147"/>
      <c r="AK41" s="147"/>
      <c r="AL41" s="147"/>
      <c r="AM41" s="147"/>
      <c r="AN41" s="147"/>
      <c r="AO41" s="147"/>
      <c r="AP41" s="147"/>
      <c r="AQ41" s="147"/>
      <c r="AR41" s="147"/>
      <c r="AS41" s="147"/>
      <c r="AT41" s="147"/>
      <c r="AU41" s="147"/>
      <c r="AV41" s="147"/>
      <c r="AW41" s="147"/>
      <c r="AX41" s="147"/>
      <c r="AY41" s="147"/>
      <c r="AZ41" s="147"/>
      <c r="BA41" s="147"/>
      <c r="BB41" s="147"/>
      <c r="BC41" s="147"/>
      <c r="BD41" s="147"/>
      <c r="BE41" s="147"/>
      <c r="BF41" s="147"/>
      <c r="BG41" s="147"/>
      <c r="BH41" s="147"/>
      <c r="BI41" s="147"/>
      <c r="BJ41" s="147"/>
      <c r="BK41" s="147"/>
      <c r="BL41" s="147"/>
      <c r="BM41" s="147"/>
      <c r="BN41" s="147"/>
      <c r="BO41" s="147"/>
      <c r="BP41" s="147"/>
      <c r="BQ41" s="147"/>
      <c r="BR41" s="147"/>
      <c r="BS41" s="147"/>
      <c r="BT41" s="147"/>
      <c r="BU41" s="147"/>
      <c r="BV41" s="147"/>
      <c r="BW41" s="147"/>
      <c r="BX41" s="147"/>
      <c r="BY41" s="147"/>
      <c r="BZ41" s="147"/>
      <c r="CA41" s="147"/>
      <c r="CB41" s="147"/>
      <c r="CC41" s="147"/>
      <c r="CD41" s="147"/>
      <c r="CE41" s="147"/>
      <c r="CF41" s="147"/>
      <c r="CG41" s="147"/>
      <c r="CH41" s="147"/>
      <c r="CI41" s="147"/>
      <c r="CJ41" s="147"/>
      <c r="CK41" s="147"/>
      <c r="CL41" s="147"/>
      <c r="CM41" s="147"/>
      <c r="CN41" s="147"/>
      <c r="CO41" s="147"/>
      <c r="CP41" s="147"/>
    </row>
    <row r="42" spans="1:94" s="153" customFormat="1" ht="4.5" customHeight="1" x14ac:dyDescent="0.25">
      <c r="A42" s="139"/>
      <c r="B42" s="188"/>
      <c r="C42" s="445"/>
      <c r="D42" s="446"/>
      <c r="E42" s="196"/>
      <c r="F42" s="197"/>
      <c r="G42" s="198"/>
      <c r="H42" s="199"/>
      <c r="I42" s="199"/>
      <c r="J42" s="324"/>
      <c r="K42" s="200"/>
      <c r="L42" s="323"/>
      <c r="M42" s="323"/>
      <c r="N42" s="201"/>
      <c r="O42"/>
      <c r="P42"/>
      <c r="Q42"/>
      <c r="R42"/>
      <c r="S42"/>
      <c r="T42"/>
      <c r="U42"/>
      <c r="V42"/>
      <c r="W42"/>
      <c r="X42"/>
      <c r="Y42"/>
      <c r="Z42" s="344"/>
      <c r="AA42" s="363"/>
      <c r="AB42" s="363"/>
      <c r="AC42" s="363"/>
      <c r="AD42" s="329"/>
      <c r="AE42" s="147"/>
      <c r="AF42" s="147"/>
      <c r="AG42" s="147"/>
      <c r="AH42" s="147"/>
      <c r="AI42" s="147"/>
      <c r="AJ42" s="147"/>
      <c r="AK42" s="147"/>
      <c r="AL42" s="147"/>
      <c r="AM42" s="147"/>
      <c r="AN42" s="147"/>
      <c r="AO42" s="147"/>
      <c r="AP42" s="147"/>
      <c r="AQ42" s="147"/>
      <c r="AR42" s="147"/>
      <c r="AS42" s="147"/>
      <c r="AT42" s="147"/>
      <c r="AU42" s="147"/>
      <c r="AV42" s="147"/>
      <c r="AW42" s="147"/>
      <c r="AX42" s="147"/>
      <c r="AY42" s="147"/>
      <c r="AZ42" s="147"/>
      <c r="BA42" s="147"/>
      <c r="BB42" s="147"/>
      <c r="BC42" s="147"/>
      <c r="BD42" s="147"/>
      <c r="BE42" s="147"/>
      <c r="BF42" s="147"/>
      <c r="BG42" s="147"/>
      <c r="BH42" s="147"/>
      <c r="BI42" s="147"/>
      <c r="BJ42" s="147"/>
      <c r="BK42" s="147"/>
      <c r="BL42" s="147"/>
      <c r="BM42" s="147"/>
      <c r="BN42" s="147"/>
      <c r="BO42" s="147"/>
      <c r="BP42" s="147"/>
      <c r="BQ42" s="147"/>
      <c r="BR42" s="147"/>
      <c r="BS42" s="147"/>
      <c r="BT42" s="147"/>
      <c r="BU42" s="147"/>
      <c r="BV42" s="147"/>
      <c r="BW42" s="147"/>
      <c r="BX42" s="147"/>
      <c r="BY42" s="147"/>
      <c r="BZ42" s="147"/>
      <c r="CA42" s="147"/>
      <c r="CB42" s="147"/>
      <c r="CC42" s="147"/>
      <c r="CD42" s="147"/>
      <c r="CE42" s="147"/>
      <c r="CF42" s="147"/>
      <c r="CG42" s="147"/>
      <c r="CH42" s="147"/>
      <c r="CI42" s="147"/>
      <c r="CJ42" s="147"/>
      <c r="CK42" s="147"/>
      <c r="CL42" s="147"/>
      <c r="CM42" s="147"/>
      <c r="CN42" s="147"/>
      <c r="CO42" s="147"/>
      <c r="CP42" s="147"/>
    </row>
    <row r="43" spans="1:94" s="153" customFormat="1" ht="15.75" customHeight="1" x14ac:dyDescent="0.25">
      <c r="A43" s="139"/>
      <c r="B43" s="202"/>
      <c r="C43" s="447" t="s">
        <v>39</v>
      </c>
      <c r="D43" s="448"/>
      <c r="E43" s="203" t="s">
        <v>40</v>
      </c>
      <c r="F43" s="205">
        <f>ROUND(F51-F41,2)</f>
        <v>1</v>
      </c>
      <c r="G43" s="206">
        <f>ROUND(G51-G41,-2)</f>
        <v>-12300</v>
      </c>
      <c r="H43" s="159">
        <f>ROUND(H51-H41,-2)</f>
        <v>-2200</v>
      </c>
      <c r="I43" s="159">
        <f>ROUND(I51-I41,-2)</f>
        <v>-2600</v>
      </c>
      <c r="J43" s="159">
        <f>SUM(G43:I43)</f>
        <v>-17100</v>
      </c>
      <c r="K43" s="424" t="str">
        <f>IF(E51=0,"ERROR! Enter Original Appropriation amount in DU 3.00!","Calculated "&amp;IF(J43&gt;0,"overfunding ","underfunding ")&amp;"is "&amp;TEXT(J43/J51,"#.0%;(#.0% );0% ;")&amp;" of Original Appropriation")</f>
        <v>Calculated underfunding is (.5% ) of Original Appropriation</v>
      </c>
      <c r="L43" s="425"/>
      <c r="M43" s="425"/>
      <c r="N43" s="426"/>
      <c r="O43"/>
      <c r="P43"/>
      <c r="Q43"/>
      <c r="R43"/>
      <c r="S43"/>
      <c r="T43"/>
      <c r="U43"/>
      <c r="V43"/>
      <c r="W43"/>
      <c r="X43"/>
      <c r="Y43"/>
      <c r="Z43" s="344"/>
      <c r="AA43" s="451" t="s">
        <v>108</v>
      </c>
      <c r="AB43" s="452"/>
      <c r="AC43" s="452"/>
      <c r="AD43" s="329"/>
      <c r="AE43" s="147"/>
      <c r="AF43" s="147"/>
      <c r="AG43" s="147"/>
      <c r="AH43" s="147"/>
      <c r="AI43" s="147"/>
      <c r="AJ43" s="147"/>
      <c r="AK43" s="147"/>
      <c r="AL43" s="147"/>
      <c r="AM43" s="147"/>
      <c r="AN43" s="147"/>
      <c r="AO43" s="147"/>
      <c r="AP43" s="147"/>
      <c r="AQ43" s="147"/>
      <c r="AR43" s="147"/>
      <c r="AS43" s="147"/>
      <c r="AT43" s="147"/>
      <c r="AU43" s="147"/>
      <c r="AV43" s="147"/>
      <c r="AW43" s="147"/>
      <c r="AX43" s="147"/>
      <c r="AY43" s="147"/>
      <c r="AZ43" s="147"/>
      <c r="BA43" s="147"/>
      <c r="BB43" s="147"/>
      <c r="BC43" s="147"/>
      <c r="BD43" s="147"/>
      <c r="BE43" s="147"/>
      <c r="BF43" s="147"/>
      <c r="BG43" s="147"/>
      <c r="BH43" s="147"/>
      <c r="BI43" s="147"/>
      <c r="BJ43" s="147"/>
      <c r="BK43" s="147"/>
      <c r="BL43" s="147"/>
      <c r="BM43" s="147"/>
      <c r="BN43" s="147"/>
      <c r="BO43" s="147"/>
      <c r="BP43" s="147"/>
      <c r="BQ43" s="147"/>
      <c r="BR43" s="147"/>
      <c r="BS43" s="147"/>
      <c r="BT43" s="147"/>
      <c r="BU43" s="147"/>
      <c r="BV43" s="147"/>
      <c r="BW43" s="147"/>
      <c r="BX43" s="147"/>
      <c r="BY43" s="147"/>
      <c r="BZ43" s="147"/>
      <c r="CA43" s="147"/>
      <c r="CB43" s="147"/>
      <c r="CC43" s="147"/>
      <c r="CD43" s="147"/>
      <c r="CE43" s="147"/>
      <c r="CF43" s="147"/>
      <c r="CG43" s="147"/>
      <c r="CH43" s="147"/>
      <c r="CI43" s="147"/>
      <c r="CJ43" s="147"/>
      <c r="CK43" s="147"/>
      <c r="CL43" s="147"/>
      <c r="CM43" s="147"/>
      <c r="CN43" s="147"/>
      <c r="CO43" s="147"/>
      <c r="CP43" s="147"/>
    </row>
    <row r="44" spans="1:94" s="153" customFormat="1" ht="15.75" customHeight="1" x14ac:dyDescent="0.25">
      <c r="A44" s="139"/>
      <c r="B44" s="202"/>
      <c r="C44" s="449"/>
      <c r="D44" s="450"/>
      <c r="E44" s="204" t="s">
        <v>41</v>
      </c>
      <c r="F44" s="205">
        <f>ROUND(F60-F41,2)</f>
        <v>1</v>
      </c>
      <c r="G44" s="206">
        <f>ROUND(G60-G41,-2)</f>
        <v>-12300</v>
      </c>
      <c r="H44" s="159">
        <f>ROUND(H60-H41,-2)</f>
        <v>-2200</v>
      </c>
      <c r="I44" s="159">
        <f>ROUND(I60-I41,-2)</f>
        <v>-2600</v>
      </c>
      <c r="J44" s="159">
        <f>SUM(G44:I44)</f>
        <v>-17100</v>
      </c>
      <c r="K44" s="424" t="str">
        <f>IF(E51=0,"ERROR! Enter Original Appropriation amount in DU 3.00!","Calculated "&amp;IF(J44&gt;0,"overfunding ","underfunding ")&amp;"is "&amp;TEXT(J44/J60,"#.0%;(#.0% );0% ;")&amp;" of Estimated Expenditures")</f>
        <v>Calculated underfunding is (.5% ) of Estimated Expenditures</v>
      </c>
      <c r="L44" s="425"/>
      <c r="M44" s="425"/>
      <c r="N44" s="426"/>
      <c r="O44"/>
      <c r="P44"/>
      <c r="Q44"/>
      <c r="R44"/>
      <c r="S44"/>
      <c r="T44"/>
      <c r="U44"/>
      <c r="V44"/>
      <c r="W44"/>
      <c r="X44"/>
      <c r="Y44"/>
      <c r="Z44" s="344"/>
      <c r="AA44" s="338">
        <f>NEW_AdjPermSalary-NEW_PermSalaryFilled</f>
        <v>0</v>
      </c>
      <c r="AB44" s="338">
        <f>NEW_AdjPermVB-NEW_PermVBFilled</f>
        <v>0</v>
      </c>
      <c r="AC44" s="338">
        <f>SUM(AA44:AB44)</f>
        <v>0</v>
      </c>
      <c r="AD44" s="329"/>
      <c r="AE44" s="147"/>
      <c r="AF44" s="147"/>
      <c r="AG44" s="147"/>
      <c r="AH44" s="147"/>
      <c r="AI44" s="147"/>
      <c r="AJ44" s="147"/>
      <c r="AK44" s="147"/>
      <c r="AL44" s="147"/>
      <c r="AM44" s="147"/>
      <c r="AN44" s="147"/>
      <c r="AO44" s="147"/>
      <c r="AP44" s="147"/>
      <c r="AQ44" s="147"/>
      <c r="AR44" s="147"/>
      <c r="AS44" s="147"/>
      <c r="AT44" s="147"/>
      <c r="AU44" s="147"/>
      <c r="AV44" s="147"/>
      <c r="AW44" s="147"/>
      <c r="AX44" s="147"/>
      <c r="AY44" s="147"/>
      <c r="AZ44" s="147"/>
      <c r="BA44" s="147"/>
      <c r="BB44" s="147"/>
      <c r="BC44" s="147"/>
      <c r="BD44" s="147"/>
      <c r="BE44" s="147"/>
      <c r="BF44" s="147"/>
      <c r="BG44" s="147"/>
      <c r="BH44" s="147"/>
      <c r="BI44" s="147"/>
      <c r="BJ44" s="147"/>
      <c r="BK44" s="147"/>
      <c r="BL44" s="147"/>
      <c r="BM44" s="147"/>
      <c r="BN44" s="147"/>
      <c r="BO44" s="147"/>
      <c r="BP44" s="147"/>
      <c r="BQ44" s="147"/>
      <c r="BR44" s="147"/>
      <c r="BS44" s="147"/>
      <c r="BT44" s="147"/>
      <c r="BU44" s="147"/>
      <c r="BV44" s="147"/>
      <c r="BW44" s="147"/>
      <c r="BX44" s="147"/>
      <c r="BY44" s="147"/>
      <c r="BZ44" s="147"/>
      <c r="CA44" s="147"/>
      <c r="CB44" s="147"/>
      <c r="CC44" s="147"/>
      <c r="CD44" s="147"/>
      <c r="CE44" s="147"/>
      <c r="CF44" s="147"/>
      <c r="CG44" s="147"/>
      <c r="CH44" s="147"/>
      <c r="CI44" s="147"/>
      <c r="CJ44" s="147"/>
      <c r="CK44" s="147"/>
      <c r="CL44" s="147"/>
      <c r="CM44" s="147"/>
      <c r="CN44" s="147"/>
      <c r="CO44" s="147"/>
      <c r="CP44" s="147"/>
    </row>
    <row r="45" spans="1:94" s="153" customFormat="1" ht="15.75" customHeight="1" x14ac:dyDescent="0.25">
      <c r="A45" s="139"/>
      <c r="B45" s="202"/>
      <c r="C45" s="215"/>
      <c r="D45" s="215"/>
      <c r="E45" s="204" t="s">
        <v>99</v>
      </c>
      <c r="F45" s="205">
        <f>ROUND(F67-F41-F63,2)</f>
        <v>1</v>
      </c>
      <c r="G45" s="206">
        <f>ROUND(G67-G41-G63,-2)</f>
        <v>-12300</v>
      </c>
      <c r="H45" s="206">
        <f>ROUND(H67-H41-H63,-2)</f>
        <v>-2200</v>
      </c>
      <c r="I45" s="206">
        <f>ROUND(I67-I41-I63,-2)</f>
        <v>-2600</v>
      </c>
      <c r="J45" s="159">
        <f>SUM(G45:I45)</f>
        <v>-17100</v>
      </c>
      <c r="K45" s="424" t="str">
        <f>IF(J67=0,"Program has a zero base",IF(E51=0,"ERROR! Enter Original Appropriation amount in DU 3.00!","Calculated "&amp;IF(J45&gt;0,"overfunding ","underfunding ")&amp;"is "&amp;TEXT(J45/J67,"#.0%;(#.0% );0% ;")&amp;" of the Base"))</f>
        <v>Calculated underfunding is (.5% ) of the Base</v>
      </c>
      <c r="L45" s="425"/>
      <c r="M45" s="425"/>
      <c r="N45" s="426"/>
      <c r="O45"/>
      <c r="P45"/>
      <c r="Q45"/>
      <c r="R45"/>
      <c r="S45"/>
      <c r="T45"/>
      <c r="U45"/>
      <c r="V45"/>
      <c r="W45"/>
      <c r="X45"/>
      <c r="Y45"/>
      <c r="Z45" s="344"/>
      <c r="AA45" s="338">
        <f>NEW_AdjGroupSalary-NEW_GroupSalaryFilled</f>
        <v>0</v>
      </c>
      <c r="AB45" s="338">
        <f>NEW_AdjGroupVB-NEW_GroupVBFilled</f>
        <v>0</v>
      </c>
      <c r="AC45" s="338">
        <f>SUM(AA45:AB45)</f>
        <v>0</v>
      </c>
      <c r="AD45" s="329"/>
      <c r="AE45" s="147"/>
      <c r="AF45" s="147"/>
      <c r="AG45" s="147"/>
      <c r="AH45" s="147"/>
      <c r="AI45" s="147"/>
      <c r="AJ45" s="147"/>
      <c r="AK45" s="147"/>
      <c r="AL45" s="147"/>
      <c r="AM45" s="147"/>
      <c r="AN45" s="147"/>
      <c r="AO45" s="147"/>
      <c r="AP45" s="147"/>
      <c r="AQ45" s="147"/>
      <c r="AR45" s="147"/>
      <c r="AS45" s="147"/>
      <c r="AT45" s="147"/>
      <c r="AU45" s="147"/>
      <c r="AV45" s="147"/>
      <c r="AW45" s="147"/>
      <c r="AX45" s="147"/>
      <c r="AY45" s="147"/>
      <c r="AZ45" s="147"/>
      <c r="BA45" s="147"/>
      <c r="BB45" s="147"/>
      <c r="BC45" s="147"/>
      <c r="BD45" s="147"/>
      <c r="BE45" s="147"/>
      <c r="BF45" s="147"/>
      <c r="BG45" s="147"/>
      <c r="BH45" s="147"/>
      <c r="BI45" s="147"/>
      <c r="BJ45" s="147"/>
      <c r="BK45" s="147"/>
      <c r="BL45" s="147"/>
      <c r="BM45" s="147"/>
      <c r="BN45" s="147"/>
      <c r="BO45" s="147"/>
      <c r="BP45" s="147"/>
      <c r="BQ45" s="147"/>
      <c r="BR45" s="147"/>
      <c r="BS45" s="147"/>
      <c r="BT45" s="147"/>
      <c r="BU45" s="147"/>
      <c r="BV45" s="147"/>
      <c r="BW45" s="147"/>
      <c r="BX45" s="147"/>
      <c r="BY45" s="147"/>
      <c r="BZ45" s="147"/>
      <c r="CA45" s="147"/>
      <c r="CB45" s="147"/>
      <c r="CC45" s="147"/>
      <c r="CD45" s="147"/>
      <c r="CE45" s="147"/>
      <c r="CF45" s="147"/>
      <c r="CG45" s="147"/>
      <c r="CH45" s="147"/>
      <c r="CI45" s="147"/>
      <c r="CJ45" s="147"/>
      <c r="CK45" s="147"/>
      <c r="CL45" s="147"/>
      <c r="CM45" s="147"/>
      <c r="CN45" s="147"/>
      <c r="CO45" s="147"/>
      <c r="CP45" s="147"/>
    </row>
    <row r="46" spans="1:94" s="153" customFormat="1" ht="28.5" customHeight="1" x14ac:dyDescent="0.25">
      <c r="A46" s="139"/>
      <c r="B46" s="202"/>
      <c r="C46" s="215"/>
      <c r="D46" s="215"/>
      <c r="E46" s="427" t="s">
        <v>100</v>
      </c>
      <c r="F46" s="428"/>
      <c r="G46" s="428"/>
      <c r="H46" s="428"/>
      <c r="I46" s="428"/>
      <c r="J46" s="429"/>
      <c r="K46" s="433" t="str">
        <f>IF(OR(J45&lt;0,F45&lt;0),"You may not have sufficient funding or authorized FTP, and may need to make additional adjustments to finalize this form.  Please contact both your DFM and LSO analysts.","")</f>
        <v>You may not have sufficient funding or authorized FTP, and may need to make additional adjustments to finalize this form.  Please contact both your DFM and LSO analysts.</v>
      </c>
      <c r="L46" s="434"/>
      <c r="M46" s="434"/>
      <c r="N46" s="435"/>
      <c r="O46"/>
      <c r="P46"/>
      <c r="Q46"/>
      <c r="R46"/>
      <c r="S46"/>
      <c r="T46"/>
      <c r="U46"/>
      <c r="V46"/>
      <c r="W46"/>
      <c r="X46"/>
      <c r="Y46"/>
      <c r="Z46" s="344"/>
      <c r="AA46" s="363"/>
      <c r="AB46" s="363"/>
      <c r="AC46" s="363"/>
      <c r="AD46" s="329"/>
      <c r="AE46" s="147"/>
      <c r="AF46" s="147"/>
      <c r="AG46" s="147"/>
      <c r="AH46" s="147"/>
      <c r="AI46" s="147"/>
      <c r="AJ46" s="147"/>
      <c r="AK46" s="147"/>
      <c r="AL46" s="147"/>
      <c r="AM46" s="147"/>
      <c r="AN46" s="147"/>
      <c r="AO46" s="147"/>
      <c r="AP46" s="147"/>
      <c r="AQ46" s="147"/>
      <c r="AR46" s="147"/>
      <c r="AS46" s="147"/>
      <c r="AT46" s="147"/>
      <c r="AU46" s="147"/>
      <c r="AV46" s="147"/>
      <c r="AW46" s="147"/>
      <c r="AX46" s="147"/>
      <c r="AY46" s="147"/>
      <c r="AZ46" s="147"/>
      <c r="BA46" s="147"/>
      <c r="BB46" s="147"/>
      <c r="BC46" s="147"/>
      <c r="BD46" s="147"/>
      <c r="BE46" s="147"/>
      <c r="BF46" s="147"/>
      <c r="BG46" s="147"/>
      <c r="BH46" s="147"/>
      <c r="BI46" s="147"/>
      <c r="BJ46" s="147"/>
      <c r="BK46" s="147"/>
      <c r="BL46" s="147"/>
      <c r="BM46" s="147"/>
      <c r="BN46" s="147"/>
      <c r="BO46" s="147"/>
      <c r="BP46" s="147"/>
      <c r="BQ46" s="147"/>
      <c r="BR46" s="147"/>
      <c r="BS46" s="147"/>
      <c r="BT46" s="147"/>
      <c r="BU46" s="147"/>
      <c r="BV46" s="147"/>
      <c r="BW46" s="147"/>
      <c r="BX46" s="147"/>
      <c r="BY46" s="147"/>
      <c r="BZ46" s="147"/>
      <c r="CA46" s="147"/>
      <c r="CB46" s="147"/>
      <c r="CC46" s="147"/>
      <c r="CD46" s="147"/>
      <c r="CE46" s="147"/>
      <c r="CF46" s="147"/>
      <c r="CG46" s="147"/>
      <c r="CH46" s="147"/>
      <c r="CI46" s="147"/>
      <c r="CJ46" s="147"/>
      <c r="CK46" s="147"/>
      <c r="CL46" s="147"/>
      <c r="CM46" s="147"/>
      <c r="CN46" s="147"/>
      <c r="CO46" s="147"/>
      <c r="CP46" s="147"/>
    </row>
    <row r="47" spans="1:94" s="153" customFormat="1" ht="21.75" customHeight="1" x14ac:dyDescent="0.25">
      <c r="A47" s="139"/>
      <c r="B47" s="202"/>
      <c r="C47" s="215"/>
      <c r="D47" s="215"/>
      <c r="E47" s="430"/>
      <c r="F47" s="431"/>
      <c r="G47" s="431"/>
      <c r="H47" s="431"/>
      <c r="I47" s="431"/>
      <c r="J47" s="432"/>
      <c r="K47" s="436"/>
      <c r="L47" s="437"/>
      <c r="M47" s="437"/>
      <c r="N47" s="438"/>
      <c r="O47"/>
      <c r="P47"/>
      <c r="Q47"/>
      <c r="R47"/>
      <c r="S47"/>
      <c r="T47"/>
      <c r="U47"/>
      <c r="V47"/>
      <c r="W47"/>
      <c r="X47"/>
      <c r="Y47"/>
      <c r="Z47" s="344"/>
      <c r="AA47" s="363"/>
      <c r="AB47" s="363"/>
      <c r="AC47" s="363"/>
      <c r="AD47" s="329"/>
      <c r="AE47" s="147"/>
      <c r="AF47" s="147"/>
      <c r="AG47" s="147"/>
      <c r="AH47" s="147"/>
      <c r="AI47" s="147"/>
      <c r="AJ47" s="147"/>
      <c r="AK47" s="147"/>
      <c r="AL47" s="147"/>
      <c r="AM47" s="147"/>
      <c r="AN47" s="147"/>
      <c r="AO47" s="147"/>
      <c r="AP47" s="147"/>
      <c r="AQ47" s="147"/>
      <c r="AR47" s="147"/>
      <c r="AS47" s="147"/>
      <c r="AT47" s="147"/>
      <c r="AU47" s="147"/>
      <c r="AV47" s="147"/>
      <c r="AW47" s="147"/>
      <c r="AX47" s="147"/>
      <c r="AY47" s="147"/>
      <c r="AZ47" s="147"/>
      <c r="BA47" s="147"/>
      <c r="BB47" s="147"/>
      <c r="BC47" s="147"/>
      <c r="BD47" s="147"/>
      <c r="BE47" s="147"/>
      <c r="BF47" s="147"/>
      <c r="BG47" s="147"/>
      <c r="BH47" s="147"/>
      <c r="BI47" s="147"/>
      <c r="BJ47" s="147"/>
      <c r="BK47" s="147"/>
      <c r="BL47" s="147"/>
      <c r="BM47" s="147"/>
      <c r="BN47" s="147"/>
      <c r="BO47" s="147"/>
      <c r="BP47" s="147"/>
      <c r="BQ47" s="147"/>
      <c r="BR47" s="147"/>
      <c r="BS47" s="147"/>
      <c r="BT47" s="147"/>
      <c r="BU47" s="147"/>
      <c r="BV47" s="147"/>
      <c r="BW47" s="147"/>
      <c r="BX47" s="147"/>
      <c r="BY47" s="147"/>
      <c r="BZ47" s="147"/>
      <c r="CA47" s="147"/>
      <c r="CB47" s="147"/>
      <c r="CC47" s="147"/>
      <c r="CD47" s="147"/>
      <c r="CE47" s="147"/>
      <c r="CF47" s="147"/>
      <c r="CG47" s="147"/>
      <c r="CH47" s="147"/>
      <c r="CI47" s="147"/>
      <c r="CJ47" s="147"/>
      <c r="CK47" s="147"/>
      <c r="CL47" s="147"/>
      <c r="CM47" s="147"/>
      <c r="CN47" s="147"/>
      <c r="CO47" s="147"/>
      <c r="CP47" s="147"/>
    </row>
    <row r="48" spans="1:94" s="214" customFormat="1" ht="8.25" customHeight="1" x14ac:dyDescent="0.25">
      <c r="A48" s="207"/>
      <c r="B48" s="208"/>
      <c r="C48" s="136"/>
      <c r="D48" s="136"/>
      <c r="E48" s="209"/>
      <c r="F48" s="210"/>
      <c r="G48" s="211"/>
      <c r="H48" s="211"/>
      <c r="I48" s="211"/>
      <c r="J48" s="211"/>
      <c r="K48" s="211"/>
      <c r="L48" s="137"/>
      <c r="M48" s="138"/>
      <c r="N48" s="212"/>
      <c r="O48"/>
      <c r="P48"/>
      <c r="Q48"/>
      <c r="R48"/>
      <c r="S48"/>
      <c r="T48"/>
      <c r="U48"/>
      <c r="V48"/>
      <c r="W48"/>
      <c r="X48"/>
      <c r="Y48"/>
      <c r="Z48" s="344"/>
      <c r="AA48" s="339"/>
      <c r="AB48" s="339"/>
      <c r="AC48" s="339"/>
      <c r="AD48" s="330"/>
      <c r="AE48" s="213"/>
      <c r="AF48" s="213"/>
      <c r="AG48" s="213"/>
      <c r="AH48" s="213"/>
      <c r="AI48" s="213"/>
      <c r="AJ48" s="213"/>
      <c r="AK48" s="213"/>
      <c r="AL48" s="213"/>
      <c r="AM48" s="213"/>
      <c r="AN48" s="213"/>
      <c r="AO48" s="213"/>
      <c r="AP48" s="213"/>
      <c r="AQ48" s="213"/>
      <c r="AR48" s="213"/>
      <c r="AS48" s="213"/>
      <c r="AT48" s="213"/>
      <c r="AU48" s="213"/>
      <c r="AV48" s="213"/>
      <c r="AW48" s="213"/>
      <c r="AX48" s="213"/>
      <c r="AY48" s="213"/>
      <c r="AZ48" s="213"/>
      <c r="BA48" s="213"/>
      <c r="BB48" s="213"/>
      <c r="BC48" s="213"/>
      <c r="BD48" s="213"/>
      <c r="BE48" s="213"/>
      <c r="BF48" s="213"/>
      <c r="BG48" s="213"/>
      <c r="BH48" s="213"/>
      <c r="BI48" s="213"/>
      <c r="BJ48" s="213"/>
      <c r="BK48" s="213"/>
      <c r="BL48" s="213"/>
      <c r="BM48" s="213"/>
      <c r="BN48" s="213"/>
      <c r="BO48" s="213"/>
      <c r="BP48" s="213"/>
      <c r="BQ48" s="213"/>
      <c r="BR48" s="213"/>
      <c r="BS48" s="213"/>
      <c r="BT48" s="213"/>
      <c r="BU48" s="213"/>
      <c r="BV48" s="213"/>
      <c r="BW48" s="213"/>
      <c r="BX48" s="213"/>
      <c r="BY48" s="213"/>
      <c r="BZ48" s="213"/>
      <c r="CA48" s="213"/>
      <c r="CB48" s="213"/>
      <c r="CC48" s="213"/>
      <c r="CD48" s="213"/>
      <c r="CE48" s="213"/>
      <c r="CF48" s="213"/>
      <c r="CG48" s="213"/>
      <c r="CH48" s="213"/>
      <c r="CI48" s="213"/>
      <c r="CJ48" s="213"/>
      <c r="CK48" s="213"/>
      <c r="CL48" s="213"/>
      <c r="CM48" s="213"/>
      <c r="CN48" s="213"/>
      <c r="CO48" s="213"/>
      <c r="CP48" s="213"/>
    </row>
    <row r="49" spans="1:94" s="53" customFormat="1" ht="6" customHeight="1" x14ac:dyDescent="0.25">
      <c r="A49" s="63"/>
      <c r="B49" s="64"/>
      <c r="C49" s="65"/>
      <c r="D49" s="66"/>
      <c r="E49" s="67"/>
      <c r="F49" s="68"/>
      <c r="G49" s="64"/>
      <c r="H49" s="64"/>
      <c r="I49" s="64"/>
      <c r="J49" s="64"/>
      <c r="K49" s="64"/>
      <c r="L49" s="69"/>
      <c r="M49" s="69"/>
      <c r="N49" s="70"/>
      <c r="O49"/>
      <c r="P49"/>
      <c r="Q49"/>
      <c r="R49"/>
      <c r="S49"/>
      <c r="T49"/>
      <c r="U49"/>
      <c r="V49"/>
      <c r="W49"/>
      <c r="X49"/>
      <c r="Y49"/>
      <c r="Z49" s="344"/>
      <c r="AA49" s="363"/>
      <c r="AB49" s="363"/>
      <c r="AC49" s="363"/>
      <c r="AD49" s="110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1"/>
      <c r="AV49" s="41"/>
      <c r="AW49" s="41"/>
      <c r="AX49" s="41"/>
      <c r="AY49" s="41"/>
      <c r="AZ49" s="41"/>
      <c r="BA49" s="41"/>
      <c r="BB49" s="41"/>
      <c r="BC49" s="41"/>
      <c r="BD49" s="41"/>
      <c r="BE49" s="41"/>
      <c r="BF49" s="41"/>
      <c r="BG49" s="41"/>
      <c r="BH49" s="41"/>
      <c r="BI49" s="41"/>
      <c r="BJ49" s="41"/>
      <c r="BK49" s="41"/>
      <c r="BL49" s="41"/>
      <c r="BM49" s="41"/>
      <c r="BN49" s="41"/>
      <c r="BO49" s="41"/>
      <c r="BP49" s="41"/>
      <c r="BQ49" s="41"/>
      <c r="BR49" s="41"/>
      <c r="BS49" s="41"/>
      <c r="BT49" s="41"/>
      <c r="BU49" s="41"/>
      <c r="BV49" s="41"/>
      <c r="BW49" s="41"/>
      <c r="BX49" s="41"/>
      <c r="BY49" s="41"/>
      <c r="BZ49" s="41"/>
      <c r="CA49" s="41"/>
      <c r="CB49" s="41"/>
      <c r="CC49" s="41"/>
      <c r="CD49" s="41"/>
      <c r="CE49" s="41"/>
      <c r="CF49" s="41"/>
      <c r="CG49" s="41"/>
      <c r="CH49" s="41"/>
      <c r="CI49" s="41"/>
      <c r="CJ49" s="41"/>
      <c r="CK49" s="41"/>
      <c r="CL49" s="41"/>
      <c r="CM49" s="41"/>
      <c r="CN49" s="41"/>
      <c r="CO49" s="41"/>
      <c r="CP49" s="41"/>
    </row>
    <row r="50" spans="1:94" s="53" customFormat="1" ht="24.75" customHeight="1" x14ac:dyDescent="0.25">
      <c r="A50" s="257" t="s">
        <v>42</v>
      </c>
      <c r="B50" s="71"/>
      <c r="C50" s="439"/>
      <c r="D50" s="440"/>
      <c r="E50" s="72" t="s">
        <v>43</v>
      </c>
      <c r="F50" s="73" t="s">
        <v>24</v>
      </c>
      <c r="G50" s="72" t="str">
        <f>"FY "&amp;M4-2001&amp;" Salary"</f>
        <v>FY 22 Salary</v>
      </c>
      <c r="H50" s="72" t="str">
        <f>"FY "&amp;M4-2001&amp;" Health Ben"</f>
        <v>FY 22 Health Ben</v>
      </c>
      <c r="I50" s="72" t="str">
        <f>"FY "&amp;M4-2001&amp;" Var Ben"</f>
        <v>FY 22 Var Ben</v>
      </c>
      <c r="J50" s="72" t="str">
        <f>"FY "&amp;M4-1&amp;" Total"</f>
        <v>FY 2022 Total</v>
      </c>
      <c r="K50" s="307" t="str">
        <f>"FY "&amp;FiscalYear&amp;" SALARY CHG"</f>
        <v>FY 2023 SALARY CHG</v>
      </c>
      <c r="L50" s="74" t="str">
        <f>"FY "&amp;M4-2000&amp;" Chg Health Bens"</f>
        <v>FY 23 Chg Health Bens</v>
      </c>
      <c r="M50" s="74" t="str">
        <f>"FY "&amp;M4-2000&amp;" Chg Var Bens"</f>
        <v>FY 23 Chg Var Bens</v>
      </c>
      <c r="N50" s="74" t="s">
        <v>44</v>
      </c>
      <c r="O50"/>
      <c r="P50"/>
      <c r="Q50"/>
      <c r="R50"/>
      <c r="S50"/>
      <c r="T50"/>
      <c r="U50"/>
      <c r="V50"/>
      <c r="W50"/>
      <c r="X50"/>
      <c r="Y50"/>
      <c r="Z50" s="344"/>
      <c r="AA50" s="363"/>
      <c r="AB50" s="363"/>
      <c r="AC50" s="363"/>
      <c r="AD50" s="110"/>
      <c r="AE50" s="41"/>
      <c r="AF50" s="41"/>
      <c r="AG50" s="41"/>
      <c r="AH50" s="41"/>
      <c r="AI50" s="41"/>
      <c r="AJ50" s="41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U50" s="41"/>
      <c r="AV50" s="41"/>
      <c r="AW50" s="41"/>
      <c r="AX50" s="41"/>
      <c r="AY50" s="41"/>
      <c r="AZ50" s="41"/>
      <c r="BA50" s="41"/>
      <c r="BB50" s="41"/>
      <c r="BC50" s="41"/>
      <c r="BD50" s="41"/>
      <c r="BE50" s="41"/>
      <c r="BF50" s="41"/>
      <c r="BG50" s="41"/>
      <c r="BH50" s="41"/>
      <c r="BI50" s="41"/>
      <c r="BJ50" s="41"/>
      <c r="BK50" s="41"/>
      <c r="BL50" s="41"/>
      <c r="BM50" s="41"/>
      <c r="BN50" s="41"/>
      <c r="BO50" s="41"/>
      <c r="BP50" s="41"/>
      <c r="BQ50" s="41"/>
      <c r="BR50" s="41"/>
      <c r="BS50" s="41"/>
      <c r="BT50" s="41"/>
      <c r="BU50" s="41"/>
      <c r="BV50" s="41"/>
      <c r="BW50" s="41"/>
      <c r="BX50" s="41"/>
      <c r="BY50" s="41"/>
      <c r="BZ50" s="41"/>
      <c r="CA50" s="41"/>
      <c r="CB50" s="41"/>
      <c r="CC50" s="41"/>
      <c r="CD50" s="41"/>
      <c r="CE50" s="41"/>
      <c r="CF50" s="41"/>
      <c r="CG50" s="41"/>
      <c r="CH50" s="41"/>
      <c r="CI50" s="41"/>
      <c r="CJ50" s="41"/>
      <c r="CK50" s="41"/>
      <c r="CL50" s="41"/>
      <c r="CM50" s="41"/>
      <c r="CN50" s="41"/>
      <c r="CO50" s="41"/>
      <c r="CP50" s="41"/>
    </row>
    <row r="51" spans="1:94" s="53" customFormat="1" ht="15.75" customHeight="1" x14ac:dyDescent="0.25">
      <c r="A51" s="75">
        <v>3</v>
      </c>
      <c r="B51" s="76" t="s">
        <v>45</v>
      </c>
      <c r="C51" s="54" t="str">
        <f>"FY "&amp;M4-1</f>
        <v>FY 2022</v>
      </c>
      <c r="D51" s="77" t="s">
        <v>31</v>
      </c>
      <c r="E51" s="78">
        <f>OrigApprop</f>
        <v>3540700</v>
      </c>
      <c r="F51" s="272">
        <f>AppropFTP</f>
        <v>40</v>
      </c>
      <c r="G51" s="274">
        <f>IF(E51=0,0,(G41/$J$41)*$E$51)</f>
        <v>2545460.0710318643</v>
      </c>
      <c r="H51" s="274">
        <f>IF(E51=0,0,(H41/$J$41)*$E$51)</f>
        <v>452165.93959942978</v>
      </c>
      <c r="I51" s="275">
        <f>IF(E51=0,0,(I41/$J$41)*$E$51)</f>
        <v>543073.98936870613</v>
      </c>
      <c r="J51" s="90">
        <f>SUM(G51:I51)</f>
        <v>3540700</v>
      </c>
      <c r="K51" s="263"/>
      <c r="L51" s="61"/>
      <c r="M51" s="81"/>
      <c r="N51" s="81"/>
      <c r="O51"/>
      <c r="P51"/>
      <c r="Q51"/>
      <c r="R51"/>
      <c r="S51"/>
      <c r="T51"/>
      <c r="U51"/>
      <c r="V51"/>
      <c r="W51"/>
      <c r="X51"/>
      <c r="Y51"/>
      <c r="Z51" s="344"/>
      <c r="AA51" s="346"/>
      <c r="AB51" s="363"/>
      <c r="AC51" s="363"/>
      <c r="AD51" s="110"/>
      <c r="AE51" s="41"/>
      <c r="AF51" s="41"/>
      <c r="AG51" s="41"/>
      <c r="AH51" s="41"/>
      <c r="AI51" s="41"/>
      <c r="AJ51" s="41"/>
      <c r="AK51" s="41"/>
      <c r="AL51" s="41"/>
      <c r="AM51" s="41"/>
      <c r="AN51" s="41"/>
      <c r="AO51" s="41"/>
      <c r="AP51" s="41"/>
      <c r="AQ51" s="41"/>
      <c r="AR51" s="41"/>
      <c r="AS51" s="41"/>
      <c r="AT51" s="41"/>
      <c r="AU51" s="41"/>
      <c r="AV51" s="41"/>
      <c r="AW51" s="41"/>
      <c r="AX51" s="41"/>
      <c r="AY51" s="41"/>
      <c r="AZ51" s="41"/>
      <c r="BA51" s="41"/>
      <c r="BB51" s="41"/>
      <c r="BC51" s="41"/>
      <c r="BD51" s="41"/>
      <c r="BE51" s="41"/>
      <c r="BF51" s="41"/>
      <c r="BG51" s="41"/>
      <c r="BH51" s="41"/>
      <c r="BI51" s="41"/>
      <c r="BJ51" s="41"/>
      <c r="BK51" s="41"/>
      <c r="BL51" s="41"/>
      <c r="BM51" s="41"/>
      <c r="BN51" s="41"/>
      <c r="BO51" s="41"/>
      <c r="BP51" s="41"/>
      <c r="BQ51" s="41"/>
      <c r="BR51" s="41"/>
      <c r="BS51" s="41"/>
      <c r="BT51" s="41"/>
      <c r="BU51" s="41"/>
      <c r="BV51" s="41"/>
      <c r="BW51" s="41"/>
      <c r="BX51" s="41"/>
      <c r="BY51" s="41"/>
      <c r="BZ51" s="41"/>
      <c r="CA51" s="41"/>
      <c r="CB51" s="41"/>
      <c r="CC51" s="41"/>
      <c r="CD51" s="41"/>
      <c r="CE51" s="41"/>
      <c r="CF51" s="41"/>
      <c r="CG51" s="41"/>
      <c r="CH51" s="41"/>
      <c r="CI51" s="41"/>
      <c r="CJ51" s="41"/>
      <c r="CK51" s="41"/>
      <c r="CL51" s="41"/>
      <c r="CM51" s="41"/>
      <c r="CN51" s="41"/>
      <c r="CO51" s="41"/>
      <c r="CP51" s="41"/>
    </row>
    <row r="52" spans="1:94" s="53" customFormat="1" ht="15.75" customHeight="1" x14ac:dyDescent="0.25">
      <c r="A52" s="82"/>
      <c r="B52" s="83"/>
      <c r="C52" s="84"/>
      <c r="D52" s="132" t="s">
        <v>46</v>
      </c>
      <c r="E52" s="133"/>
      <c r="F52" s="55">
        <f>F51</f>
        <v>40</v>
      </c>
      <c r="G52" s="79">
        <f>ROUND(G51,-2)</f>
        <v>2545500</v>
      </c>
      <c r="H52" s="79">
        <f>ROUND(H51,-2)</f>
        <v>452200</v>
      </c>
      <c r="I52" s="266">
        <f>ROUND(I51,-2)</f>
        <v>543100</v>
      </c>
      <c r="J52" s="80">
        <f>ROUND(J51,-2)</f>
        <v>3540700</v>
      </c>
      <c r="K52" s="263"/>
      <c r="L52" s="61"/>
      <c r="M52" s="81"/>
      <c r="N52" s="81"/>
      <c r="O52"/>
      <c r="P52"/>
      <c r="Q52"/>
      <c r="R52"/>
      <c r="S52"/>
      <c r="T52"/>
      <c r="U52"/>
      <c r="V52"/>
      <c r="W52"/>
      <c r="X52"/>
      <c r="Y52"/>
      <c r="Z52" s="344"/>
      <c r="AA52" s="347"/>
      <c r="AB52" s="363"/>
      <c r="AC52" s="363"/>
      <c r="AD52" s="110"/>
      <c r="AE52" s="41"/>
      <c r="AF52" s="41"/>
      <c r="AG52" s="41"/>
      <c r="AH52" s="41"/>
      <c r="AI52" s="41"/>
      <c r="AJ52" s="41"/>
      <c r="AK52" s="41"/>
      <c r="AL52" s="41"/>
      <c r="AM52" s="41"/>
      <c r="AN52" s="41"/>
      <c r="AO52" s="41"/>
      <c r="AP52" s="41"/>
      <c r="AQ52" s="41"/>
      <c r="AR52" s="41"/>
      <c r="AS52" s="41"/>
      <c r="AT52" s="41"/>
      <c r="AU52" s="41"/>
      <c r="AV52" s="41"/>
      <c r="AW52" s="41"/>
      <c r="AX52" s="41"/>
      <c r="AY52" s="41"/>
      <c r="AZ52" s="41"/>
      <c r="BA52" s="41"/>
      <c r="BB52" s="41"/>
      <c r="BC52" s="41"/>
      <c r="BD52" s="41"/>
      <c r="BE52" s="41"/>
      <c r="BF52" s="41"/>
      <c r="BG52" s="41"/>
      <c r="BH52" s="41"/>
      <c r="BI52" s="41"/>
      <c r="BJ52" s="41"/>
      <c r="BK52" s="41"/>
      <c r="BL52" s="41"/>
      <c r="BM52" s="41"/>
      <c r="BN52" s="41"/>
      <c r="BO52" s="41"/>
      <c r="BP52" s="41"/>
      <c r="BQ52" s="41"/>
      <c r="BR52" s="41"/>
      <c r="BS52" s="41"/>
      <c r="BT52" s="41"/>
      <c r="BU52" s="41"/>
      <c r="BV52" s="41"/>
      <c r="BW52" s="41"/>
      <c r="BX52" s="41"/>
      <c r="BY52" s="41"/>
      <c r="BZ52" s="41"/>
      <c r="CA52" s="41"/>
      <c r="CB52" s="41"/>
      <c r="CC52" s="41"/>
      <c r="CD52" s="41"/>
      <c r="CE52" s="41"/>
      <c r="CF52" s="41"/>
      <c r="CG52" s="41"/>
      <c r="CH52" s="41"/>
      <c r="CI52" s="41"/>
      <c r="CJ52" s="41"/>
      <c r="CK52" s="41"/>
      <c r="CL52" s="41"/>
      <c r="CM52" s="41"/>
      <c r="CN52" s="41"/>
      <c r="CO52" s="41"/>
      <c r="CP52" s="41"/>
    </row>
    <row r="53" spans="1:94" s="53" customFormat="1" ht="15" x14ac:dyDescent="0.25">
      <c r="A53" s="85"/>
      <c r="B53" s="83"/>
      <c r="C53" s="441" t="s">
        <v>47</v>
      </c>
      <c r="D53" s="442"/>
      <c r="E53" s="271"/>
      <c r="F53" s="273"/>
      <c r="G53" s="62"/>
      <c r="H53" s="62"/>
      <c r="I53" s="62"/>
      <c r="J53" s="62"/>
      <c r="K53" s="62"/>
      <c r="L53" s="61"/>
      <c r="M53" s="86"/>
      <c r="N53" s="86"/>
      <c r="O53"/>
      <c r="P53"/>
      <c r="Q53"/>
      <c r="R53"/>
      <c r="S53"/>
      <c r="T53"/>
      <c r="U53"/>
      <c r="V53"/>
      <c r="W53"/>
      <c r="X53"/>
      <c r="Y53"/>
      <c r="Z53" s="344"/>
      <c r="AA53" s="363"/>
      <c r="AB53" s="363"/>
      <c r="AC53" s="363"/>
      <c r="AD53" s="110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U53" s="41"/>
      <c r="AV53" s="41"/>
      <c r="AW53" s="41"/>
      <c r="AX53" s="41"/>
      <c r="AY53" s="41"/>
      <c r="AZ53" s="41"/>
      <c r="BA53" s="41"/>
      <c r="BB53" s="41"/>
      <c r="BC53" s="41"/>
      <c r="BD53" s="41"/>
      <c r="BE53" s="41"/>
      <c r="BF53" s="41"/>
      <c r="BG53" s="41"/>
      <c r="BH53" s="41"/>
      <c r="BI53" s="41"/>
      <c r="BJ53" s="41"/>
      <c r="BK53" s="41"/>
      <c r="BL53" s="41"/>
      <c r="BM53" s="41"/>
      <c r="BN53" s="41"/>
      <c r="BO53" s="41"/>
      <c r="BP53" s="41"/>
      <c r="BQ53" s="41"/>
      <c r="BR53" s="41"/>
      <c r="BS53" s="41"/>
      <c r="BT53" s="41"/>
      <c r="BU53" s="41"/>
      <c r="BV53" s="41"/>
      <c r="BW53" s="41"/>
      <c r="BX53" s="41"/>
      <c r="BY53" s="41"/>
      <c r="BZ53" s="41"/>
      <c r="CA53" s="41"/>
      <c r="CB53" s="41"/>
      <c r="CC53" s="41"/>
      <c r="CD53" s="41"/>
      <c r="CE53" s="41"/>
      <c r="CF53" s="41"/>
      <c r="CG53" s="41"/>
      <c r="CH53" s="41"/>
      <c r="CI53" s="41"/>
      <c r="CJ53" s="41"/>
      <c r="CK53" s="41"/>
      <c r="CL53" s="41"/>
      <c r="CM53" s="41"/>
      <c r="CN53" s="41"/>
      <c r="CO53" s="41"/>
      <c r="CP53" s="41"/>
    </row>
    <row r="54" spans="1:94" s="53" customFormat="1" ht="15.75" customHeight="1" x14ac:dyDescent="0.25">
      <c r="A54" s="85">
        <v>4.1100000000000003</v>
      </c>
      <c r="B54" s="83"/>
      <c r="C54" s="408" t="s">
        <v>48</v>
      </c>
      <c r="D54" s="409"/>
      <c r="E54" s="59"/>
      <c r="F54" s="58">
        <v>0</v>
      </c>
      <c r="G54" s="88">
        <v>0</v>
      </c>
      <c r="H54" s="88">
        <v>0</v>
      </c>
      <c r="I54" s="265">
        <v>0</v>
      </c>
      <c r="J54" s="89">
        <f>SUM(G54:I54)</f>
        <v>0</v>
      </c>
      <c r="K54" s="62"/>
      <c r="L54" s="61"/>
      <c r="M54" s="86"/>
      <c r="N54" s="86"/>
      <c r="O54"/>
      <c r="P54"/>
      <c r="Q54"/>
      <c r="R54"/>
      <c r="S54"/>
      <c r="T54"/>
      <c r="U54"/>
      <c r="V54"/>
      <c r="W54"/>
      <c r="X54"/>
      <c r="Y54"/>
      <c r="Z54" s="344"/>
      <c r="AA54" s="363"/>
      <c r="AB54" s="363"/>
      <c r="AC54" s="363"/>
      <c r="AD54" s="110"/>
      <c r="AE54" s="41"/>
      <c r="AF54" s="41"/>
      <c r="AG54" s="41"/>
      <c r="AH54" s="41"/>
      <c r="AI54" s="41"/>
      <c r="AJ54" s="41"/>
      <c r="AK54" s="41"/>
      <c r="AL54" s="41"/>
      <c r="AM54" s="41"/>
      <c r="AN54" s="41"/>
      <c r="AO54" s="41"/>
      <c r="AP54" s="41"/>
      <c r="AQ54" s="41"/>
      <c r="AR54" s="41"/>
      <c r="AS54" s="41"/>
      <c r="AT54" s="41"/>
      <c r="AU54" s="41"/>
      <c r="AV54" s="41"/>
      <c r="AW54" s="41"/>
      <c r="AX54" s="41"/>
      <c r="AY54" s="41"/>
      <c r="AZ54" s="41"/>
      <c r="BA54" s="41"/>
      <c r="BB54" s="41"/>
      <c r="BC54" s="41"/>
      <c r="BD54" s="41"/>
      <c r="BE54" s="41"/>
      <c r="BF54" s="41"/>
      <c r="BG54" s="41"/>
      <c r="BH54" s="41"/>
      <c r="BI54" s="41"/>
      <c r="BJ54" s="41"/>
      <c r="BK54" s="41"/>
      <c r="BL54" s="41"/>
      <c r="BM54" s="41"/>
      <c r="BN54" s="41"/>
      <c r="BO54" s="41"/>
      <c r="BP54" s="41"/>
      <c r="BQ54" s="41"/>
      <c r="BR54" s="41"/>
      <c r="BS54" s="41"/>
      <c r="BT54" s="41"/>
      <c r="BU54" s="41"/>
      <c r="BV54" s="41"/>
      <c r="BW54" s="41"/>
      <c r="BX54" s="41"/>
      <c r="BY54" s="41"/>
      <c r="BZ54" s="41"/>
      <c r="CA54" s="41"/>
      <c r="CB54" s="41"/>
      <c r="CC54" s="41"/>
      <c r="CD54" s="41"/>
      <c r="CE54" s="41"/>
      <c r="CF54" s="41"/>
      <c r="CG54" s="41"/>
      <c r="CH54" s="41"/>
      <c r="CI54" s="41"/>
      <c r="CJ54" s="41"/>
      <c r="CK54" s="41"/>
      <c r="CL54" s="41"/>
      <c r="CM54" s="41"/>
      <c r="CN54" s="41"/>
      <c r="CO54" s="41"/>
      <c r="CP54" s="41"/>
    </row>
    <row r="55" spans="1:94" s="53" customFormat="1" ht="15.75" customHeight="1" x14ac:dyDescent="0.25">
      <c r="A55" s="85">
        <v>4.3099999999999996</v>
      </c>
      <c r="B55" s="83"/>
      <c r="C55" s="421" t="s">
        <v>49</v>
      </c>
      <c r="D55" s="422"/>
      <c r="E55" s="59"/>
      <c r="F55" s="277">
        <v>0</v>
      </c>
      <c r="G55" s="92">
        <v>0</v>
      </c>
      <c r="H55" s="92">
        <v>0</v>
      </c>
      <c r="I55" s="264">
        <v>0</v>
      </c>
      <c r="J55" s="287">
        <f>SUM(G55:I55)</f>
        <v>0</v>
      </c>
      <c r="K55" s="62"/>
      <c r="L55" s="88"/>
      <c r="M55" s="261"/>
      <c r="N55" s="89">
        <f>SUM(L55:M55)</f>
        <v>0</v>
      </c>
      <c r="O55"/>
      <c r="P55"/>
      <c r="Q55"/>
      <c r="R55"/>
      <c r="S55"/>
      <c r="T55"/>
      <c r="U55"/>
      <c r="V55"/>
      <c r="W55"/>
      <c r="X55"/>
      <c r="Y55"/>
      <c r="Z55" s="344"/>
      <c r="AA55" s="363"/>
      <c r="AB55" s="363"/>
      <c r="AC55" s="363"/>
      <c r="AD55" s="110"/>
      <c r="AE55" s="41"/>
      <c r="AF55" s="41"/>
      <c r="AG55" s="41"/>
      <c r="AH55" s="41"/>
      <c r="AI55" s="41"/>
      <c r="AJ55" s="41"/>
      <c r="AK55" s="41"/>
      <c r="AL55" s="41"/>
      <c r="AM55" s="41"/>
      <c r="AN55" s="41"/>
      <c r="AO55" s="41"/>
      <c r="AP55" s="41"/>
      <c r="AQ55" s="41"/>
      <c r="AR55" s="41"/>
      <c r="AS55" s="41"/>
      <c r="AT55" s="41"/>
      <c r="AU55" s="41"/>
      <c r="AV55" s="41"/>
      <c r="AW55" s="41"/>
      <c r="AX55" s="41"/>
      <c r="AY55" s="41"/>
      <c r="AZ55" s="41"/>
      <c r="BA55" s="41"/>
      <c r="BB55" s="41"/>
      <c r="BC55" s="41"/>
      <c r="BD55" s="41"/>
      <c r="BE55" s="41"/>
      <c r="BF55" s="41"/>
      <c r="BG55" s="41"/>
      <c r="BH55" s="41"/>
      <c r="BI55" s="41"/>
      <c r="BJ55" s="41"/>
      <c r="BK55" s="41"/>
      <c r="BL55" s="41"/>
      <c r="BM55" s="41"/>
      <c r="BN55" s="41"/>
      <c r="BO55" s="41"/>
      <c r="BP55" s="41"/>
      <c r="BQ55" s="41"/>
      <c r="BR55" s="41"/>
      <c r="BS55" s="41"/>
      <c r="BT55" s="41"/>
      <c r="BU55" s="41"/>
      <c r="BV55" s="41"/>
      <c r="BW55" s="41"/>
      <c r="BX55" s="41"/>
      <c r="BY55" s="41"/>
      <c r="BZ55" s="41"/>
      <c r="CA55" s="41"/>
      <c r="CB55" s="41"/>
      <c r="CC55" s="41"/>
      <c r="CD55" s="41"/>
      <c r="CE55" s="41"/>
      <c r="CF55" s="41"/>
      <c r="CG55" s="41"/>
      <c r="CH55" s="41"/>
      <c r="CI55" s="41"/>
      <c r="CJ55" s="41"/>
      <c r="CK55" s="41"/>
      <c r="CL55" s="41"/>
      <c r="CM55" s="41"/>
      <c r="CN55" s="41"/>
      <c r="CO55" s="41"/>
      <c r="CP55" s="41"/>
    </row>
    <row r="56" spans="1:94" s="53" customFormat="1" ht="15.75" customHeight="1" x14ac:dyDescent="0.25">
      <c r="A56" s="75">
        <v>5</v>
      </c>
      <c r="B56" s="76"/>
      <c r="C56" s="54" t="str">
        <f>"FY "&amp;M4-1</f>
        <v>FY 2022</v>
      </c>
      <c r="D56" s="131" t="s">
        <v>50</v>
      </c>
      <c r="E56" s="135"/>
      <c r="F56" s="55">
        <f>SUM(F52:F55)</f>
        <v>40</v>
      </c>
      <c r="G56" s="80">
        <f>SUM(G52:G55)</f>
        <v>2545500</v>
      </c>
      <c r="H56" s="80">
        <f>SUM(H52:H55)</f>
        <v>452200</v>
      </c>
      <c r="I56" s="260">
        <f>SUM(I52:I55)</f>
        <v>543100</v>
      </c>
      <c r="J56" s="80">
        <f>SUM(J52:J55)</f>
        <v>3540700</v>
      </c>
      <c r="K56" s="263"/>
      <c r="L56" s="61"/>
      <c r="M56" s="61"/>
      <c r="N56" s="61"/>
      <c r="O56"/>
      <c r="P56"/>
      <c r="Q56"/>
      <c r="R56"/>
      <c r="S56"/>
      <c r="T56"/>
      <c r="U56"/>
      <c r="V56"/>
      <c r="W56"/>
      <c r="X56"/>
      <c r="Y56"/>
      <c r="Z56" s="344"/>
      <c r="AA56" s="363"/>
      <c r="AB56" s="363"/>
      <c r="AC56" s="363"/>
      <c r="AD56" s="110"/>
      <c r="AE56" s="41"/>
      <c r="AF56" s="41"/>
      <c r="AG56" s="41"/>
      <c r="AH56" s="41"/>
      <c r="AI56" s="41"/>
      <c r="AJ56" s="41"/>
      <c r="AK56" s="41"/>
      <c r="AL56" s="41"/>
      <c r="AM56" s="41"/>
      <c r="AN56" s="41"/>
      <c r="AO56" s="41"/>
      <c r="AP56" s="41"/>
      <c r="AQ56" s="41"/>
      <c r="AR56" s="41"/>
      <c r="AS56" s="41"/>
      <c r="AT56" s="41"/>
      <c r="AU56" s="41"/>
      <c r="AV56" s="41"/>
      <c r="AW56" s="41"/>
      <c r="AX56" s="41"/>
      <c r="AY56" s="41"/>
      <c r="AZ56" s="41"/>
      <c r="BA56" s="41"/>
      <c r="BB56" s="41"/>
      <c r="BC56" s="41"/>
      <c r="BD56" s="41"/>
      <c r="BE56" s="41"/>
      <c r="BF56" s="41"/>
      <c r="BG56" s="41"/>
      <c r="BH56" s="41"/>
      <c r="BI56" s="41"/>
      <c r="BJ56" s="41"/>
      <c r="BK56" s="41"/>
      <c r="BL56" s="41"/>
      <c r="BM56" s="41"/>
      <c r="BN56" s="41"/>
      <c r="BO56" s="41"/>
      <c r="BP56" s="41"/>
      <c r="BQ56" s="41"/>
      <c r="BR56" s="41"/>
      <c r="BS56" s="41"/>
      <c r="BT56" s="41"/>
      <c r="BU56" s="41"/>
      <c r="BV56" s="41"/>
      <c r="BW56" s="41"/>
      <c r="BX56" s="41"/>
      <c r="BY56" s="41"/>
      <c r="BZ56" s="41"/>
      <c r="CA56" s="41"/>
      <c r="CB56" s="41"/>
      <c r="CC56" s="41"/>
      <c r="CD56" s="41"/>
      <c r="CE56" s="41"/>
      <c r="CF56" s="41"/>
      <c r="CG56" s="41"/>
      <c r="CH56" s="41"/>
      <c r="CI56" s="41"/>
      <c r="CJ56" s="41"/>
      <c r="CK56" s="41"/>
      <c r="CL56" s="41"/>
      <c r="CM56" s="41"/>
      <c r="CN56" s="41"/>
      <c r="CO56" s="41"/>
      <c r="CP56" s="41"/>
    </row>
    <row r="57" spans="1:94" s="53" customFormat="1" ht="15.75" customHeight="1" x14ac:dyDescent="0.25">
      <c r="A57" s="85"/>
      <c r="B57" s="83"/>
      <c r="C57" s="419" t="s">
        <v>51</v>
      </c>
      <c r="D57" s="423"/>
      <c r="E57" s="367"/>
      <c r="F57" s="273"/>
      <c r="G57" s="62"/>
      <c r="H57" s="62"/>
      <c r="I57" s="62"/>
      <c r="J57" s="62"/>
      <c r="K57" s="62"/>
      <c r="L57" s="61"/>
      <c r="M57" s="61"/>
      <c r="N57" s="61"/>
      <c r="O57"/>
      <c r="P57"/>
      <c r="Q57"/>
      <c r="R57"/>
      <c r="S57"/>
      <c r="T57"/>
      <c r="U57"/>
      <c r="V57"/>
      <c r="W57"/>
      <c r="X57"/>
      <c r="Y57"/>
      <c r="Z57" s="344"/>
      <c r="AA57" s="363"/>
      <c r="AB57" s="363"/>
      <c r="AC57" s="363"/>
      <c r="AD57" s="110"/>
      <c r="AE57" s="41"/>
      <c r="AF57" s="41"/>
      <c r="AG57" s="41"/>
      <c r="AH57" s="41"/>
      <c r="AI57" s="41"/>
      <c r="AJ57" s="41"/>
      <c r="AK57" s="41"/>
      <c r="AL57" s="41"/>
      <c r="AM57" s="41"/>
      <c r="AN57" s="41"/>
      <c r="AO57" s="41"/>
      <c r="AP57" s="41"/>
      <c r="AQ57" s="41"/>
      <c r="AR57" s="41"/>
      <c r="AS57" s="41"/>
      <c r="AT57" s="41"/>
      <c r="AU57" s="41"/>
      <c r="AV57" s="41"/>
      <c r="AW57" s="41"/>
      <c r="AX57" s="41"/>
      <c r="AY57" s="41"/>
      <c r="AZ57" s="41"/>
      <c r="BA57" s="41"/>
      <c r="BB57" s="41"/>
      <c r="BC57" s="41"/>
      <c r="BD57" s="41"/>
      <c r="BE57" s="41"/>
      <c r="BF57" s="41"/>
      <c r="BG57" s="41"/>
      <c r="BH57" s="41"/>
      <c r="BI57" s="41"/>
      <c r="BJ57" s="41"/>
      <c r="BK57" s="41"/>
      <c r="BL57" s="41"/>
      <c r="BM57" s="41"/>
      <c r="BN57" s="41"/>
      <c r="BO57" s="41"/>
      <c r="BP57" s="41"/>
      <c r="BQ57" s="41"/>
      <c r="BR57" s="41"/>
      <c r="BS57" s="41"/>
      <c r="BT57" s="41"/>
      <c r="BU57" s="41"/>
      <c r="BV57" s="41"/>
      <c r="BW57" s="41"/>
      <c r="BX57" s="41"/>
      <c r="BY57" s="41"/>
      <c r="BZ57" s="41"/>
      <c r="CA57" s="41"/>
      <c r="CB57" s="41"/>
      <c r="CC57" s="41"/>
      <c r="CD57" s="41"/>
      <c r="CE57" s="41"/>
      <c r="CF57" s="41"/>
      <c r="CG57" s="41"/>
      <c r="CH57" s="41"/>
      <c r="CI57" s="41"/>
      <c r="CJ57" s="41"/>
      <c r="CK57" s="41"/>
      <c r="CL57" s="41"/>
      <c r="CM57" s="41"/>
      <c r="CN57" s="41"/>
      <c r="CO57" s="41"/>
      <c r="CP57" s="41"/>
    </row>
    <row r="58" spans="1:94" s="53" customFormat="1" ht="15.75" customHeight="1" x14ac:dyDescent="0.25">
      <c r="A58" s="85">
        <v>6.31</v>
      </c>
      <c r="B58" s="83"/>
      <c r="C58" s="408" t="s">
        <v>52</v>
      </c>
      <c r="D58" s="409"/>
      <c r="E58" s="102"/>
      <c r="F58" s="58">
        <v>0</v>
      </c>
      <c r="G58" s="88">
        <v>0</v>
      </c>
      <c r="H58" s="88">
        <v>0</v>
      </c>
      <c r="I58" s="265">
        <v>0</v>
      </c>
      <c r="J58" s="89">
        <f>SUM(G58:I58)</f>
        <v>0</v>
      </c>
      <c r="K58" s="62"/>
      <c r="L58" s="88"/>
      <c r="M58" s="262"/>
      <c r="N58" s="89">
        <f>SUM(L58:M58)</f>
        <v>0</v>
      </c>
      <c r="O58"/>
      <c r="P58"/>
      <c r="Q58"/>
      <c r="R58"/>
      <c r="S58"/>
      <c r="T58"/>
      <c r="U58"/>
      <c r="V58"/>
      <c r="W58"/>
      <c r="X58"/>
      <c r="Y58"/>
      <c r="Z58" s="344"/>
      <c r="AA58" s="363"/>
      <c r="AB58" s="363"/>
      <c r="AC58" s="363"/>
      <c r="AD58" s="110"/>
      <c r="AE58" s="41"/>
      <c r="AF58" s="41"/>
      <c r="AG58" s="41"/>
      <c r="AH58" s="41"/>
      <c r="AI58" s="41"/>
      <c r="AJ58" s="41"/>
      <c r="AK58" s="41"/>
      <c r="AL58" s="41"/>
      <c r="AM58" s="41"/>
      <c r="AN58" s="41"/>
      <c r="AO58" s="41"/>
      <c r="AP58" s="41"/>
      <c r="AQ58" s="41"/>
      <c r="AR58" s="41"/>
      <c r="AS58" s="41"/>
      <c r="AT58" s="41"/>
      <c r="AU58" s="41"/>
      <c r="AV58" s="41"/>
      <c r="AW58" s="41"/>
      <c r="AX58" s="41"/>
      <c r="AY58" s="41"/>
      <c r="AZ58" s="41"/>
      <c r="BA58" s="41"/>
      <c r="BB58" s="41"/>
      <c r="BC58" s="41"/>
      <c r="BD58" s="41"/>
      <c r="BE58" s="41"/>
      <c r="BF58" s="41"/>
      <c r="BG58" s="41"/>
      <c r="BH58" s="41"/>
      <c r="BI58" s="41"/>
      <c r="BJ58" s="41"/>
      <c r="BK58" s="41"/>
      <c r="BL58" s="41"/>
      <c r="BM58" s="41"/>
      <c r="BN58" s="41"/>
      <c r="BO58" s="41"/>
      <c r="BP58" s="41"/>
      <c r="BQ58" s="41"/>
      <c r="BR58" s="41"/>
      <c r="BS58" s="41"/>
      <c r="BT58" s="41"/>
      <c r="BU58" s="41"/>
      <c r="BV58" s="41"/>
      <c r="BW58" s="41"/>
      <c r="BX58" s="41"/>
      <c r="BY58" s="41"/>
      <c r="BZ58" s="41"/>
      <c r="CA58" s="41"/>
      <c r="CB58" s="41"/>
      <c r="CC58" s="41"/>
      <c r="CD58" s="41"/>
      <c r="CE58" s="41"/>
      <c r="CF58" s="41"/>
      <c r="CG58" s="41"/>
      <c r="CH58" s="41"/>
      <c r="CI58" s="41"/>
      <c r="CJ58" s="41"/>
      <c r="CK58" s="41"/>
      <c r="CL58" s="41"/>
      <c r="CM58" s="41"/>
      <c r="CN58" s="41"/>
      <c r="CO58" s="41"/>
      <c r="CP58" s="41"/>
    </row>
    <row r="59" spans="1:94" s="53" customFormat="1" ht="15.75" customHeight="1" x14ac:dyDescent="0.25">
      <c r="A59" s="85">
        <v>6.51</v>
      </c>
      <c r="B59" s="83"/>
      <c r="C59" s="421" t="s">
        <v>66</v>
      </c>
      <c r="D59" s="422"/>
      <c r="E59" s="102"/>
      <c r="F59" s="58">
        <v>0</v>
      </c>
      <c r="G59" s="88">
        <v>0</v>
      </c>
      <c r="H59" s="92">
        <v>0</v>
      </c>
      <c r="I59" s="264">
        <v>0</v>
      </c>
      <c r="J59" s="267">
        <f>SUM(G59:I59)</f>
        <v>0</v>
      </c>
      <c r="K59" s="62"/>
      <c r="L59" s="88"/>
      <c r="M59" s="261"/>
      <c r="N59" s="89">
        <f>SUM(L59:M59)</f>
        <v>0</v>
      </c>
      <c r="O59"/>
      <c r="P59"/>
      <c r="Q59"/>
      <c r="R59"/>
      <c r="S59"/>
      <c r="T59"/>
      <c r="U59"/>
      <c r="V59"/>
      <c r="W59"/>
      <c r="X59"/>
      <c r="Y59"/>
      <c r="Z59" s="344"/>
      <c r="AA59" s="363"/>
      <c r="AB59" s="363"/>
      <c r="AC59" s="363"/>
      <c r="AD59" s="110"/>
      <c r="AE59" s="41"/>
      <c r="AF59" s="41"/>
      <c r="AG59" s="41"/>
      <c r="AH59" s="41"/>
      <c r="AI59" s="41"/>
      <c r="AJ59" s="41"/>
      <c r="AK59" s="41"/>
      <c r="AL59" s="41"/>
      <c r="AM59" s="41"/>
      <c r="AN59" s="41"/>
      <c r="AO59" s="41"/>
      <c r="AP59" s="41"/>
      <c r="AQ59" s="41"/>
      <c r="AR59" s="41"/>
      <c r="AS59" s="41"/>
      <c r="AT59" s="41"/>
      <c r="AU59" s="41"/>
      <c r="AV59" s="41"/>
      <c r="AW59" s="41"/>
      <c r="AX59" s="41"/>
      <c r="AY59" s="41"/>
      <c r="AZ59" s="41"/>
      <c r="BA59" s="41"/>
      <c r="BB59" s="41"/>
      <c r="BC59" s="41"/>
      <c r="BD59" s="41"/>
      <c r="BE59" s="41"/>
      <c r="BF59" s="41"/>
      <c r="BG59" s="41"/>
      <c r="BH59" s="41"/>
      <c r="BI59" s="41"/>
      <c r="BJ59" s="41"/>
      <c r="BK59" s="41"/>
      <c r="BL59" s="41"/>
      <c r="BM59" s="41"/>
      <c r="BN59" s="41"/>
      <c r="BO59" s="41"/>
      <c r="BP59" s="41"/>
      <c r="BQ59" s="41"/>
      <c r="BR59" s="41"/>
      <c r="BS59" s="41"/>
      <c r="BT59" s="41"/>
      <c r="BU59" s="41"/>
      <c r="BV59" s="41"/>
      <c r="BW59" s="41"/>
      <c r="BX59" s="41"/>
      <c r="BY59" s="41"/>
      <c r="BZ59" s="41"/>
      <c r="CA59" s="41"/>
      <c r="CB59" s="41"/>
      <c r="CC59" s="41"/>
      <c r="CD59" s="41"/>
      <c r="CE59" s="41"/>
      <c r="CF59" s="41"/>
      <c r="CG59" s="41"/>
      <c r="CH59" s="41"/>
      <c r="CI59" s="41"/>
      <c r="CJ59" s="41"/>
      <c r="CK59" s="41"/>
      <c r="CL59" s="41"/>
      <c r="CM59" s="41"/>
      <c r="CN59" s="41"/>
      <c r="CO59" s="41"/>
      <c r="CP59" s="41"/>
    </row>
    <row r="60" spans="1:94" s="53" customFormat="1" ht="15.75" customHeight="1" x14ac:dyDescent="0.25">
      <c r="A60" s="75">
        <v>7</v>
      </c>
      <c r="B60" s="76"/>
      <c r="C60" s="54" t="str">
        <f>"FY "&amp;M4-1</f>
        <v>FY 2022</v>
      </c>
      <c r="D60" s="131" t="s">
        <v>53</v>
      </c>
      <c r="E60" s="135"/>
      <c r="F60" s="55">
        <f>SUM(F56:F59)</f>
        <v>40</v>
      </c>
      <c r="G60" s="80">
        <f>SUM(G56:G59)</f>
        <v>2545500</v>
      </c>
      <c r="H60" s="80">
        <f>SUM(H56:H59)</f>
        <v>452200</v>
      </c>
      <c r="I60" s="260">
        <f>SUM(I56:I59)</f>
        <v>543100</v>
      </c>
      <c r="J60" s="80">
        <f>SUM(J56:J59)</f>
        <v>3540700</v>
      </c>
      <c r="K60" s="263"/>
      <c r="L60" s="61"/>
      <c r="M60" s="61"/>
      <c r="N60" s="60"/>
      <c r="O60"/>
      <c r="P60"/>
      <c r="Q60"/>
      <c r="R60"/>
      <c r="S60"/>
      <c r="T60"/>
      <c r="U60"/>
      <c r="V60"/>
      <c r="W60"/>
      <c r="X60"/>
      <c r="Y60"/>
      <c r="Z60" s="344"/>
      <c r="AA60" s="363"/>
      <c r="AB60" s="363"/>
      <c r="AC60" s="363"/>
      <c r="AD60" s="110"/>
      <c r="AE60" s="41"/>
      <c r="AF60" s="41"/>
      <c r="AG60" s="41"/>
      <c r="AH60" s="41"/>
      <c r="AI60" s="41"/>
      <c r="AJ60" s="41"/>
      <c r="AK60" s="41"/>
      <c r="AL60" s="41"/>
      <c r="AM60" s="41"/>
      <c r="AN60" s="41"/>
      <c r="AO60" s="41"/>
      <c r="AP60" s="41"/>
      <c r="AQ60" s="41"/>
      <c r="AR60" s="41"/>
      <c r="AS60" s="41"/>
      <c r="AT60" s="41"/>
      <c r="AU60" s="41"/>
      <c r="AV60" s="41"/>
      <c r="AW60" s="41"/>
      <c r="AX60" s="41"/>
      <c r="AY60" s="41"/>
      <c r="AZ60" s="41"/>
      <c r="BA60" s="41"/>
      <c r="BB60" s="41"/>
      <c r="BC60" s="41"/>
      <c r="BD60" s="41"/>
      <c r="BE60" s="41"/>
      <c r="BF60" s="41"/>
      <c r="BG60" s="41"/>
      <c r="BH60" s="41"/>
      <c r="BI60" s="41"/>
      <c r="BJ60" s="41"/>
      <c r="BK60" s="41"/>
      <c r="BL60" s="41"/>
      <c r="BM60" s="41"/>
      <c r="BN60" s="41"/>
      <c r="BO60" s="41"/>
      <c r="BP60" s="41"/>
      <c r="BQ60" s="41"/>
      <c r="BR60" s="41"/>
      <c r="BS60" s="41"/>
      <c r="BT60" s="41"/>
      <c r="BU60" s="41"/>
      <c r="BV60" s="41"/>
      <c r="BW60" s="41"/>
      <c r="BX60" s="41"/>
      <c r="BY60" s="41"/>
      <c r="BZ60" s="41"/>
      <c r="CA60" s="41"/>
      <c r="CB60" s="41"/>
      <c r="CC60" s="41"/>
      <c r="CD60" s="41"/>
      <c r="CE60" s="41"/>
      <c r="CF60" s="41"/>
      <c r="CG60" s="41"/>
      <c r="CH60" s="41"/>
      <c r="CI60" s="41"/>
      <c r="CJ60" s="41"/>
      <c r="CK60" s="41"/>
      <c r="CL60" s="41"/>
      <c r="CM60" s="41"/>
      <c r="CN60" s="41"/>
      <c r="CO60" s="41"/>
      <c r="CP60" s="41"/>
    </row>
    <row r="61" spans="1:94" s="53" customFormat="1" ht="15.75" customHeight="1" x14ac:dyDescent="0.25">
      <c r="A61" s="85"/>
      <c r="B61" s="83"/>
      <c r="C61" s="419" t="s">
        <v>54</v>
      </c>
      <c r="D61" s="423"/>
      <c r="E61" s="367"/>
      <c r="F61" s="273"/>
      <c r="G61" s="62"/>
      <c r="H61" s="62"/>
      <c r="I61" s="62"/>
      <c r="J61" s="62"/>
      <c r="K61" s="62"/>
      <c r="L61" s="61"/>
      <c r="M61" s="61"/>
      <c r="N61" s="60"/>
      <c r="O61"/>
      <c r="P61"/>
      <c r="Q61"/>
      <c r="R61"/>
      <c r="S61"/>
      <c r="T61"/>
      <c r="U61"/>
      <c r="V61"/>
      <c r="W61"/>
      <c r="X61"/>
      <c r="Y61"/>
      <c r="Z61" s="344"/>
      <c r="AA61" s="363"/>
      <c r="AB61" s="363"/>
      <c r="AC61" s="363"/>
      <c r="AD61" s="110"/>
      <c r="AE61" s="41"/>
      <c r="AF61" s="41"/>
      <c r="AG61" s="41"/>
      <c r="AH61" s="41"/>
      <c r="AI61" s="41"/>
      <c r="AJ61" s="41"/>
      <c r="AK61" s="41"/>
      <c r="AL61" s="41"/>
      <c r="AM61" s="41"/>
      <c r="AN61" s="41"/>
      <c r="AO61" s="41"/>
      <c r="AP61" s="41"/>
      <c r="AQ61" s="41"/>
      <c r="AR61" s="41"/>
      <c r="AS61" s="41"/>
      <c r="AT61" s="41"/>
      <c r="AU61" s="41"/>
      <c r="AV61" s="41"/>
      <c r="AW61" s="41"/>
      <c r="AX61" s="41"/>
      <c r="AY61" s="41"/>
      <c r="AZ61" s="41"/>
      <c r="BA61" s="41"/>
      <c r="BB61" s="41"/>
      <c r="BC61" s="41"/>
      <c r="BD61" s="41"/>
      <c r="BE61" s="41"/>
      <c r="BF61" s="41"/>
      <c r="BG61" s="41"/>
      <c r="BH61" s="41"/>
      <c r="BI61" s="41"/>
      <c r="BJ61" s="41"/>
      <c r="BK61" s="41"/>
      <c r="BL61" s="41"/>
      <c r="BM61" s="41"/>
      <c r="BN61" s="41"/>
      <c r="BO61" s="41"/>
      <c r="BP61" s="41"/>
      <c r="BQ61" s="41"/>
      <c r="BR61" s="41"/>
      <c r="BS61" s="41"/>
      <c r="BT61" s="41"/>
      <c r="BU61" s="41"/>
      <c r="BV61" s="41"/>
      <c r="BW61" s="41"/>
      <c r="BX61" s="41"/>
      <c r="BY61" s="41"/>
      <c r="BZ61" s="41"/>
      <c r="CA61" s="41"/>
      <c r="CB61" s="41"/>
      <c r="CC61" s="41"/>
      <c r="CD61" s="41"/>
      <c r="CE61" s="41"/>
      <c r="CF61" s="41"/>
      <c r="CG61" s="41"/>
      <c r="CH61" s="41"/>
      <c r="CI61" s="41"/>
      <c r="CJ61" s="41"/>
      <c r="CK61" s="41"/>
      <c r="CL61" s="41"/>
      <c r="CM61" s="41"/>
      <c r="CN61" s="41"/>
      <c r="CO61" s="41"/>
      <c r="CP61" s="41"/>
    </row>
    <row r="62" spans="1:94" s="53" customFormat="1" ht="15.75" customHeight="1" x14ac:dyDescent="0.25">
      <c r="A62" s="85">
        <v>8.31</v>
      </c>
      <c r="B62" s="83"/>
      <c r="C62" s="408" t="s">
        <v>67</v>
      </c>
      <c r="D62" s="409"/>
      <c r="E62" s="102"/>
      <c r="F62" s="58">
        <v>0</v>
      </c>
      <c r="G62" s="88">
        <v>0</v>
      </c>
      <c r="H62" s="91">
        <v>0</v>
      </c>
      <c r="I62" s="276">
        <v>0</v>
      </c>
      <c r="J62" s="89">
        <f>SUM(G62:I62)</f>
        <v>0</v>
      </c>
      <c r="K62" s="62"/>
      <c r="L62" s="88"/>
      <c r="M62" s="261"/>
      <c r="N62" s="89">
        <f>SUM(L62:M62)</f>
        <v>0</v>
      </c>
      <c r="O62"/>
      <c r="P62"/>
      <c r="Q62"/>
      <c r="R62"/>
      <c r="S62"/>
      <c r="T62"/>
      <c r="U62"/>
      <c r="V62"/>
      <c r="W62"/>
      <c r="X62"/>
      <c r="Y62"/>
      <c r="Z62" s="344"/>
      <c r="AA62" s="363"/>
      <c r="AB62" s="363"/>
      <c r="AC62" s="363"/>
      <c r="AD62" s="110"/>
      <c r="AE62" s="41"/>
      <c r="AF62" s="41"/>
      <c r="AG62" s="41"/>
      <c r="AH62" s="41"/>
      <c r="AI62" s="41"/>
      <c r="AJ62" s="41"/>
      <c r="AK62" s="41"/>
      <c r="AL62" s="41"/>
      <c r="AM62" s="41"/>
      <c r="AN62" s="41"/>
      <c r="AO62" s="41"/>
      <c r="AP62" s="41"/>
      <c r="AQ62" s="41"/>
      <c r="AR62" s="41"/>
      <c r="AS62" s="41"/>
      <c r="AT62" s="41"/>
      <c r="AU62" s="41"/>
      <c r="AV62" s="41"/>
      <c r="AW62" s="41"/>
      <c r="AX62" s="41"/>
      <c r="AY62" s="41"/>
      <c r="AZ62" s="41"/>
      <c r="BA62" s="41"/>
      <c r="BB62" s="41"/>
      <c r="BC62" s="41"/>
      <c r="BD62" s="41"/>
      <c r="BE62" s="41"/>
      <c r="BF62" s="41"/>
      <c r="BG62" s="41"/>
      <c r="BH62" s="41"/>
      <c r="BI62" s="41"/>
      <c r="BJ62" s="41"/>
      <c r="BK62" s="41"/>
      <c r="BL62" s="41"/>
      <c r="BM62" s="41"/>
      <c r="BN62" s="41"/>
      <c r="BO62" s="41"/>
      <c r="BP62" s="41"/>
      <c r="BQ62" s="41"/>
      <c r="BR62" s="41"/>
      <c r="BS62" s="41"/>
      <c r="BT62" s="41"/>
      <c r="BU62" s="41"/>
      <c r="BV62" s="41"/>
      <c r="BW62" s="41"/>
      <c r="BX62" s="41"/>
      <c r="BY62" s="41"/>
      <c r="BZ62" s="41"/>
      <c r="CA62" s="41"/>
      <c r="CB62" s="41"/>
      <c r="CC62" s="41"/>
      <c r="CD62" s="41"/>
      <c r="CE62" s="41"/>
      <c r="CF62" s="41"/>
      <c r="CG62" s="41"/>
      <c r="CH62" s="41"/>
      <c r="CI62" s="41"/>
      <c r="CJ62" s="41"/>
      <c r="CK62" s="41"/>
      <c r="CL62" s="41"/>
      <c r="CM62" s="41"/>
      <c r="CN62" s="41"/>
      <c r="CO62" s="41"/>
      <c r="CP62" s="41"/>
    </row>
    <row r="63" spans="1:94" s="53" customFormat="1" ht="15.75" customHeight="1" x14ac:dyDescent="0.25">
      <c r="A63" s="85">
        <v>8.41</v>
      </c>
      <c r="B63" s="83"/>
      <c r="C63" s="408" t="s">
        <v>55</v>
      </c>
      <c r="D63" s="409"/>
      <c r="E63" s="102"/>
      <c r="F63" s="58">
        <v>0</v>
      </c>
      <c r="G63" s="89">
        <f>ROUND((OneTimePC_Total-H63)/(1+(PermVB+Retire1)),-2)</f>
        <v>0</v>
      </c>
      <c r="H63" s="89">
        <f>ROUND(IF(AND(F63&lt;0,OneTimePC_Total&lt;0),F63*Health,0),-2)</f>
        <v>0</v>
      </c>
      <c r="I63" s="310">
        <f>OneTimePC_Total-G63-H63</f>
        <v>0</v>
      </c>
      <c r="J63" s="89">
        <v>0</v>
      </c>
      <c r="K63" s="308"/>
      <c r="L63" s="88"/>
      <c r="M63" s="261"/>
      <c r="N63" s="89">
        <f>SUM(L63:M63)</f>
        <v>0</v>
      </c>
      <c r="O63"/>
      <c r="P63"/>
      <c r="Q63"/>
      <c r="R63"/>
      <c r="S63"/>
      <c r="T63"/>
      <c r="U63"/>
      <c r="V63"/>
      <c r="W63"/>
      <c r="X63"/>
      <c r="Y63"/>
      <c r="Z63" s="344"/>
      <c r="AA63" s="363"/>
      <c r="AB63" s="363"/>
      <c r="AC63" s="363"/>
      <c r="AD63" s="110"/>
      <c r="AE63" s="41"/>
      <c r="AF63" s="41"/>
      <c r="AG63" s="41"/>
      <c r="AH63" s="41"/>
      <c r="AI63" s="41"/>
      <c r="AJ63" s="41"/>
      <c r="AK63" s="41"/>
      <c r="AL63" s="41"/>
      <c r="AM63" s="41"/>
      <c r="AN63" s="41"/>
      <c r="AO63" s="41"/>
      <c r="AP63" s="41"/>
      <c r="AQ63" s="41"/>
      <c r="AR63" s="41"/>
      <c r="AS63" s="41"/>
      <c r="AT63" s="41"/>
      <c r="AU63" s="41"/>
      <c r="AV63" s="41"/>
      <c r="AW63" s="41"/>
      <c r="AX63" s="41"/>
      <c r="AY63" s="41"/>
      <c r="AZ63" s="41"/>
      <c r="BA63" s="41"/>
      <c r="BB63" s="41"/>
      <c r="BC63" s="41"/>
      <c r="BD63" s="41"/>
      <c r="BE63" s="41"/>
      <c r="BF63" s="41"/>
      <c r="BG63" s="41"/>
      <c r="BH63" s="41"/>
      <c r="BI63" s="41"/>
      <c r="BJ63" s="41"/>
      <c r="BK63" s="41"/>
      <c r="BL63" s="41"/>
      <c r="BM63" s="41"/>
      <c r="BN63" s="41"/>
      <c r="BO63" s="41"/>
      <c r="BP63" s="41"/>
      <c r="BQ63" s="41"/>
      <c r="BR63" s="41"/>
      <c r="BS63" s="41"/>
      <c r="BT63" s="41"/>
      <c r="BU63" s="41"/>
      <c r="BV63" s="41"/>
      <c r="BW63" s="41"/>
      <c r="BX63" s="41"/>
      <c r="BY63" s="41"/>
      <c r="BZ63" s="41"/>
      <c r="CA63" s="41"/>
      <c r="CB63" s="41"/>
      <c r="CC63" s="41"/>
      <c r="CD63" s="41"/>
      <c r="CE63" s="41"/>
      <c r="CF63" s="41"/>
      <c r="CG63" s="41"/>
      <c r="CH63" s="41"/>
      <c r="CI63" s="41"/>
      <c r="CJ63" s="41"/>
      <c r="CK63" s="41"/>
      <c r="CL63" s="41"/>
      <c r="CM63" s="41"/>
      <c r="CN63" s="41"/>
      <c r="CO63" s="41"/>
      <c r="CP63" s="41"/>
    </row>
    <row r="64" spans="1:94" s="53" customFormat="1" ht="15.75" customHeight="1" thickBot="1" x14ac:dyDescent="0.3">
      <c r="A64" s="93">
        <v>8.51</v>
      </c>
      <c r="B64" s="93"/>
      <c r="C64" s="413" t="s">
        <v>56</v>
      </c>
      <c r="D64" s="414"/>
      <c r="E64" s="134"/>
      <c r="F64" s="58">
        <v>0</v>
      </c>
      <c r="G64" s="88"/>
      <c r="H64" s="88">
        <v>0</v>
      </c>
      <c r="I64" s="265"/>
      <c r="J64" s="89">
        <f>SUM(G64:I64)</f>
        <v>0</v>
      </c>
      <c r="K64" s="62"/>
      <c r="L64" s="88"/>
      <c r="M64" s="261"/>
      <c r="N64" s="89">
        <f>SUM(L64:M64)</f>
        <v>0</v>
      </c>
      <c r="O64"/>
      <c r="P64"/>
      <c r="Q64"/>
      <c r="R64"/>
      <c r="S64"/>
      <c r="T64"/>
      <c r="U64"/>
      <c r="V64"/>
      <c r="W64"/>
      <c r="X64"/>
      <c r="Y64"/>
      <c r="Z64" s="344"/>
      <c r="AA64" s="363"/>
      <c r="AB64" s="363"/>
      <c r="AC64" s="363"/>
      <c r="AD64" s="110"/>
      <c r="AE64" s="41"/>
      <c r="AF64" s="41"/>
      <c r="AG64" s="41"/>
      <c r="AH64" s="41"/>
      <c r="AI64" s="41"/>
      <c r="AJ64" s="41"/>
      <c r="AK64" s="41"/>
      <c r="AL64" s="41"/>
      <c r="AM64" s="41"/>
      <c r="AN64" s="41"/>
      <c r="AO64" s="41"/>
      <c r="AP64" s="41"/>
      <c r="AQ64" s="41"/>
      <c r="AR64" s="41"/>
      <c r="AS64" s="41"/>
      <c r="AT64" s="41"/>
      <c r="AU64" s="41"/>
      <c r="AV64" s="41"/>
      <c r="AW64" s="41"/>
      <c r="AX64" s="41"/>
      <c r="AY64" s="41"/>
      <c r="AZ64" s="41"/>
      <c r="BA64" s="41"/>
      <c r="BB64" s="41"/>
      <c r="BC64" s="41"/>
      <c r="BD64" s="41"/>
      <c r="BE64" s="41"/>
      <c r="BF64" s="41"/>
      <c r="BG64" s="41"/>
      <c r="BH64" s="41"/>
      <c r="BI64" s="41"/>
      <c r="BJ64" s="41"/>
      <c r="BK64" s="41"/>
      <c r="BL64" s="41"/>
      <c r="BM64" s="41"/>
      <c r="BN64" s="41"/>
      <c r="BO64" s="41"/>
      <c r="BP64" s="41"/>
      <c r="BQ64" s="41"/>
      <c r="BR64" s="41"/>
      <c r="BS64" s="41"/>
      <c r="BT64" s="41"/>
      <c r="BU64" s="41"/>
      <c r="BV64" s="41"/>
      <c r="BW64" s="41"/>
      <c r="BX64" s="41"/>
      <c r="BY64" s="41"/>
      <c r="BZ64" s="41"/>
      <c r="CA64" s="41"/>
      <c r="CB64" s="41"/>
      <c r="CC64" s="41"/>
      <c r="CD64" s="41"/>
      <c r="CE64" s="41"/>
      <c r="CF64" s="41"/>
      <c r="CG64" s="41"/>
      <c r="CH64" s="41"/>
      <c r="CI64" s="41"/>
      <c r="CJ64" s="41"/>
      <c r="CK64" s="41"/>
      <c r="CL64" s="41"/>
      <c r="CM64" s="41"/>
      <c r="CN64" s="41"/>
      <c r="CO64" s="41"/>
      <c r="CP64" s="41"/>
    </row>
    <row r="65" spans="1:94" s="53" customFormat="1" ht="6" customHeight="1" thickTop="1" x14ac:dyDescent="0.25">
      <c r="A65" s="94"/>
      <c r="B65" s="95"/>
      <c r="C65" s="415"/>
      <c r="D65" s="416"/>
      <c r="E65" s="96"/>
      <c r="F65" s="97"/>
      <c r="G65" s="98"/>
      <c r="H65" s="98"/>
      <c r="I65" s="98"/>
      <c r="J65" s="98"/>
      <c r="K65" s="98"/>
      <c r="L65" s="98"/>
      <c r="M65" s="99"/>
      <c r="N65" s="95"/>
      <c r="O65"/>
      <c r="P65"/>
      <c r="Q65"/>
      <c r="R65"/>
      <c r="S65"/>
      <c r="T65"/>
      <c r="U65"/>
      <c r="V65"/>
      <c r="W65"/>
      <c r="X65"/>
      <c r="Y65"/>
      <c r="Z65" s="344"/>
      <c r="AA65" s="363"/>
      <c r="AB65" s="363"/>
      <c r="AC65" s="363"/>
      <c r="AD65" s="110"/>
      <c r="AE65" s="41"/>
      <c r="AF65" s="41"/>
      <c r="AG65" s="41"/>
      <c r="AH65" s="41"/>
      <c r="AI65" s="41"/>
      <c r="AJ65" s="41"/>
      <c r="AK65" s="41"/>
      <c r="AL65" s="41"/>
      <c r="AM65" s="41"/>
      <c r="AN65" s="41"/>
      <c r="AO65" s="41"/>
      <c r="AP65" s="41"/>
      <c r="AQ65" s="41"/>
      <c r="AR65" s="41"/>
      <c r="AS65" s="41"/>
      <c r="AT65" s="41"/>
      <c r="AU65" s="41"/>
      <c r="AV65" s="41"/>
      <c r="AW65" s="41"/>
      <c r="AX65" s="41"/>
      <c r="AY65" s="41"/>
      <c r="AZ65" s="41"/>
      <c r="BA65" s="41"/>
      <c r="BB65" s="41"/>
      <c r="BC65" s="41"/>
      <c r="BD65" s="41"/>
      <c r="BE65" s="41"/>
      <c r="BF65" s="41"/>
      <c r="BG65" s="41"/>
      <c r="BH65" s="41"/>
      <c r="BI65" s="41"/>
      <c r="BJ65" s="41"/>
      <c r="BK65" s="41"/>
      <c r="BL65" s="41"/>
      <c r="BM65" s="41"/>
      <c r="BN65" s="41"/>
      <c r="BO65" s="41"/>
      <c r="BP65" s="41"/>
      <c r="BQ65" s="41"/>
      <c r="BR65" s="41"/>
      <c r="BS65" s="41"/>
      <c r="BT65" s="41"/>
      <c r="BU65" s="41"/>
      <c r="BV65" s="41"/>
      <c r="BW65" s="41"/>
      <c r="BX65" s="41"/>
      <c r="BY65" s="41"/>
      <c r="BZ65" s="41"/>
      <c r="CA65" s="41"/>
      <c r="CB65" s="41"/>
      <c r="CC65" s="41"/>
      <c r="CD65" s="41"/>
      <c r="CE65" s="41"/>
      <c r="CF65" s="41"/>
      <c r="CG65" s="41"/>
      <c r="CH65" s="41"/>
      <c r="CI65" s="41"/>
      <c r="CJ65" s="41"/>
      <c r="CK65" s="41"/>
      <c r="CL65" s="41"/>
      <c r="CM65" s="41"/>
      <c r="CN65" s="41"/>
      <c r="CO65" s="41"/>
      <c r="CP65" s="41"/>
    </row>
    <row r="66" spans="1:94" s="107" customFormat="1" ht="15" x14ac:dyDescent="0.25">
      <c r="A66" s="100"/>
      <c r="B66" s="101"/>
      <c r="C66" s="417"/>
      <c r="D66" s="418"/>
      <c r="E66" s="102"/>
      <c r="F66" s="103" t="s">
        <v>24</v>
      </c>
      <c r="G66" s="104" t="str">
        <f>"FY "&amp;M4-2000&amp;" Salary"</f>
        <v>FY 23 Salary</v>
      </c>
      <c r="H66" s="104" t="str">
        <f>"FY"&amp;M4-2000&amp;" Health Ben"</f>
        <v>FY23 Health Ben</v>
      </c>
      <c r="I66" s="104" t="str">
        <f>"FY "&amp;M4-2000&amp;" Var Ben"</f>
        <v>FY 23 Var Ben</v>
      </c>
      <c r="J66" s="104" t="str">
        <f>"FY "&amp;M4&amp;" Total"</f>
        <v>FY 2023 Total</v>
      </c>
      <c r="K66" s="104"/>
      <c r="L66" s="105"/>
      <c r="M66" s="105"/>
      <c r="N66" s="101"/>
      <c r="O66"/>
      <c r="P66"/>
      <c r="Q66"/>
      <c r="R66"/>
      <c r="S66"/>
      <c r="T66"/>
      <c r="U66"/>
      <c r="V66"/>
      <c r="W66"/>
      <c r="X66"/>
      <c r="Y66"/>
      <c r="Z66" s="344"/>
      <c r="AA66" s="339"/>
      <c r="AB66" s="339"/>
      <c r="AC66" s="339"/>
      <c r="AD66" s="105"/>
      <c r="AE66" s="106"/>
      <c r="AF66" s="106"/>
      <c r="AG66" s="106"/>
      <c r="AH66" s="106"/>
      <c r="AI66" s="106"/>
      <c r="AJ66" s="106"/>
      <c r="AK66" s="106"/>
      <c r="AL66" s="106"/>
      <c r="AM66" s="106"/>
      <c r="AN66" s="106"/>
      <c r="AO66" s="106"/>
      <c r="AP66" s="106"/>
      <c r="AQ66" s="106"/>
      <c r="AR66" s="106"/>
      <c r="AS66" s="106"/>
      <c r="AT66" s="106"/>
      <c r="AU66" s="106"/>
      <c r="AV66" s="106"/>
      <c r="AW66" s="106"/>
      <c r="AX66" s="106"/>
      <c r="AY66" s="106"/>
      <c r="AZ66" s="106"/>
      <c r="BA66" s="106"/>
      <c r="BB66" s="106"/>
      <c r="BC66" s="106"/>
      <c r="BD66" s="106"/>
      <c r="BE66" s="106"/>
      <c r="BF66" s="106"/>
      <c r="BG66" s="106"/>
      <c r="BH66" s="106"/>
      <c r="BI66" s="106"/>
      <c r="BJ66" s="106"/>
      <c r="BK66" s="106"/>
      <c r="BL66" s="106"/>
      <c r="BM66" s="106"/>
      <c r="BN66" s="106"/>
      <c r="BO66" s="106"/>
      <c r="BP66" s="106"/>
      <c r="BQ66" s="106"/>
      <c r="BR66" s="106"/>
      <c r="BS66" s="106"/>
      <c r="BT66" s="106"/>
      <c r="BU66" s="106"/>
      <c r="BV66" s="106"/>
      <c r="BW66" s="106"/>
      <c r="BX66" s="106"/>
      <c r="BY66" s="106"/>
      <c r="BZ66" s="106"/>
      <c r="CA66" s="106"/>
      <c r="CB66" s="106"/>
      <c r="CC66" s="106"/>
      <c r="CD66" s="106"/>
      <c r="CE66" s="106"/>
      <c r="CF66" s="106"/>
      <c r="CG66" s="106"/>
      <c r="CH66" s="106"/>
      <c r="CI66" s="106"/>
      <c r="CJ66" s="106"/>
      <c r="CK66" s="106"/>
      <c r="CL66" s="106"/>
      <c r="CM66" s="106"/>
      <c r="CN66" s="106"/>
      <c r="CO66" s="106"/>
      <c r="CP66" s="106"/>
    </row>
    <row r="67" spans="1:94" s="53" customFormat="1" ht="15" x14ac:dyDescent="0.25">
      <c r="A67" s="82">
        <v>9</v>
      </c>
      <c r="B67" s="83"/>
      <c r="C67" s="84" t="str">
        <f>"FY "&amp;M4</f>
        <v>FY 2023</v>
      </c>
      <c r="D67" s="108" t="s">
        <v>57</v>
      </c>
      <c r="E67" s="109"/>
      <c r="F67" s="55">
        <f>SUM(F60:F64)</f>
        <v>40</v>
      </c>
      <c r="G67" s="80">
        <f>SUM(G60:G64)</f>
        <v>2545500</v>
      </c>
      <c r="H67" s="80">
        <f>SUM(H60:H64)</f>
        <v>452200</v>
      </c>
      <c r="I67" s="80">
        <f>SUM(I60:I64)</f>
        <v>543100</v>
      </c>
      <c r="J67" s="80">
        <f>SUM(J60:J64)</f>
        <v>3540700</v>
      </c>
      <c r="K67" s="263"/>
      <c r="L67" s="110"/>
      <c r="M67" s="110"/>
      <c r="N67" s="111"/>
      <c r="O67"/>
      <c r="P67"/>
      <c r="Q67"/>
      <c r="R67"/>
      <c r="S67"/>
      <c r="T67"/>
      <c r="U67"/>
      <c r="V67"/>
      <c r="W67"/>
      <c r="X67"/>
      <c r="Y67"/>
      <c r="Z67" s="344"/>
      <c r="AA67" s="363"/>
      <c r="AB67" s="363"/>
      <c r="AC67" s="363"/>
      <c r="AD67" s="110"/>
      <c r="AE67" s="41"/>
      <c r="AF67" s="41"/>
      <c r="AG67" s="41"/>
      <c r="AH67" s="41"/>
      <c r="AI67" s="41"/>
      <c r="AJ67" s="41"/>
      <c r="AK67" s="41"/>
      <c r="AL67" s="41"/>
      <c r="AM67" s="41"/>
      <c r="AN67" s="41"/>
      <c r="AO67" s="41"/>
      <c r="AP67" s="41"/>
      <c r="AQ67" s="41"/>
      <c r="AR67" s="41"/>
      <c r="AS67" s="41"/>
      <c r="AT67" s="41"/>
      <c r="AU67" s="41"/>
      <c r="AV67" s="41"/>
      <c r="AW67" s="41"/>
      <c r="AX67" s="41"/>
      <c r="AY67" s="41"/>
      <c r="AZ67" s="41"/>
      <c r="BA67" s="41"/>
      <c r="BB67" s="41"/>
      <c r="BC67" s="41"/>
      <c r="BD67" s="41"/>
      <c r="BE67" s="41"/>
      <c r="BF67" s="41"/>
      <c r="BG67" s="41"/>
      <c r="BH67" s="41"/>
      <c r="BI67" s="41"/>
      <c r="BJ67" s="41"/>
      <c r="BK67" s="41"/>
      <c r="BL67" s="41"/>
      <c r="BM67" s="41"/>
      <c r="BN67" s="41"/>
      <c r="BO67" s="41"/>
      <c r="BP67" s="41"/>
      <c r="BQ67" s="41"/>
      <c r="BR67" s="41"/>
      <c r="BS67" s="41"/>
      <c r="BT67" s="41"/>
      <c r="BU67" s="41"/>
      <c r="BV67" s="41"/>
      <c r="BW67" s="41"/>
      <c r="BX67" s="41"/>
      <c r="BY67" s="41"/>
      <c r="BZ67" s="41"/>
      <c r="CA67" s="41"/>
      <c r="CB67" s="41"/>
      <c r="CC67" s="41"/>
      <c r="CD67" s="41"/>
      <c r="CE67" s="41"/>
      <c r="CF67" s="41"/>
      <c r="CG67" s="41"/>
      <c r="CH67" s="41"/>
      <c r="CI67" s="41"/>
      <c r="CJ67" s="41"/>
      <c r="CK67" s="41"/>
      <c r="CL67" s="41"/>
      <c r="CM67" s="41"/>
      <c r="CN67" s="41"/>
      <c r="CO67" s="41"/>
      <c r="CP67" s="41"/>
    </row>
    <row r="68" spans="1:94" s="53" customFormat="1" ht="15.75" customHeight="1" x14ac:dyDescent="0.25">
      <c r="A68" s="85">
        <v>10.11</v>
      </c>
      <c r="B68" s="83"/>
      <c r="C68" s="419" t="s">
        <v>58</v>
      </c>
      <c r="D68" s="420"/>
      <c r="E68" s="112"/>
      <c r="F68" s="288"/>
      <c r="G68" s="287"/>
      <c r="H68" s="113">
        <f>IF(DUNine=0,0,ROUND(SUM(L41:L65),-2))</f>
        <v>0</v>
      </c>
      <c r="I68" s="113"/>
      <c r="J68" s="287">
        <f>SUM(G68:I68)</f>
        <v>0</v>
      </c>
      <c r="K68" s="291"/>
      <c r="L68" s="292"/>
      <c r="M68" s="292"/>
      <c r="N68" s="293"/>
      <c r="O68"/>
      <c r="P68"/>
      <c r="Q68"/>
      <c r="R68"/>
      <c r="S68"/>
      <c r="T68"/>
      <c r="U68"/>
      <c r="V68"/>
      <c r="W68"/>
      <c r="X68"/>
      <c r="Y68"/>
      <c r="Z68" s="344"/>
      <c r="AA68" s="363"/>
      <c r="AB68" s="363"/>
      <c r="AC68" s="363"/>
      <c r="AD68" s="110"/>
      <c r="AE68" s="41"/>
      <c r="AF68" s="41"/>
      <c r="AG68" s="41"/>
      <c r="AH68" s="41"/>
      <c r="AI68" s="41"/>
      <c r="AJ68" s="41"/>
      <c r="AK68" s="41"/>
      <c r="AL68" s="41"/>
      <c r="AM68" s="41"/>
      <c r="AN68" s="41"/>
      <c r="AO68" s="41"/>
      <c r="AP68" s="41"/>
      <c r="AQ68" s="41"/>
      <c r="AR68" s="41"/>
      <c r="AS68" s="41"/>
      <c r="AT68" s="41"/>
      <c r="AU68" s="41"/>
      <c r="AV68" s="41"/>
      <c r="AW68" s="41"/>
      <c r="AX68" s="41"/>
      <c r="AY68" s="41"/>
      <c r="AZ68" s="41"/>
      <c r="BA68" s="41"/>
      <c r="BB68" s="41"/>
      <c r="BC68" s="41"/>
      <c r="BD68" s="41"/>
      <c r="BE68" s="41"/>
      <c r="BF68" s="41"/>
      <c r="BG68" s="41"/>
      <c r="BH68" s="41"/>
      <c r="BI68" s="41"/>
      <c r="BJ68" s="41"/>
      <c r="BK68" s="41"/>
      <c r="BL68" s="41"/>
      <c r="BM68" s="41"/>
      <c r="BN68" s="41"/>
      <c r="BO68" s="41"/>
      <c r="BP68" s="41"/>
      <c r="BQ68" s="41"/>
      <c r="BR68" s="41"/>
      <c r="BS68" s="41"/>
      <c r="BT68" s="41"/>
      <c r="BU68" s="41"/>
      <c r="BV68" s="41"/>
      <c r="BW68" s="41"/>
      <c r="BX68" s="41"/>
      <c r="BY68" s="41"/>
      <c r="BZ68" s="41"/>
      <c r="CA68" s="41"/>
      <c r="CB68" s="41"/>
      <c r="CC68" s="41"/>
      <c r="CD68" s="41"/>
      <c r="CE68" s="41"/>
      <c r="CF68" s="41"/>
      <c r="CG68" s="41"/>
      <c r="CH68" s="41"/>
      <c r="CI68" s="41"/>
      <c r="CJ68" s="41"/>
      <c r="CK68" s="41"/>
      <c r="CL68" s="41"/>
      <c r="CM68" s="41"/>
      <c r="CN68" s="41"/>
      <c r="CO68" s="41"/>
      <c r="CP68" s="41"/>
    </row>
    <row r="69" spans="1:94" s="53" customFormat="1" ht="15" x14ac:dyDescent="0.25">
      <c r="A69" s="85">
        <v>10.119999999999999</v>
      </c>
      <c r="B69" s="83"/>
      <c r="C69" s="419" t="s">
        <v>59</v>
      </c>
      <c r="D69" s="420"/>
      <c r="E69" s="112"/>
      <c r="F69" s="288"/>
      <c r="G69" s="113"/>
      <c r="H69" s="113"/>
      <c r="I69" s="113">
        <f>IF(DUNine=0,0,ROUND(SUM(M41:M64),-2))</f>
        <v>-12300</v>
      </c>
      <c r="J69" s="287">
        <f>SUM(G69:I69)</f>
        <v>-12300</v>
      </c>
      <c r="K69" s="291"/>
      <c r="L69" s="292"/>
      <c r="M69" s="292"/>
      <c r="N69" s="293"/>
      <c r="O69"/>
      <c r="P69"/>
      <c r="Q69"/>
      <c r="R69"/>
      <c r="S69"/>
      <c r="T69"/>
      <c r="U69"/>
      <c r="V69"/>
      <c r="W69"/>
      <c r="X69"/>
      <c r="Y69"/>
      <c r="Z69" s="344"/>
      <c r="AA69" s="363"/>
      <c r="AB69" s="363"/>
      <c r="AC69" s="363"/>
      <c r="AD69" s="110"/>
      <c r="AE69" s="41"/>
      <c r="AF69" s="41"/>
      <c r="AG69" s="41"/>
      <c r="AH69" s="41"/>
      <c r="AI69" s="41"/>
      <c r="AJ69" s="41"/>
      <c r="AK69" s="41"/>
      <c r="AL69" s="41"/>
      <c r="AM69" s="41"/>
      <c r="AN69" s="41"/>
      <c r="AO69" s="41"/>
      <c r="AP69" s="41"/>
      <c r="AQ69" s="41"/>
      <c r="AR69" s="41"/>
      <c r="AS69" s="41"/>
      <c r="AT69" s="41"/>
      <c r="AU69" s="41"/>
      <c r="AV69" s="41"/>
      <c r="AW69" s="41"/>
      <c r="AX69" s="41"/>
      <c r="AY69" s="41"/>
      <c r="AZ69" s="41"/>
      <c r="BA69" s="41"/>
      <c r="BB69" s="41"/>
      <c r="BC69" s="41"/>
      <c r="BD69" s="41"/>
      <c r="BE69" s="41"/>
      <c r="BF69" s="41"/>
      <c r="BG69" s="41"/>
      <c r="BH69" s="41"/>
      <c r="BI69" s="41"/>
      <c r="BJ69" s="41"/>
      <c r="BK69" s="41"/>
      <c r="BL69" s="41"/>
      <c r="BM69" s="41"/>
      <c r="BN69" s="41"/>
      <c r="BO69" s="41"/>
      <c r="BP69" s="41"/>
      <c r="BQ69" s="41"/>
      <c r="BR69" s="41"/>
      <c r="BS69" s="41"/>
      <c r="BT69" s="41"/>
      <c r="BU69" s="41"/>
      <c r="BV69" s="41"/>
      <c r="BW69" s="41"/>
      <c r="BX69" s="41"/>
      <c r="BY69" s="41"/>
      <c r="BZ69" s="41"/>
      <c r="CA69" s="41"/>
      <c r="CB69" s="41"/>
      <c r="CC69" s="41"/>
      <c r="CD69" s="41"/>
      <c r="CE69" s="41"/>
      <c r="CF69" s="41"/>
      <c r="CG69" s="41"/>
      <c r="CH69" s="41"/>
      <c r="CI69" s="41"/>
      <c r="CJ69" s="41"/>
      <c r="CK69" s="41"/>
      <c r="CL69" s="41"/>
      <c r="CM69" s="41"/>
      <c r="CN69" s="41"/>
      <c r="CO69" s="41"/>
      <c r="CP69" s="41"/>
    </row>
    <row r="70" spans="1:94" s="53" customFormat="1" ht="15" x14ac:dyDescent="0.25">
      <c r="A70" s="85"/>
      <c r="B70" s="83"/>
      <c r="C70" s="406"/>
      <c r="D70" s="407"/>
      <c r="E70" s="236" t="s">
        <v>23</v>
      </c>
      <c r="F70" s="288"/>
      <c r="G70" s="113"/>
      <c r="H70" s="113"/>
      <c r="I70" s="113"/>
      <c r="J70" s="287">
        <f>SUM(G70:I70)</f>
        <v>0</v>
      </c>
      <c r="K70" s="291"/>
      <c r="L70" s="292"/>
      <c r="M70" s="294"/>
      <c r="N70" s="295"/>
      <c r="O70"/>
      <c r="P70"/>
      <c r="Q70"/>
      <c r="R70"/>
      <c r="S70"/>
      <c r="T70"/>
      <c r="U70"/>
      <c r="V70"/>
      <c r="W70"/>
      <c r="X70"/>
      <c r="Y70"/>
      <c r="Z70" s="344"/>
      <c r="AA70" s="363"/>
      <c r="AB70" s="363"/>
      <c r="AC70" s="363"/>
      <c r="AD70" s="110"/>
      <c r="AE70" s="41"/>
      <c r="AF70" s="41"/>
      <c r="AG70" s="41"/>
      <c r="AH70" s="41"/>
      <c r="AI70" s="41"/>
      <c r="AJ70" s="41"/>
      <c r="AK70" s="41"/>
      <c r="AL70" s="41"/>
      <c r="AM70" s="41"/>
      <c r="AN70" s="41"/>
      <c r="AO70" s="41"/>
      <c r="AP70" s="41"/>
      <c r="AQ70" s="41"/>
      <c r="AR70" s="41"/>
      <c r="AS70" s="41"/>
      <c r="AT70" s="41"/>
      <c r="AU70" s="41"/>
      <c r="AV70" s="41"/>
      <c r="AW70" s="41"/>
      <c r="AX70" s="41"/>
      <c r="AY70" s="41"/>
      <c r="AZ70" s="41"/>
      <c r="BA70" s="41"/>
      <c r="BB70" s="41"/>
      <c r="BC70" s="41"/>
      <c r="BD70" s="41"/>
      <c r="BE70" s="41"/>
      <c r="BF70" s="41"/>
      <c r="BG70" s="41"/>
      <c r="BH70" s="41"/>
      <c r="BI70" s="41"/>
      <c r="BJ70" s="41"/>
      <c r="BK70" s="41"/>
      <c r="BL70" s="41"/>
      <c r="BM70" s="41"/>
      <c r="BN70" s="41"/>
      <c r="BO70" s="41"/>
      <c r="BP70" s="41"/>
      <c r="BQ70" s="41"/>
      <c r="BR70" s="41"/>
      <c r="BS70" s="41"/>
      <c r="BT70" s="41"/>
      <c r="BU70" s="41"/>
      <c r="BV70" s="41"/>
      <c r="BW70" s="41"/>
      <c r="BX70" s="41"/>
      <c r="BY70" s="41"/>
      <c r="BZ70" s="41"/>
      <c r="CA70" s="41"/>
      <c r="CB70" s="41"/>
      <c r="CC70" s="41"/>
      <c r="CD70" s="41"/>
      <c r="CE70" s="41"/>
      <c r="CF70" s="41"/>
      <c r="CG70" s="41"/>
      <c r="CH70" s="41"/>
      <c r="CI70" s="41"/>
      <c r="CJ70" s="41"/>
      <c r="CK70" s="41"/>
      <c r="CL70" s="41"/>
      <c r="CM70" s="41"/>
      <c r="CN70" s="41"/>
      <c r="CO70" s="41"/>
      <c r="CP70" s="41"/>
    </row>
    <row r="71" spans="1:94" s="53" customFormat="1" ht="15.75" customHeight="1" x14ac:dyDescent="0.25">
      <c r="A71" s="85">
        <v>10.51</v>
      </c>
      <c r="B71" s="83"/>
      <c r="C71" s="408" t="s">
        <v>60</v>
      </c>
      <c r="D71" s="409"/>
      <c r="E71" s="237"/>
      <c r="F71" s="288"/>
      <c r="G71" s="92">
        <v>0</v>
      </c>
      <c r="H71" s="92">
        <v>0</v>
      </c>
      <c r="I71" s="287">
        <f>ROUND(IF(AND($G71&lt;&gt;0,$E71=1),$G71*PermVBBY+$G71*Retire1BY,IF(AND($G71&lt;&gt;0,$E71=2),$G71*GroupVBBY,IF(AND($G71&lt;&gt;0,$E71=3),$G71*ElectVBBY+$G71*Retire1BY,0))),-2)</f>
        <v>0</v>
      </c>
      <c r="J71" s="113">
        <f t="shared" ref="J71:J74" si="11">SUM(G71:I71)</f>
        <v>0</v>
      </c>
      <c r="K71" s="296"/>
      <c r="L71" s="297"/>
      <c r="M71" s="348" t="s">
        <v>112</v>
      </c>
      <c r="N71" s="356"/>
      <c r="O71" s="357"/>
      <c r="P71" s="357"/>
      <c r="Q71"/>
      <c r="R71"/>
      <c r="S71"/>
      <c r="T71"/>
      <c r="U71"/>
      <c r="V71"/>
      <c r="W71"/>
      <c r="X71"/>
      <c r="Y71"/>
      <c r="Z71" s="344"/>
      <c r="AA71" s="363"/>
      <c r="AB71" s="363"/>
      <c r="AC71" s="363"/>
      <c r="AD71" s="110"/>
      <c r="AE71" s="41"/>
      <c r="AF71" s="41"/>
      <c r="AG71" s="41"/>
      <c r="AH71" s="41"/>
      <c r="AI71" s="41"/>
      <c r="AJ71" s="41"/>
      <c r="AK71" s="41"/>
      <c r="AL71" s="41"/>
      <c r="AM71" s="41"/>
      <c r="AN71" s="41"/>
      <c r="AO71" s="41"/>
      <c r="AP71" s="41"/>
      <c r="AQ71" s="41"/>
      <c r="AR71" s="41"/>
      <c r="AS71" s="41"/>
      <c r="AT71" s="41"/>
      <c r="AU71" s="41"/>
      <c r="AV71" s="41"/>
      <c r="AW71" s="41"/>
      <c r="AX71" s="41"/>
      <c r="AY71" s="41"/>
      <c r="AZ71" s="41"/>
      <c r="BA71" s="41"/>
      <c r="BB71" s="41"/>
      <c r="BC71" s="41"/>
      <c r="BD71" s="41"/>
      <c r="BE71" s="41"/>
      <c r="BF71" s="41"/>
      <c r="BG71" s="41"/>
      <c r="BH71" s="41"/>
      <c r="BI71" s="41"/>
      <c r="BJ71" s="41"/>
      <c r="BK71" s="41"/>
      <c r="BL71" s="41"/>
      <c r="BM71" s="41"/>
      <c r="BN71" s="41"/>
      <c r="BO71" s="41"/>
      <c r="BP71" s="41"/>
      <c r="BQ71" s="41"/>
      <c r="BR71" s="41"/>
      <c r="BS71" s="41"/>
      <c r="BT71" s="41"/>
      <c r="BU71" s="41"/>
      <c r="BV71" s="41"/>
      <c r="BW71" s="41"/>
      <c r="BX71" s="41"/>
      <c r="BY71" s="41"/>
      <c r="BZ71" s="41"/>
      <c r="CA71" s="41"/>
      <c r="CB71" s="41"/>
      <c r="CC71" s="41"/>
      <c r="CD71" s="41"/>
      <c r="CE71" s="41"/>
      <c r="CF71" s="41"/>
      <c r="CG71" s="41"/>
      <c r="CH71" s="41"/>
      <c r="CI71" s="41"/>
      <c r="CJ71" s="41"/>
      <c r="CK71" s="41"/>
      <c r="CL71" s="41"/>
      <c r="CM71" s="41"/>
      <c r="CN71" s="41"/>
      <c r="CO71" s="41"/>
      <c r="CP71" s="41"/>
    </row>
    <row r="72" spans="1:94" s="53" customFormat="1" ht="15.75" customHeight="1" x14ac:dyDescent="0.25">
      <c r="A72" s="85">
        <v>10.61</v>
      </c>
      <c r="B72" s="83"/>
      <c r="C72" s="408" t="s">
        <v>101</v>
      </c>
      <c r="D72" s="410"/>
      <c r="E72" s="290">
        <f>CECPerm</f>
        <v>0.01</v>
      </c>
      <c r="F72" s="288"/>
      <c r="G72" s="355">
        <f>IF(DUNine=0,0,IF(DUNine&lt;0,0,ROUND(AdjPermSalary*CECPerm,-2)))</f>
        <v>25600</v>
      </c>
      <c r="H72" s="287"/>
      <c r="I72" s="287">
        <f>ROUND(($G72*PermVBBY+$G72*Retire1BY),-2)</f>
        <v>5300</v>
      </c>
      <c r="J72" s="113">
        <f>SUM(G72:I72)</f>
        <v>30900</v>
      </c>
      <c r="K72" s="296"/>
      <c r="L72" s="298"/>
      <c r="M72" s="349" t="e">
        <f>IF(DUNine=0,0,IF(((#REF!-G39-G40)*E72)&lt;0,0,ROUND(((#REF!-G39-G40)*E72),-2)))</f>
        <v>#REF!</v>
      </c>
      <c r="N72" s="358"/>
      <c r="O72" s="357" t="e">
        <f>IF(DUNine=0,0,IF(DUNine&lt;0,0,IF(SubCECBase&lt;RoundedAppropSalary,ROUND(AdjPermSalary*CECpermCalc,-2)+((SubCECBase-RoundedAppropSalary)*CECpermCalc),IF(SubCECBase&gt;RoundedAppropSalary,ROUND(AdjPermSalary*CECpermCalc,-2)+((SubCECBase-RoundedAppropSalary)*CECpermCalc),ROUND(AdjPermSalary*CECpermCalc,-2)))))</f>
        <v>#REF!</v>
      </c>
      <c r="P72" s="357"/>
      <c r="Q72"/>
      <c r="R72"/>
      <c r="S72"/>
      <c r="T72"/>
      <c r="U72"/>
      <c r="V72"/>
      <c r="W72"/>
      <c r="X72"/>
      <c r="Y72"/>
      <c r="Z72" s="344"/>
      <c r="AA72" s="363"/>
      <c r="AB72" s="363"/>
      <c r="AC72" s="363"/>
      <c r="AD72" s="110"/>
      <c r="AE72" s="41"/>
      <c r="AF72" s="41"/>
      <c r="AG72" s="41"/>
      <c r="AH72" s="41"/>
      <c r="AI72" s="41"/>
      <c r="AJ72" s="41"/>
      <c r="AK72" s="41"/>
      <c r="AL72" s="41"/>
      <c r="AM72" s="41"/>
      <c r="AN72" s="41"/>
      <c r="AO72" s="41"/>
      <c r="AP72" s="41"/>
      <c r="AQ72" s="41"/>
      <c r="AR72" s="41"/>
      <c r="AS72" s="41"/>
      <c r="AT72" s="41"/>
      <c r="AU72" s="41"/>
      <c r="AV72" s="41"/>
      <c r="AW72" s="41"/>
      <c r="AX72" s="41"/>
      <c r="AY72" s="41"/>
      <c r="AZ72" s="41"/>
      <c r="BA72" s="41"/>
      <c r="BB72" s="41"/>
      <c r="BC72" s="41"/>
      <c r="BD72" s="41"/>
      <c r="BE72" s="41"/>
      <c r="BF72" s="41"/>
      <c r="BG72" s="41"/>
      <c r="BH72" s="41"/>
      <c r="BI72" s="41"/>
      <c r="BJ72" s="41"/>
      <c r="BK72" s="41"/>
      <c r="BL72" s="41"/>
      <c r="BM72" s="41"/>
      <c r="BN72" s="41"/>
      <c r="BO72" s="41"/>
      <c r="BP72" s="41"/>
      <c r="BQ72" s="41"/>
      <c r="BR72" s="41"/>
      <c r="BS72" s="41"/>
      <c r="BT72" s="41"/>
      <c r="BU72" s="41"/>
      <c r="BV72" s="41"/>
      <c r="BW72" s="41"/>
      <c r="BX72" s="41"/>
      <c r="BY72" s="41"/>
      <c r="BZ72" s="41"/>
      <c r="CA72" s="41"/>
      <c r="CB72" s="41"/>
      <c r="CC72" s="41"/>
      <c r="CD72" s="41"/>
      <c r="CE72" s="41"/>
      <c r="CF72" s="41"/>
      <c r="CG72" s="41"/>
      <c r="CH72" s="41"/>
      <c r="CI72" s="41"/>
      <c r="CJ72" s="41"/>
      <c r="CK72" s="41"/>
      <c r="CL72" s="41"/>
      <c r="CM72" s="41"/>
      <c r="CN72" s="41"/>
      <c r="CO72" s="41"/>
      <c r="CP72" s="41"/>
    </row>
    <row r="73" spans="1:94" s="53" customFormat="1" ht="15.6" customHeight="1" x14ac:dyDescent="0.25">
      <c r="A73" s="85">
        <v>10.62</v>
      </c>
      <c r="B73" s="83"/>
      <c r="C73" s="408" t="s">
        <v>61</v>
      </c>
      <c r="D73" s="410"/>
      <c r="E73" s="289">
        <f>CECGroup</f>
        <v>0.01</v>
      </c>
      <c r="F73" s="288"/>
      <c r="G73" s="355">
        <f>IF(DUNine=0,0,IF(DUNine&lt;0,0,ROUND(AdjGroupSalary*CECGroup,-2)))</f>
        <v>0</v>
      </c>
      <c r="H73" s="287"/>
      <c r="I73" s="287">
        <f>ROUND(($G73*GroupVBBY),-2)</f>
        <v>0</v>
      </c>
      <c r="J73" s="113">
        <f t="shared" si="11"/>
        <v>0</v>
      </c>
      <c r="K73" s="301"/>
      <c r="L73" s="302"/>
      <c r="M73" s="359"/>
      <c r="N73" s="360"/>
      <c r="O73" s="357"/>
      <c r="P73" s="357"/>
      <c r="Q73"/>
      <c r="R73"/>
      <c r="S73"/>
      <c r="T73"/>
      <c r="U73"/>
      <c r="V73"/>
      <c r="W73"/>
      <c r="X73"/>
      <c r="Y73"/>
      <c r="Z73" s="344"/>
      <c r="AA73" s="363"/>
      <c r="AB73" s="363"/>
      <c r="AC73" s="363"/>
      <c r="AD73" s="110"/>
      <c r="AE73" s="41"/>
      <c r="AF73" s="41"/>
      <c r="AG73" s="41"/>
      <c r="AH73" s="41"/>
      <c r="AI73" s="41"/>
      <c r="AJ73" s="41"/>
      <c r="AK73" s="41"/>
      <c r="AL73" s="41"/>
      <c r="AM73" s="41"/>
      <c r="AN73" s="41"/>
      <c r="AO73" s="41"/>
      <c r="AP73" s="41"/>
      <c r="AQ73" s="41"/>
      <c r="AR73" s="41"/>
      <c r="AS73" s="41"/>
      <c r="AT73" s="41"/>
      <c r="AU73" s="41"/>
      <c r="AV73" s="41"/>
      <c r="AW73" s="41"/>
      <c r="AX73" s="41"/>
      <c r="AY73" s="41"/>
      <c r="AZ73" s="41"/>
      <c r="BA73" s="41"/>
      <c r="BB73" s="41"/>
      <c r="BC73" s="41"/>
      <c r="BD73" s="41"/>
      <c r="BE73" s="41"/>
      <c r="BF73" s="41"/>
      <c r="BG73" s="41"/>
      <c r="BH73" s="41"/>
      <c r="BI73" s="41"/>
      <c r="BJ73" s="41"/>
      <c r="BK73" s="41"/>
      <c r="BL73" s="41"/>
      <c r="BM73" s="41"/>
      <c r="BN73" s="41"/>
      <c r="BO73" s="41"/>
      <c r="BP73" s="41"/>
      <c r="BQ73" s="41"/>
      <c r="BR73" s="41"/>
      <c r="BS73" s="41"/>
      <c r="BT73" s="41"/>
      <c r="BU73" s="41"/>
      <c r="BV73" s="41"/>
      <c r="BW73" s="41"/>
      <c r="BX73" s="41"/>
      <c r="BY73" s="41"/>
      <c r="BZ73" s="41"/>
      <c r="CA73" s="41"/>
      <c r="CB73" s="41"/>
      <c r="CC73" s="41"/>
      <c r="CD73" s="41"/>
      <c r="CE73" s="41"/>
      <c r="CF73" s="41"/>
      <c r="CG73" s="41"/>
      <c r="CH73" s="41"/>
      <c r="CI73" s="41"/>
      <c r="CJ73" s="41"/>
      <c r="CK73" s="41"/>
      <c r="CL73" s="41"/>
      <c r="CM73" s="41"/>
      <c r="CN73" s="41"/>
      <c r="CO73" s="41"/>
      <c r="CP73" s="41"/>
    </row>
    <row r="74" spans="1:94" s="53" customFormat="1" ht="15.6" customHeight="1" x14ac:dyDescent="0.25">
      <c r="A74" s="85">
        <v>10.63</v>
      </c>
      <c r="B74" s="83"/>
      <c r="C74" s="366" t="s">
        <v>62</v>
      </c>
      <c r="D74" s="368"/>
      <c r="E74" s="112"/>
      <c r="F74" s="288"/>
      <c r="G74" s="92">
        <v>0</v>
      </c>
      <c r="H74" s="287"/>
      <c r="I74" s="287">
        <f>ROUND(($G74*ElectVBBY+$G74*Retire1BY),-2)</f>
        <v>0</v>
      </c>
      <c r="J74" s="113">
        <f t="shared" si="11"/>
        <v>0</v>
      </c>
      <c r="K74" s="301"/>
      <c r="L74" s="302"/>
      <c r="M74" s="303"/>
      <c r="N74" s="304"/>
      <c r="O74"/>
      <c r="P74"/>
      <c r="Q74"/>
      <c r="R74"/>
      <c r="S74"/>
      <c r="T74"/>
      <c r="U74"/>
      <c r="V74"/>
      <c r="W74"/>
      <c r="X74"/>
      <c r="Y74"/>
      <c r="Z74" s="344"/>
      <c r="AA74" s="363"/>
      <c r="AB74" s="363"/>
      <c r="AC74" s="363"/>
      <c r="AD74" s="110"/>
      <c r="AE74" s="41"/>
      <c r="AF74" s="41"/>
      <c r="AG74" s="41"/>
      <c r="AH74" s="41"/>
      <c r="AI74" s="41"/>
      <c r="AJ74" s="41"/>
      <c r="AK74" s="41"/>
      <c r="AL74" s="41"/>
      <c r="AM74" s="41"/>
      <c r="AN74" s="41"/>
      <c r="AO74" s="41"/>
      <c r="AP74" s="41"/>
      <c r="AQ74" s="41"/>
      <c r="AR74" s="41"/>
      <c r="AS74" s="41"/>
      <c r="AT74" s="41"/>
      <c r="AU74" s="41"/>
      <c r="AV74" s="41"/>
      <c r="AW74" s="41"/>
      <c r="AX74" s="41"/>
      <c r="AY74" s="41"/>
      <c r="AZ74" s="41"/>
      <c r="BA74" s="41"/>
      <c r="BB74" s="41"/>
      <c r="BC74" s="41"/>
      <c r="BD74" s="41"/>
      <c r="BE74" s="41"/>
      <c r="BF74" s="41"/>
      <c r="BG74" s="41"/>
      <c r="BH74" s="41"/>
      <c r="BI74" s="41"/>
      <c r="BJ74" s="41"/>
      <c r="BK74" s="41"/>
      <c r="BL74" s="41"/>
      <c r="BM74" s="41"/>
      <c r="BN74" s="41"/>
      <c r="BO74" s="41"/>
      <c r="BP74" s="41"/>
      <c r="BQ74" s="41"/>
      <c r="BR74" s="41"/>
      <c r="BS74" s="41"/>
      <c r="BT74" s="41"/>
      <c r="BU74" s="41"/>
      <c r="BV74" s="41"/>
      <c r="BW74" s="41"/>
      <c r="BX74" s="41"/>
      <c r="BY74" s="41"/>
      <c r="BZ74" s="41"/>
      <c r="CA74" s="41"/>
      <c r="CB74" s="41"/>
      <c r="CC74" s="41"/>
      <c r="CD74" s="41"/>
      <c r="CE74" s="41"/>
      <c r="CF74" s="41"/>
      <c r="CG74" s="41"/>
      <c r="CH74" s="41"/>
      <c r="CI74" s="41"/>
      <c r="CJ74" s="41"/>
      <c r="CK74" s="41"/>
      <c r="CL74" s="41"/>
      <c r="CM74" s="41"/>
      <c r="CN74" s="41"/>
      <c r="CO74" s="41"/>
      <c r="CP74" s="41"/>
    </row>
    <row r="75" spans="1:94" s="53" customFormat="1" ht="15.75" customHeight="1" x14ac:dyDescent="0.25">
      <c r="A75" s="75">
        <v>11</v>
      </c>
      <c r="B75" s="76"/>
      <c r="C75" s="54" t="str">
        <f>"FY "&amp;M4</f>
        <v>FY 2023</v>
      </c>
      <c r="D75" s="77" t="s">
        <v>63</v>
      </c>
      <c r="E75" s="112"/>
      <c r="F75" s="55">
        <f>SUM(F67:F74)</f>
        <v>40</v>
      </c>
      <c r="G75" s="80">
        <f>SUM(G67:G74)</f>
        <v>2571100</v>
      </c>
      <c r="H75" s="80">
        <f>SUM(H67:H74)</f>
        <v>452200</v>
      </c>
      <c r="I75" s="80">
        <f>SUM(I67:I74)</f>
        <v>536100</v>
      </c>
      <c r="J75" s="80">
        <f>SUM(J67:K74)</f>
        <v>3559300</v>
      </c>
      <c r="K75" s="296"/>
      <c r="L75" s="299"/>
      <c r="M75" s="299"/>
      <c r="N75" s="300"/>
      <c r="O75"/>
      <c r="P75"/>
      <c r="Q75"/>
      <c r="R75"/>
      <c r="S75"/>
      <c r="T75"/>
      <c r="U75"/>
      <c r="V75"/>
      <c r="W75"/>
      <c r="X75"/>
      <c r="Y75"/>
      <c r="Z75" s="344"/>
      <c r="AA75" s="363"/>
      <c r="AB75" s="363"/>
      <c r="AC75" s="363"/>
      <c r="AD75" s="110"/>
      <c r="AE75" s="41"/>
      <c r="AF75" s="41"/>
      <c r="AG75" s="41"/>
      <c r="AH75" s="41"/>
      <c r="AI75" s="41"/>
      <c r="AJ75" s="41"/>
      <c r="AK75" s="41"/>
      <c r="AL75" s="41"/>
      <c r="AM75" s="41"/>
      <c r="AN75" s="41"/>
      <c r="AO75" s="41"/>
      <c r="AP75" s="41"/>
      <c r="AQ75" s="41"/>
      <c r="AR75" s="41"/>
      <c r="AS75" s="41"/>
      <c r="AT75" s="41"/>
      <c r="AU75" s="41"/>
      <c r="AV75" s="41"/>
      <c r="AW75" s="41"/>
      <c r="AX75" s="41"/>
      <c r="AY75" s="41"/>
      <c r="AZ75" s="41"/>
      <c r="BA75" s="41"/>
      <c r="BB75" s="41"/>
      <c r="BC75" s="41"/>
      <c r="BD75" s="41"/>
      <c r="BE75" s="41"/>
      <c r="BF75" s="41"/>
      <c r="BG75" s="41"/>
      <c r="BH75" s="41"/>
      <c r="BI75" s="41"/>
      <c r="BJ75" s="41"/>
      <c r="BK75" s="41"/>
      <c r="BL75" s="41"/>
      <c r="BM75" s="41"/>
      <c r="BN75" s="41"/>
      <c r="BO75" s="41"/>
      <c r="BP75" s="41"/>
      <c r="BQ75" s="41"/>
      <c r="BR75" s="41"/>
      <c r="BS75" s="41"/>
      <c r="BT75" s="41"/>
      <c r="BU75" s="41"/>
      <c r="BV75" s="41"/>
      <c r="BW75" s="41"/>
      <c r="BX75" s="41"/>
      <c r="BY75" s="41"/>
      <c r="BZ75" s="41"/>
      <c r="CA75" s="41"/>
      <c r="CB75" s="41"/>
      <c r="CC75" s="41"/>
      <c r="CD75" s="41"/>
      <c r="CE75" s="41"/>
      <c r="CF75" s="41"/>
      <c r="CG75" s="41"/>
      <c r="CH75" s="41"/>
      <c r="CI75" s="41"/>
      <c r="CJ75" s="41"/>
      <c r="CK75" s="41"/>
      <c r="CL75" s="41"/>
      <c r="CM75" s="41"/>
      <c r="CN75" s="41"/>
      <c r="CO75" s="41"/>
      <c r="CP75" s="41"/>
    </row>
    <row r="76" spans="1:94" s="53" customFormat="1" ht="28.5" customHeight="1" x14ac:dyDescent="0.25">
      <c r="A76" s="85"/>
      <c r="B76" s="83"/>
      <c r="C76" s="411" t="s">
        <v>64</v>
      </c>
      <c r="D76" s="412"/>
      <c r="E76" s="59"/>
      <c r="F76" s="59"/>
      <c r="G76" s="61"/>
      <c r="H76" s="61"/>
      <c r="I76" s="61"/>
      <c r="J76" s="61"/>
      <c r="K76" s="291"/>
      <c r="L76" s="292"/>
      <c r="M76" s="305"/>
      <c r="N76" s="293"/>
      <c r="O76"/>
      <c r="P76"/>
      <c r="Q76"/>
      <c r="R76"/>
      <c r="S76"/>
      <c r="T76"/>
      <c r="U76"/>
      <c r="V76"/>
      <c r="W76"/>
      <c r="X76"/>
      <c r="Y76"/>
      <c r="Z76" s="344"/>
      <c r="AA76" s="363"/>
      <c r="AB76" s="363"/>
      <c r="AC76" s="363"/>
      <c r="AD76" s="110"/>
      <c r="AE76" s="41"/>
      <c r="AF76" s="41"/>
      <c r="AG76" s="41"/>
      <c r="AH76" s="41"/>
      <c r="AI76" s="41"/>
      <c r="AJ76" s="41"/>
      <c r="AK76" s="41"/>
      <c r="AL76" s="41"/>
      <c r="AM76" s="41"/>
      <c r="AN76" s="41"/>
      <c r="AO76" s="41"/>
      <c r="AP76" s="41"/>
      <c r="AQ76" s="41"/>
      <c r="AR76" s="41"/>
      <c r="AS76" s="41"/>
      <c r="AT76" s="41"/>
      <c r="AU76" s="41"/>
      <c r="AV76" s="41"/>
      <c r="AW76" s="41"/>
      <c r="AX76" s="41"/>
      <c r="AY76" s="41"/>
      <c r="AZ76" s="41"/>
      <c r="BA76" s="41"/>
      <c r="BB76" s="41"/>
      <c r="BC76" s="41"/>
      <c r="BD76" s="41"/>
      <c r="BE76" s="41"/>
      <c r="BF76" s="41"/>
      <c r="BG76" s="41"/>
      <c r="BH76" s="41"/>
      <c r="BI76" s="41"/>
      <c r="BJ76" s="41"/>
      <c r="BK76" s="41"/>
      <c r="BL76" s="41"/>
      <c r="BM76" s="41"/>
      <c r="BN76" s="41"/>
      <c r="BO76" s="41"/>
      <c r="BP76" s="41"/>
      <c r="BQ76" s="41"/>
      <c r="BR76" s="41"/>
      <c r="BS76" s="41"/>
      <c r="BT76" s="41"/>
      <c r="BU76" s="41"/>
      <c r="BV76" s="41"/>
      <c r="BW76" s="41"/>
      <c r="BX76" s="41"/>
      <c r="BY76" s="41"/>
      <c r="BZ76" s="41"/>
      <c r="CA76" s="41"/>
      <c r="CB76" s="41"/>
      <c r="CC76" s="41"/>
      <c r="CD76" s="41"/>
      <c r="CE76" s="41"/>
      <c r="CF76" s="41"/>
      <c r="CG76" s="41"/>
      <c r="CH76" s="41"/>
      <c r="CI76" s="41"/>
      <c r="CJ76" s="41"/>
      <c r="CK76" s="41"/>
      <c r="CL76" s="41"/>
      <c r="CM76" s="41"/>
      <c r="CN76" s="41"/>
      <c r="CO76" s="41"/>
      <c r="CP76" s="41"/>
    </row>
    <row r="77" spans="1:94" s="53" customFormat="1" ht="15" x14ac:dyDescent="0.25">
      <c r="A77" s="116">
        <v>12.01</v>
      </c>
      <c r="B77" s="57"/>
      <c r="C77" s="404"/>
      <c r="D77" s="405"/>
      <c r="E77" s="87"/>
      <c r="F77" s="58"/>
      <c r="G77" s="88"/>
      <c r="H77" s="88"/>
      <c r="I77" s="88"/>
      <c r="J77" s="80">
        <f>ROUND(SUM(G77:I77),-2)</f>
        <v>0</v>
      </c>
      <c r="K77" s="296"/>
      <c r="L77" s="292"/>
      <c r="M77" s="292"/>
      <c r="N77" s="293"/>
      <c r="O77"/>
      <c r="P77"/>
      <c r="Q77"/>
      <c r="R77"/>
      <c r="S77"/>
      <c r="T77"/>
      <c r="U77"/>
      <c r="V77"/>
      <c r="W77"/>
      <c r="X77"/>
      <c r="Y77"/>
      <c r="Z77" s="344"/>
      <c r="AA77" s="363"/>
      <c r="AB77" s="363"/>
      <c r="AC77" s="363"/>
      <c r="AD77" s="110"/>
      <c r="AE77" s="41"/>
      <c r="AF77" s="41"/>
      <c r="AG77" s="41"/>
      <c r="AH77" s="41"/>
      <c r="AI77" s="41"/>
      <c r="AJ77" s="41"/>
      <c r="AK77" s="41"/>
      <c r="AL77" s="41"/>
      <c r="AM77" s="41"/>
      <c r="AN77" s="41"/>
      <c r="AO77" s="41"/>
      <c r="AP77" s="41"/>
      <c r="AQ77" s="41"/>
      <c r="AR77" s="41"/>
      <c r="AS77" s="41"/>
      <c r="AT77" s="41"/>
      <c r="AU77" s="41"/>
      <c r="AV77" s="41"/>
      <c r="AW77" s="41"/>
      <c r="AX77" s="41"/>
      <c r="AY77" s="41"/>
      <c r="AZ77" s="41"/>
      <c r="BA77" s="41"/>
      <c r="BB77" s="41"/>
      <c r="BC77" s="41"/>
      <c r="BD77" s="41"/>
      <c r="BE77" s="41"/>
      <c r="BF77" s="41"/>
      <c r="BG77" s="41"/>
      <c r="BH77" s="41"/>
      <c r="BI77" s="41"/>
      <c r="BJ77" s="41"/>
      <c r="BK77" s="41"/>
      <c r="BL77" s="41"/>
      <c r="BM77" s="41"/>
      <c r="BN77" s="41"/>
      <c r="BO77" s="41"/>
      <c r="BP77" s="41"/>
      <c r="BQ77" s="41"/>
      <c r="BR77" s="41"/>
      <c r="BS77" s="41"/>
      <c r="BT77" s="41"/>
      <c r="BU77" s="41"/>
      <c r="BV77" s="41"/>
      <c r="BW77" s="41"/>
      <c r="BX77" s="41"/>
      <c r="BY77" s="41"/>
      <c r="BZ77" s="41"/>
      <c r="CA77" s="41"/>
      <c r="CB77" s="41"/>
      <c r="CC77" s="41"/>
      <c r="CD77" s="41"/>
      <c r="CE77" s="41"/>
      <c r="CF77" s="41"/>
      <c r="CG77" s="41"/>
      <c r="CH77" s="41"/>
      <c r="CI77" s="41"/>
      <c r="CJ77" s="41"/>
      <c r="CK77" s="41"/>
      <c r="CL77" s="41"/>
      <c r="CM77" s="41"/>
      <c r="CN77" s="41"/>
      <c r="CO77" s="41"/>
      <c r="CP77" s="41"/>
    </row>
    <row r="78" spans="1:94" s="53" customFormat="1" ht="15" x14ac:dyDescent="0.25">
      <c r="A78" s="116">
        <v>12.02</v>
      </c>
      <c r="B78" s="57"/>
      <c r="C78" s="404"/>
      <c r="D78" s="405"/>
      <c r="E78" s="87"/>
      <c r="F78" s="58"/>
      <c r="G78" s="88"/>
      <c r="H78" s="88"/>
      <c r="I78" s="88"/>
      <c r="J78" s="80">
        <f>ROUND(SUM(G78:I78),-2)</f>
        <v>0</v>
      </c>
      <c r="K78" s="296"/>
      <c r="L78" s="292"/>
      <c r="M78" s="292"/>
      <c r="N78" s="293"/>
      <c r="O78"/>
      <c r="P78"/>
      <c r="Q78"/>
      <c r="R78"/>
      <c r="S78"/>
      <c r="T78"/>
      <c r="U78"/>
      <c r="V78"/>
      <c r="W78"/>
      <c r="X78"/>
      <c r="Y78"/>
      <c r="Z78" s="344"/>
      <c r="AA78" s="363"/>
      <c r="AB78" s="363"/>
      <c r="AC78" s="363"/>
      <c r="AD78" s="110"/>
      <c r="AE78" s="41"/>
      <c r="AF78" s="41"/>
      <c r="AG78" s="41"/>
      <c r="AH78" s="41"/>
      <c r="AI78" s="41"/>
      <c r="AJ78" s="41"/>
      <c r="AK78" s="41"/>
      <c r="AL78" s="41"/>
      <c r="AM78" s="41"/>
      <c r="AN78" s="41"/>
      <c r="AO78" s="41"/>
      <c r="AP78" s="41"/>
      <c r="AQ78" s="41"/>
      <c r="AR78" s="41"/>
      <c r="AS78" s="41"/>
      <c r="AT78" s="41"/>
      <c r="AU78" s="41"/>
      <c r="AV78" s="41"/>
      <c r="AW78" s="41"/>
      <c r="AX78" s="41"/>
      <c r="AY78" s="41"/>
      <c r="AZ78" s="41"/>
      <c r="BA78" s="41"/>
      <c r="BB78" s="41"/>
      <c r="BC78" s="41"/>
      <c r="BD78" s="41"/>
      <c r="BE78" s="41"/>
      <c r="BF78" s="41"/>
      <c r="BG78" s="41"/>
      <c r="BH78" s="41"/>
      <c r="BI78" s="41"/>
      <c r="BJ78" s="41"/>
      <c r="BK78" s="41"/>
      <c r="BL78" s="41"/>
      <c r="BM78" s="41"/>
      <c r="BN78" s="41"/>
      <c r="BO78" s="41"/>
      <c r="BP78" s="41"/>
      <c r="BQ78" s="41"/>
      <c r="BR78" s="41"/>
      <c r="BS78" s="41"/>
      <c r="BT78" s="41"/>
      <c r="BU78" s="41"/>
      <c r="BV78" s="41"/>
      <c r="BW78" s="41"/>
      <c r="BX78" s="41"/>
      <c r="BY78" s="41"/>
      <c r="BZ78" s="41"/>
      <c r="CA78" s="41"/>
      <c r="CB78" s="41"/>
      <c r="CC78" s="41"/>
      <c r="CD78" s="41"/>
      <c r="CE78" s="41"/>
      <c r="CF78" s="41"/>
      <c r="CG78" s="41"/>
      <c r="CH78" s="41"/>
      <c r="CI78" s="41"/>
      <c r="CJ78" s="41"/>
      <c r="CK78" s="41"/>
      <c r="CL78" s="41"/>
      <c r="CM78" s="41"/>
      <c r="CN78" s="41"/>
      <c r="CO78" s="41"/>
      <c r="CP78" s="41"/>
    </row>
    <row r="79" spans="1:94" s="53" customFormat="1" ht="15" x14ac:dyDescent="0.25">
      <c r="A79" s="116">
        <v>12.03</v>
      </c>
      <c r="B79" s="57" t="s">
        <v>45</v>
      </c>
      <c r="C79" s="404"/>
      <c r="D79" s="405"/>
      <c r="E79" s="87"/>
      <c r="F79" s="58"/>
      <c r="G79" s="88"/>
      <c r="H79" s="88"/>
      <c r="I79" s="88"/>
      <c r="J79" s="80">
        <f>ROUND(SUM(G79:I79),-2)</f>
        <v>0</v>
      </c>
      <c r="K79" s="296"/>
      <c r="L79" s="292"/>
      <c r="M79" s="292"/>
      <c r="N79" s="293"/>
      <c r="O79"/>
      <c r="P79"/>
      <c r="Q79"/>
      <c r="R79"/>
      <c r="S79"/>
      <c r="T79"/>
      <c r="U79"/>
      <c r="V79"/>
      <c r="W79"/>
      <c r="X79"/>
      <c r="Y79"/>
      <c r="Z79" s="344"/>
      <c r="AA79" s="363"/>
      <c r="AB79" s="363"/>
      <c r="AC79" s="363"/>
      <c r="AD79" s="110"/>
      <c r="AE79" s="41"/>
      <c r="AF79" s="41"/>
      <c r="AG79" s="41"/>
      <c r="AH79" s="41"/>
      <c r="AI79" s="41"/>
      <c r="AJ79" s="41"/>
      <c r="AK79" s="41"/>
      <c r="AL79" s="41"/>
      <c r="AM79" s="41"/>
      <c r="AN79" s="41"/>
      <c r="AO79" s="41"/>
      <c r="AP79" s="41"/>
      <c r="AQ79" s="41"/>
      <c r="AR79" s="41"/>
      <c r="AS79" s="41"/>
      <c r="AT79" s="41"/>
      <c r="AU79" s="41"/>
      <c r="AV79" s="41"/>
      <c r="AW79" s="41"/>
      <c r="AX79" s="41"/>
      <c r="AY79" s="41"/>
      <c r="AZ79" s="41"/>
      <c r="BA79" s="41"/>
      <c r="BB79" s="41"/>
      <c r="BC79" s="41"/>
      <c r="BD79" s="41"/>
      <c r="BE79" s="41"/>
      <c r="BF79" s="41"/>
      <c r="BG79" s="41"/>
      <c r="BH79" s="41"/>
      <c r="BI79" s="41"/>
      <c r="BJ79" s="41"/>
      <c r="BK79" s="41"/>
      <c r="BL79" s="41"/>
      <c r="BM79" s="41"/>
      <c r="BN79" s="41"/>
      <c r="BO79" s="41"/>
      <c r="BP79" s="41"/>
      <c r="BQ79" s="41"/>
      <c r="BR79" s="41"/>
      <c r="BS79" s="41"/>
      <c r="BT79" s="41"/>
      <c r="BU79" s="41"/>
      <c r="BV79" s="41"/>
      <c r="BW79" s="41"/>
      <c r="BX79" s="41"/>
      <c r="BY79" s="41"/>
      <c r="BZ79" s="41"/>
      <c r="CA79" s="41"/>
      <c r="CB79" s="41"/>
      <c r="CC79" s="41"/>
      <c r="CD79" s="41"/>
      <c r="CE79" s="41"/>
      <c r="CF79" s="41"/>
      <c r="CG79" s="41"/>
      <c r="CH79" s="41"/>
      <c r="CI79" s="41"/>
      <c r="CJ79" s="41"/>
      <c r="CK79" s="41"/>
      <c r="CL79" s="41"/>
      <c r="CM79" s="41"/>
      <c r="CN79" s="41"/>
      <c r="CO79" s="41"/>
      <c r="CP79" s="41"/>
    </row>
    <row r="80" spans="1:94" s="53" customFormat="1" ht="15.75" customHeight="1" x14ac:dyDescent="0.25">
      <c r="A80" s="117">
        <v>13</v>
      </c>
      <c r="B80" s="118"/>
      <c r="C80" s="119" t="str">
        <f>"FY "&amp;M4</f>
        <v>FY 2023</v>
      </c>
      <c r="D80" s="120" t="s">
        <v>65</v>
      </c>
      <c r="E80" s="121"/>
      <c r="F80" s="55">
        <f>SUM(F75:F79)</f>
        <v>40</v>
      </c>
      <c r="G80" s="80">
        <f>SUM(G75:G79)</f>
        <v>2571100</v>
      </c>
      <c r="H80" s="80">
        <f>SUM(H75:H79)</f>
        <v>452200</v>
      </c>
      <c r="I80" s="80">
        <f>SUM(I75:I79)</f>
        <v>536100</v>
      </c>
      <c r="J80" s="80">
        <f>SUM(J75:J79)</f>
        <v>3559300</v>
      </c>
      <c r="K80" s="270"/>
      <c r="L80" s="122"/>
      <c r="M80" s="122"/>
      <c r="N80" s="123"/>
      <c r="O80"/>
      <c r="P80"/>
      <c r="Q80"/>
      <c r="R80"/>
      <c r="S80"/>
      <c r="T80"/>
      <c r="U80"/>
      <c r="V80"/>
      <c r="W80"/>
      <c r="X80"/>
      <c r="Y80"/>
      <c r="Z80" s="344"/>
      <c r="AA80" s="363"/>
      <c r="AB80" s="363"/>
      <c r="AC80" s="363"/>
      <c r="AD80" s="110"/>
      <c r="AE80" s="41"/>
      <c r="AF80" s="41"/>
      <c r="AG80" s="41"/>
      <c r="AH80" s="41"/>
      <c r="AI80" s="41"/>
      <c r="AJ80" s="41"/>
      <c r="AK80" s="41"/>
      <c r="AL80" s="41"/>
      <c r="AM80" s="41"/>
      <c r="AN80" s="41"/>
      <c r="AO80" s="41"/>
      <c r="AP80" s="41"/>
      <c r="AQ80" s="41"/>
      <c r="AR80" s="41"/>
      <c r="AS80" s="41"/>
      <c r="AT80" s="41"/>
      <c r="AU80" s="41"/>
      <c r="AV80" s="41"/>
      <c r="AW80" s="41"/>
      <c r="AX80" s="41"/>
      <c r="AY80" s="41"/>
      <c r="AZ80" s="41"/>
      <c r="BA80" s="41"/>
      <c r="BB80" s="41"/>
      <c r="BC80" s="41"/>
      <c r="BD80" s="41"/>
      <c r="BE80" s="41"/>
      <c r="BF80" s="41"/>
      <c r="BG80" s="41"/>
      <c r="BH80" s="41"/>
      <c r="BI80" s="41"/>
      <c r="BJ80" s="41"/>
      <c r="BK80" s="41"/>
      <c r="BL80" s="41"/>
      <c r="BM80" s="41"/>
      <c r="BN80" s="41"/>
      <c r="BO80" s="41"/>
      <c r="BP80" s="41"/>
      <c r="BQ80" s="41"/>
      <c r="BR80" s="41"/>
      <c r="BS80" s="41"/>
      <c r="BT80" s="41"/>
      <c r="BU80" s="41"/>
      <c r="BV80" s="41"/>
      <c r="BW80" s="41"/>
      <c r="BX80" s="41"/>
      <c r="BY80" s="41"/>
      <c r="BZ80" s="41"/>
      <c r="CA80" s="41"/>
      <c r="CB80" s="41"/>
      <c r="CC80" s="41"/>
      <c r="CD80" s="41"/>
      <c r="CE80" s="41"/>
      <c r="CF80" s="41"/>
      <c r="CG80" s="41"/>
      <c r="CH80" s="41"/>
      <c r="CI80" s="41"/>
      <c r="CJ80" s="41"/>
      <c r="CK80" s="41"/>
      <c r="CL80" s="41"/>
      <c r="CM80" s="41"/>
      <c r="CN80" s="41"/>
      <c r="CO80" s="41"/>
      <c r="CP80" s="41"/>
    </row>
  </sheetData>
  <mergeCells count="51">
    <mergeCell ref="C13:D13"/>
    <mergeCell ref="M1:N1"/>
    <mergeCell ref="M2:N2"/>
    <mergeCell ref="M3:N3"/>
    <mergeCell ref="M4:N4"/>
    <mergeCell ref="I5:L5"/>
    <mergeCell ref="C8:D8"/>
    <mergeCell ref="AA8:AC8"/>
    <mergeCell ref="C9:D9"/>
    <mergeCell ref="C10:D10"/>
    <mergeCell ref="C11:D11"/>
    <mergeCell ref="C12:D12"/>
    <mergeCell ref="K43:N43"/>
    <mergeCell ref="AA43:AC43"/>
    <mergeCell ref="K44:N44"/>
    <mergeCell ref="C16:D16"/>
    <mergeCell ref="C17:D17"/>
    <mergeCell ref="C18:D18"/>
    <mergeCell ref="C37:D37"/>
    <mergeCell ref="AA37:AC37"/>
    <mergeCell ref="C38:D38"/>
    <mergeCell ref="C54:D54"/>
    <mergeCell ref="C39:D39"/>
    <mergeCell ref="C41:D41"/>
    <mergeCell ref="C42:D42"/>
    <mergeCell ref="C43:D44"/>
    <mergeCell ref="K45:N45"/>
    <mergeCell ref="E46:J47"/>
    <mergeCell ref="K46:N47"/>
    <mergeCell ref="C50:D50"/>
    <mergeCell ref="C53:D53"/>
    <mergeCell ref="C69:D69"/>
    <mergeCell ref="C55:D55"/>
    <mergeCell ref="C57:D57"/>
    <mergeCell ref="C58:D58"/>
    <mergeCell ref="C59:D59"/>
    <mergeCell ref="C61:D61"/>
    <mergeCell ref="C62:D62"/>
    <mergeCell ref="C63:D63"/>
    <mergeCell ref="C64:D64"/>
    <mergeCell ref="C65:D65"/>
    <mergeCell ref="C66:D66"/>
    <mergeCell ref="C68:D68"/>
    <mergeCell ref="C78:D78"/>
    <mergeCell ref="C79:D79"/>
    <mergeCell ref="C70:D70"/>
    <mergeCell ref="C71:D71"/>
    <mergeCell ref="C72:D72"/>
    <mergeCell ref="C73:D73"/>
    <mergeCell ref="C76:D76"/>
    <mergeCell ref="C77:D77"/>
  </mergeCells>
  <conditionalFormatting sqref="K44">
    <cfRule type="expression" dxfId="43" priority="5">
      <formula>$J$44&lt;0</formula>
    </cfRule>
  </conditionalFormatting>
  <conditionalFormatting sqref="K43">
    <cfRule type="expression" dxfId="42" priority="4">
      <formula>$J$43&lt;0</formula>
    </cfRule>
  </conditionalFormatting>
  <conditionalFormatting sqref="L16">
    <cfRule type="expression" dxfId="41" priority="3">
      <formula>$J$16&lt;0</formula>
    </cfRule>
  </conditionalFormatting>
  <conditionalFormatting sqref="K45">
    <cfRule type="expression" dxfId="40" priority="2">
      <formula>$J$44&lt;0</formula>
    </cfRule>
  </conditionalFormatting>
  <conditionalFormatting sqref="K43:N45">
    <cfRule type="containsText" dxfId="39" priority="1" operator="containsText" text="underfunding">
      <formula>NOT(ISERROR(SEARCH("underfunding",K43)))</formula>
    </cfRule>
  </conditionalFormatting>
  <printOptions horizontalCentered="1"/>
  <pageMargins left="0.5" right="0.5" top="0.65" bottom="0.65" header="0.26" footer="0.31"/>
  <pageSetup scale="63" fitToHeight="2" orientation="landscape" r:id="rId1"/>
  <headerFooter>
    <oddHeader>&amp;L&amp;"Helv,Bold"FORM B6:  WAGE &amp;&amp; SALARY RECONCILIATION</oddHeader>
    <oddFooter>&amp;LPrinted: &amp;D, &amp;T&amp;RPage &amp;P of &amp;N</oddFooter>
  </headerFooter>
  <rowBreaks count="1" manualBreakCount="1">
    <brk id="64" max="12" man="1"/>
  </rowBreaks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C518DBD2-34C7-4F98-BD9C-BCF50C0A5EDC}">
          <x14:formula1>
            <xm:f>Benefits!$A$20:$A$26</xm:f>
          </x14:formula1>
          <xm:sqref>C20:C30 C32:C36</xm:sqref>
        </x14:dataValidation>
      </x14:dataValidation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FBF9F3-EFE6-4908-BCA1-37CBF58DA795}">
  <sheetPr>
    <tabColor rgb="FF7030A0"/>
    <pageSetUpPr fitToPage="1"/>
  </sheetPr>
  <dimension ref="A1:CP80"/>
  <sheetViews>
    <sheetView showGridLines="0" zoomScaleNormal="100" workbookViewId="0">
      <selection activeCell="C8" sqref="C8:N16"/>
    </sheetView>
  </sheetViews>
  <sheetFormatPr defaultColWidth="9.140625" defaultRowHeight="15.75" x14ac:dyDescent="0.25"/>
  <cols>
    <col min="1" max="1" width="7.85546875" style="124" customWidth="1"/>
    <col min="2" max="2" width="7.7109375" style="125" customWidth="1"/>
    <col min="3" max="3" width="9" style="125" customWidth="1"/>
    <col min="4" max="4" width="39.28515625" style="53" customWidth="1"/>
    <col min="5" max="5" width="13" style="126" customWidth="1"/>
    <col min="6" max="6" width="12.28515625" style="127" customWidth="1"/>
    <col min="7" max="7" width="12.140625" style="127" bestFit="1" customWidth="1"/>
    <col min="8" max="8" width="14.5703125" style="127" customWidth="1"/>
    <col min="9" max="9" width="19.5703125" style="128" bestFit="1" customWidth="1"/>
    <col min="10" max="10" width="13.7109375" style="129" customWidth="1"/>
    <col min="11" max="11" width="13.7109375" style="129" hidden="1" customWidth="1"/>
    <col min="12" max="12" width="18.42578125" style="129" customWidth="1"/>
    <col min="13" max="13" width="16.42578125" style="129" customWidth="1"/>
    <col min="14" max="14" width="16.140625" style="128" customWidth="1"/>
    <col min="15" max="25" width="16.140625" customWidth="1"/>
    <col min="26" max="26" width="16.140625" style="344" customWidth="1"/>
    <col min="27" max="27" width="22.140625" style="334" bestFit="1" customWidth="1"/>
    <col min="28" max="28" width="31.140625" style="334" bestFit="1" customWidth="1"/>
    <col min="29" max="29" width="7.85546875" style="334" bestFit="1" customWidth="1"/>
    <col min="30" max="30" width="9.140625" style="110" customWidth="1"/>
    <col min="31" max="94" width="9.140625" style="17"/>
    <col min="95" max="16384" width="9.140625" style="18"/>
  </cols>
  <sheetData>
    <row r="1" spans="1:94" x14ac:dyDescent="0.25">
      <c r="A1" s="12" t="s">
        <v>13</v>
      </c>
      <c r="B1" s="13"/>
      <c r="C1" s="13"/>
      <c r="D1" s="14" t="s">
        <v>1989</v>
      </c>
      <c r="E1" s="15"/>
      <c r="F1" s="15"/>
      <c r="G1" s="15"/>
      <c r="H1" s="15"/>
      <c r="I1" s="15"/>
      <c r="J1" s="15"/>
      <c r="K1" s="15"/>
      <c r="L1" s="16" t="s">
        <v>14</v>
      </c>
      <c r="M1" s="467">
        <v>352</v>
      </c>
      <c r="N1" s="468"/>
      <c r="AA1" s="363"/>
      <c r="AB1" s="333"/>
      <c r="AC1" s="333"/>
      <c r="AD1" s="325"/>
    </row>
    <row r="2" spans="1:94" ht="20.25" x14ac:dyDescent="0.25">
      <c r="A2" s="19" t="s">
        <v>116</v>
      </c>
      <c r="B2" s="20"/>
      <c r="C2" s="20"/>
      <c r="D2" s="14" t="s">
        <v>1990</v>
      </c>
      <c r="E2" s="21"/>
      <c r="F2" s="21"/>
      <c r="G2" s="21"/>
      <c r="H2" s="21"/>
      <c r="I2" s="21"/>
      <c r="J2" s="20"/>
      <c r="K2" s="20"/>
      <c r="L2" s="22" t="s">
        <v>113</v>
      </c>
      <c r="M2" s="469" t="s">
        <v>1994</v>
      </c>
      <c r="N2" s="470"/>
      <c r="AA2" s="333"/>
      <c r="AB2" s="333"/>
      <c r="AC2" s="333"/>
      <c r="AD2" s="325"/>
    </row>
    <row r="3" spans="1:94" x14ac:dyDescent="0.25">
      <c r="A3" s="19" t="s">
        <v>117</v>
      </c>
      <c r="B3" s="20"/>
      <c r="C3" s="20"/>
      <c r="D3" s="23" t="s">
        <v>2040</v>
      </c>
      <c r="E3" s="24"/>
      <c r="F3" s="25"/>
      <c r="G3" s="25"/>
      <c r="H3" s="25"/>
      <c r="I3" s="26"/>
      <c r="J3" s="20"/>
      <c r="K3" s="20"/>
      <c r="L3" s="22" t="s">
        <v>114</v>
      </c>
      <c r="M3" s="467" t="s">
        <v>1599</v>
      </c>
      <c r="N3" s="468"/>
      <c r="AA3" s="363"/>
      <c r="AB3" s="333"/>
      <c r="AC3" s="333"/>
      <c r="AD3" s="325"/>
    </row>
    <row r="4" spans="1:94" x14ac:dyDescent="0.25">
      <c r="A4" s="19"/>
      <c r="B4" s="20"/>
      <c r="C4" s="20"/>
      <c r="D4" s="27"/>
      <c r="E4" s="24"/>
      <c r="F4" s="25"/>
      <c r="G4" s="25"/>
      <c r="H4" s="25"/>
      <c r="I4" s="28"/>
      <c r="J4" s="26"/>
      <c r="K4" s="26"/>
      <c r="L4" s="22" t="s">
        <v>15</v>
      </c>
      <c r="M4" s="467">
        <v>2023</v>
      </c>
      <c r="N4" s="468"/>
      <c r="AA4" s="363"/>
      <c r="AB4" s="333"/>
      <c r="AC4" s="333"/>
      <c r="AD4" s="325"/>
    </row>
    <row r="5" spans="1:94" s="34" customFormat="1" ht="18" customHeight="1" x14ac:dyDescent="0.25">
      <c r="A5" s="19" t="s">
        <v>16</v>
      </c>
      <c r="B5" s="20"/>
      <c r="C5" s="20"/>
      <c r="D5" s="350">
        <v>44440</v>
      </c>
      <c r="E5" s="27"/>
      <c r="F5" s="30"/>
      <c r="G5" s="31"/>
      <c r="H5" s="31" t="s">
        <v>17</v>
      </c>
      <c r="I5" s="469" t="s">
        <v>1992</v>
      </c>
      <c r="J5" s="471"/>
      <c r="K5" s="471"/>
      <c r="L5" s="470"/>
      <c r="M5" s="351" t="s">
        <v>115</v>
      </c>
      <c r="N5" s="32" t="s">
        <v>1993</v>
      </c>
      <c r="O5"/>
      <c r="P5"/>
      <c r="Q5"/>
      <c r="R5"/>
      <c r="S5"/>
      <c r="T5"/>
      <c r="U5"/>
      <c r="V5"/>
      <c r="W5"/>
      <c r="X5"/>
      <c r="Y5"/>
      <c r="Z5" s="344"/>
      <c r="AA5" s="363"/>
      <c r="AB5" s="333"/>
      <c r="AC5" s="333"/>
      <c r="AD5" s="326"/>
      <c r="AE5" s="33"/>
      <c r="AF5" s="33"/>
      <c r="AG5" s="33"/>
      <c r="AH5" s="33"/>
      <c r="AI5" s="33"/>
      <c r="AJ5" s="33"/>
      <c r="AK5" s="33"/>
      <c r="AL5" s="33"/>
      <c r="AM5" s="33"/>
      <c r="AN5" s="33"/>
      <c r="AO5" s="33"/>
      <c r="AP5" s="33"/>
      <c r="AQ5" s="33"/>
      <c r="AR5" s="33"/>
      <c r="AS5" s="33"/>
      <c r="AT5" s="33"/>
      <c r="AU5" s="33"/>
      <c r="AV5" s="33"/>
      <c r="AW5" s="33"/>
      <c r="AX5" s="33"/>
      <c r="AY5" s="33"/>
      <c r="AZ5" s="33"/>
      <c r="BA5" s="33"/>
      <c r="BB5" s="33"/>
      <c r="BC5" s="33"/>
      <c r="BD5" s="33"/>
      <c r="BE5" s="33"/>
      <c r="BF5" s="33"/>
      <c r="BG5" s="33"/>
      <c r="BH5" s="33"/>
      <c r="BI5" s="33"/>
      <c r="BJ5" s="33"/>
      <c r="BK5" s="33"/>
      <c r="BL5" s="33"/>
      <c r="BM5" s="33"/>
      <c r="BN5" s="33"/>
      <c r="BO5" s="33"/>
      <c r="BP5" s="33"/>
      <c r="BQ5" s="33"/>
      <c r="BR5" s="33"/>
      <c r="BS5" s="33"/>
      <c r="BT5" s="33"/>
      <c r="BU5" s="33"/>
      <c r="BV5" s="33"/>
      <c r="BW5" s="33"/>
      <c r="BX5" s="33"/>
      <c r="BY5" s="33"/>
      <c r="BZ5" s="33"/>
      <c r="CA5" s="33"/>
      <c r="CB5" s="33"/>
      <c r="CC5" s="33"/>
      <c r="CD5" s="33"/>
      <c r="CE5" s="33"/>
      <c r="CF5" s="33"/>
      <c r="CG5" s="33"/>
      <c r="CH5" s="33"/>
      <c r="CI5" s="33"/>
      <c r="CJ5" s="33"/>
      <c r="CK5" s="33"/>
      <c r="CL5" s="33"/>
      <c r="CM5" s="33"/>
      <c r="CN5" s="33"/>
      <c r="CO5" s="33"/>
      <c r="CP5" s="33"/>
    </row>
    <row r="6" spans="1:94" ht="23.25" customHeight="1" x14ac:dyDescent="0.25">
      <c r="A6" s="19"/>
      <c r="B6" s="20" t="s">
        <v>18</v>
      </c>
      <c r="C6" s="20"/>
      <c r="D6" s="29"/>
      <c r="E6" s="35" t="s">
        <v>19</v>
      </c>
      <c r="F6" s="36"/>
      <c r="G6" s="25"/>
      <c r="H6" s="25"/>
      <c r="I6" s="37"/>
      <c r="J6" s="31" t="s">
        <v>84</v>
      </c>
      <c r="K6" s="31"/>
      <c r="L6" s="352"/>
      <c r="M6" s="353" t="s">
        <v>85</v>
      </c>
      <c r="N6" s="306"/>
      <c r="AA6" s="363"/>
      <c r="AB6" s="333"/>
      <c r="AC6" s="333"/>
      <c r="AD6" s="325"/>
    </row>
    <row r="7" spans="1:94" x14ac:dyDescent="0.25">
      <c r="A7" s="38"/>
      <c r="B7" s="39"/>
      <c r="C7" s="40"/>
      <c r="D7" s="41"/>
      <c r="E7" s="42"/>
      <c r="F7" s="40"/>
      <c r="G7" s="43"/>
      <c r="H7" s="44"/>
      <c r="I7" s="45"/>
      <c r="J7" s="46"/>
      <c r="K7" s="46"/>
      <c r="L7" s="46"/>
      <c r="M7" s="46"/>
      <c r="N7" s="47"/>
    </row>
    <row r="8" spans="1:94" s="52" customFormat="1" ht="40.5" customHeight="1" x14ac:dyDescent="0.25">
      <c r="A8" s="48" t="s">
        <v>20</v>
      </c>
      <c r="B8" s="369" t="s">
        <v>21</v>
      </c>
      <c r="C8" s="472" t="s">
        <v>22</v>
      </c>
      <c r="D8" s="473"/>
      <c r="E8" s="369" t="s">
        <v>23</v>
      </c>
      <c r="F8" s="49" t="s">
        <v>24</v>
      </c>
      <c r="G8" s="50" t="str">
        <f>"FY "&amp;'TACA|0001-00'!FiscalYear-1&amp;" SALARY"</f>
        <v>FY 2022 SALARY</v>
      </c>
      <c r="H8" s="50" t="str">
        <f>"FY "&amp;'TACA|0001-00'!FiscalYear-1&amp;" HEALTH BENEFITS"</f>
        <v>FY 2022 HEALTH BENEFITS</v>
      </c>
      <c r="I8" s="50" t="str">
        <f>"FY "&amp;'TACA|0001-00'!FiscalYear-1&amp;" VAR BENEFITS"</f>
        <v>FY 2022 VAR BENEFITS</v>
      </c>
      <c r="J8" s="50" t="str">
        <f>"FY "&amp;'TACA|0001-00'!FiscalYear-1&amp;" TOTAL"</f>
        <v>FY 2022 TOTAL</v>
      </c>
      <c r="K8" s="50" t="str">
        <f>"FY "&amp;'TACA|0001-00'!FiscalYear&amp;" SALARY CHANGE"</f>
        <v>FY 2023 SALARY CHANGE</v>
      </c>
      <c r="L8" s="50" t="str">
        <f>"FY "&amp;'TACA|0001-00'!FiscalYear&amp;" CHG HEALTH BENEFITS"</f>
        <v>FY 2023 CHG HEALTH BENEFITS</v>
      </c>
      <c r="M8" s="50" t="str">
        <f>"FY "&amp;'TACA|0001-00'!FiscalYear&amp;" CHG VAR BENEFITS"</f>
        <v>FY 2023 CHG VAR BENEFITS</v>
      </c>
      <c r="N8" s="50" t="s">
        <v>25</v>
      </c>
      <c r="O8"/>
      <c r="P8"/>
      <c r="Q8"/>
      <c r="R8"/>
      <c r="S8"/>
      <c r="T8"/>
      <c r="U8"/>
      <c r="V8"/>
      <c r="W8"/>
      <c r="X8"/>
      <c r="Y8"/>
      <c r="Z8" s="344"/>
      <c r="AA8" s="463" t="s">
        <v>105</v>
      </c>
      <c r="AB8" s="463"/>
      <c r="AC8" s="463"/>
      <c r="AD8" s="327"/>
      <c r="AE8" s="51"/>
      <c r="AF8" s="51"/>
      <c r="AG8" s="51"/>
      <c r="AH8" s="51"/>
      <c r="AI8" s="51"/>
      <c r="AJ8" s="51"/>
      <c r="AK8" s="51"/>
      <c r="AL8" s="51"/>
      <c r="AM8" s="51"/>
      <c r="AN8" s="51"/>
      <c r="AO8" s="51"/>
      <c r="AP8" s="51"/>
      <c r="AQ8" s="51"/>
      <c r="AR8" s="51"/>
      <c r="AS8" s="51"/>
      <c r="AT8" s="51"/>
      <c r="AU8" s="51"/>
      <c r="AV8" s="51"/>
      <c r="AW8" s="51"/>
      <c r="AX8" s="51"/>
      <c r="AY8" s="51"/>
      <c r="AZ8" s="51"/>
      <c r="BA8" s="51"/>
      <c r="BB8" s="51"/>
      <c r="BC8" s="51"/>
      <c r="BD8" s="51"/>
      <c r="BE8" s="51"/>
      <c r="BF8" s="51"/>
      <c r="BG8" s="51"/>
      <c r="BH8" s="51"/>
      <c r="BI8" s="51"/>
      <c r="BJ8" s="51"/>
      <c r="BK8" s="51"/>
      <c r="BL8" s="51"/>
      <c r="BM8" s="51"/>
      <c r="BN8" s="51"/>
      <c r="BO8" s="51"/>
      <c r="BP8" s="51"/>
      <c r="BQ8" s="51"/>
      <c r="BR8" s="51"/>
      <c r="BS8" s="51"/>
      <c r="BT8" s="51"/>
      <c r="BU8" s="51"/>
      <c r="BV8" s="51"/>
      <c r="BW8" s="51"/>
      <c r="BX8" s="51"/>
      <c r="BY8" s="51"/>
      <c r="BZ8" s="51"/>
      <c r="CA8" s="51"/>
      <c r="CB8" s="51"/>
      <c r="CC8" s="51"/>
      <c r="CD8" s="51"/>
      <c r="CE8" s="51"/>
      <c r="CF8" s="51"/>
      <c r="CG8" s="51"/>
      <c r="CH8" s="51"/>
      <c r="CI8" s="51"/>
      <c r="CJ8" s="51"/>
      <c r="CK8" s="51"/>
      <c r="CL8" s="51"/>
      <c r="CM8" s="51"/>
      <c r="CN8" s="51"/>
      <c r="CO8" s="51"/>
      <c r="CP8" s="51"/>
    </row>
    <row r="9" spans="1:94" s="149" customFormat="1" x14ac:dyDescent="0.25">
      <c r="A9" s="139"/>
      <c r="B9" s="140"/>
      <c r="C9" s="464" t="s">
        <v>26</v>
      </c>
      <c r="D9" s="465"/>
      <c r="E9" s="141"/>
      <c r="F9" s="142"/>
      <c r="G9" s="143"/>
      <c r="H9" s="143"/>
      <c r="I9" s="143"/>
      <c r="J9" s="144"/>
      <c r="K9" s="144"/>
      <c r="L9" s="145"/>
      <c r="M9" s="146"/>
      <c r="N9" s="144"/>
      <c r="O9"/>
      <c r="P9"/>
      <c r="Q9"/>
      <c r="R9"/>
      <c r="S9"/>
      <c r="T9"/>
      <c r="U9"/>
      <c r="V9"/>
      <c r="W9"/>
      <c r="X9"/>
      <c r="Y9"/>
      <c r="Z9" s="344"/>
      <c r="AA9" s="363" t="s">
        <v>94</v>
      </c>
      <c r="AB9" s="333" t="s">
        <v>95</v>
      </c>
      <c r="AC9" s="333" t="s">
        <v>106</v>
      </c>
      <c r="AD9" s="328"/>
      <c r="AE9" s="148"/>
      <c r="AF9" s="148"/>
      <c r="AG9" s="148"/>
      <c r="AH9" s="148"/>
      <c r="AI9" s="148"/>
      <c r="AJ9" s="148"/>
      <c r="AK9" s="148"/>
      <c r="AL9" s="148"/>
      <c r="AM9" s="148"/>
      <c r="AN9" s="148"/>
      <c r="AO9" s="148"/>
      <c r="AP9" s="148"/>
      <c r="AQ9" s="148"/>
      <c r="AR9" s="148"/>
      <c r="AS9" s="148"/>
      <c r="AT9" s="148"/>
      <c r="AU9" s="148"/>
      <c r="AV9" s="148"/>
      <c r="AW9" s="148"/>
      <c r="AX9" s="148"/>
      <c r="AY9" s="148"/>
      <c r="AZ9" s="148"/>
      <c r="BA9" s="148"/>
      <c r="BB9" s="148"/>
      <c r="BC9" s="148"/>
      <c r="BD9" s="148"/>
      <c r="BE9" s="148"/>
      <c r="BF9" s="148"/>
      <c r="BG9" s="148"/>
      <c r="BH9" s="148"/>
      <c r="BI9" s="148"/>
      <c r="BJ9" s="148"/>
      <c r="BK9" s="148"/>
      <c r="BL9" s="148"/>
      <c r="BM9" s="148"/>
      <c r="BN9" s="148"/>
      <c r="BO9" s="148"/>
      <c r="BP9" s="148"/>
      <c r="BQ9" s="148"/>
      <c r="BR9" s="148"/>
      <c r="BS9" s="148"/>
      <c r="BT9" s="148"/>
      <c r="BU9" s="148"/>
      <c r="BV9" s="148"/>
      <c r="BW9" s="148"/>
      <c r="BX9" s="148"/>
      <c r="BY9" s="148"/>
      <c r="BZ9" s="148"/>
      <c r="CA9" s="148"/>
      <c r="CB9" s="148"/>
      <c r="CC9" s="148"/>
      <c r="CD9" s="148"/>
      <c r="CE9" s="148"/>
      <c r="CF9" s="148"/>
      <c r="CG9" s="148"/>
      <c r="CH9" s="148"/>
      <c r="CI9" s="148"/>
      <c r="CJ9" s="148"/>
      <c r="CK9" s="148"/>
      <c r="CL9" s="148"/>
      <c r="CM9" s="148"/>
      <c r="CN9" s="148"/>
      <c r="CO9" s="148"/>
      <c r="CP9" s="148"/>
    </row>
    <row r="10" spans="1:94" s="149" customFormat="1" x14ac:dyDescent="0.25">
      <c r="A10" s="139"/>
      <c r="B10" s="139"/>
      <c r="C10" s="443" t="s">
        <v>27</v>
      </c>
      <c r="D10" s="466"/>
      <c r="E10" s="217">
        <v>1</v>
      </c>
      <c r="F10" s="288">
        <f>[0]!TACA000100col_INC_FTI</f>
        <v>85.899999999999991</v>
      </c>
      <c r="G10" s="218">
        <f>[0]!TACA000100col_FTI_SALARY_PERM</f>
        <v>4165760.5600000005</v>
      </c>
      <c r="H10" s="218">
        <f>[0]!TACA000100col_HEALTH_PERM</f>
        <v>1003647.5</v>
      </c>
      <c r="I10" s="218">
        <f>[0]!TACA000100col_TOT_VB_PERM</f>
        <v>888911.59669519984</v>
      </c>
      <c r="J10" s="219">
        <f>SUM(G10:I10)</f>
        <v>6058319.6566952001</v>
      </c>
      <c r="K10" s="219">
        <f>[0]!TACA000100col_1_27TH_PP</f>
        <v>0</v>
      </c>
      <c r="L10" s="218">
        <f>[0]!TACA000100col_HEALTH_PERM_CHG</f>
        <v>0</v>
      </c>
      <c r="M10" s="218">
        <f>[0]!TACA000100col_TOT_VB_PERM_CHG</f>
        <v>-19995.650688000005</v>
      </c>
      <c r="N10" s="218">
        <f>SUM(L10:M10)</f>
        <v>-19995.650688000005</v>
      </c>
      <c r="O10"/>
      <c r="P10"/>
      <c r="Q10"/>
      <c r="R10"/>
      <c r="S10"/>
      <c r="T10"/>
      <c r="U10"/>
      <c r="V10"/>
      <c r="W10"/>
      <c r="X10"/>
      <c r="Y10"/>
      <c r="Z10" s="344"/>
      <c r="AA10" s="338">
        <f>ROUND(CECPerm*PermSalary,-2)</f>
        <v>41700</v>
      </c>
      <c r="AB10" s="335">
        <f>ROUND(PermVarBen*CECPerm+(CECPerm*PermVarBenChg),-2)</f>
        <v>8700</v>
      </c>
      <c r="AC10" s="335">
        <f>SUM(AA10:AB10)</f>
        <v>50400</v>
      </c>
      <c r="AD10" s="328"/>
      <c r="AE10" s="148"/>
      <c r="AF10" s="148"/>
      <c r="AG10" s="148"/>
      <c r="AH10" s="148"/>
      <c r="AI10" s="148"/>
      <c r="AJ10" s="148"/>
      <c r="AK10" s="148"/>
      <c r="AL10" s="148"/>
      <c r="AM10" s="148"/>
      <c r="AN10" s="148"/>
      <c r="AO10" s="148"/>
      <c r="AP10" s="148"/>
      <c r="AQ10" s="148"/>
      <c r="AR10" s="148"/>
      <c r="AS10" s="148"/>
      <c r="AT10" s="148"/>
      <c r="AU10" s="148"/>
      <c r="AV10" s="148"/>
      <c r="AW10" s="148"/>
      <c r="AX10" s="148"/>
      <c r="AY10" s="148"/>
      <c r="AZ10" s="148"/>
      <c r="BA10" s="148"/>
      <c r="BB10" s="148"/>
      <c r="BC10" s="148"/>
      <c r="BD10" s="148"/>
      <c r="BE10" s="148"/>
      <c r="BF10" s="148"/>
      <c r="BG10" s="148"/>
      <c r="BH10" s="148"/>
      <c r="BI10" s="148"/>
      <c r="BJ10" s="148"/>
      <c r="BK10" s="148"/>
      <c r="BL10" s="148"/>
      <c r="BM10" s="148"/>
      <c r="BN10" s="148"/>
      <c r="BO10" s="148"/>
      <c r="BP10" s="148"/>
      <c r="BQ10" s="148"/>
      <c r="BR10" s="148"/>
      <c r="BS10" s="148"/>
      <c r="BT10" s="148"/>
      <c r="BU10" s="148"/>
      <c r="BV10" s="148"/>
      <c r="BW10" s="148"/>
      <c r="BX10" s="148"/>
      <c r="BY10" s="148"/>
      <c r="BZ10" s="148"/>
      <c r="CA10" s="148"/>
      <c r="CB10" s="148"/>
      <c r="CC10" s="148"/>
      <c r="CD10" s="148"/>
      <c r="CE10" s="148"/>
      <c r="CF10" s="148"/>
      <c r="CG10" s="148"/>
      <c r="CH10" s="148"/>
      <c r="CI10" s="148"/>
      <c r="CJ10" s="148"/>
      <c r="CK10" s="148"/>
      <c r="CL10" s="148"/>
      <c r="CM10" s="148"/>
      <c r="CN10" s="148"/>
      <c r="CO10" s="148"/>
      <c r="CP10" s="148"/>
    </row>
    <row r="11" spans="1:94" s="149" customFormat="1" x14ac:dyDescent="0.25">
      <c r="A11" s="139"/>
      <c r="B11" s="139"/>
      <c r="C11" s="443" t="s">
        <v>28</v>
      </c>
      <c r="D11" s="466"/>
      <c r="E11" s="217">
        <v>2</v>
      </c>
      <c r="F11" s="288"/>
      <c r="G11" s="218">
        <f>[0]!TACA000100col_Group_Salary</f>
        <v>35703.910000000003</v>
      </c>
      <c r="H11" s="218">
        <v>0</v>
      </c>
      <c r="I11" s="218">
        <f>[0]!TACA000100col_Group_Ben</f>
        <v>2902.44</v>
      </c>
      <c r="J11" s="219">
        <f>SUM(G11:I11)</f>
        <v>38606.350000000006</v>
      </c>
      <c r="K11" s="268"/>
      <c r="L11" s="218"/>
      <c r="M11" s="218"/>
      <c r="N11" s="218"/>
      <c r="O11"/>
      <c r="P11"/>
      <c r="Q11"/>
      <c r="R11"/>
      <c r="S11"/>
      <c r="T11"/>
      <c r="U11"/>
      <c r="V11"/>
      <c r="W11"/>
      <c r="X11"/>
      <c r="Y11"/>
      <c r="Z11" s="344"/>
      <c r="AA11" s="338">
        <f>ROUND(GroupSalary*CECGroup,-2)</f>
        <v>400</v>
      </c>
      <c r="AB11" s="335">
        <f>ROUND((GroupSalary*GroupVBBY)*CECGroup,-2)</f>
        <v>0</v>
      </c>
      <c r="AC11" s="335">
        <f>SUM(AA12:AB12)</f>
        <v>0</v>
      </c>
      <c r="AD11" s="328"/>
      <c r="AE11" s="148"/>
      <c r="AF11" s="148"/>
      <c r="AG11" s="148"/>
      <c r="AH11" s="148"/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148"/>
      <c r="AV11" s="148"/>
      <c r="AW11" s="148"/>
      <c r="AX11" s="148"/>
      <c r="AY11" s="148"/>
      <c r="AZ11" s="148"/>
      <c r="BA11" s="148"/>
      <c r="BB11" s="148"/>
      <c r="BC11" s="148"/>
      <c r="BD11" s="148"/>
      <c r="BE11" s="148"/>
      <c r="BF11" s="148"/>
      <c r="BG11" s="148"/>
      <c r="BH11" s="148"/>
      <c r="BI11" s="148"/>
      <c r="BJ11" s="148"/>
      <c r="BK11" s="148"/>
      <c r="BL11" s="148"/>
      <c r="BM11" s="148"/>
      <c r="BN11" s="148"/>
      <c r="BO11" s="148"/>
      <c r="BP11" s="148"/>
      <c r="BQ11" s="148"/>
      <c r="BR11" s="148"/>
      <c r="BS11" s="148"/>
      <c r="BT11" s="148"/>
      <c r="BU11" s="148"/>
      <c r="BV11" s="148"/>
      <c r="BW11" s="148"/>
      <c r="BX11" s="148"/>
      <c r="BY11" s="148"/>
      <c r="BZ11" s="148"/>
      <c r="CA11" s="148"/>
      <c r="CB11" s="148"/>
      <c r="CC11" s="148"/>
      <c r="CD11" s="148"/>
      <c r="CE11" s="148"/>
      <c r="CF11" s="148"/>
      <c r="CG11" s="148"/>
      <c r="CH11" s="148"/>
      <c r="CI11" s="148"/>
      <c r="CJ11" s="148"/>
      <c r="CK11" s="148"/>
      <c r="CL11" s="148"/>
      <c r="CM11" s="148"/>
      <c r="CN11" s="148"/>
      <c r="CO11" s="148"/>
      <c r="CP11" s="148"/>
    </row>
    <row r="12" spans="1:94" s="149" customFormat="1" x14ac:dyDescent="0.25">
      <c r="A12" s="139"/>
      <c r="B12" s="139"/>
      <c r="C12" s="443" t="s">
        <v>29</v>
      </c>
      <c r="D12" s="444"/>
      <c r="E12" s="217">
        <v>3</v>
      </c>
      <c r="F12" s="288">
        <f>[0]!TACA000100col_TOTAL_ELECT_PCN_FTI</f>
        <v>0</v>
      </c>
      <c r="G12" s="218">
        <f>[0]!TACA000100col_FTI_SALARY_ELECT</f>
        <v>0</v>
      </c>
      <c r="H12" s="218">
        <f>[0]!TACA000100col_HEALTH_ELECT</f>
        <v>0</v>
      </c>
      <c r="I12" s="218">
        <f>[0]!TACA000100col_TOT_VB_ELECT</f>
        <v>0</v>
      </c>
      <c r="J12" s="219">
        <f>SUM(G12:I12)</f>
        <v>0</v>
      </c>
      <c r="K12" s="268"/>
      <c r="L12" s="218">
        <f>[0]!TACA000100col_HEALTH_ELECT_CHG</f>
        <v>0</v>
      </c>
      <c r="M12" s="218">
        <f>[0]!TACA000100col_TOT_VB_ELECT_CHG</f>
        <v>0</v>
      </c>
      <c r="N12" s="219">
        <f>SUM(L12:M12)</f>
        <v>0</v>
      </c>
      <c r="O12"/>
      <c r="P12"/>
      <c r="Q12"/>
      <c r="R12"/>
      <c r="S12"/>
      <c r="T12"/>
      <c r="U12"/>
      <c r="V12"/>
      <c r="W12"/>
      <c r="X12"/>
      <c r="Y12"/>
      <c r="Z12" s="344"/>
      <c r="AA12" s="336"/>
      <c r="AB12" s="336"/>
      <c r="AC12" s="336"/>
      <c r="AD12" s="328"/>
      <c r="AE12" s="148"/>
      <c r="AF12" s="148"/>
      <c r="AG12" s="148"/>
      <c r="AH12" s="148"/>
      <c r="AI12" s="148"/>
      <c r="AJ12" s="148"/>
      <c r="AK12" s="148"/>
      <c r="AL12" s="148"/>
      <c r="AM12" s="148"/>
      <c r="AN12" s="148"/>
      <c r="AO12" s="148"/>
      <c r="AP12" s="148"/>
      <c r="AQ12" s="148"/>
      <c r="AR12" s="148"/>
      <c r="AS12" s="148"/>
      <c r="AT12" s="148"/>
      <c r="AU12" s="148"/>
      <c r="AV12" s="148"/>
      <c r="AW12" s="148"/>
      <c r="AX12" s="148"/>
      <c r="AY12" s="148"/>
      <c r="AZ12" s="148"/>
      <c r="BA12" s="148"/>
      <c r="BB12" s="148"/>
      <c r="BC12" s="148"/>
      <c r="BD12" s="148"/>
      <c r="BE12" s="148"/>
      <c r="BF12" s="148"/>
      <c r="BG12" s="148"/>
      <c r="BH12" s="148"/>
      <c r="BI12" s="148"/>
      <c r="BJ12" s="148"/>
      <c r="BK12" s="148"/>
      <c r="BL12" s="148"/>
      <c r="BM12" s="148"/>
      <c r="BN12" s="148"/>
      <c r="BO12" s="148"/>
      <c r="BP12" s="148"/>
      <c r="BQ12" s="148"/>
      <c r="BR12" s="148"/>
      <c r="BS12" s="148"/>
      <c r="BT12" s="148"/>
      <c r="BU12" s="148"/>
      <c r="BV12" s="148"/>
      <c r="BW12" s="148"/>
      <c r="BX12" s="148"/>
      <c r="BY12" s="148"/>
      <c r="BZ12" s="148"/>
      <c r="CA12" s="148"/>
      <c r="CB12" s="148"/>
      <c r="CC12" s="148"/>
      <c r="CD12" s="148"/>
      <c r="CE12" s="148"/>
      <c r="CF12" s="148"/>
      <c r="CG12" s="148"/>
      <c r="CH12" s="148"/>
      <c r="CI12" s="148"/>
      <c r="CJ12" s="148"/>
      <c r="CK12" s="148"/>
      <c r="CL12" s="148"/>
      <c r="CM12" s="148"/>
      <c r="CN12" s="148"/>
      <c r="CO12" s="148"/>
      <c r="CP12" s="148"/>
    </row>
    <row r="13" spans="1:94" s="153" customFormat="1" x14ac:dyDescent="0.25">
      <c r="A13" s="139"/>
      <c r="B13" s="139"/>
      <c r="C13" s="443" t="s">
        <v>30</v>
      </c>
      <c r="D13" s="466"/>
      <c r="E13" s="217"/>
      <c r="F13" s="220">
        <f>SUM(F10:F12)</f>
        <v>85.899999999999991</v>
      </c>
      <c r="G13" s="221">
        <f>SUM(G10:G12)</f>
        <v>4201464.4700000007</v>
      </c>
      <c r="H13" s="221">
        <f>SUM(H10:H12)</f>
        <v>1003647.5</v>
      </c>
      <c r="I13" s="221">
        <f>SUM(I10:I12)</f>
        <v>891814.03669519979</v>
      </c>
      <c r="J13" s="219">
        <f>SUM(G13:I13)</f>
        <v>6096926.0066952007</v>
      </c>
      <c r="K13" s="268"/>
      <c r="L13" s="219">
        <f>SUM(L10:L12)</f>
        <v>0</v>
      </c>
      <c r="M13" s="219">
        <f>SUM(M10:M12)</f>
        <v>-19995.650688000005</v>
      </c>
      <c r="N13" s="219">
        <f>SUM(N10:N12)</f>
        <v>-19995.650688000005</v>
      </c>
      <c r="O13"/>
      <c r="P13"/>
      <c r="Q13"/>
      <c r="R13"/>
      <c r="S13"/>
      <c r="T13"/>
      <c r="U13"/>
      <c r="V13"/>
      <c r="W13"/>
      <c r="X13"/>
      <c r="Y13"/>
      <c r="Z13" s="344"/>
      <c r="AA13" s="336"/>
      <c r="AB13" s="336"/>
      <c r="AC13" s="336"/>
      <c r="AD13" s="329"/>
      <c r="AE13" s="147"/>
      <c r="AF13" s="147"/>
      <c r="AG13" s="147"/>
      <c r="AH13" s="147"/>
      <c r="AI13" s="147"/>
      <c r="AJ13" s="147"/>
      <c r="AK13" s="147"/>
      <c r="AL13" s="147"/>
      <c r="AM13" s="147"/>
      <c r="AN13" s="147"/>
      <c r="AO13" s="147"/>
      <c r="AP13" s="147"/>
      <c r="AQ13" s="147"/>
      <c r="AR13" s="147"/>
      <c r="AS13" s="147"/>
      <c r="AT13" s="147"/>
      <c r="AU13" s="147"/>
      <c r="AV13" s="147"/>
      <c r="AW13" s="147"/>
      <c r="AX13" s="147"/>
      <c r="AY13" s="147"/>
      <c r="AZ13" s="147"/>
      <c r="BA13" s="147"/>
      <c r="BB13" s="147"/>
      <c r="BC13" s="147"/>
      <c r="BD13" s="147"/>
      <c r="BE13" s="147"/>
      <c r="BF13" s="147"/>
      <c r="BG13" s="147"/>
      <c r="BH13" s="147"/>
      <c r="BI13" s="147"/>
      <c r="BJ13" s="147"/>
      <c r="BK13" s="147"/>
      <c r="BL13" s="147"/>
      <c r="BM13" s="147"/>
      <c r="BN13" s="147"/>
      <c r="BO13" s="147"/>
      <c r="BP13" s="147"/>
      <c r="BQ13" s="147"/>
      <c r="BR13" s="147"/>
      <c r="BS13" s="147"/>
      <c r="BT13" s="147"/>
      <c r="BU13" s="147"/>
      <c r="BV13" s="147"/>
      <c r="BW13" s="147"/>
      <c r="BX13" s="147"/>
      <c r="BY13" s="147"/>
      <c r="BZ13" s="147"/>
      <c r="CA13" s="147"/>
      <c r="CB13" s="147"/>
      <c r="CC13" s="147"/>
      <c r="CD13" s="147"/>
      <c r="CE13" s="147"/>
      <c r="CF13" s="147"/>
      <c r="CG13" s="147"/>
      <c r="CH13" s="147"/>
      <c r="CI13" s="147"/>
      <c r="CJ13" s="147"/>
      <c r="CK13" s="147"/>
      <c r="CL13" s="147"/>
      <c r="CM13" s="147"/>
      <c r="CN13" s="147"/>
      <c r="CO13" s="147"/>
      <c r="CP13" s="147"/>
    </row>
    <row r="14" spans="1:94" s="153" customFormat="1" ht="5.45" customHeight="1" x14ac:dyDescent="0.25">
      <c r="A14" s="139"/>
      <c r="B14" s="139"/>
      <c r="C14" s="364"/>
      <c r="D14" s="370"/>
      <c r="E14" s="217"/>
      <c r="F14" s="220"/>
      <c r="G14" s="219"/>
      <c r="H14" s="219"/>
      <c r="I14" s="219"/>
      <c r="J14" s="219"/>
      <c r="K14" s="268"/>
      <c r="L14" s="219"/>
      <c r="M14" s="222"/>
      <c r="N14" s="222"/>
      <c r="O14"/>
      <c r="P14"/>
      <c r="Q14"/>
      <c r="R14"/>
      <c r="S14"/>
      <c r="T14"/>
      <c r="U14"/>
      <c r="V14"/>
      <c r="W14"/>
      <c r="X14"/>
      <c r="Y14"/>
      <c r="Z14" s="344"/>
      <c r="AA14" s="336"/>
      <c r="AB14" s="336"/>
      <c r="AC14" s="336"/>
      <c r="AD14" s="329"/>
      <c r="AE14" s="147"/>
      <c r="AF14" s="147"/>
      <c r="AG14" s="147"/>
      <c r="AH14" s="147"/>
      <c r="AI14" s="147"/>
      <c r="AJ14" s="147"/>
      <c r="AK14" s="147"/>
      <c r="AL14" s="147"/>
      <c r="AM14" s="147"/>
      <c r="AN14" s="147"/>
      <c r="AO14" s="147"/>
      <c r="AP14" s="147"/>
      <c r="AQ14" s="147"/>
      <c r="AR14" s="147"/>
      <c r="AS14" s="147"/>
      <c r="AT14" s="147"/>
      <c r="AU14" s="147"/>
      <c r="AV14" s="147"/>
      <c r="AW14" s="147"/>
      <c r="AX14" s="147"/>
      <c r="AY14" s="147"/>
      <c r="AZ14" s="147"/>
      <c r="BA14" s="147"/>
      <c r="BB14" s="147"/>
      <c r="BC14" s="147"/>
      <c r="BD14" s="147"/>
      <c r="BE14" s="147"/>
      <c r="BF14" s="147"/>
      <c r="BG14" s="147"/>
      <c r="BH14" s="147"/>
      <c r="BI14" s="147"/>
      <c r="BJ14" s="147"/>
      <c r="BK14" s="147"/>
      <c r="BL14" s="147"/>
      <c r="BM14" s="147"/>
      <c r="BN14" s="147"/>
      <c r="BO14" s="147"/>
      <c r="BP14" s="147"/>
      <c r="BQ14" s="147"/>
      <c r="BR14" s="147"/>
      <c r="BS14" s="147"/>
      <c r="BT14" s="147"/>
      <c r="BU14" s="147"/>
      <c r="BV14" s="147"/>
      <c r="BW14" s="147"/>
      <c r="BX14" s="147"/>
      <c r="BY14" s="147"/>
      <c r="BZ14" s="147"/>
      <c r="CA14" s="147"/>
      <c r="CB14" s="147"/>
      <c r="CC14" s="147"/>
      <c r="CD14" s="147"/>
      <c r="CE14" s="147"/>
      <c r="CF14" s="147"/>
      <c r="CG14" s="147"/>
      <c r="CH14" s="147"/>
      <c r="CI14" s="147"/>
      <c r="CJ14" s="147"/>
      <c r="CK14" s="147"/>
      <c r="CL14" s="147"/>
      <c r="CM14" s="147"/>
      <c r="CN14" s="147"/>
      <c r="CO14" s="147"/>
      <c r="CP14" s="147"/>
    </row>
    <row r="15" spans="1:94" s="153" customFormat="1" ht="15.75" customHeight="1" x14ac:dyDescent="0.25">
      <c r="A15" s="139"/>
      <c r="B15" s="156"/>
      <c r="C15" s="157" t="str">
        <f>"FY "&amp;'TACA|0001-00'!FiscalYear-1</f>
        <v>FY 2022</v>
      </c>
      <c r="D15" s="158" t="s">
        <v>31</v>
      </c>
      <c r="E15" s="354">
        <v>6859700</v>
      </c>
      <c r="F15" s="55">
        <v>109</v>
      </c>
      <c r="G15" s="223">
        <f>IF(OrigApprop=0,0,(G13/$J$13)*OrigApprop)</f>
        <v>4727101.1314898878</v>
      </c>
      <c r="H15" s="223">
        <f>IF(OrigApprop=0,0,(H13/$J$13)*OrigApprop)</f>
        <v>1129211.7943025222</v>
      </c>
      <c r="I15" s="223">
        <f>IF(G15=0,0,(I13/$J$13)*OrigApprop)</f>
        <v>1003387.07420759</v>
      </c>
      <c r="J15" s="223">
        <f>SUM(G15:I15)</f>
        <v>6859700</v>
      </c>
      <c r="K15" s="268"/>
      <c r="L15" s="224"/>
      <c r="M15" s="224"/>
      <c r="N15" s="224"/>
      <c r="O15"/>
      <c r="P15"/>
      <c r="Q15"/>
      <c r="R15"/>
      <c r="S15"/>
      <c r="T15"/>
      <c r="U15"/>
      <c r="V15"/>
      <c r="W15"/>
      <c r="X15"/>
      <c r="Y15"/>
      <c r="Z15" s="344"/>
      <c r="AA15" s="336"/>
      <c r="AB15" s="336"/>
      <c r="AC15" s="336"/>
      <c r="AD15" s="329"/>
      <c r="AE15" s="147"/>
      <c r="AF15" s="147"/>
      <c r="AG15" s="147"/>
      <c r="AH15" s="147"/>
      <c r="AI15" s="147"/>
      <c r="AJ15" s="147"/>
      <c r="AK15" s="147"/>
      <c r="AL15" s="147"/>
      <c r="AM15" s="147"/>
      <c r="AN15" s="147"/>
      <c r="AO15" s="147"/>
      <c r="AP15" s="147"/>
      <c r="AQ15" s="147"/>
      <c r="AR15" s="147"/>
      <c r="AS15" s="147"/>
      <c r="AT15" s="147"/>
      <c r="AU15" s="147"/>
      <c r="AV15" s="147"/>
      <c r="AW15" s="147"/>
      <c r="AX15" s="147"/>
      <c r="AY15" s="147"/>
      <c r="AZ15" s="147"/>
      <c r="BA15" s="147"/>
      <c r="BB15" s="147"/>
      <c r="BC15" s="147"/>
      <c r="BD15" s="147"/>
      <c r="BE15" s="147"/>
      <c r="BF15" s="147"/>
      <c r="BG15" s="147"/>
      <c r="BH15" s="147"/>
      <c r="BI15" s="147"/>
      <c r="BJ15" s="147"/>
      <c r="BK15" s="147"/>
      <c r="BL15" s="147"/>
      <c r="BM15" s="147"/>
      <c r="BN15" s="147"/>
      <c r="BO15" s="147"/>
      <c r="BP15" s="147"/>
      <c r="BQ15" s="147"/>
      <c r="BR15" s="147"/>
      <c r="BS15" s="147"/>
      <c r="BT15" s="147"/>
      <c r="BU15" s="147"/>
      <c r="BV15" s="147"/>
      <c r="BW15" s="147"/>
      <c r="BX15" s="147"/>
      <c r="BY15" s="147"/>
      <c r="BZ15" s="147"/>
      <c r="CA15" s="147"/>
      <c r="CB15" s="147"/>
      <c r="CC15" s="147"/>
      <c r="CD15" s="147"/>
      <c r="CE15" s="147"/>
      <c r="CF15" s="147"/>
      <c r="CG15" s="147"/>
      <c r="CH15" s="147"/>
      <c r="CI15" s="147"/>
      <c r="CJ15" s="147"/>
      <c r="CK15" s="147"/>
      <c r="CL15" s="147"/>
      <c r="CM15" s="147"/>
      <c r="CN15" s="147"/>
      <c r="CO15" s="147"/>
      <c r="CP15" s="147"/>
    </row>
    <row r="16" spans="1:94" s="153" customFormat="1" ht="15.75" customHeight="1" x14ac:dyDescent="0.25">
      <c r="A16" s="139"/>
      <c r="B16" s="139"/>
      <c r="C16" s="453" t="s">
        <v>32</v>
      </c>
      <c r="D16" s="454"/>
      <c r="E16" s="160" t="s">
        <v>33</v>
      </c>
      <c r="F16" s="161">
        <f>F15-F13</f>
        <v>23.100000000000009</v>
      </c>
      <c r="G16" s="162">
        <f>G15-G13</f>
        <v>525636.66148988716</v>
      </c>
      <c r="H16" s="162">
        <f>H15-H13</f>
        <v>125564.2943025222</v>
      </c>
      <c r="I16" s="162">
        <f>I15-I13</f>
        <v>111573.03751239018</v>
      </c>
      <c r="J16" s="162">
        <f>J15-J13</f>
        <v>762773.99330479931</v>
      </c>
      <c r="K16" s="269"/>
      <c r="L16" s="56" t="str">
        <f>IF('TACA|0001-00'!OrigApprop=0,"ERROR! Enter Original Appropriation amount in DU 3.00!","Calculated "&amp;IF('TACA|0001-00'!AdjustedTotal&gt;0,"overfunding ","underfunding ")&amp;"is "&amp;TEXT('TACA|0001-00'!AdjustedTotal/'TACA|0001-00'!AppropTotal,"#.0%;(#.0% );0% ;")&amp;" of Original Appropriation")</f>
        <v>Calculated overfunding is 11.1% of Original Appropriation</v>
      </c>
      <c r="M16" s="163"/>
      <c r="N16" s="164"/>
      <c r="O16"/>
      <c r="P16"/>
      <c r="Q16"/>
      <c r="R16"/>
      <c r="S16"/>
      <c r="T16"/>
      <c r="U16"/>
      <c r="V16"/>
      <c r="W16"/>
      <c r="X16"/>
      <c r="Y16"/>
      <c r="Z16" s="344"/>
      <c r="AA16" s="336"/>
      <c r="AB16" s="336"/>
      <c r="AC16" s="336"/>
      <c r="AD16" s="329"/>
      <c r="AE16" s="147"/>
      <c r="AF16" s="147"/>
      <c r="AG16" s="147"/>
      <c r="AH16" s="147"/>
      <c r="AI16" s="147"/>
      <c r="AJ16" s="147"/>
      <c r="AK16" s="147"/>
      <c r="AL16" s="147"/>
      <c r="AM16" s="147"/>
      <c r="AN16" s="147"/>
      <c r="AO16" s="147"/>
      <c r="AP16" s="147"/>
      <c r="AQ16" s="147"/>
      <c r="AR16" s="147"/>
      <c r="AS16" s="147"/>
      <c r="AT16" s="147"/>
      <c r="AU16" s="147"/>
      <c r="AV16" s="147"/>
      <c r="AW16" s="147"/>
      <c r="AX16" s="147"/>
      <c r="AY16" s="147"/>
      <c r="AZ16" s="147"/>
      <c r="BA16" s="147"/>
      <c r="BB16" s="147"/>
      <c r="BC16" s="147"/>
      <c r="BD16" s="147"/>
      <c r="BE16" s="147"/>
      <c r="BF16" s="147"/>
      <c r="BG16" s="147"/>
      <c r="BH16" s="147"/>
      <c r="BI16" s="147"/>
      <c r="BJ16" s="147"/>
      <c r="BK16" s="147"/>
      <c r="BL16" s="147"/>
      <c r="BM16" s="147"/>
      <c r="BN16" s="147"/>
      <c r="BO16" s="147"/>
      <c r="BP16" s="147"/>
      <c r="BQ16" s="147"/>
      <c r="BR16" s="147"/>
      <c r="BS16" s="147"/>
      <c r="BT16" s="147"/>
      <c r="BU16" s="147"/>
      <c r="BV16" s="147"/>
      <c r="BW16" s="147"/>
      <c r="BX16" s="147"/>
      <c r="BY16" s="147"/>
      <c r="BZ16" s="147"/>
      <c r="CA16" s="147"/>
      <c r="CB16" s="147"/>
      <c r="CC16" s="147"/>
      <c r="CD16" s="147"/>
      <c r="CE16" s="147"/>
      <c r="CF16" s="147"/>
      <c r="CG16" s="147"/>
      <c r="CH16" s="147"/>
      <c r="CI16" s="147"/>
      <c r="CJ16" s="147"/>
      <c r="CK16" s="147"/>
      <c r="CL16" s="147"/>
      <c r="CM16" s="147"/>
      <c r="CN16" s="147"/>
      <c r="CO16" s="147"/>
      <c r="CP16" s="147"/>
    </row>
    <row r="17" spans="1:94" s="153" customFormat="1" x14ac:dyDescent="0.25">
      <c r="A17" s="139"/>
      <c r="B17" s="139"/>
      <c r="C17" s="455" t="s">
        <v>34</v>
      </c>
      <c r="D17" s="456"/>
      <c r="E17" s="147"/>
      <c r="F17" s="258"/>
      <c r="G17" s="147"/>
      <c r="H17" s="166"/>
      <c r="I17" s="167"/>
      <c r="J17" s="166"/>
      <c r="K17" s="166"/>
      <c r="L17" s="166"/>
      <c r="M17" s="166"/>
      <c r="N17" s="166"/>
      <c r="O17"/>
      <c r="P17"/>
      <c r="Q17"/>
      <c r="R17"/>
      <c r="S17"/>
      <c r="T17"/>
      <c r="U17"/>
      <c r="V17"/>
      <c r="W17"/>
      <c r="X17"/>
      <c r="Y17"/>
      <c r="Z17" s="344"/>
      <c r="AA17" s="336"/>
      <c r="AB17" s="336"/>
      <c r="AC17" s="336"/>
      <c r="AD17" s="329"/>
      <c r="AE17" s="147"/>
      <c r="AF17" s="147"/>
      <c r="AG17" s="147"/>
      <c r="AH17" s="147"/>
      <c r="AI17" s="147"/>
      <c r="AJ17" s="147"/>
      <c r="AK17" s="147"/>
      <c r="AL17" s="147"/>
      <c r="AM17" s="147"/>
      <c r="AN17" s="147"/>
      <c r="AO17" s="147"/>
      <c r="AP17" s="147"/>
      <c r="AQ17" s="147"/>
      <c r="AR17" s="147"/>
      <c r="AS17" s="147"/>
      <c r="AT17" s="147"/>
      <c r="AU17" s="147"/>
      <c r="AV17" s="147"/>
      <c r="AW17" s="147"/>
      <c r="AX17" s="147"/>
      <c r="AY17" s="147"/>
      <c r="AZ17" s="147"/>
      <c r="BA17" s="147"/>
      <c r="BB17" s="147"/>
      <c r="BC17" s="147"/>
      <c r="BD17" s="147"/>
      <c r="BE17" s="147"/>
      <c r="BF17" s="147"/>
      <c r="BG17" s="147"/>
      <c r="BH17" s="147"/>
      <c r="BI17" s="147"/>
      <c r="BJ17" s="147"/>
      <c r="BK17" s="147"/>
      <c r="BL17" s="147"/>
      <c r="BM17" s="147"/>
      <c r="BN17" s="147"/>
      <c r="BO17" s="147"/>
      <c r="BP17" s="147"/>
      <c r="BQ17" s="147"/>
      <c r="BR17" s="147"/>
      <c r="BS17" s="147"/>
      <c r="BT17" s="147"/>
      <c r="BU17" s="147"/>
      <c r="BV17" s="147"/>
      <c r="BW17" s="147"/>
      <c r="BX17" s="147"/>
      <c r="BY17" s="147"/>
      <c r="BZ17" s="147"/>
      <c r="CA17" s="147"/>
      <c r="CB17" s="147"/>
      <c r="CC17" s="147"/>
      <c r="CD17" s="147"/>
      <c r="CE17" s="147"/>
      <c r="CF17" s="147"/>
      <c r="CG17" s="147"/>
      <c r="CH17" s="147"/>
      <c r="CI17" s="147"/>
      <c r="CJ17" s="147"/>
      <c r="CK17" s="147"/>
      <c r="CL17" s="147"/>
      <c r="CM17" s="147"/>
      <c r="CN17" s="147"/>
      <c r="CO17" s="147"/>
      <c r="CP17" s="147"/>
    </row>
    <row r="18" spans="1:94" s="153" customFormat="1" ht="26.25" customHeight="1" x14ac:dyDescent="0.25">
      <c r="A18" s="139"/>
      <c r="B18" s="168"/>
      <c r="C18" s="457" t="s">
        <v>35</v>
      </c>
      <c r="D18" s="458"/>
      <c r="E18" s="150"/>
      <c r="F18" s="165"/>
      <c r="G18" s="166"/>
      <c r="H18" s="169"/>
      <c r="I18" s="166"/>
      <c r="J18" s="166"/>
      <c r="K18" s="166"/>
      <c r="L18" s="166"/>
      <c r="M18" s="166"/>
      <c r="N18" s="166"/>
      <c r="O18"/>
      <c r="P18"/>
      <c r="Q18"/>
      <c r="R18"/>
      <c r="S18"/>
      <c r="T18"/>
      <c r="U18"/>
      <c r="V18"/>
      <c r="W18"/>
      <c r="X18"/>
      <c r="Y18"/>
      <c r="Z18" s="344"/>
      <c r="AA18" s="336"/>
      <c r="AB18" s="336"/>
      <c r="AC18" s="336"/>
      <c r="AD18" s="329"/>
      <c r="AE18" s="147"/>
      <c r="AF18" s="147"/>
      <c r="AG18" s="147"/>
      <c r="AH18" s="147"/>
      <c r="AI18" s="147"/>
      <c r="AJ18" s="147"/>
      <c r="AK18" s="147"/>
      <c r="AL18" s="147"/>
      <c r="AM18" s="147"/>
      <c r="AN18" s="147"/>
      <c r="AO18" s="147"/>
      <c r="AP18" s="147"/>
      <c r="AQ18" s="147"/>
      <c r="AR18" s="147"/>
      <c r="AS18" s="147"/>
      <c r="AT18" s="147"/>
      <c r="AU18" s="147"/>
      <c r="AV18" s="147"/>
      <c r="AW18" s="147"/>
      <c r="AX18" s="147"/>
      <c r="AY18" s="147"/>
      <c r="AZ18" s="147"/>
      <c r="BA18" s="147"/>
      <c r="BB18" s="147"/>
      <c r="BC18" s="147"/>
      <c r="BD18" s="147"/>
      <c r="BE18" s="147"/>
      <c r="BF18" s="147"/>
      <c r="BG18" s="147"/>
      <c r="BH18" s="147"/>
      <c r="BI18" s="147"/>
      <c r="BJ18" s="147"/>
      <c r="BK18" s="147"/>
      <c r="BL18" s="147"/>
      <c r="BM18" s="147"/>
      <c r="BN18" s="147"/>
      <c r="BO18" s="147"/>
      <c r="BP18" s="147"/>
      <c r="BQ18" s="147"/>
      <c r="BR18" s="147"/>
      <c r="BS18" s="147"/>
      <c r="BT18" s="147"/>
      <c r="BU18" s="147"/>
      <c r="BV18" s="147"/>
      <c r="BW18" s="147"/>
      <c r="BX18" s="147"/>
      <c r="BY18" s="147"/>
      <c r="BZ18" s="147"/>
      <c r="CA18" s="147"/>
      <c r="CB18" s="147"/>
      <c r="CC18" s="147"/>
      <c r="CD18" s="147"/>
      <c r="CE18" s="147"/>
      <c r="CF18" s="147"/>
      <c r="CG18" s="147"/>
      <c r="CH18" s="147"/>
      <c r="CI18" s="147"/>
      <c r="CJ18" s="147"/>
      <c r="CK18" s="147"/>
      <c r="CL18" s="147"/>
    </row>
    <row r="19" spans="1:94" s="153" customFormat="1" ht="25.5" x14ac:dyDescent="0.25">
      <c r="A19" s="238"/>
      <c r="B19" s="202"/>
      <c r="C19" s="239" t="s">
        <v>86</v>
      </c>
      <c r="D19" s="240" t="s">
        <v>87</v>
      </c>
      <c r="E19" s="241"/>
      <c r="F19" s="165"/>
      <c r="G19" s="166"/>
      <c r="H19" s="169"/>
      <c r="I19" s="170"/>
      <c r="J19" s="166"/>
      <c r="K19" s="166"/>
      <c r="L19" s="169"/>
      <c r="M19" s="166"/>
      <c r="N19" s="166"/>
      <c r="O19"/>
      <c r="P19"/>
      <c r="Q19"/>
      <c r="R19"/>
      <c r="S19"/>
      <c r="T19"/>
      <c r="U19"/>
      <c r="V19"/>
      <c r="W19"/>
      <c r="X19"/>
      <c r="Y19"/>
      <c r="Z19" s="344"/>
      <c r="AA19" s="363"/>
      <c r="AB19" s="363"/>
      <c r="AC19" s="363"/>
      <c r="AD19" s="329"/>
      <c r="AE19" s="147"/>
      <c r="AF19" s="147"/>
      <c r="AG19" s="147"/>
      <c r="AH19" s="147"/>
      <c r="AI19" s="147"/>
      <c r="AJ19" s="147"/>
      <c r="AK19" s="147"/>
      <c r="AL19" s="147"/>
      <c r="AM19" s="147"/>
      <c r="AN19" s="147"/>
      <c r="AO19" s="147"/>
      <c r="AP19" s="147"/>
      <c r="AQ19" s="147"/>
      <c r="AR19" s="147"/>
      <c r="AS19" s="147"/>
      <c r="AT19" s="147"/>
      <c r="AU19" s="147"/>
      <c r="AV19" s="147"/>
      <c r="AW19" s="147"/>
      <c r="AX19" s="147"/>
      <c r="AY19" s="147"/>
      <c r="AZ19" s="147"/>
      <c r="BA19" s="147"/>
      <c r="BB19" s="147"/>
      <c r="BC19" s="147"/>
      <c r="BD19" s="147"/>
      <c r="BE19" s="147"/>
      <c r="BF19" s="147"/>
      <c r="BG19" s="147"/>
      <c r="BH19" s="147"/>
      <c r="BI19" s="147"/>
      <c r="BJ19" s="147"/>
      <c r="BK19" s="147"/>
      <c r="BL19" s="147"/>
      <c r="BM19" s="147"/>
      <c r="BN19" s="147"/>
      <c r="BO19" s="147"/>
      <c r="BP19" s="147"/>
      <c r="BQ19" s="147"/>
      <c r="BR19" s="147"/>
      <c r="BS19" s="147"/>
      <c r="BT19" s="147"/>
      <c r="BU19" s="147"/>
      <c r="BV19" s="147"/>
      <c r="BW19" s="147"/>
      <c r="BX19" s="147"/>
      <c r="BY19" s="147"/>
      <c r="BZ19" s="147"/>
      <c r="CA19" s="147"/>
      <c r="CB19" s="147"/>
      <c r="CC19" s="147"/>
      <c r="CD19" s="147"/>
      <c r="CE19" s="147"/>
      <c r="CF19" s="147"/>
      <c r="CG19" s="147"/>
      <c r="CH19" s="147"/>
      <c r="CI19" s="147"/>
      <c r="CJ19" s="147"/>
      <c r="CK19" s="147"/>
      <c r="CL19" s="147"/>
      <c r="CM19" s="147"/>
      <c r="CN19" s="147"/>
      <c r="CO19" s="147"/>
      <c r="CP19" s="147"/>
    </row>
    <row r="20" spans="1:94" s="177" customFormat="1" ht="15" x14ac:dyDescent="0.25">
      <c r="A20" s="171"/>
      <c r="B20" s="172"/>
      <c r="C20" s="244"/>
      <c r="D20" s="242"/>
      <c r="E20" s="173"/>
      <c r="F20" s="174">
        <v>0</v>
      </c>
      <c r="G20" s="175">
        <v>0</v>
      </c>
      <c r="H20" s="176">
        <f t="shared" ref="H20:H30" si="0">IF(AND($F20&lt;&gt;0,$G20&lt;&gt;0,OR($E20=1,$E20=3)),$F20*Health,0)</f>
        <v>0</v>
      </c>
      <c r="I20" s="176">
        <f t="shared" ref="I20:I30" si="1">IF(AND($E20=1,$C20=""),$G20*PermVB+$G20*Retire1,IF($E20=1,$G20*PermVB+$G20*VLOOKUP($C20,Retirement_Rates,3,FALSE),IF($E20=2,$G20*GroupVB,IF(AND($E20=3,$C20=""),$G20*ElectVB+$G20*Retire1,IF($E20=3,$G20*ElectVB+$G20*VLOOKUP($C20,Retirement_Rates,3,FALSE),0)))))</f>
        <v>0</v>
      </c>
      <c r="J20" s="159">
        <f>IF($E20&gt;0,SUM($G20:$I20),0)</f>
        <v>0</v>
      </c>
      <c r="K20" s="166"/>
      <c r="L20" s="176">
        <f t="shared" ref="L20:L30" si="2">IF(AND($F20&lt;&gt;0,$G20&lt;&gt;0,OR($E20=1,$E20=3)),$F20*HealthCHG,0)</f>
        <v>0</v>
      </c>
      <c r="M20" s="176">
        <f>IF(AND($E20=1,$C20=""),$G20*PermVBCHG+$G20*Retire1CHG,IF($E20=1,$G20*PermVBCHG+$G20*VLOOKUP($C20,Retirement_Rates,5,FALSE),IF($E20=2,0,IF(AND($E20=3,$C20=""),$G20*ElectVBCHG+$G20*Retire1CHG,IF($E20=3,$G20*ElectVBCHG+$G20*VLOOKUP($C20,Retirement_Rates,5,FALSE),0)))))</f>
        <v>0</v>
      </c>
      <c r="N20" s="176">
        <f>SUM(L20:M20)</f>
        <v>0</v>
      </c>
      <c r="O20"/>
      <c r="P20"/>
      <c r="Q20"/>
      <c r="R20"/>
      <c r="S20"/>
      <c r="T20"/>
      <c r="U20"/>
      <c r="V20"/>
      <c r="W20"/>
      <c r="X20"/>
      <c r="Y20"/>
      <c r="Z20" s="344"/>
      <c r="AA20" s="363"/>
      <c r="AB20" s="363"/>
      <c r="AC20" s="363"/>
      <c r="AD20" s="329"/>
      <c r="AE20" s="147"/>
      <c r="AF20" s="147"/>
      <c r="AG20" s="147"/>
      <c r="AH20" s="147"/>
      <c r="AI20" s="147"/>
      <c r="AJ20" s="147"/>
      <c r="AK20" s="147"/>
      <c r="AL20" s="147"/>
      <c r="AM20" s="147"/>
      <c r="AN20" s="147"/>
      <c r="AO20" s="147"/>
      <c r="AP20" s="147"/>
      <c r="AQ20" s="147"/>
      <c r="AR20" s="147"/>
      <c r="AS20" s="147"/>
      <c r="AT20" s="147"/>
      <c r="AU20" s="147"/>
      <c r="AV20" s="147"/>
      <c r="AW20" s="147"/>
      <c r="AX20" s="147"/>
      <c r="AY20" s="147"/>
      <c r="AZ20" s="147"/>
      <c r="BA20" s="147"/>
      <c r="BB20" s="147"/>
      <c r="BC20" s="147"/>
      <c r="BD20" s="147"/>
      <c r="BE20" s="147"/>
      <c r="BF20" s="147"/>
      <c r="BG20" s="147"/>
      <c r="BH20" s="147"/>
      <c r="BI20" s="147"/>
      <c r="BJ20" s="147"/>
      <c r="BK20" s="147"/>
      <c r="BL20" s="147"/>
      <c r="BM20" s="147"/>
      <c r="BN20" s="147"/>
      <c r="BO20" s="147"/>
      <c r="BP20" s="147"/>
      <c r="BQ20" s="147"/>
      <c r="BR20" s="147"/>
      <c r="BS20" s="147"/>
      <c r="BT20" s="147"/>
      <c r="BU20" s="147"/>
      <c r="BV20" s="147"/>
      <c r="BW20" s="147"/>
      <c r="BX20" s="147"/>
      <c r="BY20" s="147"/>
      <c r="BZ20" s="147"/>
      <c r="CA20" s="147"/>
      <c r="CB20" s="147"/>
      <c r="CC20" s="147"/>
      <c r="CD20" s="147"/>
      <c r="CE20" s="147"/>
      <c r="CF20" s="147"/>
      <c r="CG20" s="147"/>
      <c r="CH20" s="147"/>
      <c r="CI20" s="147"/>
      <c r="CJ20" s="147"/>
      <c r="CK20" s="147"/>
      <c r="CL20" s="147"/>
      <c r="CM20" s="147"/>
      <c r="CN20" s="147"/>
      <c r="CO20" s="147"/>
      <c r="CP20" s="147"/>
    </row>
    <row r="21" spans="1:94" s="177" customFormat="1" ht="15" x14ac:dyDescent="0.25">
      <c r="A21" s="178"/>
      <c r="B21" s="179"/>
      <c r="C21" s="244"/>
      <c r="D21" s="242"/>
      <c r="E21" s="180"/>
      <c r="F21" s="181">
        <v>0</v>
      </c>
      <c r="G21" s="175">
        <v>0</v>
      </c>
      <c r="H21" s="176">
        <f t="shared" si="0"/>
        <v>0</v>
      </c>
      <c r="I21" s="176">
        <f t="shared" si="1"/>
        <v>0</v>
      </c>
      <c r="J21" s="159">
        <f t="shared" ref="J21:J35" si="3">IF($E21&gt;0,SUM($G21:$I21),0)</f>
        <v>0</v>
      </c>
      <c r="K21" s="166"/>
      <c r="L21" s="176">
        <f t="shared" si="2"/>
        <v>0</v>
      </c>
      <c r="M21" s="176">
        <f t="shared" ref="M21:M30" si="4">IF(AND($E21=1,$C21=""),$G21*PermVBCHG+$G21*Retire1CHG,IF($E21=1,$G21*PermVBCHG+$G21*VLOOKUP($C21,Retirement_Rates,5,FALSE),IF($E21=2,0,IF(AND($E21=3,$C21=""),$G21*ElectVBCHG+$G21*Retire1CHG,IF($E21=3,$G21*ElectVBCHG+$G21*VLOOKUP($C21,Retirement_Rates,5,FALSE),0)))))</f>
        <v>0</v>
      </c>
      <c r="N21" s="183">
        <f t="shared" ref="N21:N30" si="5">SUM(L21:M21)</f>
        <v>0</v>
      </c>
      <c r="O21"/>
      <c r="P21"/>
      <c r="Q21"/>
      <c r="R21"/>
      <c r="S21"/>
      <c r="T21"/>
      <c r="U21"/>
      <c r="V21"/>
      <c r="W21"/>
      <c r="X21"/>
      <c r="Y21"/>
      <c r="Z21" s="344"/>
      <c r="AA21" s="363"/>
      <c r="AB21" s="363"/>
      <c r="AC21" s="363"/>
      <c r="AD21" s="329"/>
      <c r="AE21" s="147"/>
      <c r="AF21" s="147"/>
      <c r="AG21" s="147"/>
      <c r="AH21" s="147"/>
      <c r="AI21" s="147"/>
      <c r="AJ21" s="147"/>
      <c r="AK21" s="147"/>
      <c r="AL21" s="147"/>
      <c r="AM21" s="147"/>
      <c r="AN21" s="147"/>
      <c r="AO21" s="147"/>
      <c r="AP21" s="147"/>
      <c r="AQ21" s="147"/>
      <c r="AR21" s="147"/>
      <c r="AS21" s="147"/>
      <c r="AT21" s="147"/>
      <c r="AU21" s="147"/>
      <c r="AV21" s="147"/>
      <c r="AW21" s="147"/>
      <c r="AX21" s="147"/>
      <c r="AY21" s="147"/>
      <c r="AZ21" s="147"/>
      <c r="BA21" s="147"/>
      <c r="BB21" s="147"/>
      <c r="BC21" s="147"/>
      <c r="BD21" s="147"/>
      <c r="BE21" s="147"/>
      <c r="BF21" s="147"/>
      <c r="BG21" s="147"/>
      <c r="BH21" s="147"/>
      <c r="BI21" s="147"/>
      <c r="BJ21" s="147"/>
      <c r="BK21" s="147"/>
      <c r="BL21" s="147"/>
      <c r="BM21" s="147"/>
      <c r="BN21" s="147"/>
      <c r="BO21" s="147"/>
      <c r="BP21" s="147"/>
      <c r="BQ21" s="147"/>
      <c r="BR21" s="147"/>
      <c r="BS21" s="147"/>
      <c r="BT21" s="147"/>
      <c r="BU21" s="147"/>
      <c r="BV21" s="147"/>
      <c r="BW21" s="147"/>
      <c r="BX21" s="147"/>
      <c r="BY21" s="147"/>
      <c r="BZ21" s="147"/>
      <c r="CA21" s="147"/>
      <c r="CB21" s="147"/>
      <c r="CC21" s="147"/>
      <c r="CD21" s="147"/>
      <c r="CE21" s="147"/>
      <c r="CF21" s="147"/>
      <c r="CG21" s="147"/>
      <c r="CH21" s="147"/>
      <c r="CI21" s="147"/>
      <c r="CJ21" s="147"/>
      <c r="CK21" s="147"/>
      <c r="CL21" s="147"/>
      <c r="CM21" s="147"/>
      <c r="CN21" s="147"/>
      <c r="CO21" s="147"/>
      <c r="CP21" s="147"/>
    </row>
    <row r="22" spans="1:94" s="177" customFormat="1" ht="15" x14ac:dyDescent="0.25">
      <c r="A22" s="178"/>
      <c r="B22" s="179"/>
      <c r="C22" s="244"/>
      <c r="D22" s="242"/>
      <c r="E22" s="180"/>
      <c r="F22" s="181">
        <v>0</v>
      </c>
      <c r="G22" s="175">
        <v>0</v>
      </c>
      <c r="H22" s="176">
        <f t="shared" si="0"/>
        <v>0</v>
      </c>
      <c r="I22" s="176">
        <f t="shared" si="1"/>
        <v>0</v>
      </c>
      <c r="J22" s="159">
        <f t="shared" si="3"/>
        <v>0</v>
      </c>
      <c r="K22" s="166"/>
      <c r="L22" s="176">
        <f t="shared" si="2"/>
        <v>0</v>
      </c>
      <c r="M22" s="176">
        <f t="shared" si="4"/>
        <v>0</v>
      </c>
      <c r="N22" s="183">
        <f t="shared" si="5"/>
        <v>0</v>
      </c>
      <c r="O22"/>
      <c r="P22"/>
      <c r="Q22"/>
      <c r="R22"/>
      <c r="S22"/>
      <c r="T22"/>
      <c r="U22"/>
      <c r="V22"/>
      <c r="W22"/>
      <c r="X22"/>
      <c r="Y22"/>
      <c r="Z22" s="344"/>
      <c r="AA22" s="363"/>
      <c r="AB22" s="363"/>
      <c r="AC22" s="363"/>
      <c r="AD22" s="329"/>
      <c r="AE22" s="147"/>
      <c r="AF22" s="147"/>
      <c r="AG22" s="147"/>
      <c r="AH22" s="147"/>
      <c r="AI22" s="147"/>
      <c r="AJ22" s="147"/>
      <c r="AK22" s="147"/>
      <c r="AL22" s="147"/>
      <c r="AM22" s="147"/>
      <c r="AN22" s="147"/>
      <c r="AO22" s="147"/>
      <c r="AP22" s="147"/>
      <c r="AQ22" s="147"/>
      <c r="AR22" s="147"/>
      <c r="AS22" s="147"/>
      <c r="AT22" s="147"/>
      <c r="AU22" s="147"/>
      <c r="AV22" s="147"/>
      <c r="AW22" s="147"/>
      <c r="AX22" s="147"/>
      <c r="AY22" s="147"/>
      <c r="AZ22" s="147"/>
      <c r="BA22" s="147"/>
      <c r="BB22" s="147"/>
      <c r="BC22" s="147"/>
      <c r="BD22" s="147"/>
      <c r="BE22" s="147"/>
      <c r="BF22" s="147"/>
      <c r="BG22" s="147"/>
      <c r="BH22" s="147"/>
      <c r="BI22" s="147"/>
      <c r="BJ22" s="147"/>
      <c r="BK22" s="147"/>
      <c r="BL22" s="147"/>
      <c r="BM22" s="147"/>
      <c r="BN22" s="147"/>
      <c r="BO22" s="147"/>
      <c r="BP22" s="147"/>
      <c r="BQ22" s="147"/>
      <c r="BR22" s="147"/>
      <c r="BS22" s="147"/>
      <c r="BT22" s="147"/>
      <c r="BU22" s="147"/>
      <c r="BV22" s="147"/>
      <c r="BW22" s="147"/>
      <c r="BX22" s="147"/>
      <c r="BY22" s="147"/>
      <c r="BZ22" s="147"/>
      <c r="CA22" s="147"/>
      <c r="CB22" s="147"/>
      <c r="CC22" s="147"/>
      <c r="CD22" s="147"/>
      <c r="CE22" s="147"/>
      <c r="CF22" s="147"/>
      <c r="CG22" s="147"/>
      <c r="CH22" s="147"/>
      <c r="CI22" s="147"/>
      <c r="CJ22" s="147"/>
      <c r="CK22" s="147"/>
      <c r="CL22" s="147"/>
      <c r="CM22" s="147"/>
      <c r="CN22" s="147"/>
      <c r="CO22" s="147"/>
      <c r="CP22" s="147"/>
    </row>
    <row r="23" spans="1:94" s="177" customFormat="1" ht="15" x14ac:dyDescent="0.25">
      <c r="A23" s="178"/>
      <c r="B23" s="179"/>
      <c r="C23" s="244"/>
      <c r="D23" s="242"/>
      <c r="E23" s="180"/>
      <c r="F23" s="181">
        <v>0</v>
      </c>
      <c r="G23" s="175">
        <v>0</v>
      </c>
      <c r="H23" s="176">
        <f t="shared" si="0"/>
        <v>0</v>
      </c>
      <c r="I23" s="176">
        <f t="shared" si="1"/>
        <v>0</v>
      </c>
      <c r="J23" s="159">
        <f t="shared" si="3"/>
        <v>0</v>
      </c>
      <c r="K23" s="166"/>
      <c r="L23" s="176">
        <f t="shared" si="2"/>
        <v>0</v>
      </c>
      <c r="M23" s="176">
        <f t="shared" si="4"/>
        <v>0</v>
      </c>
      <c r="N23" s="183">
        <f t="shared" si="5"/>
        <v>0</v>
      </c>
      <c r="O23"/>
      <c r="P23"/>
      <c r="Q23"/>
      <c r="R23"/>
      <c r="S23"/>
      <c r="T23"/>
      <c r="U23"/>
      <c r="V23"/>
      <c r="W23"/>
      <c r="X23"/>
      <c r="Y23"/>
      <c r="Z23" s="344"/>
      <c r="AA23" s="363"/>
      <c r="AB23" s="363"/>
      <c r="AC23" s="363"/>
      <c r="AD23" s="329"/>
      <c r="AE23" s="147"/>
      <c r="AF23" s="147"/>
      <c r="AG23" s="147"/>
      <c r="AH23" s="147"/>
      <c r="AI23" s="147"/>
      <c r="AJ23" s="147"/>
      <c r="AK23" s="147"/>
      <c r="AL23" s="147"/>
      <c r="AM23" s="147"/>
      <c r="AN23" s="147"/>
      <c r="AO23" s="147"/>
      <c r="AP23" s="147"/>
      <c r="AQ23" s="147"/>
      <c r="AR23" s="147"/>
      <c r="AS23" s="147"/>
      <c r="AT23" s="147"/>
      <c r="AU23" s="147"/>
      <c r="AV23" s="147"/>
      <c r="AW23" s="147"/>
      <c r="AX23" s="147"/>
      <c r="AY23" s="147"/>
      <c r="AZ23" s="147"/>
      <c r="BA23" s="147"/>
      <c r="BB23" s="147"/>
      <c r="BC23" s="147"/>
      <c r="BD23" s="147"/>
      <c r="BE23" s="147"/>
      <c r="BF23" s="147"/>
      <c r="BG23" s="147"/>
      <c r="BH23" s="147"/>
      <c r="BI23" s="147"/>
      <c r="BJ23" s="147"/>
      <c r="BK23" s="147"/>
      <c r="BL23" s="147"/>
      <c r="BM23" s="147"/>
      <c r="BN23" s="147"/>
      <c r="BO23" s="147"/>
      <c r="BP23" s="147"/>
      <c r="BQ23" s="147"/>
      <c r="BR23" s="147"/>
      <c r="BS23" s="147"/>
      <c r="BT23" s="147"/>
      <c r="BU23" s="147"/>
      <c r="BV23" s="147"/>
      <c r="BW23" s="147"/>
      <c r="BX23" s="147"/>
      <c r="BY23" s="147"/>
      <c r="BZ23" s="147"/>
      <c r="CA23" s="147"/>
      <c r="CB23" s="147"/>
      <c r="CC23" s="147"/>
      <c r="CD23" s="147"/>
      <c r="CE23" s="147"/>
      <c r="CF23" s="147"/>
      <c r="CG23" s="147"/>
      <c r="CH23" s="147"/>
      <c r="CI23" s="147"/>
      <c r="CJ23" s="147"/>
      <c r="CK23" s="147"/>
      <c r="CL23" s="147"/>
      <c r="CM23" s="147"/>
      <c r="CN23" s="147"/>
      <c r="CO23" s="147"/>
      <c r="CP23" s="147"/>
    </row>
    <row r="24" spans="1:94" s="177" customFormat="1" ht="15" x14ac:dyDescent="0.25">
      <c r="A24" s="178"/>
      <c r="B24" s="179"/>
      <c r="C24" s="244"/>
      <c r="D24" s="242"/>
      <c r="E24" s="180"/>
      <c r="F24" s="181">
        <v>0</v>
      </c>
      <c r="G24" s="175">
        <v>0</v>
      </c>
      <c r="H24" s="176">
        <f t="shared" si="0"/>
        <v>0</v>
      </c>
      <c r="I24" s="176">
        <f t="shared" si="1"/>
        <v>0</v>
      </c>
      <c r="J24" s="159">
        <f t="shared" si="3"/>
        <v>0</v>
      </c>
      <c r="K24" s="166"/>
      <c r="L24" s="176">
        <f t="shared" si="2"/>
        <v>0</v>
      </c>
      <c r="M24" s="176">
        <f t="shared" si="4"/>
        <v>0</v>
      </c>
      <c r="N24" s="183">
        <f t="shared" si="5"/>
        <v>0</v>
      </c>
      <c r="O24"/>
      <c r="P24"/>
      <c r="Q24"/>
      <c r="R24"/>
      <c r="S24"/>
      <c r="T24"/>
      <c r="U24"/>
      <c r="V24"/>
      <c r="W24"/>
      <c r="X24"/>
      <c r="Y24"/>
      <c r="Z24" s="344"/>
      <c r="AA24" s="345"/>
      <c r="AB24" s="363"/>
      <c r="AC24" s="363"/>
      <c r="AD24" s="329"/>
      <c r="AE24" s="147"/>
      <c r="AF24" s="147"/>
      <c r="AG24" s="147"/>
      <c r="AH24" s="147"/>
      <c r="AI24" s="147"/>
      <c r="AJ24" s="147"/>
      <c r="AK24" s="147"/>
      <c r="AL24" s="147"/>
      <c r="AM24" s="147"/>
      <c r="AN24" s="147"/>
      <c r="AO24" s="147"/>
      <c r="AP24" s="147"/>
      <c r="AQ24" s="147"/>
      <c r="AR24" s="147"/>
      <c r="AS24" s="147"/>
      <c r="AT24" s="147"/>
      <c r="AU24" s="147"/>
      <c r="AV24" s="147"/>
      <c r="AW24" s="147"/>
      <c r="AX24" s="147"/>
      <c r="AY24" s="147"/>
      <c r="AZ24" s="147"/>
      <c r="BA24" s="147"/>
      <c r="BB24" s="147"/>
      <c r="BC24" s="147"/>
      <c r="BD24" s="147"/>
      <c r="BE24" s="147"/>
      <c r="BF24" s="147"/>
      <c r="BG24" s="147"/>
      <c r="BH24" s="147"/>
      <c r="BI24" s="147"/>
      <c r="BJ24" s="147"/>
      <c r="BK24" s="147"/>
      <c r="BL24" s="147"/>
      <c r="BM24" s="147"/>
      <c r="BN24" s="147"/>
      <c r="BO24" s="147"/>
      <c r="BP24" s="147"/>
      <c r="BQ24" s="147"/>
      <c r="BR24" s="147"/>
      <c r="BS24" s="147"/>
      <c r="BT24" s="147"/>
      <c r="BU24" s="147"/>
      <c r="BV24" s="147"/>
      <c r="BW24" s="147"/>
      <c r="BX24" s="147"/>
      <c r="BY24" s="147"/>
      <c r="BZ24" s="147"/>
      <c r="CA24" s="147"/>
      <c r="CB24" s="147"/>
      <c r="CC24" s="147"/>
      <c r="CD24" s="147"/>
      <c r="CE24" s="147"/>
      <c r="CF24" s="147"/>
      <c r="CG24" s="147"/>
      <c r="CH24" s="147"/>
      <c r="CI24" s="147"/>
      <c r="CJ24" s="147"/>
      <c r="CK24" s="147"/>
      <c r="CL24" s="147"/>
      <c r="CM24" s="147"/>
      <c r="CN24" s="147"/>
      <c r="CO24" s="147"/>
      <c r="CP24" s="147"/>
    </row>
    <row r="25" spans="1:94" s="177" customFormat="1" ht="15" x14ac:dyDescent="0.25">
      <c r="A25" s="178"/>
      <c r="B25" s="179"/>
      <c r="C25" s="244"/>
      <c r="D25" s="242"/>
      <c r="E25" s="180"/>
      <c r="F25" s="181">
        <v>0</v>
      </c>
      <c r="G25" s="182">
        <v>0</v>
      </c>
      <c r="H25" s="176">
        <f t="shared" si="0"/>
        <v>0</v>
      </c>
      <c r="I25" s="176">
        <f t="shared" si="1"/>
        <v>0</v>
      </c>
      <c r="J25" s="159">
        <f t="shared" si="3"/>
        <v>0</v>
      </c>
      <c r="K25" s="166"/>
      <c r="L25" s="176">
        <f t="shared" si="2"/>
        <v>0</v>
      </c>
      <c r="M25" s="176">
        <f t="shared" si="4"/>
        <v>0</v>
      </c>
      <c r="N25" s="183">
        <f t="shared" si="5"/>
        <v>0</v>
      </c>
      <c r="O25"/>
      <c r="P25"/>
      <c r="Q25"/>
      <c r="R25"/>
      <c r="S25"/>
      <c r="T25"/>
      <c r="U25"/>
      <c r="V25"/>
      <c r="W25"/>
      <c r="X25"/>
      <c r="Y25"/>
      <c r="Z25" s="344"/>
      <c r="AA25" s="345"/>
      <c r="AB25" s="363"/>
      <c r="AC25" s="363"/>
      <c r="AD25" s="329"/>
      <c r="AE25" s="147"/>
      <c r="AF25" s="147"/>
      <c r="AG25" s="147"/>
      <c r="AH25" s="147"/>
      <c r="AI25" s="147"/>
      <c r="AJ25" s="147"/>
      <c r="AK25" s="147"/>
      <c r="AL25" s="147"/>
      <c r="AM25" s="147"/>
      <c r="AN25" s="147"/>
      <c r="AO25" s="147"/>
      <c r="AP25" s="147"/>
      <c r="AQ25" s="147"/>
      <c r="AR25" s="147"/>
      <c r="AS25" s="147"/>
      <c r="AT25" s="147"/>
      <c r="AU25" s="147"/>
      <c r="AV25" s="147"/>
      <c r="AW25" s="147"/>
      <c r="AX25" s="147"/>
      <c r="AY25" s="147"/>
      <c r="AZ25" s="147"/>
      <c r="BA25" s="147"/>
      <c r="BB25" s="147"/>
      <c r="BC25" s="147"/>
      <c r="BD25" s="147"/>
      <c r="BE25" s="147"/>
      <c r="BF25" s="147"/>
      <c r="BG25" s="147"/>
      <c r="BH25" s="147"/>
      <c r="BI25" s="147"/>
      <c r="BJ25" s="147"/>
      <c r="BK25" s="147"/>
      <c r="BL25" s="147"/>
      <c r="BM25" s="147"/>
      <c r="BN25" s="147"/>
      <c r="BO25" s="147"/>
      <c r="BP25" s="147"/>
      <c r="BQ25" s="147"/>
      <c r="BR25" s="147"/>
      <c r="BS25" s="147"/>
      <c r="BT25" s="147"/>
      <c r="BU25" s="147"/>
      <c r="BV25" s="147"/>
      <c r="BW25" s="147"/>
      <c r="BX25" s="147"/>
      <c r="BY25" s="147"/>
      <c r="BZ25" s="147"/>
      <c r="CA25" s="147"/>
      <c r="CB25" s="147"/>
      <c r="CC25" s="147"/>
      <c r="CD25" s="147"/>
      <c r="CE25" s="147"/>
      <c r="CF25" s="147"/>
      <c r="CG25" s="147"/>
      <c r="CH25" s="147"/>
      <c r="CI25" s="147"/>
      <c r="CJ25" s="147"/>
      <c r="CK25" s="147"/>
      <c r="CL25" s="147"/>
      <c r="CM25" s="147"/>
      <c r="CN25" s="147"/>
      <c r="CO25" s="147"/>
      <c r="CP25" s="147"/>
    </row>
    <row r="26" spans="1:94" s="177" customFormat="1" ht="15" x14ac:dyDescent="0.25">
      <c r="A26" s="178"/>
      <c r="B26" s="179"/>
      <c r="C26" s="244"/>
      <c r="D26" s="242"/>
      <c r="E26" s="180"/>
      <c r="F26" s="181">
        <v>0</v>
      </c>
      <c r="G26" s="182">
        <v>0</v>
      </c>
      <c r="H26" s="176">
        <f t="shared" si="0"/>
        <v>0</v>
      </c>
      <c r="I26" s="176">
        <f t="shared" si="1"/>
        <v>0</v>
      </c>
      <c r="J26" s="159">
        <f t="shared" si="3"/>
        <v>0</v>
      </c>
      <c r="K26" s="166"/>
      <c r="L26" s="176">
        <f t="shared" si="2"/>
        <v>0</v>
      </c>
      <c r="M26" s="176">
        <f t="shared" si="4"/>
        <v>0</v>
      </c>
      <c r="N26" s="183">
        <f t="shared" si="5"/>
        <v>0</v>
      </c>
      <c r="O26"/>
      <c r="P26"/>
      <c r="Q26"/>
      <c r="R26"/>
      <c r="S26"/>
      <c r="T26"/>
      <c r="U26"/>
      <c r="V26"/>
      <c r="W26"/>
      <c r="X26"/>
      <c r="Y26"/>
      <c r="Z26" s="344"/>
      <c r="AA26" s="345"/>
      <c r="AB26" s="363"/>
      <c r="AC26" s="363"/>
      <c r="AD26" s="329"/>
      <c r="AE26" s="147"/>
      <c r="AF26" s="147"/>
      <c r="AG26" s="147"/>
      <c r="AH26" s="147"/>
      <c r="AI26" s="147"/>
      <c r="AJ26" s="147"/>
      <c r="AK26" s="147"/>
      <c r="AL26" s="147"/>
      <c r="AM26" s="147"/>
      <c r="AN26" s="147"/>
      <c r="AO26" s="147"/>
      <c r="AP26" s="147"/>
      <c r="AQ26" s="147"/>
      <c r="AR26" s="147"/>
      <c r="AS26" s="147"/>
      <c r="AT26" s="147"/>
      <c r="AU26" s="147"/>
      <c r="AV26" s="147"/>
      <c r="AW26" s="147"/>
      <c r="AX26" s="147"/>
      <c r="AY26" s="147"/>
      <c r="AZ26" s="147"/>
      <c r="BA26" s="147"/>
      <c r="BB26" s="147"/>
      <c r="BC26" s="147"/>
      <c r="BD26" s="147"/>
      <c r="BE26" s="147"/>
      <c r="BF26" s="147"/>
      <c r="BG26" s="147"/>
      <c r="BH26" s="147"/>
      <c r="BI26" s="147"/>
      <c r="BJ26" s="147"/>
      <c r="BK26" s="147"/>
      <c r="BL26" s="147"/>
      <c r="BM26" s="147"/>
      <c r="BN26" s="147"/>
      <c r="BO26" s="147"/>
      <c r="BP26" s="147"/>
      <c r="BQ26" s="147"/>
      <c r="BR26" s="147"/>
      <c r="BS26" s="147"/>
      <c r="BT26" s="147"/>
      <c r="BU26" s="147"/>
      <c r="BV26" s="147"/>
      <c r="BW26" s="147"/>
      <c r="BX26" s="147"/>
      <c r="BY26" s="147"/>
      <c r="BZ26" s="147"/>
      <c r="CA26" s="147"/>
      <c r="CB26" s="147"/>
      <c r="CC26" s="147"/>
      <c r="CD26" s="147"/>
      <c r="CE26" s="147"/>
      <c r="CF26" s="147"/>
      <c r="CG26" s="147"/>
      <c r="CH26" s="147"/>
      <c r="CI26" s="147"/>
      <c r="CJ26" s="147"/>
      <c r="CK26" s="147"/>
      <c r="CL26" s="147"/>
      <c r="CM26" s="147"/>
      <c r="CN26" s="147"/>
      <c r="CO26" s="147"/>
      <c r="CP26" s="147"/>
    </row>
    <row r="27" spans="1:94" s="177" customFormat="1" ht="15" x14ac:dyDescent="0.25">
      <c r="A27" s="178"/>
      <c r="B27" s="179"/>
      <c r="C27" s="244"/>
      <c r="D27" s="242"/>
      <c r="E27" s="180"/>
      <c r="F27" s="181">
        <v>0</v>
      </c>
      <c r="G27" s="182">
        <v>0</v>
      </c>
      <c r="H27" s="176">
        <f t="shared" si="0"/>
        <v>0</v>
      </c>
      <c r="I27" s="176">
        <f t="shared" si="1"/>
        <v>0</v>
      </c>
      <c r="J27" s="159">
        <f t="shared" si="3"/>
        <v>0</v>
      </c>
      <c r="K27" s="166"/>
      <c r="L27" s="176">
        <f t="shared" si="2"/>
        <v>0</v>
      </c>
      <c r="M27" s="176">
        <f t="shared" si="4"/>
        <v>0</v>
      </c>
      <c r="N27" s="183">
        <f t="shared" si="5"/>
        <v>0</v>
      </c>
      <c r="O27"/>
      <c r="P27"/>
      <c r="Q27"/>
      <c r="R27"/>
      <c r="S27"/>
      <c r="T27"/>
      <c r="U27"/>
      <c r="V27"/>
      <c r="W27"/>
      <c r="X27"/>
      <c r="Y27"/>
      <c r="Z27" s="344"/>
      <c r="AA27" s="363"/>
      <c r="AB27" s="363"/>
      <c r="AC27" s="363"/>
      <c r="AD27" s="329"/>
      <c r="AE27" s="147"/>
      <c r="AF27" s="147"/>
      <c r="AG27" s="147"/>
      <c r="AH27" s="147"/>
      <c r="AI27" s="147"/>
      <c r="AJ27" s="147"/>
      <c r="AK27" s="147"/>
      <c r="AL27" s="147"/>
      <c r="AM27" s="147"/>
      <c r="AN27" s="147"/>
      <c r="AO27" s="147"/>
      <c r="AP27" s="147"/>
      <c r="AQ27" s="147"/>
      <c r="AR27" s="147"/>
      <c r="AS27" s="147"/>
      <c r="AT27" s="147"/>
      <c r="AU27" s="147"/>
      <c r="AV27" s="147"/>
      <c r="AW27" s="147"/>
      <c r="AX27" s="147"/>
      <c r="AY27" s="147"/>
      <c r="AZ27" s="147"/>
      <c r="BA27" s="147"/>
      <c r="BB27" s="147"/>
      <c r="BC27" s="147"/>
      <c r="BD27" s="147"/>
      <c r="BE27" s="147"/>
      <c r="BF27" s="147"/>
      <c r="BG27" s="147"/>
      <c r="BH27" s="147"/>
      <c r="BI27" s="147"/>
      <c r="BJ27" s="147"/>
      <c r="BK27" s="147"/>
      <c r="BL27" s="147"/>
      <c r="BM27" s="147"/>
      <c r="BN27" s="147"/>
      <c r="BO27" s="147"/>
      <c r="BP27" s="147"/>
      <c r="BQ27" s="147"/>
      <c r="BR27" s="147"/>
      <c r="BS27" s="147"/>
      <c r="BT27" s="147"/>
      <c r="BU27" s="147"/>
      <c r="BV27" s="147"/>
      <c r="BW27" s="147"/>
      <c r="BX27" s="147"/>
      <c r="BY27" s="147"/>
      <c r="BZ27" s="147"/>
      <c r="CA27" s="147"/>
      <c r="CB27" s="147"/>
      <c r="CC27" s="147"/>
      <c r="CD27" s="147"/>
      <c r="CE27" s="147"/>
      <c r="CF27" s="147"/>
      <c r="CG27" s="147"/>
      <c r="CH27" s="147"/>
      <c r="CI27" s="147"/>
      <c r="CJ27" s="147"/>
      <c r="CK27" s="147"/>
      <c r="CL27" s="147"/>
      <c r="CM27" s="147"/>
      <c r="CN27" s="147"/>
      <c r="CO27" s="147"/>
      <c r="CP27" s="147"/>
    </row>
    <row r="28" spans="1:94" s="177" customFormat="1" ht="15" x14ac:dyDescent="0.25">
      <c r="A28" s="178"/>
      <c r="B28" s="179"/>
      <c r="C28" s="244"/>
      <c r="D28" s="242"/>
      <c r="E28" s="180"/>
      <c r="F28" s="181">
        <v>0</v>
      </c>
      <c r="G28" s="182">
        <v>0</v>
      </c>
      <c r="H28" s="176">
        <f t="shared" si="0"/>
        <v>0</v>
      </c>
      <c r="I28" s="176">
        <f t="shared" si="1"/>
        <v>0</v>
      </c>
      <c r="J28" s="159">
        <f t="shared" si="3"/>
        <v>0</v>
      </c>
      <c r="K28" s="166"/>
      <c r="L28" s="176">
        <f t="shared" si="2"/>
        <v>0</v>
      </c>
      <c r="M28" s="176">
        <f t="shared" si="4"/>
        <v>0</v>
      </c>
      <c r="N28" s="183">
        <f t="shared" si="5"/>
        <v>0</v>
      </c>
      <c r="O28"/>
      <c r="P28"/>
      <c r="Q28"/>
      <c r="R28"/>
      <c r="S28"/>
      <c r="T28"/>
      <c r="U28"/>
      <c r="V28"/>
      <c r="W28"/>
      <c r="X28"/>
      <c r="Y28"/>
      <c r="Z28" s="344"/>
      <c r="AA28" s="363"/>
      <c r="AB28" s="363"/>
      <c r="AC28" s="363"/>
      <c r="AD28" s="329"/>
      <c r="AE28" s="147"/>
      <c r="AF28" s="147"/>
      <c r="AG28" s="147"/>
      <c r="AH28" s="147"/>
      <c r="AI28" s="147"/>
      <c r="AJ28" s="147"/>
      <c r="AK28" s="147"/>
      <c r="AL28" s="147"/>
      <c r="AM28" s="147"/>
      <c r="AN28" s="147"/>
      <c r="AO28" s="147"/>
      <c r="AP28" s="147"/>
      <c r="AQ28" s="147"/>
      <c r="AR28" s="147"/>
      <c r="AS28" s="147"/>
      <c r="AT28" s="147"/>
      <c r="AU28" s="147"/>
      <c r="AV28" s="147"/>
      <c r="AW28" s="147"/>
      <c r="AX28" s="147"/>
      <c r="AY28" s="147"/>
      <c r="AZ28" s="147"/>
      <c r="BA28" s="147"/>
      <c r="BB28" s="147"/>
      <c r="BC28" s="147"/>
      <c r="BD28" s="147"/>
      <c r="BE28" s="147"/>
      <c r="BF28" s="147"/>
      <c r="BG28" s="147"/>
      <c r="BH28" s="147"/>
      <c r="BI28" s="147"/>
      <c r="BJ28" s="147"/>
      <c r="BK28" s="147"/>
      <c r="BL28" s="147"/>
      <c r="BM28" s="147"/>
      <c r="BN28" s="147"/>
      <c r="BO28" s="147"/>
      <c r="BP28" s="147"/>
      <c r="BQ28" s="147"/>
      <c r="BR28" s="147"/>
      <c r="BS28" s="147"/>
      <c r="BT28" s="147"/>
      <c r="BU28" s="147"/>
      <c r="BV28" s="147"/>
      <c r="BW28" s="147"/>
      <c r="BX28" s="147"/>
      <c r="BY28" s="147"/>
      <c r="BZ28" s="147"/>
      <c r="CA28" s="147"/>
      <c r="CB28" s="147"/>
      <c r="CC28" s="147"/>
      <c r="CD28" s="147"/>
      <c r="CE28" s="147"/>
      <c r="CF28" s="147"/>
      <c r="CG28" s="147"/>
      <c r="CH28" s="147"/>
      <c r="CI28" s="147"/>
      <c r="CJ28" s="147"/>
      <c r="CK28" s="147"/>
      <c r="CL28" s="147"/>
      <c r="CM28" s="147"/>
      <c r="CN28" s="147"/>
      <c r="CO28" s="147"/>
      <c r="CP28" s="147"/>
    </row>
    <row r="29" spans="1:94" s="177" customFormat="1" ht="15" x14ac:dyDescent="0.25">
      <c r="A29" s="179"/>
      <c r="B29" s="179"/>
      <c r="C29" s="171"/>
      <c r="D29" s="243"/>
      <c r="E29" s="180"/>
      <c r="F29" s="181">
        <v>0</v>
      </c>
      <c r="G29" s="182">
        <v>0</v>
      </c>
      <c r="H29" s="176">
        <f t="shared" si="0"/>
        <v>0</v>
      </c>
      <c r="I29" s="176">
        <f t="shared" si="1"/>
        <v>0</v>
      </c>
      <c r="J29" s="159">
        <f t="shared" si="3"/>
        <v>0</v>
      </c>
      <c r="K29" s="166"/>
      <c r="L29" s="176">
        <f t="shared" si="2"/>
        <v>0</v>
      </c>
      <c r="M29" s="176">
        <f t="shared" si="4"/>
        <v>0</v>
      </c>
      <c r="N29" s="183">
        <f t="shared" si="5"/>
        <v>0</v>
      </c>
      <c r="O29"/>
      <c r="P29"/>
      <c r="Q29"/>
      <c r="R29"/>
      <c r="S29"/>
      <c r="T29"/>
      <c r="U29"/>
      <c r="V29"/>
      <c r="W29"/>
      <c r="X29"/>
      <c r="Y29"/>
      <c r="Z29" s="344"/>
      <c r="AA29" s="363"/>
      <c r="AB29" s="363"/>
      <c r="AC29" s="363"/>
      <c r="AD29" s="329"/>
      <c r="AE29" s="147"/>
      <c r="AF29" s="147"/>
      <c r="AG29" s="147"/>
      <c r="AH29" s="147"/>
      <c r="AI29" s="147"/>
      <c r="AJ29" s="147"/>
      <c r="AK29" s="147"/>
      <c r="AL29" s="147"/>
      <c r="AM29" s="147"/>
      <c r="AN29" s="147"/>
      <c r="AO29" s="147"/>
      <c r="AP29" s="147"/>
      <c r="AQ29" s="147"/>
      <c r="AR29" s="147"/>
      <c r="AS29" s="147"/>
      <c r="AT29" s="147"/>
      <c r="AU29" s="147"/>
      <c r="AV29" s="147"/>
      <c r="AW29" s="147"/>
      <c r="AX29" s="147"/>
      <c r="AY29" s="147"/>
      <c r="AZ29" s="147"/>
      <c r="BA29" s="147"/>
      <c r="BB29" s="147"/>
      <c r="BC29" s="147"/>
      <c r="BD29" s="147"/>
      <c r="BE29" s="147"/>
      <c r="BF29" s="147"/>
      <c r="BG29" s="147"/>
      <c r="BH29" s="147"/>
      <c r="BI29" s="147"/>
      <c r="BJ29" s="147"/>
      <c r="BK29" s="147"/>
      <c r="BL29" s="147"/>
      <c r="BM29" s="147"/>
      <c r="BN29" s="147"/>
      <c r="BO29" s="147"/>
      <c r="BP29" s="147"/>
      <c r="BQ29" s="147"/>
      <c r="BR29" s="147"/>
      <c r="BS29" s="147"/>
      <c r="BT29" s="147"/>
      <c r="BU29" s="147"/>
      <c r="BV29" s="147"/>
      <c r="BW29" s="147"/>
      <c r="BX29" s="147"/>
      <c r="BY29" s="147"/>
      <c r="BZ29" s="147"/>
      <c r="CA29" s="147"/>
      <c r="CB29" s="147"/>
      <c r="CC29" s="147"/>
      <c r="CD29" s="147"/>
      <c r="CE29" s="147"/>
      <c r="CF29" s="147"/>
      <c r="CG29" s="147"/>
      <c r="CH29" s="147"/>
      <c r="CI29" s="147"/>
      <c r="CJ29" s="147"/>
      <c r="CK29" s="147"/>
      <c r="CL29" s="147"/>
      <c r="CM29" s="147"/>
      <c r="CN29" s="147"/>
      <c r="CO29" s="147"/>
      <c r="CP29" s="147"/>
    </row>
    <row r="30" spans="1:94" s="177" customFormat="1" ht="15" x14ac:dyDescent="0.25">
      <c r="A30" s="179"/>
      <c r="B30" s="184"/>
      <c r="C30" s="171"/>
      <c r="D30" s="243"/>
      <c r="E30" s="180"/>
      <c r="F30" s="181">
        <v>0</v>
      </c>
      <c r="G30" s="182">
        <v>0</v>
      </c>
      <c r="H30" s="176">
        <f t="shared" si="0"/>
        <v>0</v>
      </c>
      <c r="I30" s="176">
        <f t="shared" si="1"/>
        <v>0</v>
      </c>
      <c r="J30" s="159">
        <f t="shared" si="3"/>
        <v>0</v>
      </c>
      <c r="K30" s="166"/>
      <c r="L30" s="176">
        <f t="shared" si="2"/>
        <v>0</v>
      </c>
      <c r="M30" s="176">
        <f t="shared" si="4"/>
        <v>0</v>
      </c>
      <c r="N30" s="183">
        <f t="shared" si="5"/>
        <v>0</v>
      </c>
      <c r="O30"/>
      <c r="P30"/>
      <c r="Q30"/>
      <c r="R30"/>
      <c r="S30"/>
      <c r="T30"/>
      <c r="U30"/>
      <c r="V30"/>
      <c r="W30"/>
      <c r="X30"/>
      <c r="Y30"/>
      <c r="Z30" s="344"/>
      <c r="AA30" s="363"/>
      <c r="AB30" s="363"/>
      <c r="AC30" s="363"/>
      <c r="AD30" s="329"/>
      <c r="AE30" s="147"/>
      <c r="AF30" s="147"/>
      <c r="AG30" s="147"/>
      <c r="AH30" s="147"/>
      <c r="AI30" s="147"/>
      <c r="AJ30" s="147"/>
      <c r="AK30" s="147"/>
      <c r="AL30" s="147"/>
      <c r="AM30" s="147"/>
      <c r="AN30" s="147"/>
      <c r="AO30" s="147"/>
      <c r="AP30" s="147"/>
      <c r="AQ30" s="147"/>
      <c r="AR30" s="147"/>
      <c r="AS30" s="147"/>
      <c r="AT30" s="147"/>
      <c r="AU30" s="147"/>
      <c r="AV30" s="147"/>
      <c r="AW30" s="147"/>
      <c r="AX30" s="147"/>
      <c r="AY30" s="147"/>
      <c r="AZ30" s="147"/>
      <c r="BA30" s="147"/>
      <c r="BB30" s="147"/>
      <c r="BC30" s="147"/>
      <c r="BD30" s="147"/>
      <c r="BE30" s="147"/>
      <c r="BF30" s="147"/>
      <c r="BG30" s="147"/>
      <c r="BH30" s="147"/>
      <c r="BI30" s="147"/>
      <c r="BJ30" s="147"/>
      <c r="BK30" s="147"/>
      <c r="BL30" s="147"/>
      <c r="BM30" s="147"/>
      <c r="BN30" s="147"/>
      <c r="BO30" s="147"/>
      <c r="BP30" s="147"/>
      <c r="BQ30" s="147"/>
      <c r="BR30" s="147"/>
      <c r="BS30" s="147"/>
      <c r="BT30" s="147"/>
      <c r="BU30" s="147"/>
      <c r="BV30" s="147"/>
      <c r="BW30" s="147"/>
      <c r="BX30" s="147"/>
      <c r="BY30" s="147"/>
      <c r="BZ30" s="147"/>
      <c r="CA30" s="147"/>
      <c r="CB30" s="147"/>
      <c r="CC30" s="147"/>
      <c r="CD30" s="147"/>
      <c r="CE30" s="147"/>
      <c r="CF30" s="147"/>
      <c r="CG30" s="147"/>
      <c r="CH30" s="147"/>
      <c r="CI30" s="147"/>
      <c r="CJ30" s="147"/>
      <c r="CK30" s="147"/>
      <c r="CL30" s="147"/>
      <c r="CM30" s="147"/>
      <c r="CN30" s="147"/>
      <c r="CO30" s="147"/>
      <c r="CP30" s="147"/>
    </row>
    <row r="31" spans="1:94" s="153" customFormat="1" ht="15" x14ac:dyDescent="0.25">
      <c r="A31" s="139"/>
      <c r="B31" s="168"/>
      <c r="C31" s="245"/>
      <c r="D31" s="246" t="s">
        <v>36</v>
      </c>
      <c r="E31" s="150"/>
      <c r="F31" s="165"/>
      <c r="G31" s="166"/>
      <c r="H31" s="166"/>
      <c r="I31" s="166"/>
      <c r="J31" s="166"/>
      <c r="K31" s="166"/>
      <c r="L31" s="166"/>
      <c r="M31" s="166"/>
      <c r="N31" s="166"/>
      <c r="O31"/>
      <c r="P31"/>
      <c r="Q31"/>
      <c r="R31"/>
      <c r="S31"/>
      <c r="T31"/>
      <c r="U31"/>
      <c r="V31"/>
      <c r="W31"/>
      <c r="X31"/>
      <c r="Y31"/>
      <c r="Z31" s="344"/>
      <c r="AA31" s="363"/>
      <c r="AB31" s="363"/>
      <c r="AC31" s="363"/>
      <c r="AD31" s="329"/>
      <c r="AE31" s="147"/>
      <c r="AF31" s="147"/>
      <c r="AG31" s="147"/>
      <c r="AH31" s="147"/>
      <c r="AI31" s="147"/>
      <c r="AJ31" s="147"/>
      <c r="AK31" s="147"/>
      <c r="AL31" s="147"/>
      <c r="AM31" s="147"/>
      <c r="AN31" s="147"/>
      <c r="AO31" s="147"/>
      <c r="AP31" s="147"/>
      <c r="AQ31" s="147"/>
      <c r="AR31" s="147"/>
      <c r="AS31" s="147"/>
      <c r="AT31" s="147"/>
      <c r="AU31" s="147"/>
      <c r="AV31" s="147"/>
      <c r="AW31" s="147"/>
      <c r="AX31" s="147"/>
      <c r="AY31" s="147"/>
      <c r="AZ31" s="147"/>
      <c r="BA31" s="147"/>
      <c r="BB31" s="147"/>
      <c r="BC31" s="147"/>
      <c r="BD31" s="147"/>
      <c r="BE31" s="147"/>
      <c r="BF31" s="147"/>
      <c r="BG31" s="147"/>
      <c r="BH31" s="147"/>
      <c r="BI31" s="147"/>
      <c r="BJ31" s="147"/>
      <c r="BK31" s="147"/>
      <c r="BL31" s="147"/>
      <c r="BM31" s="147"/>
      <c r="BN31" s="147"/>
      <c r="BO31" s="147"/>
      <c r="BP31" s="147"/>
      <c r="BQ31" s="147"/>
      <c r="BR31" s="147"/>
      <c r="BS31" s="147"/>
      <c r="BT31" s="147"/>
      <c r="BU31" s="147"/>
      <c r="BV31" s="147"/>
      <c r="BW31" s="147"/>
      <c r="BX31" s="147"/>
      <c r="BY31" s="147"/>
      <c r="BZ31" s="147"/>
      <c r="CA31" s="147"/>
      <c r="CB31" s="147"/>
      <c r="CC31" s="147"/>
      <c r="CD31" s="147"/>
      <c r="CE31" s="147"/>
      <c r="CF31" s="147"/>
      <c r="CG31" s="147"/>
      <c r="CH31" s="147"/>
      <c r="CI31" s="147"/>
      <c r="CJ31" s="147"/>
      <c r="CK31" s="147"/>
      <c r="CL31" s="147"/>
      <c r="CM31" s="147"/>
      <c r="CN31" s="147"/>
      <c r="CO31" s="147"/>
      <c r="CP31" s="147"/>
    </row>
    <row r="32" spans="1:94" s="177" customFormat="1" ht="15" x14ac:dyDescent="0.25">
      <c r="A32" s="185"/>
      <c r="B32" s="185"/>
      <c r="C32" s="244"/>
      <c r="D32" s="242"/>
      <c r="E32" s="173"/>
      <c r="F32" s="174">
        <v>0</v>
      </c>
      <c r="G32" s="175">
        <v>0</v>
      </c>
      <c r="H32" s="176">
        <f t="shared" ref="H32:H35" si="6">IF(AND($F32&lt;&gt;0,$G32&lt;&gt;0,OR($E32=1,$E32=3)),$F32*Health,0)</f>
        <v>0</v>
      </c>
      <c r="I32" s="176">
        <f t="shared" ref="I32:I34" si="7">IF(AND($E32=1,$C32=""),$G32*PermVB+$G32*Retire1,IF($E32=1,$G32*PermVB+$G32*VLOOKUP($C32,Retirement_Rates,3,FALSE),IF($E32=2,$G32*GroupVB,IF(AND($E32=3,$C32=""),$G32*ElectVB+$G32*Retire1,IF($E32=3,$G32*ElectVB+$G32*VLOOKUP($C32,Retirement_Rates,3,FALSE),0)))))</f>
        <v>0</v>
      </c>
      <c r="J32" s="279">
        <f t="shared" si="3"/>
        <v>0</v>
      </c>
      <c r="K32" s="166"/>
      <c r="L32" s="176">
        <f t="shared" ref="L32:L35" si="8">IF(AND($F32&lt;&gt;0,$G32&lt;&gt;0,OR($E32=1,$E32=3)),$F32*HealthCHG,0)</f>
        <v>0</v>
      </c>
      <c r="M32" s="176">
        <f t="shared" ref="M32:M35" si="9">IF(AND($E32=1,$C32=""),$G32*PermVBCHG+$G32*Retire1CHG,IF($E32=1,$G32*PermVBCHG+$G32*VLOOKUP($C32,Retirement_Rates,5,FALSE),IF($E32=2,0,IF(AND($E32=3,$C32=""),$G32*ElectVBCHG+$G32*Retire1CHG,IF($E32=3,$G32*ElectVBCHG+$G32*VLOOKUP($C32,Retirement_Rates,5,FALSE),0)))))</f>
        <v>0</v>
      </c>
      <c r="N32" s="176">
        <f t="shared" ref="N32:N35" si="10">SUM(L32:M32)</f>
        <v>0</v>
      </c>
      <c r="O32"/>
      <c r="P32"/>
      <c r="Q32"/>
      <c r="R32"/>
      <c r="S32"/>
      <c r="T32"/>
      <c r="U32"/>
      <c r="V32"/>
      <c r="W32"/>
      <c r="X32"/>
      <c r="Y32"/>
      <c r="Z32" s="344"/>
      <c r="AA32" s="363"/>
      <c r="AB32" s="363"/>
      <c r="AC32" s="363"/>
      <c r="AD32" s="329"/>
      <c r="AE32" s="147"/>
      <c r="AF32" s="147"/>
      <c r="AG32" s="147"/>
      <c r="AH32" s="147"/>
      <c r="AI32" s="147"/>
      <c r="AJ32" s="147"/>
      <c r="AK32" s="147"/>
      <c r="AL32" s="147"/>
      <c r="AM32" s="147"/>
      <c r="AN32" s="147"/>
      <c r="AO32" s="147"/>
      <c r="AP32" s="147"/>
      <c r="AQ32" s="147"/>
      <c r="AR32" s="147"/>
      <c r="AS32" s="147"/>
      <c r="AT32" s="147"/>
      <c r="AU32" s="147"/>
      <c r="AV32" s="147"/>
      <c r="AW32" s="147"/>
      <c r="AX32" s="147"/>
      <c r="AY32" s="147"/>
      <c r="AZ32" s="147"/>
      <c r="BA32" s="147"/>
      <c r="BB32" s="147"/>
      <c r="BC32" s="147"/>
      <c r="BD32" s="147"/>
      <c r="BE32" s="147"/>
      <c r="BF32" s="147"/>
      <c r="BG32" s="147"/>
      <c r="BH32" s="147"/>
      <c r="BI32" s="147"/>
      <c r="BJ32" s="147"/>
      <c r="BK32" s="147"/>
      <c r="BL32" s="147"/>
      <c r="BM32" s="147"/>
      <c r="BN32" s="147"/>
      <c r="BO32" s="147"/>
      <c r="BP32" s="147"/>
      <c r="BQ32" s="147"/>
      <c r="BR32" s="147"/>
      <c r="BS32" s="147"/>
      <c r="BT32" s="147"/>
      <c r="BU32" s="147"/>
      <c r="BV32" s="147"/>
      <c r="BW32" s="147"/>
      <c r="BX32" s="147"/>
      <c r="BY32" s="147"/>
      <c r="BZ32" s="147"/>
      <c r="CA32" s="147"/>
      <c r="CB32" s="147"/>
      <c r="CC32" s="147"/>
      <c r="CD32" s="147"/>
      <c r="CE32" s="147"/>
      <c r="CF32" s="147"/>
      <c r="CG32" s="147"/>
      <c r="CH32" s="147"/>
      <c r="CI32" s="147"/>
      <c r="CJ32" s="147"/>
      <c r="CK32" s="147"/>
      <c r="CL32" s="147"/>
      <c r="CM32" s="147"/>
      <c r="CN32" s="147"/>
      <c r="CO32" s="147"/>
      <c r="CP32" s="147"/>
    </row>
    <row r="33" spans="1:94" s="177" customFormat="1" ht="15" x14ac:dyDescent="0.25">
      <c r="A33" s="186"/>
      <c r="B33" s="187"/>
      <c r="C33" s="244"/>
      <c r="D33" s="242"/>
      <c r="E33" s="180"/>
      <c r="F33" s="181">
        <v>0</v>
      </c>
      <c r="G33" s="182">
        <v>0</v>
      </c>
      <c r="H33" s="176">
        <f t="shared" si="6"/>
        <v>0</v>
      </c>
      <c r="I33" s="176">
        <f t="shared" si="7"/>
        <v>0</v>
      </c>
      <c r="J33" s="279">
        <f t="shared" si="3"/>
        <v>0</v>
      </c>
      <c r="K33" s="166"/>
      <c r="L33" s="176">
        <f t="shared" si="8"/>
        <v>0</v>
      </c>
      <c r="M33" s="176">
        <f t="shared" si="9"/>
        <v>0</v>
      </c>
      <c r="N33" s="183">
        <f t="shared" si="10"/>
        <v>0</v>
      </c>
      <c r="O33"/>
      <c r="P33"/>
      <c r="Q33"/>
      <c r="R33"/>
      <c r="S33"/>
      <c r="T33"/>
      <c r="U33"/>
      <c r="V33"/>
      <c r="W33"/>
      <c r="X33"/>
      <c r="Y33"/>
      <c r="Z33" s="344"/>
      <c r="AA33" s="363"/>
      <c r="AB33" s="363"/>
      <c r="AC33" s="363"/>
      <c r="AD33" s="329"/>
      <c r="AE33" s="147"/>
      <c r="AF33" s="147"/>
      <c r="AG33" s="147"/>
      <c r="AH33" s="147"/>
      <c r="AI33" s="147"/>
      <c r="AJ33" s="147"/>
      <c r="AK33" s="147"/>
      <c r="AL33" s="147"/>
      <c r="AM33" s="147"/>
      <c r="AN33" s="147"/>
      <c r="AO33" s="147"/>
      <c r="AP33" s="147"/>
      <c r="AQ33" s="147"/>
      <c r="AR33" s="147"/>
      <c r="AS33" s="147"/>
      <c r="AT33" s="147"/>
      <c r="AU33" s="147"/>
      <c r="AV33" s="147"/>
      <c r="AW33" s="147"/>
      <c r="AX33" s="147"/>
      <c r="AY33" s="147"/>
      <c r="AZ33" s="147"/>
      <c r="BA33" s="147"/>
      <c r="BB33" s="147"/>
      <c r="BC33" s="147"/>
      <c r="BD33" s="147"/>
      <c r="BE33" s="147"/>
      <c r="BF33" s="147"/>
      <c r="BG33" s="147"/>
      <c r="BH33" s="147"/>
      <c r="BI33" s="147"/>
      <c r="BJ33" s="147"/>
      <c r="BK33" s="147"/>
      <c r="BL33" s="147"/>
      <c r="BM33" s="147"/>
      <c r="BN33" s="147"/>
      <c r="BO33" s="147"/>
      <c r="BP33" s="147"/>
      <c r="BQ33" s="147"/>
      <c r="BR33" s="147"/>
      <c r="BS33" s="147"/>
      <c r="BT33" s="147"/>
      <c r="BU33" s="147"/>
      <c r="BV33" s="147"/>
      <c r="BW33" s="147"/>
      <c r="BX33" s="147"/>
      <c r="BY33" s="147"/>
      <c r="BZ33" s="147"/>
      <c r="CA33" s="147"/>
      <c r="CB33" s="147"/>
      <c r="CC33" s="147"/>
      <c r="CD33" s="147"/>
      <c r="CE33" s="147"/>
      <c r="CF33" s="147"/>
      <c r="CG33" s="147"/>
      <c r="CH33" s="147"/>
      <c r="CI33" s="147"/>
      <c r="CJ33" s="147"/>
      <c r="CK33" s="147"/>
      <c r="CL33" s="147"/>
      <c r="CM33" s="147"/>
      <c r="CN33" s="147"/>
      <c r="CO33" s="147"/>
      <c r="CP33" s="147"/>
    </row>
    <row r="34" spans="1:94" s="177" customFormat="1" ht="15" x14ac:dyDescent="0.25">
      <c r="A34" s="186"/>
      <c r="B34" s="187"/>
      <c r="C34" s="244"/>
      <c r="D34" s="242"/>
      <c r="E34" s="180"/>
      <c r="F34" s="181">
        <v>0</v>
      </c>
      <c r="G34" s="182">
        <v>0</v>
      </c>
      <c r="H34" s="176">
        <f t="shared" si="6"/>
        <v>0</v>
      </c>
      <c r="I34" s="176">
        <f t="shared" si="7"/>
        <v>0</v>
      </c>
      <c r="J34" s="279">
        <f t="shared" si="3"/>
        <v>0</v>
      </c>
      <c r="K34" s="280"/>
      <c r="L34" s="176">
        <f t="shared" si="8"/>
        <v>0</v>
      </c>
      <c r="M34" s="176">
        <f t="shared" si="9"/>
        <v>0</v>
      </c>
      <c r="N34" s="183">
        <f t="shared" si="10"/>
        <v>0</v>
      </c>
      <c r="O34"/>
      <c r="P34"/>
      <c r="Q34"/>
      <c r="R34"/>
      <c r="S34"/>
      <c r="T34"/>
      <c r="U34"/>
      <c r="V34"/>
      <c r="W34"/>
      <c r="X34"/>
      <c r="Y34"/>
      <c r="Z34" s="344"/>
      <c r="AA34" s="363"/>
      <c r="AB34" s="363"/>
      <c r="AC34" s="363"/>
      <c r="AD34" s="329"/>
      <c r="AE34" s="147"/>
      <c r="AF34" s="147"/>
      <c r="AG34" s="147"/>
      <c r="AH34" s="147"/>
      <c r="AI34" s="147"/>
      <c r="AJ34" s="147"/>
      <c r="AK34" s="147"/>
      <c r="AL34" s="147"/>
      <c r="AM34" s="147"/>
      <c r="AN34" s="147"/>
      <c r="AO34" s="147"/>
      <c r="AP34" s="147"/>
      <c r="AQ34" s="147"/>
      <c r="AR34" s="147"/>
      <c r="AS34" s="147"/>
      <c r="AT34" s="147"/>
      <c r="AU34" s="147"/>
      <c r="AV34" s="147"/>
      <c r="AW34" s="147"/>
      <c r="AX34" s="147"/>
      <c r="AY34" s="147"/>
      <c r="AZ34" s="147"/>
      <c r="BA34" s="147"/>
      <c r="BB34" s="147"/>
      <c r="BC34" s="147"/>
      <c r="BD34" s="147"/>
      <c r="BE34" s="147"/>
      <c r="BF34" s="147"/>
      <c r="BG34" s="147"/>
      <c r="BH34" s="147"/>
      <c r="BI34" s="147"/>
      <c r="BJ34" s="147"/>
      <c r="BK34" s="147"/>
      <c r="BL34" s="147"/>
      <c r="BM34" s="147"/>
      <c r="BN34" s="147"/>
      <c r="BO34" s="147"/>
      <c r="BP34" s="147"/>
      <c r="BQ34" s="147"/>
      <c r="BR34" s="147"/>
      <c r="BS34" s="147"/>
      <c r="BT34" s="147"/>
      <c r="BU34" s="147"/>
      <c r="BV34" s="147"/>
      <c r="BW34" s="147"/>
      <c r="BX34" s="147"/>
      <c r="BY34" s="147"/>
      <c r="BZ34" s="147"/>
      <c r="CA34" s="147"/>
      <c r="CB34" s="147"/>
      <c r="CC34" s="147"/>
      <c r="CD34" s="147"/>
      <c r="CE34" s="147"/>
      <c r="CF34" s="147"/>
      <c r="CG34" s="147"/>
      <c r="CH34" s="147"/>
      <c r="CI34" s="147"/>
      <c r="CJ34" s="147"/>
      <c r="CK34" s="147"/>
      <c r="CL34" s="147"/>
      <c r="CM34" s="147"/>
      <c r="CN34" s="147"/>
      <c r="CO34" s="147"/>
      <c r="CP34" s="147"/>
    </row>
    <row r="35" spans="1:94" s="177" customFormat="1" ht="15" x14ac:dyDescent="0.25">
      <c r="A35" s="186"/>
      <c r="B35" s="187"/>
      <c r="C35" s="244"/>
      <c r="D35" s="242"/>
      <c r="E35" s="180"/>
      <c r="F35" s="181">
        <v>0</v>
      </c>
      <c r="G35" s="182">
        <v>0</v>
      </c>
      <c r="H35" s="176">
        <f t="shared" si="6"/>
        <v>0</v>
      </c>
      <c r="I35" s="176">
        <f>IF(AND($E35=1,$C35=""),$G35*(PermVB+Retire1),IF($E35=1,$G35*PermVB+$G35*VLOOKUP($C35,Retirement_Rates,3,FALSE),IF($E35=2,$G35*GroupVB,IF(AND($E35=3,$C35=""),$G35*ElectVB+$G35*Retire1,IF($E35=3,$G35*ElectVB+$G35*VLOOKUP($C35,Retirement_Rates,3,FALSE),0)))))</f>
        <v>0</v>
      </c>
      <c r="J35" s="279">
        <f t="shared" si="3"/>
        <v>0</v>
      </c>
      <c r="K35" s="309"/>
      <c r="L35" s="176">
        <f t="shared" si="8"/>
        <v>0</v>
      </c>
      <c r="M35" s="176">
        <f t="shared" si="9"/>
        <v>0</v>
      </c>
      <c r="N35" s="183">
        <f t="shared" si="10"/>
        <v>0</v>
      </c>
      <c r="O35"/>
      <c r="P35"/>
      <c r="Q35"/>
      <c r="R35"/>
      <c r="S35"/>
      <c r="T35"/>
      <c r="U35"/>
      <c r="V35"/>
      <c r="W35"/>
      <c r="X35"/>
      <c r="Y35"/>
      <c r="Z35" s="344"/>
      <c r="AA35" s="363"/>
      <c r="AB35" s="363"/>
      <c r="AC35" s="363"/>
      <c r="AD35" s="329"/>
      <c r="AE35" s="147"/>
      <c r="AF35" s="147"/>
      <c r="AG35" s="147"/>
      <c r="AH35" s="147"/>
      <c r="AI35" s="147"/>
      <c r="AJ35" s="147"/>
      <c r="AK35" s="147"/>
      <c r="AL35" s="147"/>
      <c r="AM35" s="147"/>
      <c r="AN35" s="147"/>
      <c r="AO35" s="147"/>
      <c r="AP35" s="147"/>
      <c r="AQ35" s="147"/>
      <c r="AR35" s="147"/>
      <c r="AS35" s="147"/>
      <c r="AT35" s="147"/>
      <c r="AU35" s="147"/>
      <c r="AV35" s="147"/>
      <c r="AW35" s="147"/>
      <c r="AX35" s="147"/>
      <c r="AY35" s="147"/>
      <c r="AZ35" s="147"/>
      <c r="BA35" s="147"/>
      <c r="BB35" s="147"/>
      <c r="BC35" s="147"/>
      <c r="BD35" s="147"/>
      <c r="BE35" s="147"/>
      <c r="BF35" s="147"/>
      <c r="BG35" s="147"/>
      <c r="BH35" s="147"/>
      <c r="BI35" s="147"/>
      <c r="BJ35" s="147"/>
      <c r="BK35" s="147"/>
      <c r="BL35" s="147"/>
      <c r="BM35" s="147"/>
      <c r="BN35" s="147"/>
      <c r="BO35" s="147"/>
      <c r="BP35" s="147"/>
      <c r="BQ35" s="147"/>
      <c r="BR35" s="147"/>
      <c r="BS35" s="147"/>
      <c r="BT35" s="147"/>
      <c r="BU35" s="147"/>
      <c r="BV35" s="147"/>
      <c r="BW35" s="147"/>
      <c r="BX35" s="147"/>
      <c r="BY35" s="147"/>
      <c r="BZ35" s="147"/>
      <c r="CA35" s="147"/>
      <c r="CB35" s="147"/>
      <c r="CC35" s="147"/>
      <c r="CD35" s="147"/>
      <c r="CE35" s="147"/>
      <c r="CF35" s="147"/>
      <c r="CG35" s="147"/>
      <c r="CH35" s="147"/>
      <c r="CI35" s="147"/>
      <c r="CJ35" s="147"/>
      <c r="CK35" s="147"/>
      <c r="CL35" s="147"/>
      <c r="CM35" s="147"/>
      <c r="CN35" s="147"/>
      <c r="CO35" s="147"/>
      <c r="CP35" s="147"/>
    </row>
    <row r="36" spans="1:94" s="213" customFormat="1" ht="15" x14ac:dyDescent="0.25">
      <c r="A36" s="281"/>
      <c r="B36" s="282"/>
      <c r="C36" s="283"/>
      <c r="D36" s="284"/>
      <c r="E36" s="285"/>
      <c r="F36" s="197"/>
      <c r="G36" s="259"/>
      <c r="H36" s="259"/>
      <c r="I36" s="259"/>
      <c r="J36" s="286"/>
      <c r="K36" s="280"/>
      <c r="L36" s="321"/>
      <c r="M36" s="259"/>
      <c r="N36" s="259"/>
      <c r="O36"/>
      <c r="P36"/>
      <c r="Q36"/>
      <c r="R36"/>
      <c r="S36"/>
      <c r="T36"/>
      <c r="U36"/>
      <c r="V36"/>
      <c r="W36"/>
      <c r="X36"/>
      <c r="Y36"/>
      <c r="Z36" s="344"/>
      <c r="AA36" s="363" t="s">
        <v>94</v>
      </c>
      <c r="AB36" s="333" t="s">
        <v>95</v>
      </c>
      <c r="AC36" s="333" t="s">
        <v>106</v>
      </c>
      <c r="AD36" s="330"/>
    </row>
    <row r="37" spans="1:94" s="153" customFormat="1" ht="17.25" customHeight="1" x14ac:dyDescent="0.25">
      <c r="A37" s="139"/>
      <c r="B37" s="188"/>
      <c r="C37" s="459" t="s">
        <v>37</v>
      </c>
      <c r="D37" s="460"/>
      <c r="E37" s="150"/>
      <c r="F37" s="165"/>
      <c r="G37" s="166"/>
      <c r="H37" s="166"/>
      <c r="I37" s="166"/>
      <c r="J37" s="322"/>
      <c r="K37" s="166"/>
      <c r="L37" s="166"/>
      <c r="M37" s="166"/>
      <c r="N37" s="166"/>
      <c r="O37"/>
      <c r="P37"/>
      <c r="Q37"/>
      <c r="R37"/>
      <c r="S37"/>
      <c r="T37"/>
      <c r="U37"/>
      <c r="V37"/>
      <c r="W37"/>
      <c r="X37"/>
      <c r="Y37"/>
      <c r="Z37" s="344"/>
      <c r="AA37" s="461" t="s">
        <v>107</v>
      </c>
      <c r="AB37" s="462"/>
      <c r="AC37" s="462"/>
      <c r="AD37" s="329"/>
      <c r="AE37" s="147"/>
      <c r="AF37" s="147"/>
      <c r="AG37" s="147"/>
      <c r="AH37" s="147"/>
      <c r="AI37" s="147"/>
      <c r="AJ37" s="147"/>
      <c r="AK37" s="147"/>
      <c r="AL37" s="147"/>
      <c r="AM37" s="147"/>
      <c r="AN37" s="147"/>
      <c r="AO37" s="147"/>
      <c r="AP37" s="147"/>
      <c r="AQ37" s="147"/>
      <c r="AR37" s="147"/>
      <c r="AS37" s="147"/>
      <c r="AT37" s="147"/>
      <c r="AU37" s="147"/>
      <c r="AV37" s="147"/>
      <c r="AW37" s="147"/>
      <c r="AX37" s="147"/>
      <c r="AY37" s="147"/>
      <c r="AZ37" s="147"/>
      <c r="BA37" s="147"/>
      <c r="BB37" s="147"/>
      <c r="BC37" s="147"/>
      <c r="BD37" s="147"/>
      <c r="BE37" s="147"/>
      <c r="BF37" s="147"/>
      <c r="BG37" s="147"/>
      <c r="BH37" s="147"/>
      <c r="BI37" s="147"/>
      <c r="BJ37" s="147"/>
      <c r="BK37" s="147"/>
      <c r="BL37" s="147"/>
      <c r="BM37" s="147"/>
      <c r="BN37" s="147"/>
      <c r="BO37" s="147"/>
      <c r="BP37" s="147"/>
      <c r="BQ37" s="147"/>
      <c r="BR37" s="147"/>
      <c r="BS37" s="147"/>
      <c r="BT37" s="147"/>
      <c r="BU37" s="147"/>
      <c r="BV37" s="147"/>
      <c r="BW37" s="147"/>
      <c r="BX37" s="147"/>
      <c r="BY37" s="147"/>
      <c r="BZ37" s="147"/>
      <c r="CA37" s="147"/>
      <c r="CB37" s="147"/>
      <c r="CC37" s="147"/>
      <c r="CD37" s="147"/>
      <c r="CE37" s="147"/>
      <c r="CF37" s="147"/>
      <c r="CG37" s="147"/>
      <c r="CH37" s="147"/>
      <c r="CI37" s="147"/>
      <c r="CJ37" s="147"/>
      <c r="CK37" s="147"/>
      <c r="CL37" s="147"/>
      <c r="CM37" s="147"/>
      <c r="CN37" s="147"/>
      <c r="CO37" s="147"/>
      <c r="CP37" s="147"/>
    </row>
    <row r="38" spans="1:94" s="153" customFormat="1" ht="15" x14ac:dyDescent="0.25">
      <c r="A38" s="139"/>
      <c r="B38" s="188"/>
      <c r="C38" s="443" t="str">
        <f>perm_name</f>
        <v>Permanent Positions</v>
      </c>
      <c r="D38" s="444"/>
      <c r="E38" s="189">
        <v>1</v>
      </c>
      <c r="F38" s="190">
        <f>SUMIF($E9:$E35,$E38,$F9:$F35)</f>
        <v>85.899999999999991</v>
      </c>
      <c r="G38" s="191">
        <f>SUMIF($E10:$E35,$E38,$G10:$G35)</f>
        <v>4165760.5600000005</v>
      </c>
      <c r="H38" s="192">
        <f>SUMIF($E10:$E35,$E38,$H10:$H35)</f>
        <v>1003647.5</v>
      </c>
      <c r="I38" s="192">
        <f>SUMIF($E10:$E35,$E38,$I10:$I35)</f>
        <v>888911.59669519984</v>
      </c>
      <c r="J38" s="192">
        <f>SUM(G38:I38)</f>
        <v>6058319.6566952001</v>
      </c>
      <c r="K38" s="166"/>
      <c r="L38" s="191">
        <f>SUMIF($E10:$E35,$E38,$L10:$L35)</f>
        <v>0</v>
      </c>
      <c r="M38" s="192">
        <f>SUMIF($E10:$E35,$E38,$M10:$M35)</f>
        <v>-19995.650688000005</v>
      </c>
      <c r="N38" s="192">
        <f>SUM(L38:M38)</f>
        <v>-19995.650688000005</v>
      </c>
      <c r="O38"/>
      <c r="P38"/>
      <c r="Q38"/>
      <c r="R38"/>
      <c r="S38"/>
      <c r="T38"/>
      <c r="U38"/>
      <c r="V38"/>
      <c r="W38"/>
      <c r="X38"/>
      <c r="Y38"/>
      <c r="Z38" s="344"/>
      <c r="AA38" s="338">
        <f>ROUND(AdjPermSalary*CECPerm,-2)</f>
        <v>41700</v>
      </c>
      <c r="AB38" s="338">
        <f>ROUND((AdjPermVB*CECPerm+AdjPermVBBY*CECPerm),-2)</f>
        <v>8700</v>
      </c>
      <c r="AC38" s="338">
        <f>SUM(AA38:AB38)</f>
        <v>50400</v>
      </c>
      <c r="AD38" s="329"/>
      <c r="AE38" s="147"/>
      <c r="AF38" s="147"/>
      <c r="AG38" s="147"/>
      <c r="AH38" s="147"/>
      <c r="AI38" s="147"/>
      <c r="AJ38" s="147"/>
      <c r="AK38" s="147"/>
      <c r="AL38" s="147"/>
      <c r="AM38" s="147"/>
      <c r="AN38" s="147"/>
      <c r="AO38" s="147"/>
      <c r="AP38" s="147"/>
      <c r="AQ38" s="147"/>
      <c r="AR38" s="147"/>
      <c r="AS38" s="147"/>
      <c r="AT38" s="147"/>
      <c r="AU38" s="147"/>
      <c r="AV38" s="147"/>
      <c r="AW38" s="147"/>
      <c r="AX38" s="147"/>
      <c r="AY38" s="147"/>
      <c r="AZ38" s="147"/>
      <c r="BA38" s="147"/>
      <c r="BB38" s="147"/>
      <c r="BC38" s="147"/>
      <c r="BD38" s="147"/>
      <c r="BE38" s="147"/>
      <c r="BF38" s="147"/>
      <c r="BG38" s="147"/>
      <c r="BH38" s="147"/>
      <c r="BI38" s="147"/>
      <c r="BJ38" s="147"/>
      <c r="BK38" s="147"/>
      <c r="BL38" s="147"/>
      <c r="BM38" s="147"/>
      <c r="BN38" s="147"/>
      <c r="BO38" s="147"/>
      <c r="BP38" s="147"/>
      <c r="BQ38" s="147"/>
      <c r="BR38" s="147"/>
      <c r="BS38" s="147"/>
      <c r="BT38" s="147"/>
      <c r="BU38" s="147"/>
      <c r="BV38" s="147"/>
      <c r="BW38" s="147"/>
      <c r="BX38" s="147"/>
      <c r="BY38" s="147"/>
      <c r="BZ38" s="147"/>
      <c r="CA38" s="147"/>
      <c r="CB38" s="147"/>
      <c r="CC38" s="147"/>
      <c r="CD38" s="147"/>
      <c r="CE38" s="147"/>
      <c r="CF38" s="147"/>
      <c r="CG38" s="147"/>
      <c r="CH38" s="147"/>
      <c r="CI38" s="147"/>
      <c r="CJ38" s="147"/>
      <c r="CK38" s="147"/>
      <c r="CL38" s="147"/>
      <c r="CM38" s="147"/>
      <c r="CN38" s="147"/>
      <c r="CO38" s="147"/>
      <c r="CP38" s="147"/>
    </row>
    <row r="39" spans="1:94" s="153" customFormat="1" ht="15" x14ac:dyDescent="0.25">
      <c r="A39" s="139"/>
      <c r="B39" s="188"/>
      <c r="C39" s="443" t="str">
        <f>Group_name</f>
        <v>Board &amp; Group Positions</v>
      </c>
      <c r="D39" s="444"/>
      <c r="E39" s="189">
        <v>2</v>
      </c>
      <c r="F39" s="151">
        <f>SUMIF($E9:$E35,$E39,$F9:$F35)</f>
        <v>0</v>
      </c>
      <c r="G39" s="193">
        <f>SUMIF($E10:$E35,$E39,$G10:$G35)</f>
        <v>35703.910000000003</v>
      </c>
      <c r="H39" s="152">
        <f>SUMIF($E10:$E35,$E39,$H10:$H35)</f>
        <v>0</v>
      </c>
      <c r="I39" s="152">
        <f>SUMIF($E10:$E35,$E39,$I10:$I35)</f>
        <v>2902.44</v>
      </c>
      <c r="J39" s="152">
        <f>SUM(G39:I39)</f>
        <v>38606.350000000006</v>
      </c>
      <c r="K39" s="259"/>
      <c r="L39" s="193">
        <f>SUMIF($E10:$E35,$E39,$L10:$L35)</f>
        <v>0</v>
      </c>
      <c r="M39" s="152">
        <f>SUMIF($E11:$E37,$E39,$M11:$M37)</f>
        <v>0</v>
      </c>
      <c r="N39" s="152">
        <f>SUM(L39:M39)</f>
        <v>0</v>
      </c>
      <c r="O39"/>
      <c r="P39"/>
      <c r="Q39"/>
      <c r="R39"/>
      <c r="S39"/>
      <c r="T39"/>
      <c r="U39"/>
      <c r="V39"/>
      <c r="W39"/>
      <c r="X39"/>
      <c r="Y39"/>
      <c r="Z39" s="344"/>
      <c r="AA39" s="338">
        <f>ROUND(AdjGroupSalary*CECGroup,-2)</f>
        <v>400</v>
      </c>
      <c r="AB39" s="338">
        <f>ROUND(AdjGroupVB*CECGroup,-2)</f>
        <v>0</v>
      </c>
      <c r="AC39" s="338">
        <f>SUM(AA39:AB39)</f>
        <v>400</v>
      </c>
      <c r="AD39" s="329"/>
      <c r="AE39" s="147"/>
      <c r="AF39" s="147"/>
      <c r="AG39" s="147"/>
      <c r="AH39" s="147"/>
      <c r="AI39" s="147"/>
      <c r="AJ39" s="147"/>
      <c r="AK39" s="147"/>
      <c r="AL39" s="147"/>
      <c r="AM39" s="147"/>
      <c r="AN39" s="147"/>
      <c r="AO39" s="147"/>
      <c r="AP39" s="147"/>
      <c r="AQ39" s="147"/>
      <c r="AR39" s="147"/>
      <c r="AS39" s="147"/>
      <c r="AT39" s="147"/>
      <c r="AU39" s="147"/>
      <c r="AV39" s="147"/>
      <c r="AW39" s="147"/>
      <c r="AX39" s="147"/>
      <c r="AY39" s="147"/>
      <c r="AZ39" s="147"/>
      <c r="BA39" s="147"/>
      <c r="BB39" s="147"/>
      <c r="BC39" s="147"/>
      <c r="BD39" s="147"/>
      <c r="BE39" s="147"/>
      <c r="BF39" s="147"/>
      <c r="BG39" s="147"/>
      <c r="BH39" s="147"/>
      <c r="BI39" s="147"/>
      <c r="BJ39" s="147"/>
      <c r="BK39" s="147"/>
      <c r="BL39" s="147"/>
      <c r="BM39" s="147"/>
      <c r="BN39" s="147"/>
      <c r="BO39" s="147"/>
      <c r="BP39" s="147"/>
      <c r="BQ39" s="147"/>
      <c r="BR39" s="147"/>
      <c r="BS39" s="147"/>
      <c r="BT39" s="147"/>
      <c r="BU39" s="147"/>
      <c r="BV39" s="147"/>
      <c r="BW39" s="147"/>
      <c r="BX39" s="147"/>
      <c r="BY39" s="147"/>
      <c r="BZ39" s="147"/>
      <c r="CA39" s="147"/>
      <c r="CB39" s="147"/>
      <c r="CC39" s="147"/>
      <c r="CD39" s="147"/>
      <c r="CE39" s="147"/>
      <c r="CF39" s="147"/>
      <c r="CG39" s="147"/>
      <c r="CH39" s="147"/>
      <c r="CI39" s="147"/>
      <c r="CJ39" s="147"/>
      <c r="CK39" s="147"/>
      <c r="CL39" s="147"/>
      <c r="CM39" s="147"/>
      <c r="CN39" s="147"/>
      <c r="CO39" s="147"/>
      <c r="CP39" s="147"/>
    </row>
    <row r="40" spans="1:94" s="153" customFormat="1" ht="15" x14ac:dyDescent="0.25">
      <c r="A40" s="139"/>
      <c r="B40" s="188"/>
      <c r="C40" s="364" t="str">
        <f>Elect_name</f>
        <v>Elected Officials &amp; Full Time Commissioners</v>
      </c>
      <c r="D40" s="365"/>
      <c r="E40" s="189">
        <v>3</v>
      </c>
      <c r="F40" s="151">
        <f>SUMIF($E9:$E35,$E40,$F9:$F35)</f>
        <v>0</v>
      </c>
      <c r="G40" s="193">
        <f>SUMIF($E10:$E35,$E40,$G10:$G35)</f>
        <v>0</v>
      </c>
      <c r="H40" s="152">
        <f>SUMIF($E10:$E35,$E40,$H10:$H35)</f>
        <v>0</v>
      </c>
      <c r="I40" s="152">
        <f>SUMIF($E10:$E35,$E40,$I10:$I35)</f>
        <v>0</v>
      </c>
      <c r="J40" s="152">
        <f>SUM(G40:I40)</f>
        <v>0</v>
      </c>
      <c r="K40" s="259"/>
      <c r="L40" s="193">
        <f>SUMIF($E10:$E35,$E40,$L10:$L35)</f>
        <v>0</v>
      </c>
      <c r="M40" s="152">
        <f>SUMIF($E10:$E35,$E40,$M10:$M35)</f>
        <v>0</v>
      </c>
      <c r="N40" s="152">
        <f>SUM(L40:M40)</f>
        <v>0</v>
      </c>
      <c r="O40"/>
      <c r="P40"/>
      <c r="Q40"/>
      <c r="R40"/>
      <c r="S40"/>
      <c r="T40"/>
      <c r="U40"/>
      <c r="V40"/>
      <c r="W40"/>
      <c r="X40"/>
      <c r="Y40"/>
      <c r="Z40" s="344"/>
      <c r="AA40" s="363"/>
      <c r="AB40" s="363"/>
      <c r="AC40" s="363"/>
      <c r="AD40" s="329"/>
      <c r="AE40" s="147"/>
      <c r="AF40" s="147"/>
      <c r="AG40" s="147"/>
      <c r="AH40" s="147"/>
      <c r="AI40" s="147"/>
      <c r="AJ40" s="147"/>
      <c r="AK40" s="147"/>
      <c r="AL40" s="147"/>
      <c r="AM40" s="147"/>
      <c r="AN40" s="147"/>
      <c r="AO40" s="147"/>
      <c r="AP40" s="147"/>
      <c r="AQ40" s="147"/>
      <c r="AR40" s="147"/>
      <c r="AS40" s="147"/>
      <c r="AT40" s="147"/>
      <c r="AU40" s="147"/>
      <c r="AV40" s="147"/>
      <c r="AW40" s="147"/>
      <c r="AX40" s="147"/>
      <c r="AY40" s="147"/>
      <c r="AZ40" s="147"/>
      <c r="BA40" s="147"/>
      <c r="BB40" s="147"/>
      <c r="BC40" s="147"/>
      <c r="BD40" s="147"/>
      <c r="BE40" s="147"/>
      <c r="BF40" s="147"/>
      <c r="BG40" s="147"/>
      <c r="BH40" s="147"/>
      <c r="BI40" s="147"/>
      <c r="BJ40" s="147"/>
      <c r="BK40" s="147"/>
      <c r="BL40" s="147"/>
      <c r="BM40" s="147"/>
      <c r="BN40" s="147"/>
      <c r="BO40" s="147"/>
      <c r="BP40" s="147"/>
      <c r="BQ40" s="147"/>
      <c r="BR40" s="147"/>
      <c r="BS40" s="147"/>
      <c r="BT40" s="147"/>
      <c r="BU40" s="147"/>
      <c r="BV40" s="147"/>
      <c r="BW40" s="147"/>
      <c r="BX40" s="147"/>
      <c r="BY40" s="147"/>
      <c r="BZ40" s="147"/>
      <c r="CA40" s="147"/>
      <c r="CB40" s="147"/>
      <c r="CC40" s="147"/>
      <c r="CD40" s="147"/>
      <c r="CE40" s="147"/>
      <c r="CF40" s="147"/>
      <c r="CG40" s="147"/>
      <c r="CH40" s="147"/>
      <c r="CI40" s="147"/>
      <c r="CJ40" s="147"/>
      <c r="CK40" s="147"/>
      <c r="CL40" s="147"/>
      <c r="CM40" s="147"/>
      <c r="CN40" s="147"/>
      <c r="CO40" s="147"/>
      <c r="CP40" s="147"/>
    </row>
    <row r="41" spans="1:94" s="153" customFormat="1" ht="15" x14ac:dyDescent="0.25">
      <c r="A41" s="139"/>
      <c r="B41" s="188"/>
      <c r="C41" s="443" t="s">
        <v>38</v>
      </c>
      <c r="D41" s="444"/>
      <c r="E41" s="189"/>
      <c r="F41" s="161">
        <f>SUM(F38:F40)</f>
        <v>85.899999999999991</v>
      </c>
      <c r="G41" s="195">
        <f>SUM($G$38:$G$40)</f>
        <v>4201464.4700000007</v>
      </c>
      <c r="H41" s="162">
        <f>SUM($H$38:$H$40)</f>
        <v>1003647.5</v>
      </c>
      <c r="I41" s="162">
        <f>SUM($I$38:$I$40)</f>
        <v>891814.03669519979</v>
      </c>
      <c r="J41" s="162">
        <f>SUM($J$38:$J$40)</f>
        <v>6096926.0066951998</v>
      </c>
      <c r="K41" s="259"/>
      <c r="L41" s="195">
        <f>SUM($L$38:$L$40)</f>
        <v>0</v>
      </c>
      <c r="M41" s="162">
        <f>SUM($M$38:$M$40)</f>
        <v>-19995.650688000005</v>
      </c>
      <c r="N41" s="162">
        <f>SUM(L41:M41)</f>
        <v>-19995.650688000005</v>
      </c>
      <c r="O41"/>
      <c r="P41"/>
      <c r="Q41"/>
      <c r="R41"/>
      <c r="S41"/>
      <c r="T41"/>
      <c r="U41"/>
      <c r="V41"/>
      <c r="W41"/>
      <c r="X41"/>
      <c r="Y41"/>
      <c r="Z41" s="344"/>
      <c r="AA41" s="363" t="s">
        <v>94</v>
      </c>
      <c r="AB41" s="333" t="s">
        <v>95</v>
      </c>
      <c r="AC41" s="333" t="s">
        <v>106</v>
      </c>
      <c r="AD41" s="329"/>
      <c r="AE41" s="147"/>
      <c r="AF41" s="147"/>
      <c r="AG41" s="147"/>
      <c r="AH41" s="147"/>
      <c r="AI41" s="147"/>
      <c r="AJ41" s="147"/>
      <c r="AK41" s="147"/>
      <c r="AL41" s="147"/>
      <c r="AM41" s="147"/>
      <c r="AN41" s="147"/>
      <c r="AO41" s="147"/>
      <c r="AP41" s="147"/>
      <c r="AQ41" s="147"/>
      <c r="AR41" s="147"/>
      <c r="AS41" s="147"/>
      <c r="AT41" s="147"/>
      <c r="AU41" s="147"/>
      <c r="AV41" s="147"/>
      <c r="AW41" s="147"/>
      <c r="AX41" s="147"/>
      <c r="AY41" s="147"/>
      <c r="AZ41" s="147"/>
      <c r="BA41" s="147"/>
      <c r="BB41" s="147"/>
      <c r="BC41" s="147"/>
      <c r="BD41" s="147"/>
      <c r="BE41" s="147"/>
      <c r="BF41" s="147"/>
      <c r="BG41" s="147"/>
      <c r="BH41" s="147"/>
      <c r="BI41" s="147"/>
      <c r="BJ41" s="147"/>
      <c r="BK41" s="147"/>
      <c r="BL41" s="147"/>
      <c r="BM41" s="147"/>
      <c r="BN41" s="147"/>
      <c r="BO41" s="147"/>
      <c r="BP41" s="147"/>
      <c r="BQ41" s="147"/>
      <c r="BR41" s="147"/>
      <c r="BS41" s="147"/>
      <c r="BT41" s="147"/>
      <c r="BU41" s="147"/>
      <c r="BV41" s="147"/>
      <c r="BW41" s="147"/>
      <c r="BX41" s="147"/>
      <c r="BY41" s="147"/>
      <c r="BZ41" s="147"/>
      <c r="CA41" s="147"/>
      <c r="CB41" s="147"/>
      <c r="CC41" s="147"/>
      <c r="CD41" s="147"/>
      <c r="CE41" s="147"/>
      <c r="CF41" s="147"/>
      <c r="CG41" s="147"/>
      <c r="CH41" s="147"/>
      <c r="CI41" s="147"/>
      <c r="CJ41" s="147"/>
      <c r="CK41" s="147"/>
      <c r="CL41" s="147"/>
      <c r="CM41" s="147"/>
      <c r="CN41" s="147"/>
      <c r="CO41" s="147"/>
      <c r="CP41" s="147"/>
    </row>
    <row r="42" spans="1:94" s="153" customFormat="1" ht="4.5" customHeight="1" x14ac:dyDescent="0.25">
      <c r="A42" s="139"/>
      <c r="B42" s="188"/>
      <c r="C42" s="445"/>
      <c r="D42" s="446"/>
      <c r="E42" s="196"/>
      <c r="F42" s="197"/>
      <c r="G42" s="198"/>
      <c r="H42" s="199"/>
      <c r="I42" s="199"/>
      <c r="J42" s="324"/>
      <c r="K42" s="200"/>
      <c r="L42" s="323"/>
      <c r="M42" s="323"/>
      <c r="N42" s="201"/>
      <c r="O42"/>
      <c r="P42"/>
      <c r="Q42"/>
      <c r="R42"/>
      <c r="S42"/>
      <c r="T42"/>
      <c r="U42"/>
      <c r="V42"/>
      <c r="W42"/>
      <c r="X42"/>
      <c r="Y42"/>
      <c r="Z42" s="344"/>
      <c r="AA42" s="363"/>
      <c r="AB42" s="363"/>
      <c r="AC42" s="363"/>
      <c r="AD42" s="329"/>
      <c r="AE42" s="147"/>
      <c r="AF42" s="147"/>
      <c r="AG42" s="147"/>
      <c r="AH42" s="147"/>
      <c r="AI42" s="147"/>
      <c r="AJ42" s="147"/>
      <c r="AK42" s="147"/>
      <c r="AL42" s="147"/>
      <c r="AM42" s="147"/>
      <c r="AN42" s="147"/>
      <c r="AO42" s="147"/>
      <c r="AP42" s="147"/>
      <c r="AQ42" s="147"/>
      <c r="AR42" s="147"/>
      <c r="AS42" s="147"/>
      <c r="AT42" s="147"/>
      <c r="AU42" s="147"/>
      <c r="AV42" s="147"/>
      <c r="AW42" s="147"/>
      <c r="AX42" s="147"/>
      <c r="AY42" s="147"/>
      <c r="AZ42" s="147"/>
      <c r="BA42" s="147"/>
      <c r="BB42" s="147"/>
      <c r="BC42" s="147"/>
      <c r="BD42" s="147"/>
      <c r="BE42" s="147"/>
      <c r="BF42" s="147"/>
      <c r="BG42" s="147"/>
      <c r="BH42" s="147"/>
      <c r="BI42" s="147"/>
      <c r="BJ42" s="147"/>
      <c r="BK42" s="147"/>
      <c r="BL42" s="147"/>
      <c r="BM42" s="147"/>
      <c r="BN42" s="147"/>
      <c r="BO42" s="147"/>
      <c r="BP42" s="147"/>
      <c r="BQ42" s="147"/>
      <c r="BR42" s="147"/>
      <c r="BS42" s="147"/>
      <c r="BT42" s="147"/>
      <c r="BU42" s="147"/>
      <c r="BV42" s="147"/>
      <c r="BW42" s="147"/>
      <c r="BX42" s="147"/>
      <c r="BY42" s="147"/>
      <c r="BZ42" s="147"/>
      <c r="CA42" s="147"/>
      <c r="CB42" s="147"/>
      <c r="CC42" s="147"/>
      <c r="CD42" s="147"/>
      <c r="CE42" s="147"/>
      <c r="CF42" s="147"/>
      <c r="CG42" s="147"/>
      <c r="CH42" s="147"/>
      <c r="CI42" s="147"/>
      <c r="CJ42" s="147"/>
      <c r="CK42" s="147"/>
      <c r="CL42" s="147"/>
      <c r="CM42" s="147"/>
      <c r="CN42" s="147"/>
      <c r="CO42" s="147"/>
      <c r="CP42" s="147"/>
    </row>
    <row r="43" spans="1:94" s="153" customFormat="1" ht="15.75" customHeight="1" x14ac:dyDescent="0.25">
      <c r="A43" s="139"/>
      <c r="B43" s="202"/>
      <c r="C43" s="447" t="s">
        <v>39</v>
      </c>
      <c r="D43" s="448"/>
      <c r="E43" s="203" t="s">
        <v>40</v>
      </c>
      <c r="F43" s="205">
        <f>ROUND(F51-F41,2)</f>
        <v>23.1</v>
      </c>
      <c r="G43" s="206">
        <f>ROUND(G51-G41,-2)</f>
        <v>525600</v>
      </c>
      <c r="H43" s="159">
        <f>ROUND(H51-H41,-2)</f>
        <v>125600</v>
      </c>
      <c r="I43" s="159">
        <f>ROUND(I51-I41,-2)</f>
        <v>111600</v>
      </c>
      <c r="J43" s="159">
        <f>SUM(G43:I43)</f>
        <v>762800</v>
      </c>
      <c r="K43" s="424" t="str">
        <f>IF(E51=0,"ERROR! Enter Original Appropriation amount in DU 3.00!","Calculated "&amp;IF(J43&gt;0,"overfunding ","underfunding ")&amp;"is "&amp;TEXT(J43/J51,"#.0%;(#.0% );0% ;")&amp;" of Original Appropriation")</f>
        <v>Calculated overfunding is 11.1% of Original Appropriation</v>
      </c>
      <c r="L43" s="425"/>
      <c r="M43" s="425"/>
      <c r="N43" s="426"/>
      <c r="O43"/>
      <c r="P43"/>
      <c r="Q43"/>
      <c r="R43"/>
      <c r="S43"/>
      <c r="T43"/>
      <c r="U43"/>
      <c r="V43"/>
      <c r="W43"/>
      <c r="X43"/>
      <c r="Y43"/>
      <c r="Z43" s="344"/>
      <c r="AA43" s="451" t="s">
        <v>108</v>
      </c>
      <c r="AB43" s="452"/>
      <c r="AC43" s="452"/>
      <c r="AD43" s="329"/>
      <c r="AE43" s="147"/>
      <c r="AF43" s="147"/>
      <c r="AG43" s="147"/>
      <c r="AH43" s="147"/>
      <c r="AI43" s="147"/>
      <c r="AJ43" s="147"/>
      <c r="AK43" s="147"/>
      <c r="AL43" s="147"/>
      <c r="AM43" s="147"/>
      <c r="AN43" s="147"/>
      <c r="AO43" s="147"/>
      <c r="AP43" s="147"/>
      <c r="AQ43" s="147"/>
      <c r="AR43" s="147"/>
      <c r="AS43" s="147"/>
      <c r="AT43" s="147"/>
      <c r="AU43" s="147"/>
      <c r="AV43" s="147"/>
      <c r="AW43" s="147"/>
      <c r="AX43" s="147"/>
      <c r="AY43" s="147"/>
      <c r="AZ43" s="147"/>
      <c r="BA43" s="147"/>
      <c r="BB43" s="147"/>
      <c r="BC43" s="147"/>
      <c r="BD43" s="147"/>
      <c r="BE43" s="147"/>
      <c r="BF43" s="147"/>
      <c r="BG43" s="147"/>
      <c r="BH43" s="147"/>
      <c r="BI43" s="147"/>
      <c r="BJ43" s="147"/>
      <c r="BK43" s="147"/>
      <c r="BL43" s="147"/>
      <c r="BM43" s="147"/>
      <c r="BN43" s="147"/>
      <c r="BO43" s="147"/>
      <c r="BP43" s="147"/>
      <c r="BQ43" s="147"/>
      <c r="BR43" s="147"/>
      <c r="BS43" s="147"/>
      <c r="BT43" s="147"/>
      <c r="BU43" s="147"/>
      <c r="BV43" s="147"/>
      <c r="BW43" s="147"/>
      <c r="BX43" s="147"/>
      <c r="BY43" s="147"/>
      <c r="BZ43" s="147"/>
      <c r="CA43" s="147"/>
      <c r="CB43" s="147"/>
      <c r="CC43" s="147"/>
      <c r="CD43" s="147"/>
      <c r="CE43" s="147"/>
      <c r="CF43" s="147"/>
      <c r="CG43" s="147"/>
      <c r="CH43" s="147"/>
      <c r="CI43" s="147"/>
      <c r="CJ43" s="147"/>
      <c r="CK43" s="147"/>
      <c r="CL43" s="147"/>
      <c r="CM43" s="147"/>
      <c r="CN43" s="147"/>
      <c r="CO43" s="147"/>
      <c r="CP43" s="147"/>
    </row>
    <row r="44" spans="1:94" s="153" customFormat="1" ht="15.75" customHeight="1" x14ac:dyDescent="0.25">
      <c r="A44" s="139"/>
      <c r="B44" s="202"/>
      <c r="C44" s="449"/>
      <c r="D44" s="450"/>
      <c r="E44" s="204" t="s">
        <v>41</v>
      </c>
      <c r="F44" s="205">
        <f>ROUND(F60-F41,2)</f>
        <v>23.1</v>
      </c>
      <c r="G44" s="206">
        <f>ROUND(G60-G41,-2)</f>
        <v>525600</v>
      </c>
      <c r="H44" s="159">
        <f>ROUND(H60-H41,-2)</f>
        <v>125600</v>
      </c>
      <c r="I44" s="159">
        <f>ROUND(I60-I41,-2)</f>
        <v>111600</v>
      </c>
      <c r="J44" s="159">
        <f>SUM(G44:I44)</f>
        <v>762800</v>
      </c>
      <c r="K44" s="424" t="str">
        <f>IF(E51=0,"ERROR! Enter Original Appropriation amount in DU 3.00!","Calculated "&amp;IF(J44&gt;0,"overfunding ","underfunding ")&amp;"is "&amp;TEXT(J44/J60,"#.0%;(#.0% );0% ;")&amp;" of Estimated Expenditures")</f>
        <v>Calculated overfunding is 11.1% of Estimated Expenditures</v>
      </c>
      <c r="L44" s="425"/>
      <c r="M44" s="425"/>
      <c r="N44" s="426"/>
      <c r="O44"/>
      <c r="P44"/>
      <c r="Q44"/>
      <c r="R44"/>
      <c r="S44"/>
      <c r="T44"/>
      <c r="U44"/>
      <c r="V44"/>
      <c r="W44"/>
      <c r="X44"/>
      <c r="Y44"/>
      <c r="Z44" s="344"/>
      <c r="AA44" s="338">
        <f>NEW_AdjPermSalary-NEW_PermSalaryFilled</f>
        <v>0</v>
      </c>
      <c r="AB44" s="338">
        <f>NEW_AdjPermVB-NEW_PermVBFilled</f>
        <v>0</v>
      </c>
      <c r="AC44" s="338">
        <f>SUM(AA44:AB44)</f>
        <v>0</v>
      </c>
      <c r="AD44" s="329"/>
      <c r="AE44" s="147"/>
      <c r="AF44" s="147"/>
      <c r="AG44" s="147"/>
      <c r="AH44" s="147"/>
      <c r="AI44" s="147"/>
      <c r="AJ44" s="147"/>
      <c r="AK44" s="147"/>
      <c r="AL44" s="147"/>
      <c r="AM44" s="147"/>
      <c r="AN44" s="147"/>
      <c r="AO44" s="147"/>
      <c r="AP44" s="147"/>
      <c r="AQ44" s="147"/>
      <c r="AR44" s="147"/>
      <c r="AS44" s="147"/>
      <c r="AT44" s="147"/>
      <c r="AU44" s="147"/>
      <c r="AV44" s="147"/>
      <c r="AW44" s="147"/>
      <c r="AX44" s="147"/>
      <c r="AY44" s="147"/>
      <c r="AZ44" s="147"/>
      <c r="BA44" s="147"/>
      <c r="BB44" s="147"/>
      <c r="BC44" s="147"/>
      <c r="BD44" s="147"/>
      <c r="BE44" s="147"/>
      <c r="BF44" s="147"/>
      <c r="BG44" s="147"/>
      <c r="BH44" s="147"/>
      <c r="BI44" s="147"/>
      <c r="BJ44" s="147"/>
      <c r="BK44" s="147"/>
      <c r="BL44" s="147"/>
      <c r="BM44" s="147"/>
      <c r="BN44" s="147"/>
      <c r="BO44" s="147"/>
      <c r="BP44" s="147"/>
      <c r="BQ44" s="147"/>
      <c r="BR44" s="147"/>
      <c r="BS44" s="147"/>
      <c r="BT44" s="147"/>
      <c r="BU44" s="147"/>
      <c r="BV44" s="147"/>
      <c r="BW44" s="147"/>
      <c r="BX44" s="147"/>
      <c r="BY44" s="147"/>
      <c r="BZ44" s="147"/>
      <c r="CA44" s="147"/>
      <c r="CB44" s="147"/>
      <c r="CC44" s="147"/>
      <c r="CD44" s="147"/>
      <c r="CE44" s="147"/>
      <c r="CF44" s="147"/>
      <c r="CG44" s="147"/>
      <c r="CH44" s="147"/>
      <c r="CI44" s="147"/>
      <c r="CJ44" s="147"/>
      <c r="CK44" s="147"/>
      <c r="CL44" s="147"/>
      <c r="CM44" s="147"/>
      <c r="CN44" s="147"/>
      <c r="CO44" s="147"/>
      <c r="CP44" s="147"/>
    </row>
    <row r="45" spans="1:94" s="153" customFormat="1" ht="15.75" customHeight="1" x14ac:dyDescent="0.25">
      <c r="A45" s="139"/>
      <c r="B45" s="202"/>
      <c r="C45" s="215"/>
      <c r="D45" s="215"/>
      <c r="E45" s="204" t="s">
        <v>99</v>
      </c>
      <c r="F45" s="205">
        <f>ROUND(F67-F41-F63,2)</f>
        <v>23.1</v>
      </c>
      <c r="G45" s="206">
        <f>ROUND(G67-G41-G63,-2)</f>
        <v>525600</v>
      </c>
      <c r="H45" s="206">
        <f>ROUND(H67-H41-H63,-2)</f>
        <v>125600</v>
      </c>
      <c r="I45" s="206">
        <f>ROUND(I67-I41-I63,-2)</f>
        <v>111600</v>
      </c>
      <c r="J45" s="159">
        <f>SUM(G45:I45)</f>
        <v>762800</v>
      </c>
      <c r="K45" s="424" t="str">
        <f>IF(J67=0,"Program has a zero base",IF(E51=0,"ERROR! Enter Original Appropriation amount in DU 3.00!","Calculated "&amp;IF(J45&gt;0,"overfunding ","underfunding ")&amp;"is "&amp;TEXT(J45/J67,"#.0%;(#.0% );0% ;")&amp;" of the Base"))</f>
        <v>Calculated overfunding is 11.1% of the Base</v>
      </c>
      <c r="L45" s="425"/>
      <c r="M45" s="425"/>
      <c r="N45" s="426"/>
      <c r="O45"/>
      <c r="P45"/>
      <c r="Q45"/>
      <c r="R45"/>
      <c r="S45"/>
      <c r="T45"/>
      <c r="U45"/>
      <c r="V45"/>
      <c r="W45"/>
      <c r="X45"/>
      <c r="Y45"/>
      <c r="Z45" s="344"/>
      <c r="AA45" s="338">
        <f>NEW_AdjGroupSalary-NEW_GroupSalaryFilled</f>
        <v>0</v>
      </c>
      <c r="AB45" s="338">
        <f>NEW_AdjGroupVB-NEW_GroupVBFilled</f>
        <v>0</v>
      </c>
      <c r="AC45" s="338">
        <f>SUM(AA45:AB45)</f>
        <v>0</v>
      </c>
      <c r="AD45" s="329"/>
      <c r="AE45" s="147"/>
      <c r="AF45" s="147"/>
      <c r="AG45" s="147"/>
      <c r="AH45" s="147"/>
      <c r="AI45" s="147"/>
      <c r="AJ45" s="147"/>
      <c r="AK45" s="147"/>
      <c r="AL45" s="147"/>
      <c r="AM45" s="147"/>
      <c r="AN45" s="147"/>
      <c r="AO45" s="147"/>
      <c r="AP45" s="147"/>
      <c r="AQ45" s="147"/>
      <c r="AR45" s="147"/>
      <c r="AS45" s="147"/>
      <c r="AT45" s="147"/>
      <c r="AU45" s="147"/>
      <c r="AV45" s="147"/>
      <c r="AW45" s="147"/>
      <c r="AX45" s="147"/>
      <c r="AY45" s="147"/>
      <c r="AZ45" s="147"/>
      <c r="BA45" s="147"/>
      <c r="BB45" s="147"/>
      <c r="BC45" s="147"/>
      <c r="BD45" s="147"/>
      <c r="BE45" s="147"/>
      <c r="BF45" s="147"/>
      <c r="BG45" s="147"/>
      <c r="BH45" s="147"/>
      <c r="BI45" s="147"/>
      <c r="BJ45" s="147"/>
      <c r="BK45" s="147"/>
      <c r="BL45" s="147"/>
      <c r="BM45" s="147"/>
      <c r="BN45" s="147"/>
      <c r="BO45" s="147"/>
      <c r="BP45" s="147"/>
      <c r="BQ45" s="147"/>
      <c r="BR45" s="147"/>
      <c r="BS45" s="147"/>
      <c r="BT45" s="147"/>
      <c r="BU45" s="147"/>
      <c r="BV45" s="147"/>
      <c r="BW45" s="147"/>
      <c r="BX45" s="147"/>
      <c r="BY45" s="147"/>
      <c r="BZ45" s="147"/>
      <c r="CA45" s="147"/>
      <c r="CB45" s="147"/>
      <c r="CC45" s="147"/>
      <c r="CD45" s="147"/>
      <c r="CE45" s="147"/>
      <c r="CF45" s="147"/>
      <c r="CG45" s="147"/>
      <c r="CH45" s="147"/>
      <c r="CI45" s="147"/>
      <c r="CJ45" s="147"/>
      <c r="CK45" s="147"/>
      <c r="CL45" s="147"/>
      <c r="CM45" s="147"/>
      <c r="CN45" s="147"/>
      <c r="CO45" s="147"/>
      <c r="CP45" s="147"/>
    </row>
    <row r="46" spans="1:94" s="153" customFormat="1" ht="28.5" customHeight="1" x14ac:dyDescent="0.25">
      <c r="A46" s="139"/>
      <c r="B46" s="202"/>
      <c r="C46" s="215"/>
      <c r="D46" s="215"/>
      <c r="E46" s="427" t="s">
        <v>100</v>
      </c>
      <c r="F46" s="428"/>
      <c r="G46" s="428"/>
      <c r="H46" s="428"/>
      <c r="I46" s="428"/>
      <c r="J46" s="429"/>
      <c r="K46" s="433" t="str">
        <f>IF(OR(J45&lt;0,F45&lt;0),"You may not have sufficient funding or authorized FTP, and may need to make additional adjustments to finalize this form.  Please contact both your DFM and LSO analysts.","")</f>
        <v/>
      </c>
      <c r="L46" s="434"/>
      <c r="M46" s="434"/>
      <c r="N46" s="435"/>
      <c r="O46"/>
      <c r="P46"/>
      <c r="Q46"/>
      <c r="R46"/>
      <c r="S46"/>
      <c r="T46"/>
      <c r="U46"/>
      <c r="V46"/>
      <c r="W46"/>
      <c r="X46"/>
      <c r="Y46"/>
      <c r="Z46" s="344"/>
      <c r="AA46" s="363"/>
      <c r="AB46" s="363"/>
      <c r="AC46" s="363"/>
      <c r="AD46" s="329"/>
      <c r="AE46" s="147"/>
      <c r="AF46" s="147"/>
      <c r="AG46" s="147"/>
      <c r="AH46" s="147"/>
      <c r="AI46" s="147"/>
      <c r="AJ46" s="147"/>
      <c r="AK46" s="147"/>
      <c r="AL46" s="147"/>
      <c r="AM46" s="147"/>
      <c r="AN46" s="147"/>
      <c r="AO46" s="147"/>
      <c r="AP46" s="147"/>
      <c r="AQ46" s="147"/>
      <c r="AR46" s="147"/>
      <c r="AS46" s="147"/>
      <c r="AT46" s="147"/>
      <c r="AU46" s="147"/>
      <c r="AV46" s="147"/>
      <c r="AW46" s="147"/>
      <c r="AX46" s="147"/>
      <c r="AY46" s="147"/>
      <c r="AZ46" s="147"/>
      <c r="BA46" s="147"/>
      <c r="BB46" s="147"/>
      <c r="BC46" s="147"/>
      <c r="BD46" s="147"/>
      <c r="BE46" s="147"/>
      <c r="BF46" s="147"/>
      <c r="BG46" s="147"/>
      <c r="BH46" s="147"/>
      <c r="BI46" s="147"/>
      <c r="BJ46" s="147"/>
      <c r="BK46" s="147"/>
      <c r="BL46" s="147"/>
      <c r="BM46" s="147"/>
      <c r="BN46" s="147"/>
      <c r="BO46" s="147"/>
      <c r="BP46" s="147"/>
      <c r="BQ46" s="147"/>
      <c r="BR46" s="147"/>
      <c r="BS46" s="147"/>
      <c r="BT46" s="147"/>
      <c r="BU46" s="147"/>
      <c r="BV46" s="147"/>
      <c r="BW46" s="147"/>
      <c r="BX46" s="147"/>
      <c r="BY46" s="147"/>
      <c r="BZ46" s="147"/>
      <c r="CA46" s="147"/>
      <c r="CB46" s="147"/>
      <c r="CC46" s="147"/>
      <c r="CD46" s="147"/>
      <c r="CE46" s="147"/>
      <c r="CF46" s="147"/>
      <c r="CG46" s="147"/>
      <c r="CH46" s="147"/>
      <c r="CI46" s="147"/>
      <c r="CJ46" s="147"/>
      <c r="CK46" s="147"/>
      <c r="CL46" s="147"/>
      <c r="CM46" s="147"/>
      <c r="CN46" s="147"/>
      <c r="CO46" s="147"/>
      <c r="CP46" s="147"/>
    </row>
    <row r="47" spans="1:94" s="153" customFormat="1" ht="21.75" customHeight="1" x14ac:dyDescent="0.25">
      <c r="A47" s="139"/>
      <c r="B47" s="202"/>
      <c r="C47" s="215"/>
      <c r="D47" s="215"/>
      <c r="E47" s="430"/>
      <c r="F47" s="431"/>
      <c r="G47" s="431"/>
      <c r="H47" s="431"/>
      <c r="I47" s="431"/>
      <c r="J47" s="432"/>
      <c r="K47" s="436"/>
      <c r="L47" s="437"/>
      <c r="M47" s="437"/>
      <c r="N47" s="438"/>
      <c r="O47"/>
      <c r="P47"/>
      <c r="Q47"/>
      <c r="R47"/>
      <c r="S47"/>
      <c r="T47"/>
      <c r="U47"/>
      <c r="V47"/>
      <c r="W47"/>
      <c r="X47"/>
      <c r="Y47"/>
      <c r="Z47" s="344"/>
      <c r="AA47" s="363"/>
      <c r="AB47" s="363"/>
      <c r="AC47" s="363"/>
      <c r="AD47" s="329"/>
      <c r="AE47" s="147"/>
      <c r="AF47" s="147"/>
      <c r="AG47" s="147"/>
      <c r="AH47" s="147"/>
      <c r="AI47" s="147"/>
      <c r="AJ47" s="147"/>
      <c r="AK47" s="147"/>
      <c r="AL47" s="147"/>
      <c r="AM47" s="147"/>
      <c r="AN47" s="147"/>
      <c r="AO47" s="147"/>
      <c r="AP47" s="147"/>
      <c r="AQ47" s="147"/>
      <c r="AR47" s="147"/>
      <c r="AS47" s="147"/>
      <c r="AT47" s="147"/>
      <c r="AU47" s="147"/>
      <c r="AV47" s="147"/>
      <c r="AW47" s="147"/>
      <c r="AX47" s="147"/>
      <c r="AY47" s="147"/>
      <c r="AZ47" s="147"/>
      <c r="BA47" s="147"/>
      <c r="BB47" s="147"/>
      <c r="BC47" s="147"/>
      <c r="BD47" s="147"/>
      <c r="BE47" s="147"/>
      <c r="BF47" s="147"/>
      <c r="BG47" s="147"/>
      <c r="BH47" s="147"/>
      <c r="BI47" s="147"/>
      <c r="BJ47" s="147"/>
      <c r="BK47" s="147"/>
      <c r="BL47" s="147"/>
      <c r="BM47" s="147"/>
      <c r="BN47" s="147"/>
      <c r="BO47" s="147"/>
      <c r="BP47" s="147"/>
      <c r="BQ47" s="147"/>
      <c r="BR47" s="147"/>
      <c r="BS47" s="147"/>
      <c r="BT47" s="147"/>
      <c r="BU47" s="147"/>
      <c r="BV47" s="147"/>
      <c r="BW47" s="147"/>
      <c r="BX47" s="147"/>
      <c r="BY47" s="147"/>
      <c r="BZ47" s="147"/>
      <c r="CA47" s="147"/>
      <c r="CB47" s="147"/>
      <c r="CC47" s="147"/>
      <c r="CD47" s="147"/>
      <c r="CE47" s="147"/>
      <c r="CF47" s="147"/>
      <c r="CG47" s="147"/>
      <c r="CH47" s="147"/>
      <c r="CI47" s="147"/>
      <c r="CJ47" s="147"/>
      <c r="CK47" s="147"/>
      <c r="CL47" s="147"/>
      <c r="CM47" s="147"/>
      <c r="CN47" s="147"/>
      <c r="CO47" s="147"/>
      <c r="CP47" s="147"/>
    </row>
    <row r="48" spans="1:94" s="214" customFormat="1" ht="8.25" customHeight="1" x14ac:dyDescent="0.25">
      <c r="A48" s="207"/>
      <c r="B48" s="208"/>
      <c r="C48" s="136"/>
      <c r="D48" s="136"/>
      <c r="E48" s="209"/>
      <c r="F48" s="210"/>
      <c r="G48" s="211"/>
      <c r="H48" s="211"/>
      <c r="I48" s="211"/>
      <c r="J48" s="211"/>
      <c r="K48" s="211"/>
      <c r="L48" s="137"/>
      <c r="M48" s="138"/>
      <c r="N48" s="212"/>
      <c r="O48"/>
      <c r="P48"/>
      <c r="Q48"/>
      <c r="R48"/>
      <c r="S48"/>
      <c r="T48"/>
      <c r="U48"/>
      <c r="V48"/>
      <c r="W48"/>
      <c r="X48"/>
      <c r="Y48"/>
      <c r="Z48" s="344"/>
      <c r="AA48" s="339"/>
      <c r="AB48" s="339"/>
      <c r="AC48" s="339"/>
      <c r="AD48" s="330"/>
      <c r="AE48" s="213"/>
      <c r="AF48" s="213"/>
      <c r="AG48" s="213"/>
      <c r="AH48" s="213"/>
      <c r="AI48" s="213"/>
      <c r="AJ48" s="213"/>
      <c r="AK48" s="213"/>
      <c r="AL48" s="213"/>
      <c r="AM48" s="213"/>
      <c r="AN48" s="213"/>
      <c r="AO48" s="213"/>
      <c r="AP48" s="213"/>
      <c r="AQ48" s="213"/>
      <c r="AR48" s="213"/>
      <c r="AS48" s="213"/>
      <c r="AT48" s="213"/>
      <c r="AU48" s="213"/>
      <c r="AV48" s="213"/>
      <c r="AW48" s="213"/>
      <c r="AX48" s="213"/>
      <c r="AY48" s="213"/>
      <c r="AZ48" s="213"/>
      <c r="BA48" s="213"/>
      <c r="BB48" s="213"/>
      <c r="BC48" s="213"/>
      <c r="BD48" s="213"/>
      <c r="BE48" s="213"/>
      <c r="BF48" s="213"/>
      <c r="BG48" s="213"/>
      <c r="BH48" s="213"/>
      <c r="BI48" s="213"/>
      <c r="BJ48" s="213"/>
      <c r="BK48" s="213"/>
      <c r="BL48" s="213"/>
      <c r="BM48" s="213"/>
      <c r="BN48" s="213"/>
      <c r="BO48" s="213"/>
      <c r="BP48" s="213"/>
      <c r="BQ48" s="213"/>
      <c r="BR48" s="213"/>
      <c r="BS48" s="213"/>
      <c r="BT48" s="213"/>
      <c r="BU48" s="213"/>
      <c r="BV48" s="213"/>
      <c r="BW48" s="213"/>
      <c r="BX48" s="213"/>
      <c r="BY48" s="213"/>
      <c r="BZ48" s="213"/>
      <c r="CA48" s="213"/>
      <c r="CB48" s="213"/>
      <c r="CC48" s="213"/>
      <c r="CD48" s="213"/>
      <c r="CE48" s="213"/>
      <c r="CF48" s="213"/>
      <c r="CG48" s="213"/>
      <c r="CH48" s="213"/>
      <c r="CI48" s="213"/>
      <c r="CJ48" s="213"/>
      <c r="CK48" s="213"/>
      <c r="CL48" s="213"/>
      <c r="CM48" s="213"/>
      <c r="CN48" s="213"/>
      <c r="CO48" s="213"/>
      <c r="CP48" s="213"/>
    </row>
    <row r="49" spans="1:94" s="53" customFormat="1" ht="6" customHeight="1" x14ac:dyDescent="0.25">
      <c r="A49" s="63"/>
      <c r="B49" s="64"/>
      <c r="C49" s="65"/>
      <c r="D49" s="66"/>
      <c r="E49" s="67"/>
      <c r="F49" s="68"/>
      <c r="G49" s="64"/>
      <c r="H49" s="64"/>
      <c r="I49" s="64"/>
      <c r="J49" s="64"/>
      <c r="K49" s="64"/>
      <c r="L49" s="69"/>
      <c r="M49" s="69"/>
      <c r="N49" s="70"/>
      <c r="O49"/>
      <c r="P49"/>
      <c r="Q49"/>
      <c r="R49"/>
      <c r="S49"/>
      <c r="T49"/>
      <c r="U49"/>
      <c r="V49"/>
      <c r="W49"/>
      <c r="X49"/>
      <c r="Y49"/>
      <c r="Z49" s="344"/>
      <c r="AA49" s="363"/>
      <c r="AB49" s="363"/>
      <c r="AC49" s="363"/>
      <c r="AD49" s="110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1"/>
      <c r="AV49" s="41"/>
      <c r="AW49" s="41"/>
      <c r="AX49" s="41"/>
      <c r="AY49" s="41"/>
      <c r="AZ49" s="41"/>
      <c r="BA49" s="41"/>
      <c r="BB49" s="41"/>
      <c r="BC49" s="41"/>
      <c r="BD49" s="41"/>
      <c r="BE49" s="41"/>
      <c r="BF49" s="41"/>
      <c r="BG49" s="41"/>
      <c r="BH49" s="41"/>
      <c r="BI49" s="41"/>
      <c r="BJ49" s="41"/>
      <c r="BK49" s="41"/>
      <c r="BL49" s="41"/>
      <c r="BM49" s="41"/>
      <c r="BN49" s="41"/>
      <c r="BO49" s="41"/>
      <c r="BP49" s="41"/>
      <c r="BQ49" s="41"/>
      <c r="BR49" s="41"/>
      <c r="BS49" s="41"/>
      <c r="BT49" s="41"/>
      <c r="BU49" s="41"/>
      <c r="BV49" s="41"/>
      <c r="BW49" s="41"/>
      <c r="BX49" s="41"/>
      <c r="BY49" s="41"/>
      <c r="BZ49" s="41"/>
      <c r="CA49" s="41"/>
      <c r="CB49" s="41"/>
      <c r="CC49" s="41"/>
      <c r="CD49" s="41"/>
      <c r="CE49" s="41"/>
      <c r="CF49" s="41"/>
      <c r="CG49" s="41"/>
      <c r="CH49" s="41"/>
      <c r="CI49" s="41"/>
      <c r="CJ49" s="41"/>
      <c r="CK49" s="41"/>
      <c r="CL49" s="41"/>
      <c r="CM49" s="41"/>
      <c r="CN49" s="41"/>
      <c r="CO49" s="41"/>
      <c r="CP49" s="41"/>
    </row>
    <row r="50" spans="1:94" s="53" customFormat="1" ht="24.75" customHeight="1" x14ac:dyDescent="0.25">
      <c r="A50" s="257" t="s">
        <v>42</v>
      </c>
      <c r="B50" s="71"/>
      <c r="C50" s="439"/>
      <c r="D50" s="440"/>
      <c r="E50" s="72" t="s">
        <v>43</v>
      </c>
      <c r="F50" s="73" t="s">
        <v>24</v>
      </c>
      <c r="G50" s="72" t="str">
        <f>"FY "&amp;M4-2001&amp;" Salary"</f>
        <v>FY 22 Salary</v>
      </c>
      <c r="H50" s="72" t="str">
        <f>"FY "&amp;M4-2001&amp;" Health Ben"</f>
        <v>FY 22 Health Ben</v>
      </c>
      <c r="I50" s="72" t="str">
        <f>"FY "&amp;M4-2001&amp;" Var Ben"</f>
        <v>FY 22 Var Ben</v>
      </c>
      <c r="J50" s="72" t="str">
        <f>"FY "&amp;M4-1&amp;" Total"</f>
        <v>FY 2022 Total</v>
      </c>
      <c r="K50" s="307" t="str">
        <f>"FY "&amp;FiscalYear&amp;" SALARY CHG"</f>
        <v>FY 2023 SALARY CHG</v>
      </c>
      <c r="L50" s="74" t="str">
        <f>"FY "&amp;M4-2000&amp;" Chg Health Bens"</f>
        <v>FY 23 Chg Health Bens</v>
      </c>
      <c r="M50" s="74" t="str">
        <f>"FY "&amp;M4-2000&amp;" Chg Var Bens"</f>
        <v>FY 23 Chg Var Bens</v>
      </c>
      <c r="N50" s="74" t="s">
        <v>44</v>
      </c>
      <c r="O50"/>
      <c r="P50"/>
      <c r="Q50"/>
      <c r="R50"/>
      <c r="S50"/>
      <c r="T50"/>
      <c r="U50"/>
      <c r="V50"/>
      <c r="W50"/>
      <c r="X50"/>
      <c r="Y50"/>
      <c r="Z50" s="344"/>
      <c r="AA50" s="363"/>
      <c r="AB50" s="363"/>
      <c r="AC50" s="363"/>
      <c r="AD50" s="110"/>
      <c r="AE50" s="41"/>
      <c r="AF50" s="41"/>
      <c r="AG50" s="41"/>
      <c r="AH50" s="41"/>
      <c r="AI50" s="41"/>
      <c r="AJ50" s="41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U50" s="41"/>
      <c r="AV50" s="41"/>
      <c r="AW50" s="41"/>
      <c r="AX50" s="41"/>
      <c r="AY50" s="41"/>
      <c r="AZ50" s="41"/>
      <c r="BA50" s="41"/>
      <c r="BB50" s="41"/>
      <c r="BC50" s="41"/>
      <c r="BD50" s="41"/>
      <c r="BE50" s="41"/>
      <c r="BF50" s="41"/>
      <c r="BG50" s="41"/>
      <c r="BH50" s="41"/>
      <c r="BI50" s="41"/>
      <c r="BJ50" s="41"/>
      <c r="BK50" s="41"/>
      <c r="BL50" s="41"/>
      <c r="BM50" s="41"/>
      <c r="BN50" s="41"/>
      <c r="BO50" s="41"/>
      <c r="BP50" s="41"/>
      <c r="BQ50" s="41"/>
      <c r="BR50" s="41"/>
      <c r="BS50" s="41"/>
      <c r="BT50" s="41"/>
      <c r="BU50" s="41"/>
      <c r="BV50" s="41"/>
      <c r="BW50" s="41"/>
      <c r="BX50" s="41"/>
      <c r="BY50" s="41"/>
      <c r="BZ50" s="41"/>
      <c r="CA50" s="41"/>
      <c r="CB50" s="41"/>
      <c r="CC50" s="41"/>
      <c r="CD50" s="41"/>
      <c r="CE50" s="41"/>
      <c r="CF50" s="41"/>
      <c r="CG50" s="41"/>
      <c r="CH50" s="41"/>
      <c r="CI50" s="41"/>
      <c r="CJ50" s="41"/>
      <c r="CK50" s="41"/>
      <c r="CL50" s="41"/>
      <c r="CM50" s="41"/>
      <c r="CN50" s="41"/>
      <c r="CO50" s="41"/>
      <c r="CP50" s="41"/>
    </row>
    <row r="51" spans="1:94" s="53" customFormat="1" ht="15.75" customHeight="1" x14ac:dyDescent="0.25">
      <c r="A51" s="75">
        <v>3</v>
      </c>
      <c r="B51" s="76" t="s">
        <v>45</v>
      </c>
      <c r="C51" s="54" t="str">
        <f>"FY "&amp;M4-1</f>
        <v>FY 2022</v>
      </c>
      <c r="D51" s="77" t="s">
        <v>31</v>
      </c>
      <c r="E51" s="78">
        <f>OrigApprop</f>
        <v>6859700</v>
      </c>
      <c r="F51" s="272">
        <f>AppropFTP</f>
        <v>109</v>
      </c>
      <c r="G51" s="274">
        <f>IF(E51=0,0,(G41/$J$41)*$E$51)</f>
        <v>4727101.1314898888</v>
      </c>
      <c r="H51" s="274">
        <f>IF(E51=0,0,(H41/$J$41)*$E$51)</f>
        <v>1129211.7943025224</v>
      </c>
      <c r="I51" s="275">
        <f>IF(E51=0,0,(I41/$J$41)*$E$51)</f>
        <v>1003387.07420759</v>
      </c>
      <c r="J51" s="90">
        <f>SUM(G51:I51)</f>
        <v>6859700.0000000009</v>
      </c>
      <c r="K51" s="263"/>
      <c r="L51" s="61"/>
      <c r="M51" s="81"/>
      <c r="N51" s="81"/>
      <c r="O51"/>
      <c r="P51"/>
      <c r="Q51"/>
      <c r="R51"/>
      <c r="S51"/>
      <c r="T51"/>
      <c r="U51"/>
      <c r="V51"/>
      <c r="W51"/>
      <c r="X51"/>
      <c r="Y51"/>
      <c r="Z51" s="344"/>
      <c r="AA51" s="346"/>
      <c r="AB51" s="363"/>
      <c r="AC51" s="363"/>
      <c r="AD51" s="110"/>
      <c r="AE51" s="41"/>
      <c r="AF51" s="41"/>
      <c r="AG51" s="41"/>
      <c r="AH51" s="41"/>
      <c r="AI51" s="41"/>
      <c r="AJ51" s="41"/>
      <c r="AK51" s="41"/>
      <c r="AL51" s="41"/>
      <c r="AM51" s="41"/>
      <c r="AN51" s="41"/>
      <c r="AO51" s="41"/>
      <c r="AP51" s="41"/>
      <c r="AQ51" s="41"/>
      <c r="AR51" s="41"/>
      <c r="AS51" s="41"/>
      <c r="AT51" s="41"/>
      <c r="AU51" s="41"/>
      <c r="AV51" s="41"/>
      <c r="AW51" s="41"/>
      <c r="AX51" s="41"/>
      <c r="AY51" s="41"/>
      <c r="AZ51" s="41"/>
      <c r="BA51" s="41"/>
      <c r="BB51" s="41"/>
      <c r="BC51" s="41"/>
      <c r="BD51" s="41"/>
      <c r="BE51" s="41"/>
      <c r="BF51" s="41"/>
      <c r="BG51" s="41"/>
      <c r="BH51" s="41"/>
      <c r="BI51" s="41"/>
      <c r="BJ51" s="41"/>
      <c r="BK51" s="41"/>
      <c r="BL51" s="41"/>
      <c r="BM51" s="41"/>
      <c r="BN51" s="41"/>
      <c r="BO51" s="41"/>
      <c r="BP51" s="41"/>
      <c r="BQ51" s="41"/>
      <c r="BR51" s="41"/>
      <c r="BS51" s="41"/>
      <c r="BT51" s="41"/>
      <c r="BU51" s="41"/>
      <c r="BV51" s="41"/>
      <c r="BW51" s="41"/>
      <c r="BX51" s="41"/>
      <c r="BY51" s="41"/>
      <c r="BZ51" s="41"/>
      <c r="CA51" s="41"/>
      <c r="CB51" s="41"/>
      <c r="CC51" s="41"/>
      <c r="CD51" s="41"/>
      <c r="CE51" s="41"/>
      <c r="CF51" s="41"/>
      <c r="CG51" s="41"/>
      <c r="CH51" s="41"/>
      <c r="CI51" s="41"/>
      <c r="CJ51" s="41"/>
      <c r="CK51" s="41"/>
      <c r="CL51" s="41"/>
      <c r="CM51" s="41"/>
      <c r="CN51" s="41"/>
      <c r="CO51" s="41"/>
      <c r="CP51" s="41"/>
    </row>
    <row r="52" spans="1:94" s="53" customFormat="1" ht="15.75" customHeight="1" x14ac:dyDescent="0.25">
      <c r="A52" s="82"/>
      <c r="B52" s="83"/>
      <c r="C52" s="84"/>
      <c r="D52" s="132" t="s">
        <v>46</v>
      </c>
      <c r="E52" s="133"/>
      <c r="F52" s="55">
        <f>F51</f>
        <v>109</v>
      </c>
      <c r="G52" s="79">
        <f>ROUND(G51,-2)</f>
        <v>4727100</v>
      </c>
      <c r="H52" s="79">
        <f>ROUND(H51,-2)</f>
        <v>1129200</v>
      </c>
      <c r="I52" s="266">
        <f>ROUND(I51,-2)</f>
        <v>1003400</v>
      </c>
      <c r="J52" s="80">
        <f>ROUND(J51,-2)</f>
        <v>6859700</v>
      </c>
      <c r="K52" s="263"/>
      <c r="L52" s="61"/>
      <c r="M52" s="81"/>
      <c r="N52" s="81"/>
      <c r="O52"/>
      <c r="P52"/>
      <c r="Q52"/>
      <c r="R52"/>
      <c r="S52"/>
      <c r="T52"/>
      <c r="U52"/>
      <c r="V52"/>
      <c r="W52"/>
      <c r="X52"/>
      <c r="Y52"/>
      <c r="Z52" s="344"/>
      <c r="AA52" s="347"/>
      <c r="AB52" s="363"/>
      <c r="AC52" s="363"/>
      <c r="AD52" s="110"/>
      <c r="AE52" s="41"/>
      <c r="AF52" s="41"/>
      <c r="AG52" s="41"/>
      <c r="AH52" s="41"/>
      <c r="AI52" s="41"/>
      <c r="AJ52" s="41"/>
      <c r="AK52" s="41"/>
      <c r="AL52" s="41"/>
      <c r="AM52" s="41"/>
      <c r="AN52" s="41"/>
      <c r="AO52" s="41"/>
      <c r="AP52" s="41"/>
      <c r="AQ52" s="41"/>
      <c r="AR52" s="41"/>
      <c r="AS52" s="41"/>
      <c r="AT52" s="41"/>
      <c r="AU52" s="41"/>
      <c r="AV52" s="41"/>
      <c r="AW52" s="41"/>
      <c r="AX52" s="41"/>
      <c r="AY52" s="41"/>
      <c r="AZ52" s="41"/>
      <c r="BA52" s="41"/>
      <c r="BB52" s="41"/>
      <c r="BC52" s="41"/>
      <c r="BD52" s="41"/>
      <c r="BE52" s="41"/>
      <c r="BF52" s="41"/>
      <c r="BG52" s="41"/>
      <c r="BH52" s="41"/>
      <c r="BI52" s="41"/>
      <c r="BJ52" s="41"/>
      <c r="BK52" s="41"/>
      <c r="BL52" s="41"/>
      <c r="BM52" s="41"/>
      <c r="BN52" s="41"/>
      <c r="BO52" s="41"/>
      <c r="BP52" s="41"/>
      <c r="BQ52" s="41"/>
      <c r="BR52" s="41"/>
      <c r="BS52" s="41"/>
      <c r="BT52" s="41"/>
      <c r="BU52" s="41"/>
      <c r="BV52" s="41"/>
      <c r="BW52" s="41"/>
      <c r="BX52" s="41"/>
      <c r="BY52" s="41"/>
      <c r="BZ52" s="41"/>
      <c r="CA52" s="41"/>
      <c r="CB52" s="41"/>
      <c r="CC52" s="41"/>
      <c r="CD52" s="41"/>
      <c r="CE52" s="41"/>
      <c r="CF52" s="41"/>
      <c r="CG52" s="41"/>
      <c r="CH52" s="41"/>
      <c r="CI52" s="41"/>
      <c r="CJ52" s="41"/>
      <c r="CK52" s="41"/>
      <c r="CL52" s="41"/>
      <c r="CM52" s="41"/>
      <c r="CN52" s="41"/>
      <c r="CO52" s="41"/>
      <c r="CP52" s="41"/>
    </row>
    <row r="53" spans="1:94" s="53" customFormat="1" ht="15" x14ac:dyDescent="0.25">
      <c r="A53" s="85"/>
      <c r="B53" s="83"/>
      <c r="C53" s="441" t="s">
        <v>47</v>
      </c>
      <c r="D53" s="442"/>
      <c r="E53" s="271"/>
      <c r="F53" s="273"/>
      <c r="G53" s="62"/>
      <c r="H53" s="62"/>
      <c r="I53" s="62"/>
      <c r="J53" s="62"/>
      <c r="K53" s="62"/>
      <c r="L53" s="61"/>
      <c r="M53" s="86"/>
      <c r="N53" s="86"/>
      <c r="O53"/>
      <c r="P53"/>
      <c r="Q53"/>
      <c r="R53"/>
      <c r="S53"/>
      <c r="T53"/>
      <c r="U53"/>
      <c r="V53"/>
      <c r="W53"/>
      <c r="X53"/>
      <c r="Y53"/>
      <c r="Z53" s="344"/>
      <c r="AA53" s="363"/>
      <c r="AB53" s="363"/>
      <c r="AC53" s="363"/>
      <c r="AD53" s="110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U53" s="41"/>
      <c r="AV53" s="41"/>
      <c r="AW53" s="41"/>
      <c r="AX53" s="41"/>
      <c r="AY53" s="41"/>
      <c r="AZ53" s="41"/>
      <c r="BA53" s="41"/>
      <c r="BB53" s="41"/>
      <c r="BC53" s="41"/>
      <c r="BD53" s="41"/>
      <c r="BE53" s="41"/>
      <c r="BF53" s="41"/>
      <c r="BG53" s="41"/>
      <c r="BH53" s="41"/>
      <c r="BI53" s="41"/>
      <c r="BJ53" s="41"/>
      <c r="BK53" s="41"/>
      <c r="BL53" s="41"/>
      <c r="BM53" s="41"/>
      <c r="BN53" s="41"/>
      <c r="BO53" s="41"/>
      <c r="BP53" s="41"/>
      <c r="BQ53" s="41"/>
      <c r="BR53" s="41"/>
      <c r="BS53" s="41"/>
      <c r="BT53" s="41"/>
      <c r="BU53" s="41"/>
      <c r="BV53" s="41"/>
      <c r="BW53" s="41"/>
      <c r="BX53" s="41"/>
      <c r="BY53" s="41"/>
      <c r="BZ53" s="41"/>
      <c r="CA53" s="41"/>
      <c r="CB53" s="41"/>
      <c r="CC53" s="41"/>
      <c r="CD53" s="41"/>
      <c r="CE53" s="41"/>
      <c r="CF53" s="41"/>
      <c r="CG53" s="41"/>
      <c r="CH53" s="41"/>
      <c r="CI53" s="41"/>
      <c r="CJ53" s="41"/>
      <c r="CK53" s="41"/>
      <c r="CL53" s="41"/>
      <c r="CM53" s="41"/>
      <c r="CN53" s="41"/>
      <c r="CO53" s="41"/>
      <c r="CP53" s="41"/>
    </row>
    <row r="54" spans="1:94" s="53" customFormat="1" ht="15.75" customHeight="1" x14ac:dyDescent="0.25">
      <c r="A54" s="85">
        <v>4.1100000000000003</v>
      </c>
      <c r="B54" s="83"/>
      <c r="C54" s="408" t="s">
        <v>48</v>
      </c>
      <c r="D54" s="409"/>
      <c r="E54" s="59"/>
      <c r="F54" s="58">
        <v>0</v>
      </c>
      <c r="G54" s="88">
        <v>0</v>
      </c>
      <c r="H54" s="88">
        <v>0</v>
      </c>
      <c r="I54" s="265">
        <v>0</v>
      </c>
      <c r="J54" s="89">
        <f>SUM(G54:I54)</f>
        <v>0</v>
      </c>
      <c r="K54" s="62"/>
      <c r="L54" s="61"/>
      <c r="M54" s="86"/>
      <c r="N54" s="86"/>
      <c r="O54"/>
      <c r="P54"/>
      <c r="Q54"/>
      <c r="R54"/>
      <c r="S54"/>
      <c r="T54"/>
      <c r="U54"/>
      <c r="V54"/>
      <c r="W54"/>
      <c r="X54"/>
      <c r="Y54"/>
      <c r="Z54" s="344"/>
      <c r="AA54" s="363"/>
      <c r="AB54" s="363"/>
      <c r="AC54" s="363"/>
      <c r="AD54" s="110"/>
      <c r="AE54" s="41"/>
      <c r="AF54" s="41"/>
      <c r="AG54" s="41"/>
      <c r="AH54" s="41"/>
      <c r="AI54" s="41"/>
      <c r="AJ54" s="41"/>
      <c r="AK54" s="41"/>
      <c r="AL54" s="41"/>
      <c r="AM54" s="41"/>
      <c r="AN54" s="41"/>
      <c r="AO54" s="41"/>
      <c r="AP54" s="41"/>
      <c r="AQ54" s="41"/>
      <c r="AR54" s="41"/>
      <c r="AS54" s="41"/>
      <c r="AT54" s="41"/>
      <c r="AU54" s="41"/>
      <c r="AV54" s="41"/>
      <c r="AW54" s="41"/>
      <c r="AX54" s="41"/>
      <c r="AY54" s="41"/>
      <c r="AZ54" s="41"/>
      <c r="BA54" s="41"/>
      <c r="BB54" s="41"/>
      <c r="BC54" s="41"/>
      <c r="BD54" s="41"/>
      <c r="BE54" s="41"/>
      <c r="BF54" s="41"/>
      <c r="BG54" s="41"/>
      <c r="BH54" s="41"/>
      <c r="BI54" s="41"/>
      <c r="BJ54" s="41"/>
      <c r="BK54" s="41"/>
      <c r="BL54" s="41"/>
      <c r="BM54" s="41"/>
      <c r="BN54" s="41"/>
      <c r="BO54" s="41"/>
      <c r="BP54" s="41"/>
      <c r="BQ54" s="41"/>
      <c r="BR54" s="41"/>
      <c r="BS54" s="41"/>
      <c r="BT54" s="41"/>
      <c r="BU54" s="41"/>
      <c r="BV54" s="41"/>
      <c r="BW54" s="41"/>
      <c r="BX54" s="41"/>
      <c r="BY54" s="41"/>
      <c r="BZ54" s="41"/>
      <c r="CA54" s="41"/>
      <c r="CB54" s="41"/>
      <c r="CC54" s="41"/>
      <c r="CD54" s="41"/>
      <c r="CE54" s="41"/>
      <c r="CF54" s="41"/>
      <c r="CG54" s="41"/>
      <c r="CH54" s="41"/>
      <c r="CI54" s="41"/>
      <c r="CJ54" s="41"/>
      <c r="CK54" s="41"/>
      <c r="CL54" s="41"/>
      <c r="CM54" s="41"/>
      <c r="CN54" s="41"/>
      <c r="CO54" s="41"/>
      <c r="CP54" s="41"/>
    </row>
    <row r="55" spans="1:94" s="53" customFormat="1" ht="15.75" customHeight="1" x14ac:dyDescent="0.25">
      <c r="A55" s="85">
        <v>4.3099999999999996</v>
      </c>
      <c r="B55" s="83"/>
      <c r="C55" s="421" t="s">
        <v>49</v>
      </c>
      <c r="D55" s="422"/>
      <c r="E55" s="59"/>
      <c r="F55" s="277">
        <v>0</v>
      </c>
      <c r="G55" s="92">
        <v>0</v>
      </c>
      <c r="H55" s="92">
        <v>0</v>
      </c>
      <c r="I55" s="264">
        <v>0</v>
      </c>
      <c r="J55" s="287">
        <f>SUM(G55:I55)</f>
        <v>0</v>
      </c>
      <c r="K55" s="62"/>
      <c r="L55" s="88"/>
      <c r="M55" s="261"/>
      <c r="N55" s="89">
        <f>SUM(L55:M55)</f>
        <v>0</v>
      </c>
      <c r="O55"/>
      <c r="P55"/>
      <c r="Q55"/>
      <c r="R55"/>
      <c r="S55"/>
      <c r="T55"/>
      <c r="U55"/>
      <c r="V55"/>
      <c r="W55"/>
      <c r="X55"/>
      <c r="Y55"/>
      <c r="Z55" s="344"/>
      <c r="AA55" s="363"/>
      <c r="AB55" s="363"/>
      <c r="AC55" s="363"/>
      <c r="AD55" s="110"/>
      <c r="AE55" s="41"/>
      <c r="AF55" s="41"/>
      <c r="AG55" s="41"/>
      <c r="AH55" s="41"/>
      <c r="AI55" s="41"/>
      <c r="AJ55" s="41"/>
      <c r="AK55" s="41"/>
      <c r="AL55" s="41"/>
      <c r="AM55" s="41"/>
      <c r="AN55" s="41"/>
      <c r="AO55" s="41"/>
      <c r="AP55" s="41"/>
      <c r="AQ55" s="41"/>
      <c r="AR55" s="41"/>
      <c r="AS55" s="41"/>
      <c r="AT55" s="41"/>
      <c r="AU55" s="41"/>
      <c r="AV55" s="41"/>
      <c r="AW55" s="41"/>
      <c r="AX55" s="41"/>
      <c r="AY55" s="41"/>
      <c r="AZ55" s="41"/>
      <c r="BA55" s="41"/>
      <c r="BB55" s="41"/>
      <c r="BC55" s="41"/>
      <c r="BD55" s="41"/>
      <c r="BE55" s="41"/>
      <c r="BF55" s="41"/>
      <c r="BG55" s="41"/>
      <c r="BH55" s="41"/>
      <c r="BI55" s="41"/>
      <c r="BJ55" s="41"/>
      <c r="BK55" s="41"/>
      <c r="BL55" s="41"/>
      <c r="BM55" s="41"/>
      <c r="BN55" s="41"/>
      <c r="BO55" s="41"/>
      <c r="BP55" s="41"/>
      <c r="BQ55" s="41"/>
      <c r="BR55" s="41"/>
      <c r="BS55" s="41"/>
      <c r="BT55" s="41"/>
      <c r="BU55" s="41"/>
      <c r="BV55" s="41"/>
      <c r="BW55" s="41"/>
      <c r="BX55" s="41"/>
      <c r="BY55" s="41"/>
      <c r="BZ55" s="41"/>
      <c r="CA55" s="41"/>
      <c r="CB55" s="41"/>
      <c r="CC55" s="41"/>
      <c r="CD55" s="41"/>
      <c r="CE55" s="41"/>
      <c r="CF55" s="41"/>
      <c r="CG55" s="41"/>
      <c r="CH55" s="41"/>
      <c r="CI55" s="41"/>
      <c r="CJ55" s="41"/>
      <c r="CK55" s="41"/>
      <c r="CL55" s="41"/>
      <c r="CM55" s="41"/>
      <c r="CN55" s="41"/>
      <c r="CO55" s="41"/>
      <c r="CP55" s="41"/>
    </row>
    <row r="56" spans="1:94" s="53" customFormat="1" ht="15.75" customHeight="1" x14ac:dyDescent="0.25">
      <c r="A56" s="75">
        <v>5</v>
      </c>
      <c r="B56" s="76"/>
      <c r="C56" s="54" t="str">
        <f>"FY "&amp;M4-1</f>
        <v>FY 2022</v>
      </c>
      <c r="D56" s="131" t="s">
        <v>50</v>
      </c>
      <c r="E56" s="135"/>
      <c r="F56" s="55">
        <f>SUM(F52:F55)</f>
        <v>109</v>
      </c>
      <c r="G56" s="80">
        <f>SUM(G52:G55)</f>
        <v>4727100</v>
      </c>
      <c r="H56" s="80">
        <f>SUM(H52:H55)</f>
        <v>1129200</v>
      </c>
      <c r="I56" s="260">
        <f>SUM(I52:I55)</f>
        <v>1003400</v>
      </c>
      <c r="J56" s="80">
        <f>SUM(J52:J55)</f>
        <v>6859700</v>
      </c>
      <c r="K56" s="263"/>
      <c r="L56" s="61"/>
      <c r="M56" s="61"/>
      <c r="N56" s="61"/>
      <c r="O56"/>
      <c r="P56"/>
      <c r="Q56"/>
      <c r="R56"/>
      <c r="S56"/>
      <c r="T56"/>
      <c r="U56"/>
      <c r="V56"/>
      <c r="W56"/>
      <c r="X56"/>
      <c r="Y56"/>
      <c r="Z56" s="344"/>
      <c r="AA56" s="363"/>
      <c r="AB56" s="363"/>
      <c r="AC56" s="363"/>
      <c r="AD56" s="110"/>
      <c r="AE56" s="41"/>
      <c r="AF56" s="41"/>
      <c r="AG56" s="41"/>
      <c r="AH56" s="41"/>
      <c r="AI56" s="41"/>
      <c r="AJ56" s="41"/>
      <c r="AK56" s="41"/>
      <c r="AL56" s="41"/>
      <c r="AM56" s="41"/>
      <c r="AN56" s="41"/>
      <c r="AO56" s="41"/>
      <c r="AP56" s="41"/>
      <c r="AQ56" s="41"/>
      <c r="AR56" s="41"/>
      <c r="AS56" s="41"/>
      <c r="AT56" s="41"/>
      <c r="AU56" s="41"/>
      <c r="AV56" s="41"/>
      <c r="AW56" s="41"/>
      <c r="AX56" s="41"/>
      <c r="AY56" s="41"/>
      <c r="AZ56" s="41"/>
      <c r="BA56" s="41"/>
      <c r="BB56" s="41"/>
      <c r="BC56" s="41"/>
      <c r="BD56" s="41"/>
      <c r="BE56" s="41"/>
      <c r="BF56" s="41"/>
      <c r="BG56" s="41"/>
      <c r="BH56" s="41"/>
      <c r="BI56" s="41"/>
      <c r="BJ56" s="41"/>
      <c r="BK56" s="41"/>
      <c r="BL56" s="41"/>
      <c r="BM56" s="41"/>
      <c r="BN56" s="41"/>
      <c r="BO56" s="41"/>
      <c r="BP56" s="41"/>
      <c r="BQ56" s="41"/>
      <c r="BR56" s="41"/>
      <c r="BS56" s="41"/>
      <c r="BT56" s="41"/>
      <c r="BU56" s="41"/>
      <c r="BV56" s="41"/>
      <c r="BW56" s="41"/>
      <c r="BX56" s="41"/>
      <c r="BY56" s="41"/>
      <c r="BZ56" s="41"/>
      <c r="CA56" s="41"/>
      <c r="CB56" s="41"/>
      <c r="CC56" s="41"/>
      <c r="CD56" s="41"/>
      <c r="CE56" s="41"/>
      <c r="CF56" s="41"/>
      <c r="CG56" s="41"/>
      <c r="CH56" s="41"/>
      <c r="CI56" s="41"/>
      <c r="CJ56" s="41"/>
      <c r="CK56" s="41"/>
      <c r="CL56" s="41"/>
      <c r="CM56" s="41"/>
      <c r="CN56" s="41"/>
      <c r="CO56" s="41"/>
      <c r="CP56" s="41"/>
    </row>
    <row r="57" spans="1:94" s="53" customFormat="1" ht="15.75" customHeight="1" x14ac:dyDescent="0.25">
      <c r="A57" s="85"/>
      <c r="B57" s="83"/>
      <c r="C57" s="419" t="s">
        <v>51</v>
      </c>
      <c r="D57" s="423"/>
      <c r="E57" s="367"/>
      <c r="F57" s="273"/>
      <c r="G57" s="62"/>
      <c r="H57" s="62"/>
      <c r="I57" s="62"/>
      <c r="J57" s="62"/>
      <c r="K57" s="62"/>
      <c r="L57" s="61"/>
      <c r="M57" s="61"/>
      <c r="N57" s="61"/>
      <c r="O57"/>
      <c r="P57"/>
      <c r="Q57"/>
      <c r="R57"/>
      <c r="S57"/>
      <c r="T57"/>
      <c r="U57"/>
      <c r="V57"/>
      <c r="W57"/>
      <c r="X57"/>
      <c r="Y57"/>
      <c r="Z57" s="344"/>
      <c r="AA57" s="363"/>
      <c r="AB57" s="363"/>
      <c r="AC57" s="363"/>
      <c r="AD57" s="110"/>
      <c r="AE57" s="41"/>
      <c r="AF57" s="41"/>
      <c r="AG57" s="41"/>
      <c r="AH57" s="41"/>
      <c r="AI57" s="41"/>
      <c r="AJ57" s="41"/>
      <c r="AK57" s="41"/>
      <c r="AL57" s="41"/>
      <c r="AM57" s="41"/>
      <c r="AN57" s="41"/>
      <c r="AO57" s="41"/>
      <c r="AP57" s="41"/>
      <c r="AQ57" s="41"/>
      <c r="AR57" s="41"/>
      <c r="AS57" s="41"/>
      <c r="AT57" s="41"/>
      <c r="AU57" s="41"/>
      <c r="AV57" s="41"/>
      <c r="AW57" s="41"/>
      <c r="AX57" s="41"/>
      <c r="AY57" s="41"/>
      <c r="AZ57" s="41"/>
      <c r="BA57" s="41"/>
      <c r="BB57" s="41"/>
      <c r="BC57" s="41"/>
      <c r="BD57" s="41"/>
      <c r="BE57" s="41"/>
      <c r="BF57" s="41"/>
      <c r="BG57" s="41"/>
      <c r="BH57" s="41"/>
      <c r="BI57" s="41"/>
      <c r="BJ57" s="41"/>
      <c r="BK57" s="41"/>
      <c r="BL57" s="41"/>
      <c r="BM57" s="41"/>
      <c r="BN57" s="41"/>
      <c r="BO57" s="41"/>
      <c r="BP57" s="41"/>
      <c r="BQ57" s="41"/>
      <c r="BR57" s="41"/>
      <c r="BS57" s="41"/>
      <c r="BT57" s="41"/>
      <c r="BU57" s="41"/>
      <c r="BV57" s="41"/>
      <c r="BW57" s="41"/>
      <c r="BX57" s="41"/>
      <c r="BY57" s="41"/>
      <c r="BZ57" s="41"/>
      <c r="CA57" s="41"/>
      <c r="CB57" s="41"/>
      <c r="CC57" s="41"/>
      <c r="CD57" s="41"/>
      <c r="CE57" s="41"/>
      <c r="CF57" s="41"/>
      <c r="CG57" s="41"/>
      <c r="CH57" s="41"/>
      <c r="CI57" s="41"/>
      <c r="CJ57" s="41"/>
      <c r="CK57" s="41"/>
      <c r="CL57" s="41"/>
      <c r="CM57" s="41"/>
      <c r="CN57" s="41"/>
      <c r="CO57" s="41"/>
      <c r="CP57" s="41"/>
    </row>
    <row r="58" spans="1:94" s="53" customFormat="1" ht="15.75" customHeight="1" x14ac:dyDescent="0.25">
      <c r="A58" s="85">
        <v>6.31</v>
      </c>
      <c r="B58" s="83"/>
      <c r="C58" s="408" t="s">
        <v>52</v>
      </c>
      <c r="D58" s="409"/>
      <c r="E58" s="102"/>
      <c r="F58" s="58">
        <v>0</v>
      </c>
      <c r="G58" s="88">
        <v>0</v>
      </c>
      <c r="H58" s="88">
        <v>0</v>
      </c>
      <c r="I58" s="265">
        <v>0</v>
      </c>
      <c r="J58" s="89">
        <f>SUM(G58:I58)</f>
        <v>0</v>
      </c>
      <c r="K58" s="62"/>
      <c r="L58" s="88"/>
      <c r="M58" s="262"/>
      <c r="N58" s="89">
        <f>SUM(L58:M58)</f>
        <v>0</v>
      </c>
      <c r="O58"/>
      <c r="P58"/>
      <c r="Q58"/>
      <c r="R58"/>
      <c r="S58"/>
      <c r="T58"/>
      <c r="U58"/>
      <c r="V58"/>
      <c r="W58"/>
      <c r="X58"/>
      <c r="Y58"/>
      <c r="Z58" s="344"/>
      <c r="AA58" s="363"/>
      <c r="AB58" s="363"/>
      <c r="AC58" s="363"/>
      <c r="AD58" s="110"/>
      <c r="AE58" s="41"/>
      <c r="AF58" s="41"/>
      <c r="AG58" s="41"/>
      <c r="AH58" s="41"/>
      <c r="AI58" s="41"/>
      <c r="AJ58" s="41"/>
      <c r="AK58" s="41"/>
      <c r="AL58" s="41"/>
      <c r="AM58" s="41"/>
      <c r="AN58" s="41"/>
      <c r="AO58" s="41"/>
      <c r="AP58" s="41"/>
      <c r="AQ58" s="41"/>
      <c r="AR58" s="41"/>
      <c r="AS58" s="41"/>
      <c r="AT58" s="41"/>
      <c r="AU58" s="41"/>
      <c r="AV58" s="41"/>
      <c r="AW58" s="41"/>
      <c r="AX58" s="41"/>
      <c r="AY58" s="41"/>
      <c r="AZ58" s="41"/>
      <c r="BA58" s="41"/>
      <c r="BB58" s="41"/>
      <c r="BC58" s="41"/>
      <c r="BD58" s="41"/>
      <c r="BE58" s="41"/>
      <c r="BF58" s="41"/>
      <c r="BG58" s="41"/>
      <c r="BH58" s="41"/>
      <c r="BI58" s="41"/>
      <c r="BJ58" s="41"/>
      <c r="BK58" s="41"/>
      <c r="BL58" s="41"/>
      <c r="BM58" s="41"/>
      <c r="BN58" s="41"/>
      <c r="BO58" s="41"/>
      <c r="BP58" s="41"/>
      <c r="BQ58" s="41"/>
      <c r="BR58" s="41"/>
      <c r="BS58" s="41"/>
      <c r="BT58" s="41"/>
      <c r="BU58" s="41"/>
      <c r="BV58" s="41"/>
      <c r="BW58" s="41"/>
      <c r="BX58" s="41"/>
      <c r="BY58" s="41"/>
      <c r="BZ58" s="41"/>
      <c r="CA58" s="41"/>
      <c r="CB58" s="41"/>
      <c r="CC58" s="41"/>
      <c r="CD58" s="41"/>
      <c r="CE58" s="41"/>
      <c r="CF58" s="41"/>
      <c r="CG58" s="41"/>
      <c r="CH58" s="41"/>
      <c r="CI58" s="41"/>
      <c r="CJ58" s="41"/>
      <c r="CK58" s="41"/>
      <c r="CL58" s="41"/>
      <c r="CM58" s="41"/>
      <c r="CN58" s="41"/>
      <c r="CO58" s="41"/>
      <c r="CP58" s="41"/>
    </row>
    <row r="59" spans="1:94" s="53" customFormat="1" ht="15.75" customHeight="1" x14ac:dyDescent="0.25">
      <c r="A59" s="85">
        <v>6.51</v>
      </c>
      <c r="B59" s="83"/>
      <c r="C59" s="421" t="s">
        <v>66</v>
      </c>
      <c r="D59" s="422"/>
      <c r="E59" s="102"/>
      <c r="F59" s="58">
        <v>0</v>
      </c>
      <c r="G59" s="88">
        <v>0</v>
      </c>
      <c r="H59" s="92">
        <v>0</v>
      </c>
      <c r="I59" s="264">
        <v>0</v>
      </c>
      <c r="J59" s="267">
        <f>SUM(G59:I59)</f>
        <v>0</v>
      </c>
      <c r="K59" s="62"/>
      <c r="L59" s="88"/>
      <c r="M59" s="261"/>
      <c r="N59" s="89">
        <f>SUM(L59:M59)</f>
        <v>0</v>
      </c>
      <c r="O59"/>
      <c r="P59"/>
      <c r="Q59"/>
      <c r="R59"/>
      <c r="S59"/>
      <c r="T59"/>
      <c r="U59"/>
      <c r="V59"/>
      <c r="W59"/>
      <c r="X59"/>
      <c r="Y59"/>
      <c r="Z59" s="344"/>
      <c r="AA59" s="363"/>
      <c r="AB59" s="363"/>
      <c r="AC59" s="363"/>
      <c r="AD59" s="110"/>
      <c r="AE59" s="41"/>
      <c r="AF59" s="41"/>
      <c r="AG59" s="41"/>
      <c r="AH59" s="41"/>
      <c r="AI59" s="41"/>
      <c r="AJ59" s="41"/>
      <c r="AK59" s="41"/>
      <c r="AL59" s="41"/>
      <c r="AM59" s="41"/>
      <c r="AN59" s="41"/>
      <c r="AO59" s="41"/>
      <c r="AP59" s="41"/>
      <c r="AQ59" s="41"/>
      <c r="AR59" s="41"/>
      <c r="AS59" s="41"/>
      <c r="AT59" s="41"/>
      <c r="AU59" s="41"/>
      <c r="AV59" s="41"/>
      <c r="AW59" s="41"/>
      <c r="AX59" s="41"/>
      <c r="AY59" s="41"/>
      <c r="AZ59" s="41"/>
      <c r="BA59" s="41"/>
      <c r="BB59" s="41"/>
      <c r="BC59" s="41"/>
      <c r="BD59" s="41"/>
      <c r="BE59" s="41"/>
      <c r="BF59" s="41"/>
      <c r="BG59" s="41"/>
      <c r="BH59" s="41"/>
      <c r="BI59" s="41"/>
      <c r="BJ59" s="41"/>
      <c r="BK59" s="41"/>
      <c r="BL59" s="41"/>
      <c r="BM59" s="41"/>
      <c r="BN59" s="41"/>
      <c r="BO59" s="41"/>
      <c r="BP59" s="41"/>
      <c r="BQ59" s="41"/>
      <c r="BR59" s="41"/>
      <c r="BS59" s="41"/>
      <c r="BT59" s="41"/>
      <c r="BU59" s="41"/>
      <c r="BV59" s="41"/>
      <c r="BW59" s="41"/>
      <c r="BX59" s="41"/>
      <c r="BY59" s="41"/>
      <c r="BZ59" s="41"/>
      <c r="CA59" s="41"/>
      <c r="CB59" s="41"/>
      <c r="CC59" s="41"/>
      <c r="CD59" s="41"/>
      <c r="CE59" s="41"/>
      <c r="CF59" s="41"/>
      <c r="CG59" s="41"/>
      <c r="CH59" s="41"/>
      <c r="CI59" s="41"/>
      <c r="CJ59" s="41"/>
      <c r="CK59" s="41"/>
      <c r="CL59" s="41"/>
      <c r="CM59" s="41"/>
      <c r="CN59" s="41"/>
      <c r="CO59" s="41"/>
      <c r="CP59" s="41"/>
    </row>
    <row r="60" spans="1:94" s="53" customFormat="1" ht="15.75" customHeight="1" x14ac:dyDescent="0.25">
      <c r="A60" s="75">
        <v>7</v>
      </c>
      <c r="B60" s="76"/>
      <c r="C60" s="54" t="str">
        <f>"FY "&amp;M4-1</f>
        <v>FY 2022</v>
      </c>
      <c r="D60" s="131" t="s">
        <v>53</v>
      </c>
      <c r="E60" s="135"/>
      <c r="F60" s="55">
        <f>SUM(F56:F59)</f>
        <v>109</v>
      </c>
      <c r="G60" s="80">
        <f>SUM(G56:G59)</f>
        <v>4727100</v>
      </c>
      <c r="H60" s="80">
        <f>SUM(H56:H59)</f>
        <v>1129200</v>
      </c>
      <c r="I60" s="260">
        <f>SUM(I56:I59)</f>
        <v>1003400</v>
      </c>
      <c r="J60" s="80">
        <f>SUM(J56:J59)</f>
        <v>6859700</v>
      </c>
      <c r="K60" s="263"/>
      <c r="L60" s="61"/>
      <c r="M60" s="61"/>
      <c r="N60" s="60"/>
      <c r="O60"/>
      <c r="P60"/>
      <c r="Q60"/>
      <c r="R60"/>
      <c r="S60"/>
      <c r="T60"/>
      <c r="U60"/>
      <c r="V60"/>
      <c r="W60"/>
      <c r="X60"/>
      <c r="Y60"/>
      <c r="Z60" s="344"/>
      <c r="AA60" s="363"/>
      <c r="AB60" s="363"/>
      <c r="AC60" s="363"/>
      <c r="AD60" s="110"/>
      <c r="AE60" s="41"/>
      <c r="AF60" s="41"/>
      <c r="AG60" s="41"/>
      <c r="AH60" s="41"/>
      <c r="AI60" s="41"/>
      <c r="AJ60" s="41"/>
      <c r="AK60" s="41"/>
      <c r="AL60" s="41"/>
      <c r="AM60" s="41"/>
      <c r="AN60" s="41"/>
      <c r="AO60" s="41"/>
      <c r="AP60" s="41"/>
      <c r="AQ60" s="41"/>
      <c r="AR60" s="41"/>
      <c r="AS60" s="41"/>
      <c r="AT60" s="41"/>
      <c r="AU60" s="41"/>
      <c r="AV60" s="41"/>
      <c r="AW60" s="41"/>
      <c r="AX60" s="41"/>
      <c r="AY60" s="41"/>
      <c r="AZ60" s="41"/>
      <c r="BA60" s="41"/>
      <c r="BB60" s="41"/>
      <c r="BC60" s="41"/>
      <c r="BD60" s="41"/>
      <c r="BE60" s="41"/>
      <c r="BF60" s="41"/>
      <c r="BG60" s="41"/>
      <c r="BH60" s="41"/>
      <c r="BI60" s="41"/>
      <c r="BJ60" s="41"/>
      <c r="BK60" s="41"/>
      <c r="BL60" s="41"/>
      <c r="BM60" s="41"/>
      <c r="BN60" s="41"/>
      <c r="BO60" s="41"/>
      <c r="BP60" s="41"/>
      <c r="BQ60" s="41"/>
      <c r="BR60" s="41"/>
      <c r="BS60" s="41"/>
      <c r="BT60" s="41"/>
      <c r="BU60" s="41"/>
      <c r="BV60" s="41"/>
      <c r="BW60" s="41"/>
      <c r="BX60" s="41"/>
      <c r="BY60" s="41"/>
      <c r="BZ60" s="41"/>
      <c r="CA60" s="41"/>
      <c r="CB60" s="41"/>
      <c r="CC60" s="41"/>
      <c r="CD60" s="41"/>
      <c r="CE60" s="41"/>
      <c r="CF60" s="41"/>
      <c r="CG60" s="41"/>
      <c r="CH60" s="41"/>
      <c r="CI60" s="41"/>
      <c r="CJ60" s="41"/>
      <c r="CK60" s="41"/>
      <c r="CL60" s="41"/>
      <c r="CM60" s="41"/>
      <c r="CN60" s="41"/>
      <c r="CO60" s="41"/>
      <c r="CP60" s="41"/>
    </row>
    <row r="61" spans="1:94" s="53" customFormat="1" ht="15.75" customHeight="1" x14ac:dyDescent="0.25">
      <c r="A61" s="85"/>
      <c r="B61" s="83"/>
      <c r="C61" s="419" t="s">
        <v>54</v>
      </c>
      <c r="D61" s="423"/>
      <c r="E61" s="367"/>
      <c r="F61" s="273"/>
      <c r="G61" s="62"/>
      <c r="H61" s="62"/>
      <c r="I61" s="62"/>
      <c r="J61" s="62"/>
      <c r="K61" s="62"/>
      <c r="L61" s="61"/>
      <c r="M61" s="61"/>
      <c r="N61" s="60"/>
      <c r="O61"/>
      <c r="P61"/>
      <c r="Q61"/>
      <c r="R61"/>
      <c r="S61"/>
      <c r="T61"/>
      <c r="U61"/>
      <c r="V61"/>
      <c r="W61"/>
      <c r="X61"/>
      <c r="Y61"/>
      <c r="Z61" s="344"/>
      <c r="AA61" s="363"/>
      <c r="AB61" s="363"/>
      <c r="AC61" s="363"/>
      <c r="AD61" s="110"/>
      <c r="AE61" s="41"/>
      <c r="AF61" s="41"/>
      <c r="AG61" s="41"/>
      <c r="AH61" s="41"/>
      <c r="AI61" s="41"/>
      <c r="AJ61" s="41"/>
      <c r="AK61" s="41"/>
      <c r="AL61" s="41"/>
      <c r="AM61" s="41"/>
      <c r="AN61" s="41"/>
      <c r="AO61" s="41"/>
      <c r="AP61" s="41"/>
      <c r="AQ61" s="41"/>
      <c r="AR61" s="41"/>
      <c r="AS61" s="41"/>
      <c r="AT61" s="41"/>
      <c r="AU61" s="41"/>
      <c r="AV61" s="41"/>
      <c r="AW61" s="41"/>
      <c r="AX61" s="41"/>
      <c r="AY61" s="41"/>
      <c r="AZ61" s="41"/>
      <c r="BA61" s="41"/>
      <c r="BB61" s="41"/>
      <c r="BC61" s="41"/>
      <c r="BD61" s="41"/>
      <c r="BE61" s="41"/>
      <c r="BF61" s="41"/>
      <c r="BG61" s="41"/>
      <c r="BH61" s="41"/>
      <c r="BI61" s="41"/>
      <c r="BJ61" s="41"/>
      <c r="BK61" s="41"/>
      <c r="BL61" s="41"/>
      <c r="BM61" s="41"/>
      <c r="BN61" s="41"/>
      <c r="BO61" s="41"/>
      <c r="BP61" s="41"/>
      <c r="BQ61" s="41"/>
      <c r="BR61" s="41"/>
      <c r="BS61" s="41"/>
      <c r="BT61" s="41"/>
      <c r="BU61" s="41"/>
      <c r="BV61" s="41"/>
      <c r="BW61" s="41"/>
      <c r="BX61" s="41"/>
      <c r="BY61" s="41"/>
      <c r="BZ61" s="41"/>
      <c r="CA61" s="41"/>
      <c r="CB61" s="41"/>
      <c r="CC61" s="41"/>
      <c r="CD61" s="41"/>
      <c r="CE61" s="41"/>
      <c r="CF61" s="41"/>
      <c r="CG61" s="41"/>
      <c r="CH61" s="41"/>
      <c r="CI61" s="41"/>
      <c r="CJ61" s="41"/>
      <c r="CK61" s="41"/>
      <c r="CL61" s="41"/>
      <c r="CM61" s="41"/>
      <c r="CN61" s="41"/>
      <c r="CO61" s="41"/>
      <c r="CP61" s="41"/>
    </row>
    <row r="62" spans="1:94" s="53" customFormat="1" ht="15.75" customHeight="1" x14ac:dyDescent="0.25">
      <c r="A62" s="85">
        <v>8.31</v>
      </c>
      <c r="B62" s="83"/>
      <c r="C62" s="408" t="s">
        <v>67</v>
      </c>
      <c r="D62" s="409"/>
      <c r="E62" s="102"/>
      <c r="F62" s="58">
        <v>0</v>
      </c>
      <c r="G62" s="88">
        <v>0</v>
      </c>
      <c r="H62" s="91">
        <v>0</v>
      </c>
      <c r="I62" s="276">
        <v>0</v>
      </c>
      <c r="J62" s="89">
        <f>SUM(G62:I62)</f>
        <v>0</v>
      </c>
      <c r="K62" s="62"/>
      <c r="L62" s="88"/>
      <c r="M62" s="261"/>
      <c r="N62" s="89">
        <f>SUM(L62:M62)</f>
        <v>0</v>
      </c>
      <c r="O62"/>
      <c r="P62"/>
      <c r="Q62"/>
      <c r="R62"/>
      <c r="S62"/>
      <c r="T62"/>
      <c r="U62"/>
      <c r="V62"/>
      <c r="W62"/>
      <c r="X62"/>
      <c r="Y62"/>
      <c r="Z62" s="344"/>
      <c r="AA62" s="363"/>
      <c r="AB62" s="363"/>
      <c r="AC62" s="363"/>
      <c r="AD62" s="110"/>
      <c r="AE62" s="41"/>
      <c r="AF62" s="41"/>
      <c r="AG62" s="41"/>
      <c r="AH62" s="41"/>
      <c r="AI62" s="41"/>
      <c r="AJ62" s="41"/>
      <c r="AK62" s="41"/>
      <c r="AL62" s="41"/>
      <c r="AM62" s="41"/>
      <c r="AN62" s="41"/>
      <c r="AO62" s="41"/>
      <c r="AP62" s="41"/>
      <c r="AQ62" s="41"/>
      <c r="AR62" s="41"/>
      <c r="AS62" s="41"/>
      <c r="AT62" s="41"/>
      <c r="AU62" s="41"/>
      <c r="AV62" s="41"/>
      <c r="AW62" s="41"/>
      <c r="AX62" s="41"/>
      <c r="AY62" s="41"/>
      <c r="AZ62" s="41"/>
      <c r="BA62" s="41"/>
      <c r="BB62" s="41"/>
      <c r="BC62" s="41"/>
      <c r="BD62" s="41"/>
      <c r="BE62" s="41"/>
      <c r="BF62" s="41"/>
      <c r="BG62" s="41"/>
      <c r="BH62" s="41"/>
      <c r="BI62" s="41"/>
      <c r="BJ62" s="41"/>
      <c r="BK62" s="41"/>
      <c r="BL62" s="41"/>
      <c r="BM62" s="41"/>
      <c r="BN62" s="41"/>
      <c r="BO62" s="41"/>
      <c r="BP62" s="41"/>
      <c r="BQ62" s="41"/>
      <c r="BR62" s="41"/>
      <c r="BS62" s="41"/>
      <c r="BT62" s="41"/>
      <c r="BU62" s="41"/>
      <c r="BV62" s="41"/>
      <c r="BW62" s="41"/>
      <c r="BX62" s="41"/>
      <c r="BY62" s="41"/>
      <c r="BZ62" s="41"/>
      <c r="CA62" s="41"/>
      <c r="CB62" s="41"/>
      <c r="CC62" s="41"/>
      <c r="CD62" s="41"/>
      <c r="CE62" s="41"/>
      <c r="CF62" s="41"/>
      <c r="CG62" s="41"/>
      <c r="CH62" s="41"/>
      <c r="CI62" s="41"/>
      <c r="CJ62" s="41"/>
      <c r="CK62" s="41"/>
      <c r="CL62" s="41"/>
      <c r="CM62" s="41"/>
      <c r="CN62" s="41"/>
      <c r="CO62" s="41"/>
      <c r="CP62" s="41"/>
    </row>
    <row r="63" spans="1:94" s="53" customFormat="1" ht="15.75" customHeight="1" x14ac:dyDescent="0.25">
      <c r="A63" s="85">
        <v>8.41</v>
      </c>
      <c r="B63" s="83"/>
      <c r="C63" s="408" t="s">
        <v>55</v>
      </c>
      <c r="D63" s="409"/>
      <c r="E63" s="102"/>
      <c r="F63" s="58">
        <v>0</v>
      </c>
      <c r="G63" s="89">
        <f>ROUND((OneTimePC_Total-H63)/(1+(PermVB+Retire1)),-2)</f>
        <v>0</v>
      </c>
      <c r="H63" s="89">
        <f>ROUND(IF(AND(F63&lt;0,OneTimePC_Total&lt;0),F63*Health,0),-2)</f>
        <v>0</v>
      </c>
      <c r="I63" s="310">
        <f>OneTimePC_Total-G63-H63</f>
        <v>0</v>
      </c>
      <c r="J63" s="89">
        <v>0</v>
      </c>
      <c r="K63" s="308"/>
      <c r="L63" s="88"/>
      <c r="M63" s="261"/>
      <c r="N63" s="89">
        <f>SUM(L63:M63)</f>
        <v>0</v>
      </c>
      <c r="O63"/>
      <c r="P63"/>
      <c r="Q63"/>
      <c r="R63"/>
      <c r="S63"/>
      <c r="T63"/>
      <c r="U63"/>
      <c r="V63"/>
      <c r="W63"/>
      <c r="X63"/>
      <c r="Y63"/>
      <c r="Z63" s="344"/>
      <c r="AA63" s="363"/>
      <c r="AB63" s="363"/>
      <c r="AC63" s="363"/>
      <c r="AD63" s="110"/>
      <c r="AE63" s="41"/>
      <c r="AF63" s="41"/>
      <c r="AG63" s="41"/>
      <c r="AH63" s="41"/>
      <c r="AI63" s="41"/>
      <c r="AJ63" s="41"/>
      <c r="AK63" s="41"/>
      <c r="AL63" s="41"/>
      <c r="AM63" s="41"/>
      <c r="AN63" s="41"/>
      <c r="AO63" s="41"/>
      <c r="AP63" s="41"/>
      <c r="AQ63" s="41"/>
      <c r="AR63" s="41"/>
      <c r="AS63" s="41"/>
      <c r="AT63" s="41"/>
      <c r="AU63" s="41"/>
      <c r="AV63" s="41"/>
      <c r="AW63" s="41"/>
      <c r="AX63" s="41"/>
      <c r="AY63" s="41"/>
      <c r="AZ63" s="41"/>
      <c r="BA63" s="41"/>
      <c r="BB63" s="41"/>
      <c r="BC63" s="41"/>
      <c r="BD63" s="41"/>
      <c r="BE63" s="41"/>
      <c r="BF63" s="41"/>
      <c r="BG63" s="41"/>
      <c r="BH63" s="41"/>
      <c r="BI63" s="41"/>
      <c r="BJ63" s="41"/>
      <c r="BK63" s="41"/>
      <c r="BL63" s="41"/>
      <c r="BM63" s="41"/>
      <c r="BN63" s="41"/>
      <c r="BO63" s="41"/>
      <c r="BP63" s="41"/>
      <c r="BQ63" s="41"/>
      <c r="BR63" s="41"/>
      <c r="BS63" s="41"/>
      <c r="BT63" s="41"/>
      <c r="BU63" s="41"/>
      <c r="BV63" s="41"/>
      <c r="BW63" s="41"/>
      <c r="BX63" s="41"/>
      <c r="BY63" s="41"/>
      <c r="BZ63" s="41"/>
      <c r="CA63" s="41"/>
      <c r="CB63" s="41"/>
      <c r="CC63" s="41"/>
      <c r="CD63" s="41"/>
      <c r="CE63" s="41"/>
      <c r="CF63" s="41"/>
      <c r="CG63" s="41"/>
      <c r="CH63" s="41"/>
      <c r="CI63" s="41"/>
      <c r="CJ63" s="41"/>
      <c r="CK63" s="41"/>
      <c r="CL63" s="41"/>
      <c r="CM63" s="41"/>
      <c r="CN63" s="41"/>
      <c r="CO63" s="41"/>
      <c r="CP63" s="41"/>
    </row>
    <row r="64" spans="1:94" s="53" customFormat="1" ht="15.75" customHeight="1" thickBot="1" x14ac:dyDescent="0.3">
      <c r="A64" s="93">
        <v>8.51</v>
      </c>
      <c r="B64" s="93"/>
      <c r="C64" s="413" t="s">
        <v>56</v>
      </c>
      <c r="D64" s="414"/>
      <c r="E64" s="134"/>
      <c r="F64" s="58">
        <v>0</v>
      </c>
      <c r="G64" s="88"/>
      <c r="H64" s="88">
        <v>0</v>
      </c>
      <c r="I64" s="265"/>
      <c r="J64" s="89">
        <f>SUM(G64:I64)</f>
        <v>0</v>
      </c>
      <c r="K64" s="62"/>
      <c r="L64" s="88"/>
      <c r="M64" s="261"/>
      <c r="N64" s="89">
        <f>SUM(L64:M64)</f>
        <v>0</v>
      </c>
      <c r="O64"/>
      <c r="P64"/>
      <c r="Q64"/>
      <c r="R64"/>
      <c r="S64"/>
      <c r="T64"/>
      <c r="U64"/>
      <c r="V64"/>
      <c r="W64"/>
      <c r="X64"/>
      <c r="Y64"/>
      <c r="Z64" s="344"/>
      <c r="AA64" s="363"/>
      <c r="AB64" s="363"/>
      <c r="AC64" s="363"/>
      <c r="AD64" s="110"/>
      <c r="AE64" s="41"/>
      <c r="AF64" s="41"/>
      <c r="AG64" s="41"/>
      <c r="AH64" s="41"/>
      <c r="AI64" s="41"/>
      <c r="AJ64" s="41"/>
      <c r="AK64" s="41"/>
      <c r="AL64" s="41"/>
      <c r="AM64" s="41"/>
      <c r="AN64" s="41"/>
      <c r="AO64" s="41"/>
      <c r="AP64" s="41"/>
      <c r="AQ64" s="41"/>
      <c r="AR64" s="41"/>
      <c r="AS64" s="41"/>
      <c r="AT64" s="41"/>
      <c r="AU64" s="41"/>
      <c r="AV64" s="41"/>
      <c r="AW64" s="41"/>
      <c r="AX64" s="41"/>
      <c r="AY64" s="41"/>
      <c r="AZ64" s="41"/>
      <c r="BA64" s="41"/>
      <c r="BB64" s="41"/>
      <c r="BC64" s="41"/>
      <c r="BD64" s="41"/>
      <c r="BE64" s="41"/>
      <c r="BF64" s="41"/>
      <c r="BG64" s="41"/>
      <c r="BH64" s="41"/>
      <c r="BI64" s="41"/>
      <c r="BJ64" s="41"/>
      <c r="BK64" s="41"/>
      <c r="BL64" s="41"/>
      <c r="BM64" s="41"/>
      <c r="BN64" s="41"/>
      <c r="BO64" s="41"/>
      <c r="BP64" s="41"/>
      <c r="BQ64" s="41"/>
      <c r="BR64" s="41"/>
      <c r="BS64" s="41"/>
      <c r="BT64" s="41"/>
      <c r="BU64" s="41"/>
      <c r="BV64" s="41"/>
      <c r="BW64" s="41"/>
      <c r="BX64" s="41"/>
      <c r="BY64" s="41"/>
      <c r="BZ64" s="41"/>
      <c r="CA64" s="41"/>
      <c r="CB64" s="41"/>
      <c r="CC64" s="41"/>
      <c r="CD64" s="41"/>
      <c r="CE64" s="41"/>
      <c r="CF64" s="41"/>
      <c r="CG64" s="41"/>
      <c r="CH64" s="41"/>
      <c r="CI64" s="41"/>
      <c r="CJ64" s="41"/>
      <c r="CK64" s="41"/>
      <c r="CL64" s="41"/>
      <c r="CM64" s="41"/>
      <c r="CN64" s="41"/>
      <c r="CO64" s="41"/>
      <c r="CP64" s="41"/>
    </row>
    <row r="65" spans="1:94" s="53" customFormat="1" ht="6" customHeight="1" thickTop="1" x14ac:dyDescent="0.25">
      <c r="A65" s="94"/>
      <c r="B65" s="95"/>
      <c r="C65" s="415"/>
      <c r="D65" s="416"/>
      <c r="E65" s="96"/>
      <c r="F65" s="97"/>
      <c r="G65" s="98"/>
      <c r="H65" s="98"/>
      <c r="I65" s="98"/>
      <c r="J65" s="98"/>
      <c r="K65" s="98"/>
      <c r="L65" s="98"/>
      <c r="M65" s="99"/>
      <c r="N65" s="95"/>
      <c r="O65"/>
      <c r="P65"/>
      <c r="Q65"/>
      <c r="R65"/>
      <c r="S65"/>
      <c r="T65"/>
      <c r="U65"/>
      <c r="V65"/>
      <c r="W65"/>
      <c r="X65"/>
      <c r="Y65"/>
      <c r="Z65" s="344"/>
      <c r="AA65" s="363"/>
      <c r="AB65" s="363"/>
      <c r="AC65" s="363"/>
      <c r="AD65" s="110"/>
      <c r="AE65" s="41"/>
      <c r="AF65" s="41"/>
      <c r="AG65" s="41"/>
      <c r="AH65" s="41"/>
      <c r="AI65" s="41"/>
      <c r="AJ65" s="41"/>
      <c r="AK65" s="41"/>
      <c r="AL65" s="41"/>
      <c r="AM65" s="41"/>
      <c r="AN65" s="41"/>
      <c r="AO65" s="41"/>
      <c r="AP65" s="41"/>
      <c r="AQ65" s="41"/>
      <c r="AR65" s="41"/>
      <c r="AS65" s="41"/>
      <c r="AT65" s="41"/>
      <c r="AU65" s="41"/>
      <c r="AV65" s="41"/>
      <c r="AW65" s="41"/>
      <c r="AX65" s="41"/>
      <c r="AY65" s="41"/>
      <c r="AZ65" s="41"/>
      <c r="BA65" s="41"/>
      <c r="BB65" s="41"/>
      <c r="BC65" s="41"/>
      <c r="BD65" s="41"/>
      <c r="BE65" s="41"/>
      <c r="BF65" s="41"/>
      <c r="BG65" s="41"/>
      <c r="BH65" s="41"/>
      <c r="BI65" s="41"/>
      <c r="BJ65" s="41"/>
      <c r="BK65" s="41"/>
      <c r="BL65" s="41"/>
      <c r="BM65" s="41"/>
      <c r="BN65" s="41"/>
      <c r="BO65" s="41"/>
      <c r="BP65" s="41"/>
      <c r="BQ65" s="41"/>
      <c r="BR65" s="41"/>
      <c r="BS65" s="41"/>
      <c r="BT65" s="41"/>
      <c r="BU65" s="41"/>
      <c r="BV65" s="41"/>
      <c r="BW65" s="41"/>
      <c r="BX65" s="41"/>
      <c r="BY65" s="41"/>
      <c r="BZ65" s="41"/>
      <c r="CA65" s="41"/>
      <c r="CB65" s="41"/>
      <c r="CC65" s="41"/>
      <c r="CD65" s="41"/>
      <c r="CE65" s="41"/>
      <c r="CF65" s="41"/>
      <c r="CG65" s="41"/>
      <c r="CH65" s="41"/>
      <c r="CI65" s="41"/>
      <c r="CJ65" s="41"/>
      <c r="CK65" s="41"/>
      <c r="CL65" s="41"/>
      <c r="CM65" s="41"/>
      <c r="CN65" s="41"/>
      <c r="CO65" s="41"/>
      <c r="CP65" s="41"/>
    </row>
    <row r="66" spans="1:94" s="107" customFormat="1" ht="15" x14ac:dyDescent="0.25">
      <c r="A66" s="100"/>
      <c r="B66" s="101"/>
      <c r="C66" s="417"/>
      <c r="D66" s="418"/>
      <c r="E66" s="102"/>
      <c r="F66" s="103" t="s">
        <v>24</v>
      </c>
      <c r="G66" s="104" t="str">
        <f>"FY "&amp;M4-2000&amp;" Salary"</f>
        <v>FY 23 Salary</v>
      </c>
      <c r="H66" s="104" t="str">
        <f>"FY"&amp;M4-2000&amp;" Health Ben"</f>
        <v>FY23 Health Ben</v>
      </c>
      <c r="I66" s="104" t="str">
        <f>"FY "&amp;M4-2000&amp;" Var Ben"</f>
        <v>FY 23 Var Ben</v>
      </c>
      <c r="J66" s="104" t="str">
        <f>"FY "&amp;M4&amp;" Total"</f>
        <v>FY 2023 Total</v>
      </c>
      <c r="K66" s="104"/>
      <c r="L66" s="105"/>
      <c r="M66" s="105"/>
      <c r="N66" s="101"/>
      <c r="O66"/>
      <c r="P66"/>
      <c r="Q66"/>
      <c r="R66"/>
      <c r="S66"/>
      <c r="T66"/>
      <c r="U66"/>
      <c r="V66"/>
      <c r="W66"/>
      <c r="X66"/>
      <c r="Y66"/>
      <c r="Z66" s="344"/>
      <c r="AA66" s="339"/>
      <c r="AB66" s="339"/>
      <c r="AC66" s="339"/>
      <c r="AD66" s="105"/>
      <c r="AE66" s="106"/>
      <c r="AF66" s="106"/>
      <c r="AG66" s="106"/>
      <c r="AH66" s="106"/>
      <c r="AI66" s="106"/>
      <c r="AJ66" s="106"/>
      <c r="AK66" s="106"/>
      <c r="AL66" s="106"/>
      <c r="AM66" s="106"/>
      <c r="AN66" s="106"/>
      <c r="AO66" s="106"/>
      <c r="AP66" s="106"/>
      <c r="AQ66" s="106"/>
      <c r="AR66" s="106"/>
      <c r="AS66" s="106"/>
      <c r="AT66" s="106"/>
      <c r="AU66" s="106"/>
      <c r="AV66" s="106"/>
      <c r="AW66" s="106"/>
      <c r="AX66" s="106"/>
      <c r="AY66" s="106"/>
      <c r="AZ66" s="106"/>
      <c r="BA66" s="106"/>
      <c r="BB66" s="106"/>
      <c r="BC66" s="106"/>
      <c r="BD66" s="106"/>
      <c r="BE66" s="106"/>
      <c r="BF66" s="106"/>
      <c r="BG66" s="106"/>
      <c r="BH66" s="106"/>
      <c r="BI66" s="106"/>
      <c r="BJ66" s="106"/>
      <c r="BK66" s="106"/>
      <c r="BL66" s="106"/>
      <c r="BM66" s="106"/>
      <c r="BN66" s="106"/>
      <c r="BO66" s="106"/>
      <c r="BP66" s="106"/>
      <c r="BQ66" s="106"/>
      <c r="BR66" s="106"/>
      <c r="BS66" s="106"/>
      <c r="BT66" s="106"/>
      <c r="BU66" s="106"/>
      <c r="BV66" s="106"/>
      <c r="BW66" s="106"/>
      <c r="BX66" s="106"/>
      <c r="BY66" s="106"/>
      <c r="BZ66" s="106"/>
      <c r="CA66" s="106"/>
      <c r="CB66" s="106"/>
      <c r="CC66" s="106"/>
      <c r="CD66" s="106"/>
      <c r="CE66" s="106"/>
      <c r="CF66" s="106"/>
      <c r="CG66" s="106"/>
      <c r="CH66" s="106"/>
      <c r="CI66" s="106"/>
      <c r="CJ66" s="106"/>
      <c r="CK66" s="106"/>
      <c r="CL66" s="106"/>
      <c r="CM66" s="106"/>
      <c r="CN66" s="106"/>
      <c r="CO66" s="106"/>
      <c r="CP66" s="106"/>
    </row>
    <row r="67" spans="1:94" s="53" customFormat="1" ht="15" x14ac:dyDescent="0.25">
      <c r="A67" s="82">
        <v>9</v>
      </c>
      <c r="B67" s="83"/>
      <c r="C67" s="84" t="str">
        <f>"FY "&amp;M4</f>
        <v>FY 2023</v>
      </c>
      <c r="D67" s="108" t="s">
        <v>57</v>
      </c>
      <c r="E67" s="109"/>
      <c r="F67" s="55">
        <f>SUM(F60:F64)</f>
        <v>109</v>
      </c>
      <c r="G67" s="80">
        <f>SUM(G60:G64)</f>
        <v>4727100</v>
      </c>
      <c r="H67" s="80">
        <f>SUM(H60:H64)</f>
        <v>1129200</v>
      </c>
      <c r="I67" s="80">
        <f>SUM(I60:I64)</f>
        <v>1003400</v>
      </c>
      <c r="J67" s="80">
        <f>SUM(J60:J64)</f>
        <v>6859700</v>
      </c>
      <c r="K67" s="263"/>
      <c r="L67" s="110"/>
      <c r="M67" s="110"/>
      <c r="N67" s="111"/>
      <c r="O67"/>
      <c r="P67"/>
      <c r="Q67"/>
      <c r="R67"/>
      <c r="S67"/>
      <c r="T67"/>
      <c r="U67"/>
      <c r="V67"/>
      <c r="W67"/>
      <c r="X67"/>
      <c r="Y67"/>
      <c r="Z67" s="344"/>
      <c r="AA67" s="363"/>
      <c r="AB67" s="363"/>
      <c r="AC67" s="363"/>
      <c r="AD67" s="110"/>
      <c r="AE67" s="41"/>
      <c r="AF67" s="41"/>
      <c r="AG67" s="41"/>
      <c r="AH67" s="41"/>
      <c r="AI67" s="41"/>
      <c r="AJ67" s="41"/>
      <c r="AK67" s="41"/>
      <c r="AL67" s="41"/>
      <c r="AM67" s="41"/>
      <c r="AN67" s="41"/>
      <c r="AO67" s="41"/>
      <c r="AP67" s="41"/>
      <c r="AQ67" s="41"/>
      <c r="AR67" s="41"/>
      <c r="AS67" s="41"/>
      <c r="AT67" s="41"/>
      <c r="AU67" s="41"/>
      <c r="AV67" s="41"/>
      <c r="AW67" s="41"/>
      <c r="AX67" s="41"/>
      <c r="AY67" s="41"/>
      <c r="AZ67" s="41"/>
      <c r="BA67" s="41"/>
      <c r="BB67" s="41"/>
      <c r="BC67" s="41"/>
      <c r="BD67" s="41"/>
      <c r="BE67" s="41"/>
      <c r="BF67" s="41"/>
      <c r="BG67" s="41"/>
      <c r="BH67" s="41"/>
      <c r="BI67" s="41"/>
      <c r="BJ67" s="41"/>
      <c r="BK67" s="41"/>
      <c r="BL67" s="41"/>
      <c r="BM67" s="41"/>
      <c r="BN67" s="41"/>
      <c r="BO67" s="41"/>
      <c r="BP67" s="41"/>
      <c r="BQ67" s="41"/>
      <c r="BR67" s="41"/>
      <c r="BS67" s="41"/>
      <c r="BT67" s="41"/>
      <c r="BU67" s="41"/>
      <c r="BV67" s="41"/>
      <c r="BW67" s="41"/>
      <c r="BX67" s="41"/>
      <c r="BY67" s="41"/>
      <c r="BZ67" s="41"/>
      <c r="CA67" s="41"/>
      <c r="CB67" s="41"/>
      <c r="CC67" s="41"/>
      <c r="CD67" s="41"/>
      <c r="CE67" s="41"/>
      <c r="CF67" s="41"/>
      <c r="CG67" s="41"/>
      <c r="CH67" s="41"/>
      <c r="CI67" s="41"/>
      <c r="CJ67" s="41"/>
      <c r="CK67" s="41"/>
      <c r="CL67" s="41"/>
      <c r="CM67" s="41"/>
      <c r="CN67" s="41"/>
      <c r="CO67" s="41"/>
      <c r="CP67" s="41"/>
    </row>
    <row r="68" spans="1:94" s="53" customFormat="1" ht="15.75" customHeight="1" x14ac:dyDescent="0.25">
      <c r="A68" s="85">
        <v>10.11</v>
      </c>
      <c r="B68" s="83"/>
      <c r="C68" s="419" t="s">
        <v>58</v>
      </c>
      <c r="D68" s="420"/>
      <c r="E68" s="112"/>
      <c r="F68" s="288"/>
      <c r="G68" s="287"/>
      <c r="H68" s="113">
        <f>IF(DUNine=0,0,ROUND(SUM(L41:L65),-2))</f>
        <v>0</v>
      </c>
      <c r="I68" s="113"/>
      <c r="J68" s="287">
        <f>SUM(G68:I68)</f>
        <v>0</v>
      </c>
      <c r="K68" s="291"/>
      <c r="L68" s="292"/>
      <c r="M68" s="292"/>
      <c r="N68" s="293"/>
      <c r="O68"/>
      <c r="P68"/>
      <c r="Q68"/>
      <c r="R68"/>
      <c r="S68"/>
      <c r="T68"/>
      <c r="U68"/>
      <c r="V68"/>
      <c r="W68"/>
      <c r="X68"/>
      <c r="Y68"/>
      <c r="Z68" s="344"/>
      <c r="AA68" s="363"/>
      <c r="AB68" s="363"/>
      <c r="AC68" s="363"/>
      <c r="AD68" s="110"/>
      <c r="AE68" s="41"/>
      <c r="AF68" s="41"/>
      <c r="AG68" s="41"/>
      <c r="AH68" s="41"/>
      <c r="AI68" s="41"/>
      <c r="AJ68" s="41"/>
      <c r="AK68" s="41"/>
      <c r="AL68" s="41"/>
      <c r="AM68" s="41"/>
      <c r="AN68" s="41"/>
      <c r="AO68" s="41"/>
      <c r="AP68" s="41"/>
      <c r="AQ68" s="41"/>
      <c r="AR68" s="41"/>
      <c r="AS68" s="41"/>
      <c r="AT68" s="41"/>
      <c r="AU68" s="41"/>
      <c r="AV68" s="41"/>
      <c r="AW68" s="41"/>
      <c r="AX68" s="41"/>
      <c r="AY68" s="41"/>
      <c r="AZ68" s="41"/>
      <c r="BA68" s="41"/>
      <c r="BB68" s="41"/>
      <c r="BC68" s="41"/>
      <c r="BD68" s="41"/>
      <c r="BE68" s="41"/>
      <c r="BF68" s="41"/>
      <c r="BG68" s="41"/>
      <c r="BH68" s="41"/>
      <c r="BI68" s="41"/>
      <c r="BJ68" s="41"/>
      <c r="BK68" s="41"/>
      <c r="BL68" s="41"/>
      <c r="BM68" s="41"/>
      <c r="BN68" s="41"/>
      <c r="BO68" s="41"/>
      <c r="BP68" s="41"/>
      <c r="BQ68" s="41"/>
      <c r="BR68" s="41"/>
      <c r="BS68" s="41"/>
      <c r="BT68" s="41"/>
      <c r="BU68" s="41"/>
      <c r="BV68" s="41"/>
      <c r="BW68" s="41"/>
      <c r="BX68" s="41"/>
      <c r="BY68" s="41"/>
      <c r="BZ68" s="41"/>
      <c r="CA68" s="41"/>
      <c r="CB68" s="41"/>
      <c r="CC68" s="41"/>
      <c r="CD68" s="41"/>
      <c r="CE68" s="41"/>
      <c r="CF68" s="41"/>
      <c r="CG68" s="41"/>
      <c r="CH68" s="41"/>
      <c r="CI68" s="41"/>
      <c r="CJ68" s="41"/>
      <c r="CK68" s="41"/>
      <c r="CL68" s="41"/>
      <c r="CM68" s="41"/>
      <c r="CN68" s="41"/>
      <c r="CO68" s="41"/>
      <c r="CP68" s="41"/>
    </row>
    <row r="69" spans="1:94" s="53" customFormat="1" ht="15" x14ac:dyDescent="0.25">
      <c r="A69" s="85">
        <v>10.119999999999999</v>
      </c>
      <c r="B69" s="83"/>
      <c r="C69" s="419" t="s">
        <v>59</v>
      </c>
      <c r="D69" s="420"/>
      <c r="E69" s="112"/>
      <c r="F69" s="288"/>
      <c r="G69" s="113"/>
      <c r="H69" s="113"/>
      <c r="I69" s="113">
        <f>IF(DUNine=0,0,ROUND(SUM(M41:M64),-2))</f>
        <v>-20000</v>
      </c>
      <c r="J69" s="287">
        <f>SUM(G69:I69)</f>
        <v>-20000</v>
      </c>
      <c r="K69" s="291"/>
      <c r="L69" s="292"/>
      <c r="M69" s="292"/>
      <c r="N69" s="293"/>
      <c r="O69"/>
      <c r="P69"/>
      <c r="Q69"/>
      <c r="R69"/>
      <c r="S69"/>
      <c r="T69"/>
      <c r="U69"/>
      <c r="V69"/>
      <c r="W69"/>
      <c r="X69"/>
      <c r="Y69"/>
      <c r="Z69" s="344"/>
      <c r="AA69" s="363"/>
      <c r="AB69" s="363"/>
      <c r="AC69" s="363"/>
      <c r="AD69" s="110"/>
      <c r="AE69" s="41"/>
      <c r="AF69" s="41"/>
      <c r="AG69" s="41"/>
      <c r="AH69" s="41"/>
      <c r="AI69" s="41"/>
      <c r="AJ69" s="41"/>
      <c r="AK69" s="41"/>
      <c r="AL69" s="41"/>
      <c r="AM69" s="41"/>
      <c r="AN69" s="41"/>
      <c r="AO69" s="41"/>
      <c r="AP69" s="41"/>
      <c r="AQ69" s="41"/>
      <c r="AR69" s="41"/>
      <c r="AS69" s="41"/>
      <c r="AT69" s="41"/>
      <c r="AU69" s="41"/>
      <c r="AV69" s="41"/>
      <c r="AW69" s="41"/>
      <c r="AX69" s="41"/>
      <c r="AY69" s="41"/>
      <c r="AZ69" s="41"/>
      <c r="BA69" s="41"/>
      <c r="BB69" s="41"/>
      <c r="BC69" s="41"/>
      <c r="BD69" s="41"/>
      <c r="BE69" s="41"/>
      <c r="BF69" s="41"/>
      <c r="BG69" s="41"/>
      <c r="BH69" s="41"/>
      <c r="BI69" s="41"/>
      <c r="BJ69" s="41"/>
      <c r="BK69" s="41"/>
      <c r="BL69" s="41"/>
      <c r="BM69" s="41"/>
      <c r="BN69" s="41"/>
      <c r="BO69" s="41"/>
      <c r="BP69" s="41"/>
      <c r="BQ69" s="41"/>
      <c r="BR69" s="41"/>
      <c r="BS69" s="41"/>
      <c r="BT69" s="41"/>
      <c r="BU69" s="41"/>
      <c r="BV69" s="41"/>
      <c r="BW69" s="41"/>
      <c r="BX69" s="41"/>
      <c r="BY69" s="41"/>
      <c r="BZ69" s="41"/>
      <c r="CA69" s="41"/>
      <c r="CB69" s="41"/>
      <c r="CC69" s="41"/>
      <c r="CD69" s="41"/>
      <c r="CE69" s="41"/>
      <c r="CF69" s="41"/>
      <c r="CG69" s="41"/>
      <c r="CH69" s="41"/>
      <c r="CI69" s="41"/>
      <c r="CJ69" s="41"/>
      <c r="CK69" s="41"/>
      <c r="CL69" s="41"/>
      <c r="CM69" s="41"/>
      <c r="CN69" s="41"/>
      <c r="CO69" s="41"/>
      <c r="CP69" s="41"/>
    </row>
    <row r="70" spans="1:94" s="53" customFormat="1" ht="15" x14ac:dyDescent="0.25">
      <c r="A70" s="85"/>
      <c r="B70" s="83"/>
      <c r="C70" s="406"/>
      <c r="D70" s="407"/>
      <c r="E70" s="236" t="s">
        <v>23</v>
      </c>
      <c r="F70" s="288"/>
      <c r="G70" s="113"/>
      <c r="H70" s="113"/>
      <c r="I70" s="113"/>
      <c r="J70" s="287">
        <f>SUM(G70:I70)</f>
        <v>0</v>
      </c>
      <c r="K70" s="291"/>
      <c r="L70" s="292"/>
      <c r="M70" s="294"/>
      <c r="N70" s="295"/>
      <c r="O70"/>
      <c r="P70"/>
      <c r="Q70"/>
      <c r="R70"/>
      <c r="S70"/>
      <c r="T70"/>
      <c r="U70"/>
      <c r="V70"/>
      <c r="W70"/>
      <c r="X70"/>
      <c r="Y70"/>
      <c r="Z70" s="344"/>
      <c r="AA70" s="363"/>
      <c r="AB70" s="363"/>
      <c r="AC70" s="363"/>
      <c r="AD70" s="110"/>
      <c r="AE70" s="41"/>
      <c r="AF70" s="41"/>
      <c r="AG70" s="41"/>
      <c r="AH70" s="41"/>
      <c r="AI70" s="41"/>
      <c r="AJ70" s="41"/>
      <c r="AK70" s="41"/>
      <c r="AL70" s="41"/>
      <c r="AM70" s="41"/>
      <c r="AN70" s="41"/>
      <c r="AO70" s="41"/>
      <c r="AP70" s="41"/>
      <c r="AQ70" s="41"/>
      <c r="AR70" s="41"/>
      <c r="AS70" s="41"/>
      <c r="AT70" s="41"/>
      <c r="AU70" s="41"/>
      <c r="AV70" s="41"/>
      <c r="AW70" s="41"/>
      <c r="AX70" s="41"/>
      <c r="AY70" s="41"/>
      <c r="AZ70" s="41"/>
      <c r="BA70" s="41"/>
      <c r="BB70" s="41"/>
      <c r="BC70" s="41"/>
      <c r="BD70" s="41"/>
      <c r="BE70" s="41"/>
      <c r="BF70" s="41"/>
      <c r="BG70" s="41"/>
      <c r="BH70" s="41"/>
      <c r="BI70" s="41"/>
      <c r="BJ70" s="41"/>
      <c r="BK70" s="41"/>
      <c r="BL70" s="41"/>
      <c r="BM70" s="41"/>
      <c r="BN70" s="41"/>
      <c r="BO70" s="41"/>
      <c r="BP70" s="41"/>
      <c r="BQ70" s="41"/>
      <c r="BR70" s="41"/>
      <c r="BS70" s="41"/>
      <c r="BT70" s="41"/>
      <c r="BU70" s="41"/>
      <c r="BV70" s="41"/>
      <c r="BW70" s="41"/>
      <c r="BX70" s="41"/>
      <c r="BY70" s="41"/>
      <c r="BZ70" s="41"/>
      <c r="CA70" s="41"/>
      <c r="CB70" s="41"/>
      <c r="CC70" s="41"/>
      <c r="CD70" s="41"/>
      <c r="CE70" s="41"/>
      <c r="CF70" s="41"/>
      <c r="CG70" s="41"/>
      <c r="CH70" s="41"/>
      <c r="CI70" s="41"/>
      <c r="CJ70" s="41"/>
      <c r="CK70" s="41"/>
      <c r="CL70" s="41"/>
      <c r="CM70" s="41"/>
      <c r="CN70" s="41"/>
      <c r="CO70" s="41"/>
      <c r="CP70" s="41"/>
    </row>
    <row r="71" spans="1:94" s="53" customFormat="1" ht="15.75" customHeight="1" x14ac:dyDescent="0.25">
      <c r="A71" s="85">
        <v>10.51</v>
      </c>
      <c r="B71" s="83"/>
      <c r="C71" s="408" t="s">
        <v>60</v>
      </c>
      <c r="D71" s="409"/>
      <c r="E71" s="237"/>
      <c r="F71" s="288"/>
      <c r="G71" s="92">
        <v>0</v>
      </c>
      <c r="H71" s="92">
        <v>0</v>
      </c>
      <c r="I71" s="287">
        <f>ROUND(IF(AND($G71&lt;&gt;0,$E71=1),$G71*PermVBBY+$G71*Retire1BY,IF(AND($G71&lt;&gt;0,$E71=2),$G71*GroupVBBY,IF(AND($G71&lt;&gt;0,$E71=3),$G71*ElectVBBY+$G71*Retire1BY,0))),-2)</f>
        <v>0</v>
      </c>
      <c r="J71" s="113">
        <f t="shared" ref="J71:J74" si="11">SUM(G71:I71)</f>
        <v>0</v>
      </c>
      <c r="K71" s="296"/>
      <c r="L71" s="297"/>
      <c r="M71" s="348" t="s">
        <v>112</v>
      </c>
      <c r="N71" s="356"/>
      <c r="O71" s="357"/>
      <c r="P71" s="357"/>
      <c r="Q71"/>
      <c r="R71"/>
      <c r="S71"/>
      <c r="T71"/>
      <c r="U71"/>
      <c r="V71"/>
      <c r="W71"/>
      <c r="X71"/>
      <c r="Y71"/>
      <c r="Z71" s="344"/>
      <c r="AA71" s="363"/>
      <c r="AB71" s="363"/>
      <c r="AC71" s="363"/>
      <c r="AD71" s="110"/>
      <c r="AE71" s="41"/>
      <c r="AF71" s="41"/>
      <c r="AG71" s="41"/>
      <c r="AH71" s="41"/>
      <c r="AI71" s="41"/>
      <c r="AJ71" s="41"/>
      <c r="AK71" s="41"/>
      <c r="AL71" s="41"/>
      <c r="AM71" s="41"/>
      <c r="AN71" s="41"/>
      <c r="AO71" s="41"/>
      <c r="AP71" s="41"/>
      <c r="AQ71" s="41"/>
      <c r="AR71" s="41"/>
      <c r="AS71" s="41"/>
      <c r="AT71" s="41"/>
      <c r="AU71" s="41"/>
      <c r="AV71" s="41"/>
      <c r="AW71" s="41"/>
      <c r="AX71" s="41"/>
      <c r="AY71" s="41"/>
      <c r="AZ71" s="41"/>
      <c r="BA71" s="41"/>
      <c r="BB71" s="41"/>
      <c r="BC71" s="41"/>
      <c r="BD71" s="41"/>
      <c r="BE71" s="41"/>
      <c r="BF71" s="41"/>
      <c r="BG71" s="41"/>
      <c r="BH71" s="41"/>
      <c r="BI71" s="41"/>
      <c r="BJ71" s="41"/>
      <c r="BK71" s="41"/>
      <c r="BL71" s="41"/>
      <c r="BM71" s="41"/>
      <c r="BN71" s="41"/>
      <c r="BO71" s="41"/>
      <c r="BP71" s="41"/>
      <c r="BQ71" s="41"/>
      <c r="BR71" s="41"/>
      <c r="BS71" s="41"/>
      <c r="BT71" s="41"/>
      <c r="BU71" s="41"/>
      <c r="BV71" s="41"/>
      <c r="BW71" s="41"/>
      <c r="BX71" s="41"/>
      <c r="BY71" s="41"/>
      <c r="BZ71" s="41"/>
      <c r="CA71" s="41"/>
      <c r="CB71" s="41"/>
      <c r="CC71" s="41"/>
      <c r="CD71" s="41"/>
      <c r="CE71" s="41"/>
      <c r="CF71" s="41"/>
      <c r="CG71" s="41"/>
      <c r="CH71" s="41"/>
      <c r="CI71" s="41"/>
      <c r="CJ71" s="41"/>
      <c r="CK71" s="41"/>
      <c r="CL71" s="41"/>
      <c r="CM71" s="41"/>
      <c r="CN71" s="41"/>
      <c r="CO71" s="41"/>
      <c r="CP71" s="41"/>
    </row>
    <row r="72" spans="1:94" s="53" customFormat="1" ht="15.75" customHeight="1" x14ac:dyDescent="0.25">
      <c r="A72" s="85">
        <v>10.61</v>
      </c>
      <c r="B72" s="83"/>
      <c r="C72" s="408" t="s">
        <v>101</v>
      </c>
      <c r="D72" s="410"/>
      <c r="E72" s="290">
        <f>CECPerm</f>
        <v>0.01</v>
      </c>
      <c r="F72" s="288"/>
      <c r="G72" s="355">
        <f>IF(DUNine=0,0,IF(DUNine&lt;0,0,ROUND(AdjPermSalary*CECPerm,-2)))</f>
        <v>41700</v>
      </c>
      <c r="H72" s="287"/>
      <c r="I72" s="287">
        <f>ROUND(($G72*PermVBBY+$G72*Retire1BY),-2)</f>
        <v>8700</v>
      </c>
      <c r="J72" s="113">
        <f>SUM(G72:I72)</f>
        <v>50400</v>
      </c>
      <c r="K72" s="296"/>
      <c r="L72" s="298"/>
      <c r="M72" s="349" t="e">
        <f>IF(DUNine=0,0,IF(((#REF!-G39-G40)*E72)&lt;0,0,ROUND(((#REF!-G39-G40)*E72),-2)))</f>
        <v>#REF!</v>
      </c>
      <c r="N72" s="358"/>
      <c r="O72" s="357" t="e">
        <f>IF(DUNine=0,0,IF(DUNine&lt;0,0,IF(SubCECBase&lt;RoundedAppropSalary,ROUND(AdjPermSalary*CECpermCalc,-2)+((SubCECBase-RoundedAppropSalary)*CECpermCalc),IF(SubCECBase&gt;RoundedAppropSalary,ROUND(AdjPermSalary*CECpermCalc,-2)+((SubCECBase-RoundedAppropSalary)*CECpermCalc),ROUND(AdjPermSalary*CECpermCalc,-2)))))</f>
        <v>#REF!</v>
      </c>
      <c r="P72" s="357"/>
      <c r="Q72"/>
      <c r="R72"/>
      <c r="S72"/>
      <c r="T72"/>
      <c r="U72"/>
      <c r="V72"/>
      <c r="W72"/>
      <c r="X72"/>
      <c r="Y72"/>
      <c r="Z72" s="344"/>
      <c r="AA72" s="363"/>
      <c r="AB72" s="363"/>
      <c r="AC72" s="363"/>
      <c r="AD72" s="110"/>
      <c r="AE72" s="41"/>
      <c r="AF72" s="41"/>
      <c r="AG72" s="41"/>
      <c r="AH72" s="41"/>
      <c r="AI72" s="41"/>
      <c r="AJ72" s="41"/>
      <c r="AK72" s="41"/>
      <c r="AL72" s="41"/>
      <c r="AM72" s="41"/>
      <c r="AN72" s="41"/>
      <c r="AO72" s="41"/>
      <c r="AP72" s="41"/>
      <c r="AQ72" s="41"/>
      <c r="AR72" s="41"/>
      <c r="AS72" s="41"/>
      <c r="AT72" s="41"/>
      <c r="AU72" s="41"/>
      <c r="AV72" s="41"/>
      <c r="AW72" s="41"/>
      <c r="AX72" s="41"/>
      <c r="AY72" s="41"/>
      <c r="AZ72" s="41"/>
      <c r="BA72" s="41"/>
      <c r="BB72" s="41"/>
      <c r="BC72" s="41"/>
      <c r="BD72" s="41"/>
      <c r="BE72" s="41"/>
      <c r="BF72" s="41"/>
      <c r="BG72" s="41"/>
      <c r="BH72" s="41"/>
      <c r="BI72" s="41"/>
      <c r="BJ72" s="41"/>
      <c r="BK72" s="41"/>
      <c r="BL72" s="41"/>
      <c r="BM72" s="41"/>
      <c r="BN72" s="41"/>
      <c r="BO72" s="41"/>
      <c r="BP72" s="41"/>
      <c r="BQ72" s="41"/>
      <c r="BR72" s="41"/>
      <c r="BS72" s="41"/>
      <c r="BT72" s="41"/>
      <c r="BU72" s="41"/>
      <c r="BV72" s="41"/>
      <c r="BW72" s="41"/>
      <c r="BX72" s="41"/>
      <c r="BY72" s="41"/>
      <c r="BZ72" s="41"/>
      <c r="CA72" s="41"/>
      <c r="CB72" s="41"/>
      <c r="CC72" s="41"/>
      <c r="CD72" s="41"/>
      <c r="CE72" s="41"/>
      <c r="CF72" s="41"/>
      <c r="CG72" s="41"/>
      <c r="CH72" s="41"/>
      <c r="CI72" s="41"/>
      <c r="CJ72" s="41"/>
      <c r="CK72" s="41"/>
      <c r="CL72" s="41"/>
      <c r="CM72" s="41"/>
      <c r="CN72" s="41"/>
      <c r="CO72" s="41"/>
      <c r="CP72" s="41"/>
    </row>
    <row r="73" spans="1:94" s="53" customFormat="1" ht="15.6" customHeight="1" x14ac:dyDescent="0.25">
      <c r="A73" s="85">
        <v>10.62</v>
      </c>
      <c r="B73" s="83"/>
      <c r="C73" s="408" t="s">
        <v>61</v>
      </c>
      <c r="D73" s="410"/>
      <c r="E73" s="289">
        <f>CECGroup</f>
        <v>0.01</v>
      </c>
      <c r="F73" s="288"/>
      <c r="G73" s="355">
        <f>IF(DUNine=0,0,IF(DUNine&lt;0,0,ROUND(AdjGroupSalary*CECGroup,-2)))</f>
        <v>400</v>
      </c>
      <c r="H73" s="287"/>
      <c r="I73" s="287">
        <f>ROUND(($G73*GroupVBBY),-2)</f>
        <v>0</v>
      </c>
      <c r="J73" s="113">
        <f t="shared" si="11"/>
        <v>400</v>
      </c>
      <c r="K73" s="301"/>
      <c r="L73" s="302"/>
      <c r="M73" s="359"/>
      <c r="N73" s="360"/>
      <c r="O73" s="357"/>
      <c r="P73" s="357"/>
      <c r="Q73"/>
      <c r="R73"/>
      <c r="S73"/>
      <c r="T73"/>
      <c r="U73"/>
      <c r="V73"/>
      <c r="W73"/>
      <c r="X73"/>
      <c r="Y73"/>
      <c r="Z73" s="344"/>
      <c r="AA73" s="363"/>
      <c r="AB73" s="363"/>
      <c r="AC73" s="363"/>
      <c r="AD73" s="110"/>
      <c r="AE73" s="41"/>
      <c r="AF73" s="41"/>
      <c r="AG73" s="41"/>
      <c r="AH73" s="41"/>
      <c r="AI73" s="41"/>
      <c r="AJ73" s="41"/>
      <c r="AK73" s="41"/>
      <c r="AL73" s="41"/>
      <c r="AM73" s="41"/>
      <c r="AN73" s="41"/>
      <c r="AO73" s="41"/>
      <c r="AP73" s="41"/>
      <c r="AQ73" s="41"/>
      <c r="AR73" s="41"/>
      <c r="AS73" s="41"/>
      <c r="AT73" s="41"/>
      <c r="AU73" s="41"/>
      <c r="AV73" s="41"/>
      <c r="AW73" s="41"/>
      <c r="AX73" s="41"/>
      <c r="AY73" s="41"/>
      <c r="AZ73" s="41"/>
      <c r="BA73" s="41"/>
      <c r="BB73" s="41"/>
      <c r="BC73" s="41"/>
      <c r="BD73" s="41"/>
      <c r="BE73" s="41"/>
      <c r="BF73" s="41"/>
      <c r="BG73" s="41"/>
      <c r="BH73" s="41"/>
      <c r="BI73" s="41"/>
      <c r="BJ73" s="41"/>
      <c r="BK73" s="41"/>
      <c r="BL73" s="41"/>
      <c r="BM73" s="41"/>
      <c r="BN73" s="41"/>
      <c r="BO73" s="41"/>
      <c r="BP73" s="41"/>
      <c r="BQ73" s="41"/>
      <c r="BR73" s="41"/>
      <c r="BS73" s="41"/>
      <c r="BT73" s="41"/>
      <c r="BU73" s="41"/>
      <c r="BV73" s="41"/>
      <c r="BW73" s="41"/>
      <c r="BX73" s="41"/>
      <c r="BY73" s="41"/>
      <c r="BZ73" s="41"/>
      <c r="CA73" s="41"/>
      <c r="CB73" s="41"/>
      <c r="CC73" s="41"/>
      <c r="CD73" s="41"/>
      <c r="CE73" s="41"/>
      <c r="CF73" s="41"/>
      <c r="CG73" s="41"/>
      <c r="CH73" s="41"/>
      <c r="CI73" s="41"/>
      <c r="CJ73" s="41"/>
      <c r="CK73" s="41"/>
      <c r="CL73" s="41"/>
      <c r="CM73" s="41"/>
      <c r="CN73" s="41"/>
      <c r="CO73" s="41"/>
      <c r="CP73" s="41"/>
    </row>
    <row r="74" spans="1:94" s="53" customFormat="1" ht="15.6" customHeight="1" x14ac:dyDescent="0.25">
      <c r="A74" s="85">
        <v>10.63</v>
      </c>
      <c r="B74" s="83"/>
      <c r="C74" s="366" t="s">
        <v>62</v>
      </c>
      <c r="D74" s="368"/>
      <c r="E74" s="112"/>
      <c r="F74" s="288"/>
      <c r="G74" s="92">
        <v>0</v>
      </c>
      <c r="H74" s="287"/>
      <c r="I74" s="287">
        <f>ROUND(($G74*ElectVBBY+$G74*Retire1BY),-2)</f>
        <v>0</v>
      </c>
      <c r="J74" s="113">
        <f t="shared" si="11"/>
        <v>0</v>
      </c>
      <c r="K74" s="301"/>
      <c r="L74" s="302"/>
      <c r="M74" s="303"/>
      <c r="N74" s="304"/>
      <c r="O74"/>
      <c r="P74"/>
      <c r="Q74"/>
      <c r="R74"/>
      <c r="S74"/>
      <c r="T74"/>
      <c r="U74"/>
      <c r="V74"/>
      <c r="W74"/>
      <c r="X74"/>
      <c r="Y74"/>
      <c r="Z74" s="344"/>
      <c r="AA74" s="363"/>
      <c r="AB74" s="363"/>
      <c r="AC74" s="363"/>
      <c r="AD74" s="110"/>
      <c r="AE74" s="41"/>
      <c r="AF74" s="41"/>
      <c r="AG74" s="41"/>
      <c r="AH74" s="41"/>
      <c r="AI74" s="41"/>
      <c r="AJ74" s="41"/>
      <c r="AK74" s="41"/>
      <c r="AL74" s="41"/>
      <c r="AM74" s="41"/>
      <c r="AN74" s="41"/>
      <c r="AO74" s="41"/>
      <c r="AP74" s="41"/>
      <c r="AQ74" s="41"/>
      <c r="AR74" s="41"/>
      <c r="AS74" s="41"/>
      <c r="AT74" s="41"/>
      <c r="AU74" s="41"/>
      <c r="AV74" s="41"/>
      <c r="AW74" s="41"/>
      <c r="AX74" s="41"/>
      <c r="AY74" s="41"/>
      <c r="AZ74" s="41"/>
      <c r="BA74" s="41"/>
      <c r="BB74" s="41"/>
      <c r="BC74" s="41"/>
      <c r="BD74" s="41"/>
      <c r="BE74" s="41"/>
      <c r="BF74" s="41"/>
      <c r="BG74" s="41"/>
      <c r="BH74" s="41"/>
      <c r="BI74" s="41"/>
      <c r="BJ74" s="41"/>
      <c r="BK74" s="41"/>
      <c r="BL74" s="41"/>
      <c r="BM74" s="41"/>
      <c r="BN74" s="41"/>
      <c r="BO74" s="41"/>
      <c r="BP74" s="41"/>
      <c r="BQ74" s="41"/>
      <c r="BR74" s="41"/>
      <c r="BS74" s="41"/>
      <c r="BT74" s="41"/>
      <c r="BU74" s="41"/>
      <c r="BV74" s="41"/>
      <c r="BW74" s="41"/>
      <c r="BX74" s="41"/>
      <c r="BY74" s="41"/>
      <c r="BZ74" s="41"/>
      <c r="CA74" s="41"/>
      <c r="CB74" s="41"/>
      <c r="CC74" s="41"/>
      <c r="CD74" s="41"/>
      <c r="CE74" s="41"/>
      <c r="CF74" s="41"/>
      <c r="CG74" s="41"/>
      <c r="CH74" s="41"/>
      <c r="CI74" s="41"/>
      <c r="CJ74" s="41"/>
      <c r="CK74" s="41"/>
      <c r="CL74" s="41"/>
      <c r="CM74" s="41"/>
      <c r="CN74" s="41"/>
      <c r="CO74" s="41"/>
      <c r="CP74" s="41"/>
    </row>
    <row r="75" spans="1:94" s="53" customFormat="1" ht="15.75" customHeight="1" x14ac:dyDescent="0.25">
      <c r="A75" s="75">
        <v>11</v>
      </c>
      <c r="B75" s="76"/>
      <c r="C75" s="54" t="str">
        <f>"FY "&amp;M4</f>
        <v>FY 2023</v>
      </c>
      <c r="D75" s="77" t="s">
        <v>63</v>
      </c>
      <c r="E75" s="112"/>
      <c r="F75" s="55">
        <f>SUM(F67:F74)</f>
        <v>109</v>
      </c>
      <c r="G75" s="80">
        <f>SUM(G67:G74)</f>
        <v>4769200</v>
      </c>
      <c r="H75" s="80">
        <f>SUM(H67:H74)</f>
        <v>1129200</v>
      </c>
      <c r="I75" s="80">
        <f>SUM(I67:I74)</f>
        <v>992100</v>
      </c>
      <c r="J75" s="80">
        <f>SUM(J67:K74)</f>
        <v>6890500</v>
      </c>
      <c r="K75" s="296"/>
      <c r="L75" s="299"/>
      <c r="M75" s="299"/>
      <c r="N75" s="300"/>
      <c r="O75"/>
      <c r="P75"/>
      <c r="Q75"/>
      <c r="R75"/>
      <c r="S75"/>
      <c r="T75"/>
      <c r="U75"/>
      <c r="V75"/>
      <c r="W75"/>
      <c r="X75"/>
      <c r="Y75"/>
      <c r="Z75" s="344"/>
      <c r="AA75" s="363"/>
      <c r="AB75" s="363"/>
      <c r="AC75" s="363"/>
      <c r="AD75" s="110"/>
      <c r="AE75" s="41"/>
      <c r="AF75" s="41"/>
      <c r="AG75" s="41"/>
      <c r="AH75" s="41"/>
      <c r="AI75" s="41"/>
      <c r="AJ75" s="41"/>
      <c r="AK75" s="41"/>
      <c r="AL75" s="41"/>
      <c r="AM75" s="41"/>
      <c r="AN75" s="41"/>
      <c r="AO75" s="41"/>
      <c r="AP75" s="41"/>
      <c r="AQ75" s="41"/>
      <c r="AR75" s="41"/>
      <c r="AS75" s="41"/>
      <c r="AT75" s="41"/>
      <c r="AU75" s="41"/>
      <c r="AV75" s="41"/>
      <c r="AW75" s="41"/>
      <c r="AX75" s="41"/>
      <c r="AY75" s="41"/>
      <c r="AZ75" s="41"/>
      <c r="BA75" s="41"/>
      <c r="BB75" s="41"/>
      <c r="BC75" s="41"/>
      <c r="BD75" s="41"/>
      <c r="BE75" s="41"/>
      <c r="BF75" s="41"/>
      <c r="BG75" s="41"/>
      <c r="BH75" s="41"/>
      <c r="BI75" s="41"/>
      <c r="BJ75" s="41"/>
      <c r="BK75" s="41"/>
      <c r="BL75" s="41"/>
      <c r="BM75" s="41"/>
      <c r="BN75" s="41"/>
      <c r="BO75" s="41"/>
      <c r="BP75" s="41"/>
      <c r="BQ75" s="41"/>
      <c r="BR75" s="41"/>
      <c r="BS75" s="41"/>
      <c r="BT75" s="41"/>
      <c r="BU75" s="41"/>
      <c r="BV75" s="41"/>
      <c r="BW75" s="41"/>
      <c r="BX75" s="41"/>
      <c r="BY75" s="41"/>
      <c r="BZ75" s="41"/>
      <c r="CA75" s="41"/>
      <c r="CB75" s="41"/>
      <c r="CC75" s="41"/>
      <c r="CD75" s="41"/>
      <c r="CE75" s="41"/>
      <c r="CF75" s="41"/>
      <c r="CG75" s="41"/>
      <c r="CH75" s="41"/>
      <c r="CI75" s="41"/>
      <c r="CJ75" s="41"/>
      <c r="CK75" s="41"/>
      <c r="CL75" s="41"/>
      <c r="CM75" s="41"/>
      <c r="CN75" s="41"/>
      <c r="CO75" s="41"/>
      <c r="CP75" s="41"/>
    </row>
    <row r="76" spans="1:94" s="53" customFormat="1" ht="28.5" customHeight="1" x14ac:dyDescent="0.25">
      <c r="A76" s="85"/>
      <c r="B76" s="83"/>
      <c r="C76" s="411" t="s">
        <v>64</v>
      </c>
      <c r="D76" s="412"/>
      <c r="E76" s="59"/>
      <c r="F76" s="59"/>
      <c r="G76" s="61"/>
      <c r="H76" s="61"/>
      <c r="I76" s="61"/>
      <c r="J76" s="61"/>
      <c r="K76" s="291"/>
      <c r="L76" s="292"/>
      <c r="M76" s="305"/>
      <c r="N76" s="293"/>
      <c r="O76"/>
      <c r="P76"/>
      <c r="Q76"/>
      <c r="R76"/>
      <c r="S76"/>
      <c r="T76"/>
      <c r="U76"/>
      <c r="V76"/>
      <c r="W76"/>
      <c r="X76"/>
      <c r="Y76"/>
      <c r="Z76" s="344"/>
      <c r="AA76" s="363"/>
      <c r="AB76" s="363"/>
      <c r="AC76" s="363"/>
      <c r="AD76" s="110"/>
      <c r="AE76" s="41"/>
      <c r="AF76" s="41"/>
      <c r="AG76" s="41"/>
      <c r="AH76" s="41"/>
      <c r="AI76" s="41"/>
      <c r="AJ76" s="41"/>
      <c r="AK76" s="41"/>
      <c r="AL76" s="41"/>
      <c r="AM76" s="41"/>
      <c r="AN76" s="41"/>
      <c r="AO76" s="41"/>
      <c r="AP76" s="41"/>
      <c r="AQ76" s="41"/>
      <c r="AR76" s="41"/>
      <c r="AS76" s="41"/>
      <c r="AT76" s="41"/>
      <c r="AU76" s="41"/>
      <c r="AV76" s="41"/>
      <c r="AW76" s="41"/>
      <c r="AX76" s="41"/>
      <c r="AY76" s="41"/>
      <c r="AZ76" s="41"/>
      <c r="BA76" s="41"/>
      <c r="BB76" s="41"/>
      <c r="BC76" s="41"/>
      <c r="BD76" s="41"/>
      <c r="BE76" s="41"/>
      <c r="BF76" s="41"/>
      <c r="BG76" s="41"/>
      <c r="BH76" s="41"/>
      <c r="BI76" s="41"/>
      <c r="BJ76" s="41"/>
      <c r="BK76" s="41"/>
      <c r="BL76" s="41"/>
      <c r="BM76" s="41"/>
      <c r="BN76" s="41"/>
      <c r="BO76" s="41"/>
      <c r="BP76" s="41"/>
      <c r="BQ76" s="41"/>
      <c r="BR76" s="41"/>
      <c r="BS76" s="41"/>
      <c r="BT76" s="41"/>
      <c r="BU76" s="41"/>
      <c r="BV76" s="41"/>
      <c r="BW76" s="41"/>
      <c r="BX76" s="41"/>
      <c r="BY76" s="41"/>
      <c r="BZ76" s="41"/>
      <c r="CA76" s="41"/>
      <c r="CB76" s="41"/>
      <c r="CC76" s="41"/>
      <c r="CD76" s="41"/>
      <c r="CE76" s="41"/>
      <c r="CF76" s="41"/>
      <c r="CG76" s="41"/>
      <c r="CH76" s="41"/>
      <c r="CI76" s="41"/>
      <c r="CJ76" s="41"/>
      <c r="CK76" s="41"/>
      <c r="CL76" s="41"/>
      <c r="CM76" s="41"/>
      <c r="CN76" s="41"/>
      <c r="CO76" s="41"/>
      <c r="CP76" s="41"/>
    </row>
    <row r="77" spans="1:94" s="53" customFormat="1" ht="15" x14ac:dyDescent="0.25">
      <c r="A77" s="116">
        <v>12.01</v>
      </c>
      <c r="B77" s="57"/>
      <c r="C77" s="404"/>
      <c r="D77" s="405"/>
      <c r="E77" s="87"/>
      <c r="F77" s="58"/>
      <c r="G77" s="88"/>
      <c r="H77" s="88"/>
      <c r="I77" s="88"/>
      <c r="J77" s="80">
        <f>ROUND(SUM(G77:I77),-2)</f>
        <v>0</v>
      </c>
      <c r="K77" s="296"/>
      <c r="L77" s="292"/>
      <c r="M77" s="292"/>
      <c r="N77" s="293"/>
      <c r="O77"/>
      <c r="P77"/>
      <c r="Q77"/>
      <c r="R77"/>
      <c r="S77"/>
      <c r="T77"/>
      <c r="U77"/>
      <c r="V77"/>
      <c r="W77"/>
      <c r="X77"/>
      <c r="Y77"/>
      <c r="Z77" s="344"/>
      <c r="AA77" s="363"/>
      <c r="AB77" s="363"/>
      <c r="AC77" s="363"/>
      <c r="AD77" s="110"/>
      <c r="AE77" s="41"/>
      <c r="AF77" s="41"/>
      <c r="AG77" s="41"/>
      <c r="AH77" s="41"/>
      <c r="AI77" s="41"/>
      <c r="AJ77" s="41"/>
      <c r="AK77" s="41"/>
      <c r="AL77" s="41"/>
      <c r="AM77" s="41"/>
      <c r="AN77" s="41"/>
      <c r="AO77" s="41"/>
      <c r="AP77" s="41"/>
      <c r="AQ77" s="41"/>
      <c r="AR77" s="41"/>
      <c r="AS77" s="41"/>
      <c r="AT77" s="41"/>
      <c r="AU77" s="41"/>
      <c r="AV77" s="41"/>
      <c r="AW77" s="41"/>
      <c r="AX77" s="41"/>
      <c r="AY77" s="41"/>
      <c r="AZ77" s="41"/>
      <c r="BA77" s="41"/>
      <c r="BB77" s="41"/>
      <c r="BC77" s="41"/>
      <c r="BD77" s="41"/>
      <c r="BE77" s="41"/>
      <c r="BF77" s="41"/>
      <c r="BG77" s="41"/>
      <c r="BH77" s="41"/>
      <c r="BI77" s="41"/>
      <c r="BJ77" s="41"/>
      <c r="BK77" s="41"/>
      <c r="BL77" s="41"/>
      <c r="BM77" s="41"/>
      <c r="BN77" s="41"/>
      <c r="BO77" s="41"/>
      <c r="BP77" s="41"/>
      <c r="BQ77" s="41"/>
      <c r="BR77" s="41"/>
      <c r="BS77" s="41"/>
      <c r="BT77" s="41"/>
      <c r="BU77" s="41"/>
      <c r="BV77" s="41"/>
      <c r="BW77" s="41"/>
      <c r="BX77" s="41"/>
      <c r="BY77" s="41"/>
      <c r="BZ77" s="41"/>
      <c r="CA77" s="41"/>
      <c r="CB77" s="41"/>
      <c r="CC77" s="41"/>
      <c r="CD77" s="41"/>
      <c r="CE77" s="41"/>
      <c r="CF77" s="41"/>
      <c r="CG77" s="41"/>
      <c r="CH77" s="41"/>
      <c r="CI77" s="41"/>
      <c r="CJ77" s="41"/>
      <c r="CK77" s="41"/>
      <c r="CL77" s="41"/>
      <c r="CM77" s="41"/>
      <c r="CN77" s="41"/>
      <c r="CO77" s="41"/>
      <c r="CP77" s="41"/>
    </row>
    <row r="78" spans="1:94" s="53" customFormat="1" ht="15" x14ac:dyDescent="0.25">
      <c r="A78" s="116">
        <v>12.02</v>
      </c>
      <c r="B78" s="57"/>
      <c r="C78" s="404"/>
      <c r="D78" s="405"/>
      <c r="E78" s="87"/>
      <c r="F78" s="58"/>
      <c r="G78" s="88"/>
      <c r="H78" s="88"/>
      <c r="I78" s="88"/>
      <c r="J78" s="80">
        <f>ROUND(SUM(G78:I78),-2)</f>
        <v>0</v>
      </c>
      <c r="K78" s="296"/>
      <c r="L78" s="292"/>
      <c r="M78" s="292"/>
      <c r="N78" s="293"/>
      <c r="O78"/>
      <c r="P78"/>
      <c r="Q78"/>
      <c r="R78"/>
      <c r="S78"/>
      <c r="T78"/>
      <c r="U78"/>
      <c r="V78"/>
      <c r="W78"/>
      <c r="X78"/>
      <c r="Y78"/>
      <c r="Z78" s="344"/>
      <c r="AA78" s="363"/>
      <c r="AB78" s="363"/>
      <c r="AC78" s="363"/>
      <c r="AD78" s="110"/>
      <c r="AE78" s="41"/>
      <c r="AF78" s="41"/>
      <c r="AG78" s="41"/>
      <c r="AH78" s="41"/>
      <c r="AI78" s="41"/>
      <c r="AJ78" s="41"/>
      <c r="AK78" s="41"/>
      <c r="AL78" s="41"/>
      <c r="AM78" s="41"/>
      <c r="AN78" s="41"/>
      <c r="AO78" s="41"/>
      <c r="AP78" s="41"/>
      <c r="AQ78" s="41"/>
      <c r="AR78" s="41"/>
      <c r="AS78" s="41"/>
      <c r="AT78" s="41"/>
      <c r="AU78" s="41"/>
      <c r="AV78" s="41"/>
      <c r="AW78" s="41"/>
      <c r="AX78" s="41"/>
      <c r="AY78" s="41"/>
      <c r="AZ78" s="41"/>
      <c r="BA78" s="41"/>
      <c r="BB78" s="41"/>
      <c r="BC78" s="41"/>
      <c r="BD78" s="41"/>
      <c r="BE78" s="41"/>
      <c r="BF78" s="41"/>
      <c r="BG78" s="41"/>
      <c r="BH78" s="41"/>
      <c r="BI78" s="41"/>
      <c r="BJ78" s="41"/>
      <c r="BK78" s="41"/>
      <c r="BL78" s="41"/>
      <c r="BM78" s="41"/>
      <c r="BN78" s="41"/>
      <c r="BO78" s="41"/>
      <c r="BP78" s="41"/>
      <c r="BQ78" s="41"/>
      <c r="BR78" s="41"/>
      <c r="BS78" s="41"/>
      <c r="BT78" s="41"/>
      <c r="BU78" s="41"/>
      <c r="BV78" s="41"/>
      <c r="BW78" s="41"/>
      <c r="BX78" s="41"/>
      <c r="BY78" s="41"/>
      <c r="BZ78" s="41"/>
      <c r="CA78" s="41"/>
      <c r="CB78" s="41"/>
      <c r="CC78" s="41"/>
      <c r="CD78" s="41"/>
      <c r="CE78" s="41"/>
      <c r="CF78" s="41"/>
      <c r="CG78" s="41"/>
      <c r="CH78" s="41"/>
      <c r="CI78" s="41"/>
      <c r="CJ78" s="41"/>
      <c r="CK78" s="41"/>
      <c r="CL78" s="41"/>
      <c r="CM78" s="41"/>
      <c r="CN78" s="41"/>
      <c r="CO78" s="41"/>
      <c r="CP78" s="41"/>
    </row>
    <row r="79" spans="1:94" s="53" customFormat="1" ht="15" x14ac:dyDescent="0.25">
      <c r="A79" s="116">
        <v>12.03</v>
      </c>
      <c r="B79" s="57" t="s">
        <v>45</v>
      </c>
      <c r="C79" s="404"/>
      <c r="D79" s="405"/>
      <c r="E79" s="87"/>
      <c r="F79" s="58"/>
      <c r="G79" s="88"/>
      <c r="H79" s="88"/>
      <c r="I79" s="88"/>
      <c r="J79" s="80">
        <f>ROUND(SUM(G79:I79),-2)</f>
        <v>0</v>
      </c>
      <c r="K79" s="296"/>
      <c r="L79" s="292"/>
      <c r="M79" s="292"/>
      <c r="N79" s="293"/>
      <c r="O79"/>
      <c r="P79"/>
      <c r="Q79"/>
      <c r="R79"/>
      <c r="S79"/>
      <c r="T79"/>
      <c r="U79"/>
      <c r="V79"/>
      <c r="W79"/>
      <c r="X79"/>
      <c r="Y79"/>
      <c r="Z79" s="344"/>
      <c r="AA79" s="363"/>
      <c r="AB79" s="363"/>
      <c r="AC79" s="363"/>
      <c r="AD79" s="110"/>
      <c r="AE79" s="41"/>
      <c r="AF79" s="41"/>
      <c r="AG79" s="41"/>
      <c r="AH79" s="41"/>
      <c r="AI79" s="41"/>
      <c r="AJ79" s="41"/>
      <c r="AK79" s="41"/>
      <c r="AL79" s="41"/>
      <c r="AM79" s="41"/>
      <c r="AN79" s="41"/>
      <c r="AO79" s="41"/>
      <c r="AP79" s="41"/>
      <c r="AQ79" s="41"/>
      <c r="AR79" s="41"/>
      <c r="AS79" s="41"/>
      <c r="AT79" s="41"/>
      <c r="AU79" s="41"/>
      <c r="AV79" s="41"/>
      <c r="AW79" s="41"/>
      <c r="AX79" s="41"/>
      <c r="AY79" s="41"/>
      <c r="AZ79" s="41"/>
      <c r="BA79" s="41"/>
      <c r="BB79" s="41"/>
      <c r="BC79" s="41"/>
      <c r="BD79" s="41"/>
      <c r="BE79" s="41"/>
      <c r="BF79" s="41"/>
      <c r="BG79" s="41"/>
      <c r="BH79" s="41"/>
      <c r="BI79" s="41"/>
      <c r="BJ79" s="41"/>
      <c r="BK79" s="41"/>
      <c r="BL79" s="41"/>
      <c r="BM79" s="41"/>
      <c r="BN79" s="41"/>
      <c r="BO79" s="41"/>
      <c r="BP79" s="41"/>
      <c r="BQ79" s="41"/>
      <c r="BR79" s="41"/>
      <c r="BS79" s="41"/>
      <c r="BT79" s="41"/>
      <c r="BU79" s="41"/>
      <c r="BV79" s="41"/>
      <c r="BW79" s="41"/>
      <c r="BX79" s="41"/>
      <c r="BY79" s="41"/>
      <c r="BZ79" s="41"/>
      <c r="CA79" s="41"/>
      <c r="CB79" s="41"/>
      <c r="CC79" s="41"/>
      <c r="CD79" s="41"/>
      <c r="CE79" s="41"/>
      <c r="CF79" s="41"/>
      <c r="CG79" s="41"/>
      <c r="CH79" s="41"/>
      <c r="CI79" s="41"/>
      <c r="CJ79" s="41"/>
      <c r="CK79" s="41"/>
      <c r="CL79" s="41"/>
      <c r="CM79" s="41"/>
      <c r="CN79" s="41"/>
      <c r="CO79" s="41"/>
      <c r="CP79" s="41"/>
    </row>
    <row r="80" spans="1:94" s="53" customFormat="1" ht="15.75" customHeight="1" x14ac:dyDescent="0.25">
      <c r="A80" s="117">
        <v>13</v>
      </c>
      <c r="B80" s="118"/>
      <c r="C80" s="119" t="str">
        <f>"FY "&amp;M4</f>
        <v>FY 2023</v>
      </c>
      <c r="D80" s="120" t="s">
        <v>65</v>
      </c>
      <c r="E80" s="121"/>
      <c r="F80" s="55">
        <f>SUM(F75:F79)</f>
        <v>109</v>
      </c>
      <c r="G80" s="80">
        <f>SUM(G75:G79)</f>
        <v>4769200</v>
      </c>
      <c r="H80" s="80">
        <f>SUM(H75:H79)</f>
        <v>1129200</v>
      </c>
      <c r="I80" s="80">
        <f>SUM(I75:I79)</f>
        <v>992100</v>
      </c>
      <c r="J80" s="80">
        <f>SUM(J75:J79)</f>
        <v>6890500</v>
      </c>
      <c r="K80" s="270"/>
      <c r="L80" s="122"/>
      <c r="M80" s="122"/>
      <c r="N80" s="123"/>
      <c r="O80"/>
      <c r="P80"/>
      <c r="Q80"/>
      <c r="R80"/>
      <c r="S80"/>
      <c r="T80"/>
      <c r="U80"/>
      <c r="V80"/>
      <c r="W80"/>
      <c r="X80"/>
      <c r="Y80"/>
      <c r="Z80" s="344"/>
      <c r="AA80" s="363"/>
      <c r="AB80" s="363"/>
      <c r="AC80" s="363"/>
      <c r="AD80" s="110"/>
      <c r="AE80" s="41"/>
      <c r="AF80" s="41"/>
      <c r="AG80" s="41"/>
      <c r="AH80" s="41"/>
      <c r="AI80" s="41"/>
      <c r="AJ80" s="41"/>
      <c r="AK80" s="41"/>
      <c r="AL80" s="41"/>
      <c r="AM80" s="41"/>
      <c r="AN80" s="41"/>
      <c r="AO80" s="41"/>
      <c r="AP80" s="41"/>
      <c r="AQ80" s="41"/>
      <c r="AR80" s="41"/>
      <c r="AS80" s="41"/>
      <c r="AT80" s="41"/>
      <c r="AU80" s="41"/>
      <c r="AV80" s="41"/>
      <c r="AW80" s="41"/>
      <c r="AX80" s="41"/>
      <c r="AY80" s="41"/>
      <c r="AZ80" s="41"/>
      <c r="BA80" s="41"/>
      <c r="BB80" s="41"/>
      <c r="BC80" s="41"/>
      <c r="BD80" s="41"/>
      <c r="BE80" s="41"/>
      <c r="BF80" s="41"/>
      <c r="BG80" s="41"/>
      <c r="BH80" s="41"/>
      <c r="BI80" s="41"/>
      <c r="BJ80" s="41"/>
      <c r="BK80" s="41"/>
      <c r="BL80" s="41"/>
      <c r="BM80" s="41"/>
      <c r="BN80" s="41"/>
      <c r="BO80" s="41"/>
      <c r="BP80" s="41"/>
      <c r="BQ80" s="41"/>
      <c r="BR80" s="41"/>
      <c r="BS80" s="41"/>
      <c r="BT80" s="41"/>
      <c r="BU80" s="41"/>
      <c r="BV80" s="41"/>
      <c r="BW80" s="41"/>
      <c r="BX80" s="41"/>
      <c r="BY80" s="41"/>
      <c r="BZ80" s="41"/>
      <c r="CA80" s="41"/>
      <c r="CB80" s="41"/>
      <c r="CC80" s="41"/>
      <c r="CD80" s="41"/>
      <c r="CE80" s="41"/>
      <c r="CF80" s="41"/>
      <c r="CG80" s="41"/>
      <c r="CH80" s="41"/>
      <c r="CI80" s="41"/>
      <c r="CJ80" s="41"/>
      <c r="CK80" s="41"/>
      <c r="CL80" s="41"/>
      <c r="CM80" s="41"/>
      <c r="CN80" s="41"/>
      <c r="CO80" s="41"/>
      <c r="CP80" s="41"/>
    </row>
  </sheetData>
  <mergeCells count="51">
    <mergeCell ref="C13:D13"/>
    <mergeCell ref="M1:N1"/>
    <mergeCell ref="M2:N2"/>
    <mergeCell ref="M3:N3"/>
    <mergeCell ref="M4:N4"/>
    <mergeCell ref="I5:L5"/>
    <mergeCell ref="C8:D8"/>
    <mergeCell ref="AA8:AC8"/>
    <mergeCell ref="C9:D9"/>
    <mergeCell ref="C10:D10"/>
    <mergeCell ref="C11:D11"/>
    <mergeCell ref="C12:D12"/>
    <mergeCell ref="K43:N43"/>
    <mergeCell ref="AA43:AC43"/>
    <mergeCell ref="K44:N44"/>
    <mergeCell ref="C16:D16"/>
    <mergeCell ref="C17:D17"/>
    <mergeCell ref="C18:D18"/>
    <mergeCell ref="C37:D37"/>
    <mergeCell ref="AA37:AC37"/>
    <mergeCell ref="C38:D38"/>
    <mergeCell ref="C54:D54"/>
    <mergeCell ref="C39:D39"/>
    <mergeCell ref="C41:D41"/>
    <mergeCell ref="C42:D42"/>
    <mergeCell ref="C43:D44"/>
    <mergeCell ref="K45:N45"/>
    <mergeCell ref="E46:J47"/>
    <mergeCell ref="K46:N47"/>
    <mergeCell ref="C50:D50"/>
    <mergeCell ref="C53:D53"/>
    <mergeCell ref="C69:D69"/>
    <mergeCell ref="C55:D55"/>
    <mergeCell ref="C57:D57"/>
    <mergeCell ref="C58:D58"/>
    <mergeCell ref="C59:D59"/>
    <mergeCell ref="C61:D61"/>
    <mergeCell ref="C62:D62"/>
    <mergeCell ref="C63:D63"/>
    <mergeCell ref="C64:D64"/>
    <mergeCell ref="C65:D65"/>
    <mergeCell ref="C66:D66"/>
    <mergeCell ref="C68:D68"/>
    <mergeCell ref="C78:D78"/>
    <mergeCell ref="C79:D79"/>
    <mergeCell ref="C70:D70"/>
    <mergeCell ref="C71:D71"/>
    <mergeCell ref="C72:D72"/>
    <mergeCell ref="C73:D73"/>
    <mergeCell ref="C76:D76"/>
    <mergeCell ref="C77:D77"/>
  </mergeCells>
  <conditionalFormatting sqref="K44">
    <cfRule type="expression" dxfId="28" priority="5">
      <formula>$J$44&lt;0</formula>
    </cfRule>
  </conditionalFormatting>
  <conditionalFormatting sqref="K43">
    <cfRule type="expression" dxfId="27" priority="4">
      <formula>$J$43&lt;0</formula>
    </cfRule>
  </conditionalFormatting>
  <conditionalFormatting sqref="L16">
    <cfRule type="expression" dxfId="26" priority="3">
      <formula>$J$16&lt;0</formula>
    </cfRule>
  </conditionalFormatting>
  <conditionalFormatting sqref="K45">
    <cfRule type="expression" dxfId="25" priority="2">
      <formula>$J$44&lt;0</formula>
    </cfRule>
  </conditionalFormatting>
  <conditionalFormatting sqref="K43:N45">
    <cfRule type="containsText" dxfId="24" priority="1" operator="containsText" text="underfunding">
      <formula>NOT(ISERROR(SEARCH("underfunding",K43)))</formula>
    </cfRule>
  </conditionalFormatting>
  <printOptions horizontalCentered="1"/>
  <pageMargins left="0.5" right="0.5" top="0.65" bottom="0.65" header="0.26" footer="0.31"/>
  <pageSetup scale="63" fitToHeight="2" orientation="landscape" r:id="rId1"/>
  <headerFooter>
    <oddHeader>&amp;L&amp;"Helv,Bold"FORM B6:  WAGE &amp;&amp; SALARY RECONCILIATION</oddHeader>
    <oddFooter>&amp;LPrinted: &amp;D, &amp;T&amp;RPage &amp;P of &amp;N</oddFooter>
  </headerFooter>
  <rowBreaks count="1" manualBreakCount="1">
    <brk id="64" max="12" man="1"/>
  </rowBreaks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42EA1DBA-EC53-4DF0-832C-4E6454381B94}">
          <x14:formula1>
            <xm:f>Benefits!$A$20:$A$26</xm:f>
          </x14:formula1>
          <xm:sqref>C20:C30 C32:C36</xm:sqref>
        </x14:dataValidation>
      </x14:dataValidation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6AFB8D-9ED9-4AB1-9BF5-DBEE5DE508A3}">
  <sheetPr>
    <tabColor rgb="FF7030A0"/>
    <pageSetUpPr fitToPage="1"/>
  </sheetPr>
  <dimension ref="A1:CP80"/>
  <sheetViews>
    <sheetView showGridLines="0" zoomScaleNormal="100" workbookViewId="0">
      <selection activeCell="C8" sqref="C8:N16"/>
    </sheetView>
  </sheetViews>
  <sheetFormatPr defaultColWidth="9.140625" defaultRowHeight="15.75" x14ac:dyDescent="0.25"/>
  <cols>
    <col min="1" max="1" width="7.85546875" style="124" customWidth="1"/>
    <col min="2" max="2" width="7.7109375" style="125" customWidth="1"/>
    <col min="3" max="3" width="9" style="125" customWidth="1"/>
    <col min="4" max="4" width="39.28515625" style="53" customWidth="1"/>
    <col min="5" max="5" width="13" style="126" customWidth="1"/>
    <col min="6" max="6" width="12.28515625" style="127" customWidth="1"/>
    <col min="7" max="7" width="12.140625" style="127" bestFit="1" customWidth="1"/>
    <col min="8" max="8" width="14.5703125" style="127" customWidth="1"/>
    <col min="9" max="9" width="19.5703125" style="128" bestFit="1" customWidth="1"/>
    <col min="10" max="10" width="13.7109375" style="129" customWidth="1"/>
    <col min="11" max="11" width="13.7109375" style="129" hidden="1" customWidth="1"/>
    <col min="12" max="12" width="18.42578125" style="129" customWidth="1"/>
    <col min="13" max="13" width="16.42578125" style="129" customWidth="1"/>
    <col min="14" max="14" width="16.140625" style="128" customWidth="1"/>
    <col min="15" max="25" width="16.140625" customWidth="1"/>
    <col min="26" max="26" width="16.140625" style="344" customWidth="1"/>
    <col min="27" max="27" width="22.140625" style="334" bestFit="1" customWidth="1"/>
    <col min="28" max="28" width="31.140625" style="334" bestFit="1" customWidth="1"/>
    <col min="29" max="29" width="7.85546875" style="334" bestFit="1" customWidth="1"/>
    <col min="30" max="30" width="9.140625" style="110" customWidth="1"/>
    <col min="31" max="94" width="9.140625" style="17"/>
    <col min="95" max="16384" width="9.140625" style="18"/>
  </cols>
  <sheetData>
    <row r="1" spans="1:94" x14ac:dyDescent="0.25">
      <c r="A1" s="12" t="s">
        <v>13</v>
      </c>
      <c r="B1" s="13"/>
      <c r="C1" s="13"/>
      <c r="D1" s="14" t="s">
        <v>1989</v>
      </c>
      <c r="E1" s="15"/>
      <c r="F1" s="15"/>
      <c r="G1" s="15"/>
      <c r="H1" s="15"/>
      <c r="I1" s="15"/>
      <c r="J1" s="15"/>
      <c r="K1" s="15"/>
      <c r="L1" s="16" t="s">
        <v>14</v>
      </c>
      <c r="M1" s="467">
        <v>352</v>
      </c>
      <c r="N1" s="468"/>
      <c r="AA1" s="363"/>
      <c r="AB1" s="333"/>
      <c r="AC1" s="333"/>
      <c r="AD1" s="325"/>
    </row>
    <row r="2" spans="1:94" ht="20.25" x14ac:dyDescent="0.25">
      <c r="A2" s="19" t="s">
        <v>116</v>
      </c>
      <c r="B2" s="20"/>
      <c r="C2" s="20"/>
      <c r="D2" s="14" t="s">
        <v>1990</v>
      </c>
      <c r="E2" s="21"/>
      <c r="F2" s="21"/>
      <c r="G2" s="21"/>
      <c r="H2" s="21"/>
      <c r="I2" s="21"/>
      <c r="J2" s="20"/>
      <c r="K2" s="20"/>
      <c r="L2" s="22" t="s">
        <v>113</v>
      </c>
      <c r="M2" s="469" t="s">
        <v>2005</v>
      </c>
      <c r="N2" s="470"/>
      <c r="AA2" s="333"/>
      <c r="AB2" s="333"/>
      <c r="AC2" s="333"/>
      <c r="AD2" s="325"/>
    </row>
    <row r="3" spans="1:94" x14ac:dyDescent="0.25">
      <c r="A3" s="19" t="s">
        <v>117</v>
      </c>
      <c r="B3" s="20"/>
      <c r="C3" s="20"/>
      <c r="D3" s="23" t="s">
        <v>2040</v>
      </c>
      <c r="E3" s="24"/>
      <c r="F3" s="25"/>
      <c r="G3" s="25"/>
      <c r="H3" s="25"/>
      <c r="I3" s="26"/>
      <c r="J3" s="20"/>
      <c r="K3" s="20"/>
      <c r="L3" s="22" t="s">
        <v>114</v>
      </c>
      <c r="M3" s="467" t="s">
        <v>1599</v>
      </c>
      <c r="N3" s="468"/>
      <c r="AA3" s="363"/>
      <c r="AB3" s="333"/>
      <c r="AC3" s="333"/>
      <c r="AD3" s="325"/>
    </row>
    <row r="4" spans="1:94" x14ac:dyDescent="0.25">
      <c r="A4" s="19"/>
      <c r="B4" s="20"/>
      <c r="C4" s="20"/>
      <c r="D4" s="27"/>
      <c r="E4" s="24"/>
      <c r="F4" s="25"/>
      <c r="G4" s="25"/>
      <c r="H4" s="25"/>
      <c r="I4" s="28"/>
      <c r="J4" s="26"/>
      <c r="K4" s="26"/>
      <c r="L4" s="22" t="s">
        <v>15</v>
      </c>
      <c r="M4" s="467">
        <v>2023</v>
      </c>
      <c r="N4" s="468"/>
      <c r="AA4" s="363"/>
      <c r="AB4" s="333"/>
      <c r="AC4" s="333"/>
      <c r="AD4" s="325"/>
    </row>
    <row r="5" spans="1:94" s="34" customFormat="1" ht="18" customHeight="1" x14ac:dyDescent="0.25">
      <c r="A5" s="19" t="s">
        <v>16</v>
      </c>
      <c r="B5" s="20"/>
      <c r="C5" s="20"/>
      <c r="D5" s="350">
        <v>44440</v>
      </c>
      <c r="E5" s="27"/>
      <c r="F5" s="30"/>
      <c r="G5" s="31"/>
      <c r="H5" s="31" t="s">
        <v>17</v>
      </c>
      <c r="I5" s="469" t="s">
        <v>2003</v>
      </c>
      <c r="J5" s="471"/>
      <c r="K5" s="471"/>
      <c r="L5" s="470"/>
      <c r="M5" s="351" t="s">
        <v>115</v>
      </c>
      <c r="N5" s="32" t="s">
        <v>2004</v>
      </c>
      <c r="O5"/>
      <c r="P5"/>
      <c r="Q5"/>
      <c r="R5"/>
      <c r="S5"/>
      <c r="T5"/>
      <c r="U5"/>
      <c r="V5"/>
      <c r="W5"/>
      <c r="X5"/>
      <c r="Y5"/>
      <c r="Z5" s="344"/>
      <c r="AA5" s="363"/>
      <c r="AB5" s="333"/>
      <c r="AC5" s="333"/>
      <c r="AD5" s="326"/>
      <c r="AE5" s="33"/>
      <c r="AF5" s="33"/>
      <c r="AG5" s="33"/>
      <c r="AH5" s="33"/>
      <c r="AI5" s="33"/>
      <c r="AJ5" s="33"/>
      <c r="AK5" s="33"/>
      <c r="AL5" s="33"/>
      <c r="AM5" s="33"/>
      <c r="AN5" s="33"/>
      <c r="AO5" s="33"/>
      <c r="AP5" s="33"/>
      <c r="AQ5" s="33"/>
      <c r="AR5" s="33"/>
      <c r="AS5" s="33"/>
      <c r="AT5" s="33"/>
      <c r="AU5" s="33"/>
      <c r="AV5" s="33"/>
      <c r="AW5" s="33"/>
      <c r="AX5" s="33"/>
      <c r="AY5" s="33"/>
      <c r="AZ5" s="33"/>
      <c r="BA5" s="33"/>
      <c r="BB5" s="33"/>
      <c r="BC5" s="33"/>
      <c r="BD5" s="33"/>
      <c r="BE5" s="33"/>
      <c r="BF5" s="33"/>
      <c r="BG5" s="33"/>
      <c r="BH5" s="33"/>
      <c r="BI5" s="33"/>
      <c r="BJ5" s="33"/>
      <c r="BK5" s="33"/>
      <c r="BL5" s="33"/>
      <c r="BM5" s="33"/>
      <c r="BN5" s="33"/>
      <c r="BO5" s="33"/>
      <c r="BP5" s="33"/>
      <c r="BQ5" s="33"/>
      <c r="BR5" s="33"/>
      <c r="BS5" s="33"/>
      <c r="BT5" s="33"/>
      <c r="BU5" s="33"/>
      <c r="BV5" s="33"/>
      <c r="BW5" s="33"/>
      <c r="BX5" s="33"/>
      <c r="BY5" s="33"/>
      <c r="BZ5" s="33"/>
      <c r="CA5" s="33"/>
      <c r="CB5" s="33"/>
      <c r="CC5" s="33"/>
      <c r="CD5" s="33"/>
      <c r="CE5" s="33"/>
      <c r="CF5" s="33"/>
      <c r="CG5" s="33"/>
      <c r="CH5" s="33"/>
      <c r="CI5" s="33"/>
      <c r="CJ5" s="33"/>
      <c r="CK5" s="33"/>
      <c r="CL5" s="33"/>
      <c r="CM5" s="33"/>
      <c r="CN5" s="33"/>
      <c r="CO5" s="33"/>
      <c r="CP5" s="33"/>
    </row>
    <row r="6" spans="1:94" ht="23.25" customHeight="1" x14ac:dyDescent="0.25">
      <c r="A6" s="19"/>
      <c r="B6" s="20" t="s">
        <v>18</v>
      </c>
      <c r="C6" s="20"/>
      <c r="D6" s="29"/>
      <c r="E6" s="35" t="s">
        <v>19</v>
      </c>
      <c r="F6" s="36"/>
      <c r="G6" s="25"/>
      <c r="H6" s="25"/>
      <c r="I6" s="37"/>
      <c r="J6" s="31" t="s">
        <v>84</v>
      </c>
      <c r="K6" s="31"/>
      <c r="L6" s="352"/>
      <c r="M6" s="353" t="s">
        <v>85</v>
      </c>
      <c r="N6" s="306"/>
      <c r="AA6" s="363"/>
      <c r="AB6" s="333"/>
      <c r="AC6" s="333"/>
      <c r="AD6" s="325"/>
    </row>
    <row r="7" spans="1:94" x14ac:dyDescent="0.25">
      <c r="A7" s="38"/>
      <c r="B7" s="39"/>
      <c r="C7" s="40"/>
      <c r="D7" s="41"/>
      <c r="E7" s="42"/>
      <c r="F7" s="40"/>
      <c r="G7" s="43"/>
      <c r="H7" s="44"/>
      <c r="I7" s="45"/>
      <c r="J7" s="46"/>
      <c r="K7" s="46"/>
      <c r="L7" s="46"/>
      <c r="M7" s="46"/>
      <c r="N7" s="47"/>
    </row>
    <row r="8" spans="1:94" s="52" customFormat="1" ht="40.5" customHeight="1" x14ac:dyDescent="0.25">
      <c r="A8" s="48" t="s">
        <v>20</v>
      </c>
      <c r="B8" s="369" t="s">
        <v>21</v>
      </c>
      <c r="C8" s="472" t="s">
        <v>22</v>
      </c>
      <c r="D8" s="473"/>
      <c r="E8" s="369" t="s">
        <v>23</v>
      </c>
      <c r="F8" s="49" t="s">
        <v>24</v>
      </c>
      <c r="G8" s="50" t="str">
        <f>"FY "&amp;'TACA|0338-02'!FiscalYear-1&amp;" SALARY"</f>
        <v>FY 2022 SALARY</v>
      </c>
      <c r="H8" s="50" t="str">
        <f>"FY "&amp;'TACA|0338-02'!FiscalYear-1&amp;" HEALTH BENEFITS"</f>
        <v>FY 2022 HEALTH BENEFITS</v>
      </c>
      <c r="I8" s="50" t="str">
        <f>"FY "&amp;'TACA|0338-02'!FiscalYear-1&amp;" VAR BENEFITS"</f>
        <v>FY 2022 VAR BENEFITS</v>
      </c>
      <c r="J8" s="50" t="str">
        <f>"FY "&amp;'TACA|0338-02'!FiscalYear-1&amp;" TOTAL"</f>
        <v>FY 2022 TOTAL</v>
      </c>
      <c r="K8" s="50" t="str">
        <f>"FY "&amp;'TACA|0338-02'!FiscalYear&amp;" SALARY CHANGE"</f>
        <v>FY 2023 SALARY CHANGE</v>
      </c>
      <c r="L8" s="50" t="str">
        <f>"FY "&amp;'TACA|0338-02'!FiscalYear&amp;" CHG HEALTH BENEFITS"</f>
        <v>FY 2023 CHG HEALTH BENEFITS</v>
      </c>
      <c r="M8" s="50" t="str">
        <f>"FY "&amp;'TACA|0338-02'!FiscalYear&amp;" CHG VAR BENEFITS"</f>
        <v>FY 2023 CHG VAR BENEFITS</v>
      </c>
      <c r="N8" s="50" t="s">
        <v>25</v>
      </c>
      <c r="O8"/>
      <c r="P8"/>
      <c r="Q8"/>
      <c r="R8"/>
      <c r="S8"/>
      <c r="T8"/>
      <c r="U8"/>
      <c r="V8"/>
      <c r="W8"/>
      <c r="X8"/>
      <c r="Y8"/>
      <c r="Z8" s="344"/>
      <c r="AA8" s="463" t="s">
        <v>105</v>
      </c>
      <c r="AB8" s="463"/>
      <c r="AC8" s="463"/>
      <c r="AD8" s="327"/>
      <c r="AE8" s="51"/>
      <c r="AF8" s="51"/>
      <c r="AG8" s="51"/>
      <c r="AH8" s="51"/>
      <c r="AI8" s="51"/>
      <c r="AJ8" s="51"/>
      <c r="AK8" s="51"/>
      <c r="AL8" s="51"/>
      <c r="AM8" s="51"/>
      <c r="AN8" s="51"/>
      <c r="AO8" s="51"/>
      <c r="AP8" s="51"/>
      <c r="AQ8" s="51"/>
      <c r="AR8" s="51"/>
      <c r="AS8" s="51"/>
      <c r="AT8" s="51"/>
      <c r="AU8" s="51"/>
      <c r="AV8" s="51"/>
      <c r="AW8" s="51"/>
      <c r="AX8" s="51"/>
      <c r="AY8" s="51"/>
      <c r="AZ8" s="51"/>
      <c r="BA8" s="51"/>
      <c r="BB8" s="51"/>
      <c r="BC8" s="51"/>
      <c r="BD8" s="51"/>
      <c r="BE8" s="51"/>
      <c r="BF8" s="51"/>
      <c r="BG8" s="51"/>
      <c r="BH8" s="51"/>
      <c r="BI8" s="51"/>
      <c r="BJ8" s="51"/>
      <c r="BK8" s="51"/>
      <c r="BL8" s="51"/>
      <c r="BM8" s="51"/>
      <c r="BN8" s="51"/>
      <c r="BO8" s="51"/>
      <c r="BP8" s="51"/>
      <c r="BQ8" s="51"/>
      <c r="BR8" s="51"/>
      <c r="BS8" s="51"/>
      <c r="BT8" s="51"/>
      <c r="BU8" s="51"/>
      <c r="BV8" s="51"/>
      <c r="BW8" s="51"/>
      <c r="BX8" s="51"/>
      <c r="BY8" s="51"/>
      <c r="BZ8" s="51"/>
      <c r="CA8" s="51"/>
      <c r="CB8" s="51"/>
      <c r="CC8" s="51"/>
      <c r="CD8" s="51"/>
      <c r="CE8" s="51"/>
      <c r="CF8" s="51"/>
      <c r="CG8" s="51"/>
      <c r="CH8" s="51"/>
      <c r="CI8" s="51"/>
      <c r="CJ8" s="51"/>
      <c r="CK8" s="51"/>
      <c r="CL8" s="51"/>
      <c r="CM8" s="51"/>
      <c r="CN8" s="51"/>
      <c r="CO8" s="51"/>
      <c r="CP8" s="51"/>
    </row>
    <row r="9" spans="1:94" s="149" customFormat="1" x14ac:dyDescent="0.25">
      <c r="A9" s="139"/>
      <c r="B9" s="140"/>
      <c r="C9" s="464" t="s">
        <v>26</v>
      </c>
      <c r="D9" s="465"/>
      <c r="E9" s="141"/>
      <c r="F9" s="142"/>
      <c r="G9" s="143"/>
      <c r="H9" s="143"/>
      <c r="I9" s="143"/>
      <c r="J9" s="144"/>
      <c r="K9" s="144"/>
      <c r="L9" s="145"/>
      <c r="M9" s="146"/>
      <c r="N9" s="144"/>
      <c r="O9"/>
      <c r="P9"/>
      <c r="Q9"/>
      <c r="R9"/>
      <c r="S9"/>
      <c r="T9"/>
      <c r="U9"/>
      <c r="V9"/>
      <c r="W9"/>
      <c r="X9"/>
      <c r="Y9"/>
      <c r="Z9" s="344"/>
      <c r="AA9" s="363" t="s">
        <v>94</v>
      </c>
      <c r="AB9" s="333" t="s">
        <v>95</v>
      </c>
      <c r="AC9" s="333" t="s">
        <v>106</v>
      </c>
      <c r="AD9" s="328"/>
      <c r="AE9" s="148"/>
      <c r="AF9" s="148"/>
      <c r="AG9" s="148"/>
      <c r="AH9" s="148"/>
      <c r="AI9" s="148"/>
      <c r="AJ9" s="148"/>
      <c r="AK9" s="148"/>
      <c r="AL9" s="148"/>
      <c r="AM9" s="148"/>
      <c r="AN9" s="148"/>
      <c r="AO9" s="148"/>
      <c r="AP9" s="148"/>
      <c r="AQ9" s="148"/>
      <c r="AR9" s="148"/>
      <c r="AS9" s="148"/>
      <c r="AT9" s="148"/>
      <c r="AU9" s="148"/>
      <c r="AV9" s="148"/>
      <c r="AW9" s="148"/>
      <c r="AX9" s="148"/>
      <c r="AY9" s="148"/>
      <c r="AZ9" s="148"/>
      <c r="BA9" s="148"/>
      <c r="BB9" s="148"/>
      <c r="BC9" s="148"/>
      <c r="BD9" s="148"/>
      <c r="BE9" s="148"/>
      <c r="BF9" s="148"/>
      <c r="BG9" s="148"/>
      <c r="BH9" s="148"/>
      <c r="BI9" s="148"/>
      <c r="BJ9" s="148"/>
      <c r="BK9" s="148"/>
      <c r="BL9" s="148"/>
      <c r="BM9" s="148"/>
      <c r="BN9" s="148"/>
      <c r="BO9" s="148"/>
      <c r="BP9" s="148"/>
      <c r="BQ9" s="148"/>
      <c r="BR9" s="148"/>
      <c r="BS9" s="148"/>
      <c r="BT9" s="148"/>
      <c r="BU9" s="148"/>
      <c r="BV9" s="148"/>
      <c r="BW9" s="148"/>
      <c r="BX9" s="148"/>
      <c r="BY9" s="148"/>
      <c r="BZ9" s="148"/>
      <c r="CA9" s="148"/>
      <c r="CB9" s="148"/>
      <c r="CC9" s="148"/>
      <c r="CD9" s="148"/>
      <c r="CE9" s="148"/>
      <c r="CF9" s="148"/>
      <c r="CG9" s="148"/>
      <c r="CH9" s="148"/>
      <c r="CI9" s="148"/>
      <c r="CJ9" s="148"/>
      <c r="CK9" s="148"/>
      <c r="CL9" s="148"/>
      <c r="CM9" s="148"/>
      <c r="CN9" s="148"/>
      <c r="CO9" s="148"/>
      <c r="CP9" s="148"/>
    </row>
    <row r="10" spans="1:94" s="149" customFormat="1" x14ac:dyDescent="0.25">
      <c r="A10" s="139"/>
      <c r="B10" s="139"/>
      <c r="C10" s="443" t="s">
        <v>27</v>
      </c>
      <c r="D10" s="466"/>
      <c r="E10" s="217">
        <v>1</v>
      </c>
      <c r="F10" s="288">
        <f>[0]!TACA033802col_INC_FTI</f>
        <v>2.85</v>
      </c>
      <c r="G10" s="218">
        <f>[0]!TACA033802col_FTI_SALARY_PERM</f>
        <v>146729.44</v>
      </c>
      <c r="H10" s="218">
        <f>[0]!TACA033802col_HEALTH_PERM</f>
        <v>33202.5</v>
      </c>
      <c r="I10" s="218">
        <f>[0]!TACA033802col_TOT_VB_PERM</f>
        <v>31322.333556800007</v>
      </c>
      <c r="J10" s="219">
        <f>SUM(G10:I10)</f>
        <v>211254.27355680001</v>
      </c>
      <c r="K10" s="219">
        <f>[0]!TACA033802col_1_27TH_PP</f>
        <v>0</v>
      </c>
      <c r="L10" s="218">
        <f>[0]!TACA033802col_HEALTH_PERM_CHG</f>
        <v>0</v>
      </c>
      <c r="M10" s="218">
        <f>[0]!TACA033802col_TOT_VB_PERM_CHG</f>
        <v>-704.30131199999983</v>
      </c>
      <c r="N10" s="218">
        <f>SUM(L10:M10)</f>
        <v>-704.30131199999983</v>
      </c>
      <c r="O10"/>
      <c r="P10"/>
      <c r="Q10"/>
      <c r="R10"/>
      <c r="S10"/>
      <c r="T10"/>
      <c r="U10"/>
      <c r="V10"/>
      <c r="W10"/>
      <c r="X10"/>
      <c r="Y10"/>
      <c r="Z10" s="344"/>
      <c r="AA10" s="338">
        <f>ROUND(CECPerm*PermSalary,-2)</f>
        <v>1500</v>
      </c>
      <c r="AB10" s="335">
        <f>ROUND(PermVarBen*CECPerm+(CECPerm*PermVarBenChg),-2)</f>
        <v>300</v>
      </c>
      <c r="AC10" s="335">
        <f>SUM(AA10:AB10)</f>
        <v>1800</v>
      </c>
      <c r="AD10" s="328"/>
      <c r="AE10" s="148"/>
      <c r="AF10" s="148"/>
      <c r="AG10" s="148"/>
      <c r="AH10" s="148"/>
      <c r="AI10" s="148"/>
      <c r="AJ10" s="148"/>
      <c r="AK10" s="148"/>
      <c r="AL10" s="148"/>
      <c r="AM10" s="148"/>
      <c r="AN10" s="148"/>
      <c r="AO10" s="148"/>
      <c r="AP10" s="148"/>
      <c r="AQ10" s="148"/>
      <c r="AR10" s="148"/>
      <c r="AS10" s="148"/>
      <c r="AT10" s="148"/>
      <c r="AU10" s="148"/>
      <c r="AV10" s="148"/>
      <c r="AW10" s="148"/>
      <c r="AX10" s="148"/>
      <c r="AY10" s="148"/>
      <c r="AZ10" s="148"/>
      <c r="BA10" s="148"/>
      <c r="BB10" s="148"/>
      <c r="BC10" s="148"/>
      <c r="BD10" s="148"/>
      <c r="BE10" s="148"/>
      <c r="BF10" s="148"/>
      <c r="BG10" s="148"/>
      <c r="BH10" s="148"/>
      <c r="BI10" s="148"/>
      <c r="BJ10" s="148"/>
      <c r="BK10" s="148"/>
      <c r="BL10" s="148"/>
      <c r="BM10" s="148"/>
      <c r="BN10" s="148"/>
      <c r="BO10" s="148"/>
      <c r="BP10" s="148"/>
      <c r="BQ10" s="148"/>
      <c r="BR10" s="148"/>
      <c r="BS10" s="148"/>
      <c r="BT10" s="148"/>
      <c r="BU10" s="148"/>
      <c r="BV10" s="148"/>
      <c r="BW10" s="148"/>
      <c r="BX10" s="148"/>
      <c r="BY10" s="148"/>
      <c r="BZ10" s="148"/>
      <c r="CA10" s="148"/>
      <c r="CB10" s="148"/>
      <c r="CC10" s="148"/>
      <c r="CD10" s="148"/>
      <c r="CE10" s="148"/>
      <c r="CF10" s="148"/>
      <c r="CG10" s="148"/>
      <c r="CH10" s="148"/>
      <c r="CI10" s="148"/>
      <c r="CJ10" s="148"/>
      <c r="CK10" s="148"/>
      <c r="CL10" s="148"/>
      <c r="CM10" s="148"/>
      <c r="CN10" s="148"/>
      <c r="CO10" s="148"/>
      <c r="CP10" s="148"/>
    </row>
    <row r="11" spans="1:94" s="149" customFormat="1" x14ac:dyDescent="0.25">
      <c r="A11" s="139"/>
      <c r="B11" s="139"/>
      <c r="C11" s="443" t="s">
        <v>28</v>
      </c>
      <c r="D11" s="466"/>
      <c r="E11" s="217">
        <v>2</v>
      </c>
      <c r="F11" s="288"/>
      <c r="G11" s="218">
        <f>[0]!TACA033802col_Group_Salary</f>
        <v>0</v>
      </c>
      <c r="H11" s="218">
        <v>0</v>
      </c>
      <c r="I11" s="218">
        <f>[0]!TACA033802col_Group_Ben</f>
        <v>0</v>
      </c>
      <c r="J11" s="219">
        <f>SUM(G11:I11)</f>
        <v>0</v>
      </c>
      <c r="K11" s="268"/>
      <c r="L11" s="218"/>
      <c r="M11" s="218"/>
      <c r="N11" s="218"/>
      <c r="O11"/>
      <c r="P11"/>
      <c r="Q11"/>
      <c r="R11"/>
      <c r="S11"/>
      <c r="T11"/>
      <c r="U11"/>
      <c r="V11"/>
      <c r="W11"/>
      <c r="X11"/>
      <c r="Y11"/>
      <c r="Z11" s="344"/>
      <c r="AA11" s="338">
        <f>ROUND(GroupSalary*CECGroup,-2)</f>
        <v>0</v>
      </c>
      <c r="AB11" s="335">
        <f>ROUND((GroupSalary*GroupVBBY)*CECGroup,-2)</f>
        <v>0</v>
      </c>
      <c r="AC11" s="335">
        <f>SUM(AA12:AB12)</f>
        <v>0</v>
      </c>
      <c r="AD11" s="328"/>
      <c r="AE11" s="148"/>
      <c r="AF11" s="148"/>
      <c r="AG11" s="148"/>
      <c r="AH11" s="148"/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148"/>
      <c r="AV11" s="148"/>
      <c r="AW11" s="148"/>
      <c r="AX11" s="148"/>
      <c r="AY11" s="148"/>
      <c r="AZ11" s="148"/>
      <c r="BA11" s="148"/>
      <c r="BB11" s="148"/>
      <c r="BC11" s="148"/>
      <c r="BD11" s="148"/>
      <c r="BE11" s="148"/>
      <c r="BF11" s="148"/>
      <c r="BG11" s="148"/>
      <c r="BH11" s="148"/>
      <c r="BI11" s="148"/>
      <c r="BJ11" s="148"/>
      <c r="BK11" s="148"/>
      <c r="BL11" s="148"/>
      <c r="BM11" s="148"/>
      <c r="BN11" s="148"/>
      <c r="BO11" s="148"/>
      <c r="BP11" s="148"/>
      <c r="BQ11" s="148"/>
      <c r="BR11" s="148"/>
      <c r="BS11" s="148"/>
      <c r="BT11" s="148"/>
      <c r="BU11" s="148"/>
      <c r="BV11" s="148"/>
      <c r="BW11" s="148"/>
      <c r="BX11" s="148"/>
      <c r="BY11" s="148"/>
      <c r="BZ11" s="148"/>
      <c r="CA11" s="148"/>
      <c r="CB11" s="148"/>
      <c r="CC11" s="148"/>
      <c r="CD11" s="148"/>
      <c r="CE11" s="148"/>
      <c r="CF11" s="148"/>
      <c r="CG11" s="148"/>
      <c r="CH11" s="148"/>
      <c r="CI11" s="148"/>
      <c r="CJ11" s="148"/>
      <c r="CK11" s="148"/>
      <c r="CL11" s="148"/>
      <c r="CM11" s="148"/>
      <c r="CN11" s="148"/>
      <c r="CO11" s="148"/>
      <c r="CP11" s="148"/>
    </row>
    <row r="12" spans="1:94" s="149" customFormat="1" x14ac:dyDescent="0.25">
      <c r="A12" s="139"/>
      <c r="B12" s="139"/>
      <c r="C12" s="443" t="s">
        <v>29</v>
      </c>
      <c r="D12" s="444"/>
      <c r="E12" s="217">
        <v>3</v>
      </c>
      <c r="F12" s="288">
        <f>[0]!TACA033802col_TOTAL_ELECT_PCN_FTI</f>
        <v>0</v>
      </c>
      <c r="G12" s="218">
        <f>[0]!TACA033802col_FTI_SALARY_ELECT</f>
        <v>0</v>
      </c>
      <c r="H12" s="218">
        <f>[0]!TACA033802col_HEALTH_ELECT</f>
        <v>0</v>
      </c>
      <c r="I12" s="218">
        <f>[0]!TACA033802col_TOT_VB_ELECT</f>
        <v>0</v>
      </c>
      <c r="J12" s="219">
        <f>SUM(G12:I12)</f>
        <v>0</v>
      </c>
      <c r="K12" s="268"/>
      <c r="L12" s="218">
        <f>[0]!TACA033802col_HEALTH_ELECT_CHG</f>
        <v>0</v>
      </c>
      <c r="M12" s="218">
        <f>[0]!TACA033802col_TOT_VB_ELECT_CHG</f>
        <v>0</v>
      </c>
      <c r="N12" s="219">
        <f>SUM(L12:M12)</f>
        <v>0</v>
      </c>
      <c r="O12"/>
      <c r="P12"/>
      <c r="Q12"/>
      <c r="R12"/>
      <c r="S12"/>
      <c r="T12"/>
      <c r="U12"/>
      <c r="V12"/>
      <c r="W12"/>
      <c r="X12"/>
      <c r="Y12"/>
      <c r="Z12" s="344"/>
      <c r="AA12" s="336"/>
      <c r="AB12" s="336"/>
      <c r="AC12" s="336"/>
      <c r="AD12" s="328"/>
      <c r="AE12" s="148"/>
      <c r="AF12" s="148"/>
      <c r="AG12" s="148"/>
      <c r="AH12" s="148"/>
      <c r="AI12" s="148"/>
      <c r="AJ12" s="148"/>
      <c r="AK12" s="148"/>
      <c r="AL12" s="148"/>
      <c r="AM12" s="148"/>
      <c r="AN12" s="148"/>
      <c r="AO12" s="148"/>
      <c r="AP12" s="148"/>
      <c r="AQ12" s="148"/>
      <c r="AR12" s="148"/>
      <c r="AS12" s="148"/>
      <c r="AT12" s="148"/>
      <c r="AU12" s="148"/>
      <c r="AV12" s="148"/>
      <c r="AW12" s="148"/>
      <c r="AX12" s="148"/>
      <c r="AY12" s="148"/>
      <c r="AZ12" s="148"/>
      <c r="BA12" s="148"/>
      <c r="BB12" s="148"/>
      <c r="BC12" s="148"/>
      <c r="BD12" s="148"/>
      <c r="BE12" s="148"/>
      <c r="BF12" s="148"/>
      <c r="BG12" s="148"/>
      <c r="BH12" s="148"/>
      <c r="BI12" s="148"/>
      <c r="BJ12" s="148"/>
      <c r="BK12" s="148"/>
      <c r="BL12" s="148"/>
      <c r="BM12" s="148"/>
      <c r="BN12" s="148"/>
      <c r="BO12" s="148"/>
      <c r="BP12" s="148"/>
      <c r="BQ12" s="148"/>
      <c r="BR12" s="148"/>
      <c r="BS12" s="148"/>
      <c r="BT12" s="148"/>
      <c r="BU12" s="148"/>
      <c r="BV12" s="148"/>
      <c r="BW12" s="148"/>
      <c r="BX12" s="148"/>
      <c r="BY12" s="148"/>
      <c r="BZ12" s="148"/>
      <c r="CA12" s="148"/>
      <c r="CB12" s="148"/>
      <c r="CC12" s="148"/>
      <c r="CD12" s="148"/>
      <c r="CE12" s="148"/>
      <c r="CF12" s="148"/>
      <c r="CG12" s="148"/>
      <c r="CH12" s="148"/>
      <c r="CI12" s="148"/>
      <c r="CJ12" s="148"/>
      <c r="CK12" s="148"/>
      <c r="CL12" s="148"/>
      <c r="CM12" s="148"/>
      <c r="CN12" s="148"/>
      <c r="CO12" s="148"/>
      <c r="CP12" s="148"/>
    </row>
    <row r="13" spans="1:94" s="153" customFormat="1" x14ac:dyDescent="0.25">
      <c r="A13" s="139"/>
      <c r="B13" s="139"/>
      <c r="C13" s="443" t="s">
        <v>30</v>
      </c>
      <c r="D13" s="466"/>
      <c r="E13" s="217"/>
      <c r="F13" s="220">
        <f>SUM(F10:F12)</f>
        <v>2.85</v>
      </c>
      <c r="G13" s="221">
        <f>SUM(G10:G12)</f>
        <v>146729.44</v>
      </c>
      <c r="H13" s="221">
        <f>SUM(H10:H12)</f>
        <v>33202.5</v>
      </c>
      <c r="I13" s="221">
        <f>SUM(I10:I12)</f>
        <v>31322.333556800007</v>
      </c>
      <c r="J13" s="219">
        <f>SUM(G13:I13)</f>
        <v>211254.27355680001</v>
      </c>
      <c r="K13" s="268"/>
      <c r="L13" s="219">
        <f>SUM(L10:L12)</f>
        <v>0</v>
      </c>
      <c r="M13" s="219">
        <f>SUM(M10:M12)</f>
        <v>-704.30131199999983</v>
      </c>
      <c r="N13" s="219">
        <f>SUM(N10:N12)</f>
        <v>-704.30131199999983</v>
      </c>
      <c r="O13"/>
      <c r="P13"/>
      <c r="Q13"/>
      <c r="R13"/>
      <c r="S13"/>
      <c r="T13"/>
      <c r="U13"/>
      <c r="V13"/>
      <c r="W13"/>
      <c r="X13"/>
      <c r="Y13"/>
      <c r="Z13" s="344"/>
      <c r="AA13" s="336"/>
      <c r="AB13" s="336"/>
      <c r="AC13" s="336"/>
      <c r="AD13" s="329"/>
      <c r="AE13" s="147"/>
      <c r="AF13" s="147"/>
      <c r="AG13" s="147"/>
      <c r="AH13" s="147"/>
      <c r="AI13" s="147"/>
      <c r="AJ13" s="147"/>
      <c r="AK13" s="147"/>
      <c r="AL13" s="147"/>
      <c r="AM13" s="147"/>
      <c r="AN13" s="147"/>
      <c r="AO13" s="147"/>
      <c r="AP13" s="147"/>
      <c r="AQ13" s="147"/>
      <c r="AR13" s="147"/>
      <c r="AS13" s="147"/>
      <c r="AT13" s="147"/>
      <c r="AU13" s="147"/>
      <c r="AV13" s="147"/>
      <c r="AW13" s="147"/>
      <c r="AX13" s="147"/>
      <c r="AY13" s="147"/>
      <c r="AZ13" s="147"/>
      <c r="BA13" s="147"/>
      <c r="BB13" s="147"/>
      <c r="BC13" s="147"/>
      <c r="BD13" s="147"/>
      <c r="BE13" s="147"/>
      <c r="BF13" s="147"/>
      <c r="BG13" s="147"/>
      <c r="BH13" s="147"/>
      <c r="BI13" s="147"/>
      <c r="BJ13" s="147"/>
      <c r="BK13" s="147"/>
      <c r="BL13" s="147"/>
      <c r="BM13" s="147"/>
      <c r="BN13" s="147"/>
      <c r="BO13" s="147"/>
      <c r="BP13" s="147"/>
      <c r="BQ13" s="147"/>
      <c r="BR13" s="147"/>
      <c r="BS13" s="147"/>
      <c r="BT13" s="147"/>
      <c r="BU13" s="147"/>
      <c r="BV13" s="147"/>
      <c r="BW13" s="147"/>
      <c r="BX13" s="147"/>
      <c r="BY13" s="147"/>
      <c r="BZ13" s="147"/>
      <c r="CA13" s="147"/>
      <c r="CB13" s="147"/>
      <c r="CC13" s="147"/>
      <c r="CD13" s="147"/>
      <c r="CE13" s="147"/>
      <c r="CF13" s="147"/>
      <c r="CG13" s="147"/>
      <c r="CH13" s="147"/>
      <c r="CI13" s="147"/>
      <c r="CJ13" s="147"/>
      <c r="CK13" s="147"/>
      <c r="CL13" s="147"/>
      <c r="CM13" s="147"/>
      <c r="CN13" s="147"/>
      <c r="CO13" s="147"/>
      <c r="CP13" s="147"/>
    </row>
    <row r="14" spans="1:94" s="153" customFormat="1" ht="5.45" customHeight="1" x14ac:dyDescent="0.25">
      <c r="A14" s="139"/>
      <c r="B14" s="139"/>
      <c r="C14" s="364"/>
      <c r="D14" s="370"/>
      <c r="E14" s="217"/>
      <c r="F14" s="220"/>
      <c r="G14" s="219"/>
      <c r="H14" s="219"/>
      <c r="I14" s="219"/>
      <c r="J14" s="219"/>
      <c r="K14" s="268"/>
      <c r="L14" s="219"/>
      <c r="M14" s="222"/>
      <c r="N14" s="222"/>
      <c r="O14"/>
      <c r="P14"/>
      <c r="Q14"/>
      <c r="R14"/>
      <c r="S14"/>
      <c r="T14"/>
      <c r="U14"/>
      <c r="V14"/>
      <c r="W14"/>
      <c r="X14"/>
      <c r="Y14"/>
      <c r="Z14" s="344"/>
      <c r="AA14" s="336"/>
      <c r="AB14" s="336"/>
      <c r="AC14" s="336"/>
      <c r="AD14" s="329"/>
      <c r="AE14" s="147"/>
      <c r="AF14" s="147"/>
      <c r="AG14" s="147"/>
      <c r="AH14" s="147"/>
      <c r="AI14" s="147"/>
      <c r="AJ14" s="147"/>
      <c r="AK14" s="147"/>
      <c r="AL14" s="147"/>
      <c r="AM14" s="147"/>
      <c r="AN14" s="147"/>
      <c r="AO14" s="147"/>
      <c r="AP14" s="147"/>
      <c r="AQ14" s="147"/>
      <c r="AR14" s="147"/>
      <c r="AS14" s="147"/>
      <c r="AT14" s="147"/>
      <c r="AU14" s="147"/>
      <c r="AV14" s="147"/>
      <c r="AW14" s="147"/>
      <c r="AX14" s="147"/>
      <c r="AY14" s="147"/>
      <c r="AZ14" s="147"/>
      <c r="BA14" s="147"/>
      <c r="BB14" s="147"/>
      <c r="BC14" s="147"/>
      <c r="BD14" s="147"/>
      <c r="BE14" s="147"/>
      <c r="BF14" s="147"/>
      <c r="BG14" s="147"/>
      <c r="BH14" s="147"/>
      <c r="BI14" s="147"/>
      <c r="BJ14" s="147"/>
      <c r="BK14" s="147"/>
      <c r="BL14" s="147"/>
      <c r="BM14" s="147"/>
      <c r="BN14" s="147"/>
      <c r="BO14" s="147"/>
      <c r="BP14" s="147"/>
      <c r="BQ14" s="147"/>
      <c r="BR14" s="147"/>
      <c r="BS14" s="147"/>
      <c r="BT14" s="147"/>
      <c r="BU14" s="147"/>
      <c r="BV14" s="147"/>
      <c r="BW14" s="147"/>
      <c r="BX14" s="147"/>
      <c r="BY14" s="147"/>
      <c r="BZ14" s="147"/>
      <c r="CA14" s="147"/>
      <c r="CB14" s="147"/>
      <c r="CC14" s="147"/>
      <c r="CD14" s="147"/>
      <c r="CE14" s="147"/>
      <c r="CF14" s="147"/>
      <c r="CG14" s="147"/>
      <c r="CH14" s="147"/>
      <c r="CI14" s="147"/>
      <c r="CJ14" s="147"/>
      <c r="CK14" s="147"/>
      <c r="CL14" s="147"/>
      <c r="CM14" s="147"/>
      <c r="CN14" s="147"/>
      <c r="CO14" s="147"/>
      <c r="CP14" s="147"/>
    </row>
    <row r="15" spans="1:94" s="153" customFormat="1" ht="15.75" customHeight="1" x14ac:dyDescent="0.25">
      <c r="A15" s="139"/>
      <c r="B15" s="156"/>
      <c r="C15" s="157" t="str">
        <f>"FY "&amp;'TACA|0338-02'!FiscalYear-1</f>
        <v>FY 2022</v>
      </c>
      <c r="D15" s="158" t="s">
        <v>31</v>
      </c>
      <c r="E15" s="354">
        <v>209900</v>
      </c>
      <c r="F15" s="55">
        <v>3</v>
      </c>
      <c r="G15" s="223">
        <f>IF(OrigApprop=0,0,(G13/$J$13)*OrigApprop)</f>
        <v>145788.81145199269</v>
      </c>
      <c r="H15" s="223">
        <f>IF(OrigApprop=0,0,(H13/$J$13)*OrigApprop)</f>
        <v>32989.650967350433</v>
      </c>
      <c r="I15" s="223">
        <f>IF(G15=0,0,(I13/$J$13)*OrigApprop)</f>
        <v>31121.537580656885</v>
      </c>
      <c r="J15" s="223">
        <f>SUM(G15:I15)</f>
        <v>209900</v>
      </c>
      <c r="K15" s="268"/>
      <c r="L15" s="224"/>
      <c r="M15" s="224"/>
      <c r="N15" s="224"/>
      <c r="O15"/>
      <c r="P15"/>
      <c r="Q15"/>
      <c r="R15"/>
      <c r="S15"/>
      <c r="T15"/>
      <c r="U15"/>
      <c r="V15"/>
      <c r="W15"/>
      <c r="X15"/>
      <c r="Y15"/>
      <c r="Z15" s="344"/>
      <c r="AA15" s="336"/>
      <c r="AB15" s="336"/>
      <c r="AC15" s="336"/>
      <c r="AD15" s="329"/>
      <c r="AE15" s="147"/>
      <c r="AF15" s="147"/>
      <c r="AG15" s="147"/>
      <c r="AH15" s="147"/>
      <c r="AI15" s="147"/>
      <c r="AJ15" s="147"/>
      <c r="AK15" s="147"/>
      <c r="AL15" s="147"/>
      <c r="AM15" s="147"/>
      <c r="AN15" s="147"/>
      <c r="AO15" s="147"/>
      <c r="AP15" s="147"/>
      <c r="AQ15" s="147"/>
      <c r="AR15" s="147"/>
      <c r="AS15" s="147"/>
      <c r="AT15" s="147"/>
      <c r="AU15" s="147"/>
      <c r="AV15" s="147"/>
      <c r="AW15" s="147"/>
      <c r="AX15" s="147"/>
      <c r="AY15" s="147"/>
      <c r="AZ15" s="147"/>
      <c r="BA15" s="147"/>
      <c r="BB15" s="147"/>
      <c r="BC15" s="147"/>
      <c r="BD15" s="147"/>
      <c r="BE15" s="147"/>
      <c r="BF15" s="147"/>
      <c r="BG15" s="147"/>
      <c r="BH15" s="147"/>
      <c r="BI15" s="147"/>
      <c r="BJ15" s="147"/>
      <c r="BK15" s="147"/>
      <c r="BL15" s="147"/>
      <c r="BM15" s="147"/>
      <c r="BN15" s="147"/>
      <c r="BO15" s="147"/>
      <c r="BP15" s="147"/>
      <c r="BQ15" s="147"/>
      <c r="BR15" s="147"/>
      <c r="BS15" s="147"/>
      <c r="BT15" s="147"/>
      <c r="BU15" s="147"/>
      <c r="BV15" s="147"/>
      <c r="BW15" s="147"/>
      <c r="BX15" s="147"/>
      <c r="BY15" s="147"/>
      <c r="BZ15" s="147"/>
      <c r="CA15" s="147"/>
      <c r="CB15" s="147"/>
      <c r="CC15" s="147"/>
      <c r="CD15" s="147"/>
      <c r="CE15" s="147"/>
      <c r="CF15" s="147"/>
      <c r="CG15" s="147"/>
      <c r="CH15" s="147"/>
      <c r="CI15" s="147"/>
      <c r="CJ15" s="147"/>
      <c r="CK15" s="147"/>
      <c r="CL15" s="147"/>
      <c r="CM15" s="147"/>
      <c r="CN15" s="147"/>
      <c r="CO15" s="147"/>
      <c r="CP15" s="147"/>
    </row>
    <row r="16" spans="1:94" s="153" customFormat="1" ht="15.75" customHeight="1" x14ac:dyDescent="0.25">
      <c r="A16" s="139"/>
      <c r="B16" s="139"/>
      <c r="C16" s="453" t="s">
        <v>32</v>
      </c>
      <c r="D16" s="454"/>
      <c r="E16" s="160" t="s">
        <v>33</v>
      </c>
      <c r="F16" s="161">
        <f>F15-F13</f>
        <v>0.14999999999999991</v>
      </c>
      <c r="G16" s="162">
        <f>G15-G13</f>
        <v>-940.62854800731293</v>
      </c>
      <c r="H16" s="162">
        <f>H15-H13</f>
        <v>-212.84903264956665</v>
      </c>
      <c r="I16" s="162">
        <f>I15-I13</f>
        <v>-200.79597614312297</v>
      </c>
      <c r="J16" s="162">
        <f>J15-J13</f>
        <v>-1354.2735568000062</v>
      </c>
      <c r="K16" s="269"/>
      <c r="L16" s="56" t="str">
        <f>IF('TACA|0338-02'!OrigApprop=0,"ERROR! Enter Original Appropriation amount in DU 3.00!","Calculated "&amp;IF('TACA|0338-02'!AdjustedTotal&gt;0,"overfunding ","underfunding ")&amp;"is "&amp;TEXT('TACA|0338-02'!AdjustedTotal/'TACA|0338-02'!AppropTotal,"#.0%;(#.0% );0% ;")&amp;" of Original Appropriation")</f>
        <v>Calculated underfunding is (.6% ) of Original Appropriation</v>
      </c>
      <c r="M16" s="163"/>
      <c r="N16" s="164"/>
      <c r="O16"/>
      <c r="P16"/>
      <c r="Q16"/>
      <c r="R16"/>
      <c r="S16"/>
      <c r="T16"/>
      <c r="U16"/>
      <c r="V16"/>
      <c r="W16"/>
      <c r="X16"/>
      <c r="Y16"/>
      <c r="Z16" s="344"/>
      <c r="AA16" s="336"/>
      <c r="AB16" s="336"/>
      <c r="AC16" s="336"/>
      <c r="AD16" s="329"/>
      <c r="AE16" s="147"/>
      <c r="AF16" s="147"/>
      <c r="AG16" s="147"/>
      <c r="AH16" s="147"/>
      <c r="AI16" s="147"/>
      <c r="AJ16" s="147"/>
      <c r="AK16" s="147"/>
      <c r="AL16" s="147"/>
      <c r="AM16" s="147"/>
      <c r="AN16" s="147"/>
      <c r="AO16" s="147"/>
      <c r="AP16" s="147"/>
      <c r="AQ16" s="147"/>
      <c r="AR16" s="147"/>
      <c r="AS16" s="147"/>
      <c r="AT16" s="147"/>
      <c r="AU16" s="147"/>
      <c r="AV16" s="147"/>
      <c r="AW16" s="147"/>
      <c r="AX16" s="147"/>
      <c r="AY16" s="147"/>
      <c r="AZ16" s="147"/>
      <c r="BA16" s="147"/>
      <c r="BB16" s="147"/>
      <c r="BC16" s="147"/>
      <c r="BD16" s="147"/>
      <c r="BE16" s="147"/>
      <c r="BF16" s="147"/>
      <c r="BG16" s="147"/>
      <c r="BH16" s="147"/>
      <c r="BI16" s="147"/>
      <c r="BJ16" s="147"/>
      <c r="BK16" s="147"/>
      <c r="BL16" s="147"/>
      <c r="BM16" s="147"/>
      <c r="BN16" s="147"/>
      <c r="BO16" s="147"/>
      <c r="BP16" s="147"/>
      <c r="BQ16" s="147"/>
      <c r="BR16" s="147"/>
      <c r="BS16" s="147"/>
      <c r="BT16" s="147"/>
      <c r="BU16" s="147"/>
      <c r="BV16" s="147"/>
      <c r="BW16" s="147"/>
      <c r="BX16" s="147"/>
      <c r="BY16" s="147"/>
      <c r="BZ16" s="147"/>
      <c r="CA16" s="147"/>
      <c r="CB16" s="147"/>
      <c r="CC16" s="147"/>
      <c r="CD16" s="147"/>
      <c r="CE16" s="147"/>
      <c r="CF16" s="147"/>
      <c r="CG16" s="147"/>
      <c r="CH16" s="147"/>
      <c r="CI16" s="147"/>
      <c r="CJ16" s="147"/>
      <c r="CK16" s="147"/>
      <c r="CL16" s="147"/>
      <c r="CM16" s="147"/>
      <c r="CN16" s="147"/>
      <c r="CO16" s="147"/>
      <c r="CP16" s="147"/>
    </row>
    <row r="17" spans="1:94" s="153" customFormat="1" x14ac:dyDescent="0.25">
      <c r="A17" s="139"/>
      <c r="B17" s="139"/>
      <c r="C17" s="455" t="s">
        <v>34</v>
      </c>
      <c r="D17" s="456"/>
      <c r="E17" s="147"/>
      <c r="F17" s="258"/>
      <c r="G17" s="147"/>
      <c r="H17" s="166"/>
      <c r="I17" s="167"/>
      <c r="J17" s="166"/>
      <c r="K17" s="166"/>
      <c r="L17" s="166"/>
      <c r="M17" s="166"/>
      <c r="N17" s="166"/>
      <c r="O17"/>
      <c r="P17"/>
      <c r="Q17"/>
      <c r="R17"/>
      <c r="S17"/>
      <c r="T17"/>
      <c r="U17"/>
      <c r="V17"/>
      <c r="W17"/>
      <c r="X17"/>
      <c r="Y17"/>
      <c r="Z17" s="344"/>
      <c r="AA17" s="336"/>
      <c r="AB17" s="336"/>
      <c r="AC17" s="336"/>
      <c r="AD17" s="329"/>
      <c r="AE17" s="147"/>
      <c r="AF17" s="147"/>
      <c r="AG17" s="147"/>
      <c r="AH17" s="147"/>
      <c r="AI17" s="147"/>
      <c r="AJ17" s="147"/>
      <c r="AK17" s="147"/>
      <c r="AL17" s="147"/>
      <c r="AM17" s="147"/>
      <c r="AN17" s="147"/>
      <c r="AO17" s="147"/>
      <c r="AP17" s="147"/>
      <c r="AQ17" s="147"/>
      <c r="AR17" s="147"/>
      <c r="AS17" s="147"/>
      <c r="AT17" s="147"/>
      <c r="AU17" s="147"/>
      <c r="AV17" s="147"/>
      <c r="AW17" s="147"/>
      <c r="AX17" s="147"/>
      <c r="AY17" s="147"/>
      <c r="AZ17" s="147"/>
      <c r="BA17" s="147"/>
      <c r="BB17" s="147"/>
      <c r="BC17" s="147"/>
      <c r="BD17" s="147"/>
      <c r="BE17" s="147"/>
      <c r="BF17" s="147"/>
      <c r="BG17" s="147"/>
      <c r="BH17" s="147"/>
      <c r="BI17" s="147"/>
      <c r="BJ17" s="147"/>
      <c r="BK17" s="147"/>
      <c r="BL17" s="147"/>
      <c r="BM17" s="147"/>
      <c r="BN17" s="147"/>
      <c r="BO17" s="147"/>
      <c r="BP17" s="147"/>
      <c r="BQ17" s="147"/>
      <c r="BR17" s="147"/>
      <c r="BS17" s="147"/>
      <c r="BT17" s="147"/>
      <c r="BU17" s="147"/>
      <c r="BV17" s="147"/>
      <c r="BW17" s="147"/>
      <c r="BX17" s="147"/>
      <c r="BY17" s="147"/>
      <c r="BZ17" s="147"/>
      <c r="CA17" s="147"/>
      <c r="CB17" s="147"/>
      <c r="CC17" s="147"/>
      <c r="CD17" s="147"/>
      <c r="CE17" s="147"/>
      <c r="CF17" s="147"/>
      <c r="CG17" s="147"/>
      <c r="CH17" s="147"/>
      <c r="CI17" s="147"/>
      <c r="CJ17" s="147"/>
      <c r="CK17" s="147"/>
      <c r="CL17" s="147"/>
      <c r="CM17" s="147"/>
      <c r="CN17" s="147"/>
      <c r="CO17" s="147"/>
      <c r="CP17" s="147"/>
    </row>
    <row r="18" spans="1:94" s="153" customFormat="1" ht="26.25" customHeight="1" x14ac:dyDescent="0.25">
      <c r="A18" s="139"/>
      <c r="B18" s="168"/>
      <c r="C18" s="457" t="s">
        <v>35</v>
      </c>
      <c r="D18" s="458"/>
      <c r="E18" s="150"/>
      <c r="F18" s="165"/>
      <c r="G18" s="166"/>
      <c r="H18" s="169"/>
      <c r="I18" s="166"/>
      <c r="J18" s="166"/>
      <c r="K18" s="166"/>
      <c r="L18" s="166"/>
      <c r="M18" s="166"/>
      <c r="N18" s="166"/>
      <c r="O18"/>
      <c r="P18"/>
      <c r="Q18"/>
      <c r="R18"/>
      <c r="S18"/>
      <c r="T18"/>
      <c r="U18"/>
      <c r="V18"/>
      <c r="W18"/>
      <c r="X18"/>
      <c r="Y18"/>
      <c r="Z18" s="344"/>
      <c r="AA18" s="336"/>
      <c r="AB18" s="336"/>
      <c r="AC18" s="336"/>
      <c r="AD18" s="329"/>
      <c r="AE18" s="147"/>
      <c r="AF18" s="147"/>
      <c r="AG18" s="147"/>
      <c r="AH18" s="147"/>
      <c r="AI18" s="147"/>
      <c r="AJ18" s="147"/>
      <c r="AK18" s="147"/>
      <c r="AL18" s="147"/>
      <c r="AM18" s="147"/>
      <c r="AN18" s="147"/>
      <c r="AO18" s="147"/>
      <c r="AP18" s="147"/>
      <c r="AQ18" s="147"/>
      <c r="AR18" s="147"/>
      <c r="AS18" s="147"/>
      <c r="AT18" s="147"/>
      <c r="AU18" s="147"/>
      <c r="AV18" s="147"/>
      <c r="AW18" s="147"/>
      <c r="AX18" s="147"/>
      <c r="AY18" s="147"/>
      <c r="AZ18" s="147"/>
      <c r="BA18" s="147"/>
      <c r="BB18" s="147"/>
      <c r="BC18" s="147"/>
      <c r="BD18" s="147"/>
      <c r="BE18" s="147"/>
      <c r="BF18" s="147"/>
      <c r="BG18" s="147"/>
      <c r="BH18" s="147"/>
      <c r="BI18" s="147"/>
      <c r="BJ18" s="147"/>
      <c r="BK18" s="147"/>
      <c r="BL18" s="147"/>
      <c r="BM18" s="147"/>
      <c r="BN18" s="147"/>
      <c r="BO18" s="147"/>
      <c r="BP18" s="147"/>
      <c r="BQ18" s="147"/>
      <c r="BR18" s="147"/>
      <c r="BS18" s="147"/>
      <c r="BT18" s="147"/>
      <c r="BU18" s="147"/>
      <c r="BV18" s="147"/>
      <c r="BW18" s="147"/>
      <c r="BX18" s="147"/>
      <c r="BY18" s="147"/>
      <c r="BZ18" s="147"/>
      <c r="CA18" s="147"/>
      <c r="CB18" s="147"/>
      <c r="CC18" s="147"/>
      <c r="CD18" s="147"/>
      <c r="CE18" s="147"/>
      <c r="CF18" s="147"/>
      <c r="CG18" s="147"/>
      <c r="CH18" s="147"/>
      <c r="CI18" s="147"/>
      <c r="CJ18" s="147"/>
      <c r="CK18" s="147"/>
      <c r="CL18" s="147"/>
    </row>
    <row r="19" spans="1:94" s="153" customFormat="1" ht="25.5" x14ac:dyDescent="0.25">
      <c r="A19" s="238"/>
      <c r="B19" s="202"/>
      <c r="C19" s="239" t="s">
        <v>86</v>
      </c>
      <c r="D19" s="240" t="s">
        <v>87</v>
      </c>
      <c r="E19" s="241"/>
      <c r="F19" s="165"/>
      <c r="G19" s="166"/>
      <c r="H19" s="169"/>
      <c r="I19" s="170"/>
      <c r="J19" s="166"/>
      <c r="K19" s="166"/>
      <c r="L19" s="169"/>
      <c r="M19" s="166"/>
      <c r="N19" s="166"/>
      <c r="O19"/>
      <c r="P19"/>
      <c r="Q19"/>
      <c r="R19"/>
      <c r="S19"/>
      <c r="T19"/>
      <c r="U19"/>
      <c r="V19"/>
      <c r="W19"/>
      <c r="X19"/>
      <c r="Y19"/>
      <c r="Z19" s="344"/>
      <c r="AA19" s="363"/>
      <c r="AB19" s="363"/>
      <c r="AC19" s="363"/>
      <c r="AD19" s="329"/>
      <c r="AE19" s="147"/>
      <c r="AF19" s="147"/>
      <c r="AG19" s="147"/>
      <c r="AH19" s="147"/>
      <c r="AI19" s="147"/>
      <c r="AJ19" s="147"/>
      <c r="AK19" s="147"/>
      <c r="AL19" s="147"/>
      <c r="AM19" s="147"/>
      <c r="AN19" s="147"/>
      <c r="AO19" s="147"/>
      <c r="AP19" s="147"/>
      <c r="AQ19" s="147"/>
      <c r="AR19" s="147"/>
      <c r="AS19" s="147"/>
      <c r="AT19" s="147"/>
      <c r="AU19" s="147"/>
      <c r="AV19" s="147"/>
      <c r="AW19" s="147"/>
      <c r="AX19" s="147"/>
      <c r="AY19" s="147"/>
      <c r="AZ19" s="147"/>
      <c r="BA19" s="147"/>
      <c r="BB19" s="147"/>
      <c r="BC19" s="147"/>
      <c r="BD19" s="147"/>
      <c r="BE19" s="147"/>
      <c r="BF19" s="147"/>
      <c r="BG19" s="147"/>
      <c r="BH19" s="147"/>
      <c r="BI19" s="147"/>
      <c r="BJ19" s="147"/>
      <c r="BK19" s="147"/>
      <c r="BL19" s="147"/>
      <c r="BM19" s="147"/>
      <c r="BN19" s="147"/>
      <c r="BO19" s="147"/>
      <c r="BP19" s="147"/>
      <c r="BQ19" s="147"/>
      <c r="BR19" s="147"/>
      <c r="BS19" s="147"/>
      <c r="BT19" s="147"/>
      <c r="BU19" s="147"/>
      <c r="BV19" s="147"/>
      <c r="BW19" s="147"/>
      <c r="BX19" s="147"/>
      <c r="BY19" s="147"/>
      <c r="BZ19" s="147"/>
      <c r="CA19" s="147"/>
      <c r="CB19" s="147"/>
      <c r="CC19" s="147"/>
      <c r="CD19" s="147"/>
      <c r="CE19" s="147"/>
      <c r="CF19" s="147"/>
      <c r="CG19" s="147"/>
      <c r="CH19" s="147"/>
      <c r="CI19" s="147"/>
      <c r="CJ19" s="147"/>
      <c r="CK19" s="147"/>
      <c r="CL19" s="147"/>
      <c r="CM19" s="147"/>
      <c r="CN19" s="147"/>
      <c r="CO19" s="147"/>
      <c r="CP19" s="147"/>
    </row>
    <row r="20" spans="1:94" s="177" customFormat="1" ht="15" x14ac:dyDescent="0.25">
      <c r="A20" s="171"/>
      <c r="B20" s="172"/>
      <c r="C20" s="244"/>
      <c r="D20" s="242"/>
      <c r="E20" s="173"/>
      <c r="F20" s="174">
        <v>0</v>
      </c>
      <c r="G20" s="175">
        <v>0</v>
      </c>
      <c r="H20" s="176">
        <f t="shared" ref="H20:H30" si="0">IF(AND($F20&lt;&gt;0,$G20&lt;&gt;0,OR($E20=1,$E20=3)),$F20*Health,0)</f>
        <v>0</v>
      </c>
      <c r="I20" s="176">
        <f t="shared" ref="I20:I30" si="1">IF(AND($E20=1,$C20=""),$G20*PermVB+$G20*Retire1,IF($E20=1,$G20*PermVB+$G20*VLOOKUP($C20,Retirement_Rates,3,FALSE),IF($E20=2,$G20*GroupVB,IF(AND($E20=3,$C20=""),$G20*ElectVB+$G20*Retire1,IF($E20=3,$G20*ElectVB+$G20*VLOOKUP($C20,Retirement_Rates,3,FALSE),0)))))</f>
        <v>0</v>
      </c>
      <c r="J20" s="159">
        <f>IF($E20&gt;0,SUM($G20:$I20),0)</f>
        <v>0</v>
      </c>
      <c r="K20" s="166"/>
      <c r="L20" s="176">
        <f t="shared" ref="L20:L30" si="2">IF(AND($F20&lt;&gt;0,$G20&lt;&gt;0,OR($E20=1,$E20=3)),$F20*HealthCHG,0)</f>
        <v>0</v>
      </c>
      <c r="M20" s="176">
        <f>IF(AND($E20=1,$C20=""),$G20*PermVBCHG+$G20*Retire1CHG,IF($E20=1,$G20*PermVBCHG+$G20*VLOOKUP($C20,Retirement_Rates,5,FALSE),IF($E20=2,0,IF(AND($E20=3,$C20=""),$G20*ElectVBCHG+$G20*Retire1CHG,IF($E20=3,$G20*ElectVBCHG+$G20*VLOOKUP($C20,Retirement_Rates,5,FALSE),0)))))</f>
        <v>0</v>
      </c>
      <c r="N20" s="176">
        <f>SUM(L20:M20)</f>
        <v>0</v>
      </c>
      <c r="O20"/>
      <c r="P20"/>
      <c r="Q20"/>
      <c r="R20"/>
      <c r="S20"/>
      <c r="T20"/>
      <c r="U20"/>
      <c r="V20"/>
      <c r="W20"/>
      <c r="X20"/>
      <c r="Y20"/>
      <c r="Z20" s="344"/>
      <c r="AA20" s="363"/>
      <c r="AB20" s="363"/>
      <c r="AC20" s="363"/>
      <c r="AD20" s="329"/>
      <c r="AE20" s="147"/>
      <c r="AF20" s="147"/>
      <c r="AG20" s="147"/>
      <c r="AH20" s="147"/>
      <c r="AI20" s="147"/>
      <c r="AJ20" s="147"/>
      <c r="AK20" s="147"/>
      <c r="AL20" s="147"/>
      <c r="AM20" s="147"/>
      <c r="AN20" s="147"/>
      <c r="AO20" s="147"/>
      <c r="AP20" s="147"/>
      <c r="AQ20" s="147"/>
      <c r="AR20" s="147"/>
      <c r="AS20" s="147"/>
      <c r="AT20" s="147"/>
      <c r="AU20" s="147"/>
      <c r="AV20" s="147"/>
      <c r="AW20" s="147"/>
      <c r="AX20" s="147"/>
      <c r="AY20" s="147"/>
      <c r="AZ20" s="147"/>
      <c r="BA20" s="147"/>
      <c r="BB20" s="147"/>
      <c r="BC20" s="147"/>
      <c r="BD20" s="147"/>
      <c r="BE20" s="147"/>
      <c r="BF20" s="147"/>
      <c r="BG20" s="147"/>
      <c r="BH20" s="147"/>
      <c r="BI20" s="147"/>
      <c r="BJ20" s="147"/>
      <c r="BK20" s="147"/>
      <c r="BL20" s="147"/>
      <c r="BM20" s="147"/>
      <c r="BN20" s="147"/>
      <c r="BO20" s="147"/>
      <c r="BP20" s="147"/>
      <c r="BQ20" s="147"/>
      <c r="BR20" s="147"/>
      <c r="BS20" s="147"/>
      <c r="BT20" s="147"/>
      <c r="BU20" s="147"/>
      <c r="BV20" s="147"/>
      <c r="BW20" s="147"/>
      <c r="BX20" s="147"/>
      <c r="BY20" s="147"/>
      <c r="BZ20" s="147"/>
      <c r="CA20" s="147"/>
      <c r="CB20" s="147"/>
      <c r="CC20" s="147"/>
      <c r="CD20" s="147"/>
      <c r="CE20" s="147"/>
      <c r="CF20" s="147"/>
      <c r="CG20" s="147"/>
      <c r="CH20" s="147"/>
      <c r="CI20" s="147"/>
      <c r="CJ20" s="147"/>
      <c r="CK20" s="147"/>
      <c r="CL20" s="147"/>
      <c r="CM20" s="147"/>
      <c r="CN20" s="147"/>
      <c r="CO20" s="147"/>
      <c r="CP20" s="147"/>
    </row>
    <row r="21" spans="1:94" s="177" customFormat="1" ht="15" x14ac:dyDescent="0.25">
      <c r="A21" s="178"/>
      <c r="B21" s="179"/>
      <c r="C21" s="244"/>
      <c r="D21" s="242"/>
      <c r="E21" s="180"/>
      <c r="F21" s="181">
        <v>0</v>
      </c>
      <c r="G21" s="175">
        <v>0</v>
      </c>
      <c r="H21" s="176">
        <f t="shared" si="0"/>
        <v>0</v>
      </c>
      <c r="I21" s="176">
        <f t="shared" si="1"/>
        <v>0</v>
      </c>
      <c r="J21" s="159">
        <f t="shared" ref="J21:J35" si="3">IF($E21&gt;0,SUM($G21:$I21),0)</f>
        <v>0</v>
      </c>
      <c r="K21" s="166"/>
      <c r="L21" s="176">
        <f t="shared" si="2"/>
        <v>0</v>
      </c>
      <c r="M21" s="176">
        <f t="shared" ref="M21:M30" si="4">IF(AND($E21=1,$C21=""),$G21*PermVBCHG+$G21*Retire1CHG,IF($E21=1,$G21*PermVBCHG+$G21*VLOOKUP($C21,Retirement_Rates,5,FALSE),IF($E21=2,0,IF(AND($E21=3,$C21=""),$G21*ElectVBCHG+$G21*Retire1CHG,IF($E21=3,$G21*ElectVBCHG+$G21*VLOOKUP($C21,Retirement_Rates,5,FALSE),0)))))</f>
        <v>0</v>
      </c>
      <c r="N21" s="183">
        <f t="shared" ref="N21:N30" si="5">SUM(L21:M21)</f>
        <v>0</v>
      </c>
      <c r="O21"/>
      <c r="P21"/>
      <c r="Q21"/>
      <c r="R21"/>
      <c r="S21"/>
      <c r="T21"/>
      <c r="U21"/>
      <c r="V21"/>
      <c r="W21"/>
      <c r="X21"/>
      <c r="Y21"/>
      <c r="Z21" s="344"/>
      <c r="AA21" s="363"/>
      <c r="AB21" s="363"/>
      <c r="AC21" s="363"/>
      <c r="AD21" s="329"/>
      <c r="AE21" s="147"/>
      <c r="AF21" s="147"/>
      <c r="AG21" s="147"/>
      <c r="AH21" s="147"/>
      <c r="AI21" s="147"/>
      <c r="AJ21" s="147"/>
      <c r="AK21" s="147"/>
      <c r="AL21" s="147"/>
      <c r="AM21" s="147"/>
      <c r="AN21" s="147"/>
      <c r="AO21" s="147"/>
      <c r="AP21" s="147"/>
      <c r="AQ21" s="147"/>
      <c r="AR21" s="147"/>
      <c r="AS21" s="147"/>
      <c r="AT21" s="147"/>
      <c r="AU21" s="147"/>
      <c r="AV21" s="147"/>
      <c r="AW21" s="147"/>
      <c r="AX21" s="147"/>
      <c r="AY21" s="147"/>
      <c r="AZ21" s="147"/>
      <c r="BA21" s="147"/>
      <c r="BB21" s="147"/>
      <c r="BC21" s="147"/>
      <c r="BD21" s="147"/>
      <c r="BE21" s="147"/>
      <c r="BF21" s="147"/>
      <c r="BG21" s="147"/>
      <c r="BH21" s="147"/>
      <c r="BI21" s="147"/>
      <c r="BJ21" s="147"/>
      <c r="BK21" s="147"/>
      <c r="BL21" s="147"/>
      <c r="BM21" s="147"/>
      <c r="BN21" s="147"/>
      <c r="BO21" s="147"/>
      <c r="BP21" s="147"/>
      <c r="BQ21" s="147"/>
      <c r="BR21" s="147"/>
      <c r="BS21" s="147"/>
      <c r="BT21" s="147"/>
      <c r="BU21" s="147"/>
      <c r="BV21" s="147"/>
      <c r="BW21" s="147"/>
      <c r="BX21" s="147"/>
      <c r="BY21" s="147"/>
      <c r="BZ21" s="147"/>
      <c r="CA21" s="147"/>
      <c r="CB21" s="147"/>
      <c r="CC21" s="147"/>
      <c r="CD21" s="147"/>
      <c r="CE21" s="147"/>
      <c r="CF21" s="147"/>
      <c r="CG21" s="147"/>
      <c r="CH21" s="147"/>
      <c r="CI21" s="147"/>
      <c r="CJ21" s="147"/>
      <c r="CK21" s="147"/>
      <c r="CL21" s="147"/>
      <c r="CM21" s="147"/>
      <c r="CN21" s="147"/>
      <c r="CO21" s="147"/>
      <c r="CP21" s="147"/>
    </row>
    <row r="22" spans="1:94" s="177" customFormat="1" ht="15" x14ac:dyDescent="0.25">
      <c r="A22" s="178"/>
      <c r="B22" s="179"/>
      <c r="C22" s="244"/>
      <c r="D22" s="242"/>
      <c r="E22" s="180"/>
      <c r="F22" s="181">
        <v>0</v>
      </c>
      <c r="G22" s="175">
        <v>0</v>
      </c>
      <c r="H22" s="176">
        <f t="shared" si="0"/>
        <v>0</v>
      </c>
      <c r="I22" s="176">
        <f t="shared" si="1"/>
        <v>0</v>
      </c>
      <c r="J22" s="159">
        <f t="shared" si="3"/>
        <v>0</v>
      </c>
      <c r="K22" s="166"/>
      <c r="L22" s="176">
        <f t="shared" si="2"/>
        <v>0</v>
      </c>
      <c r="M22" s="176">
        <f t="shared" si="4"/>
        <v>0</v>
      </c>
      <c r="N22" s="183">
        <f t="shared" si="5"/>
        <v>0</v>
      </c>
      <c r="O22"/>
      <c r="P22"/>
      <c r="Q22"/>
      <c r="R22"/>
      <c r="S22"/>
      <c r="T22"/>
      <c r="U22"/>
      <c r="V22"/>
      <c r="W22"/>
      <c r="X22"/>
      <c r="Y22"/>
      <c r="Z22" s="344"/>
      <c r="AA22" s="363"/>
      <c r="AB22" s="363"/>
      <c r="AC22" s="363"/>
      <c r="AD22" s="329"/>
      <c r="AE22" s="147"/>
      <c r="AF22" s="147"/>
      <c r="AG22" s="147"/>
      <c r="AH22" s="147"/>
      <c r="AI22" s="147"/>
      <c r="AJ22" s="147"/>
      <c r="AK22" s="147"/>
      <c r="AL22" s="147"/>
      <c r="AM22" s="147"/>
      <c r="AN22" s="147"/>
      <c r="AO22" s="147"/>
      <c r="AP22" s="147"/>
      <c r="AQ22" s="147"/>
      <c r="AR22" s="147"/>
      <c r="AS22" s="147"/>
      <c r="AT22" s="147"/>
      <c r="AU22" s="147"/>
      <c r="AV22" s="147"/>
      <c r="AW22" s="147"/>
      <c r="AX22" s="147"/>
      <c r="AY22" s="147"/>
      <c r="AZ22" s="147"/>
      <c r="BA22" s="147"/>
      <c r="BB22" s="147"/>
      <c r="BC22" s="147"/>
      <c r="BD22" s="147"/>
      <c r="BE22" s="147"/>
      <c r="BF22" s="147"/>
      <c r="BG22" s="147"/>
      <c r="BH22" s="147"/>
      <c r="BI22" s="147"/>
      <c r="BJ22" s="147"/>
      <c r="BK22" s="147"/>
      <c r="BL22" s="147"/>
      <c r="BM22" s="147"/>
      <c r="BN22" s="147"/>
      <c r="BO22" s="147"/>
      <c r="BP22" s="147"/>
      <c r="BQ22" s="147"/>
      <c r="BR22" s="147"/>
      <c r="BS22" s="147"/>
      <c r="BT22" s="147"/>
      <c r="BU22" s="147"/>
      <c r="BV22" s="147"/>
      <c r="BW22" s="147"/>
      <c r="BX22" s="147"/>
      <c r="BY22" s="147"/>
      <c r="BZ22" s="147"/>
      <c r="CA22" s="147"/>
      <c r="CB22" s="147"/>
      <c r="CC22" s="147"/>
      <c r="CD22" s="147"/>
      <c r="CE22" s="147"/>
      <c r="CF22" s="147"/>
      <c r="CG22" s="147"/>
      <c r="CH22" s="147"/>
      <c r="CI22" s="147"/>
      <c r="CJ22" s="147"/>
      <c r="CK22" s="147"/>
      <c r="CL22" s="147"/>
      <c r="CM22" s="147"/>
      <c r="CN22" s="147"/>
      <c r="CO22" s="147"/>
      <c r="CP22" s="147"/>
    </row>
    <row r="23" spans="1:94" s="177" customFormat="1" ht="15" x14ac:dyDescent="0.25">
      <c r="A23" s="178"/>
      <c r="B23" s="179"/>
      <c r="C23" s="244"/>
      <c r="D23" s="242"/>
      <c r="E23" s="180"/>
      <c r="F23" s="181">
        <v>0</v>
      </c>
      <c r="G23" s="175">
        <v>0</v>
      </c>
      <c r="H23" s="176">
        <f t="shared" si="0"/>
        <v>0</v>
      </c>
      <c r="I23" s="176">
        <f t="shared" si="1"/>
        <v>0</v>
      </c>
      <c r="J23" s="159">
        <f t="shared" si="3"/>
        <v>0</v>
      </c>
      <c r="K23" s="166"/>
      <c r="L23" s="176">
        <f t="shared" si="2"/>
        <v>0</v>
      </c>
      <c r="M23" s="176">
        <f t="shared" si="4"/>
        <v>0</v>
      </c>
      <c r="N23" s="183">
        <f t="shared" si="5"/>
        <v>0</v>
      </c>
      <c r="O23"/>
      <c r="P23"/>
      <c r="Q23"/>
      <c r="R23"/>
      <c r="S23"/>
      <c r="T23"/>
      <c r="U23"/>
      <c r="V23"/>
      <c r="W23"/>
      <c r="X23"/>
      <c r="Y23"/>
      <c r="Z23" s="344"/>
      <c r="AA23" s="363"/>
      <c r="AB23" s="363"/>
      <c r="AC23" s="363"/>
      <c r="AD23" s="329"/>
      <c r="AE23" s="147"/>
      <c r="AF23" s="147"/>
      <c r="AG23" s="147"/>
      <c r="AH23" s="147"/>
      <c r="AI23" s="147"/>
      <c r="AJ23" s="147"/>
      <c r="AK23" s="147"/>
      <c r="AL23" s="147"/>
      <c r="AM23" s="147"/>
      <c r="AN23" s="147"/>
      <c r="AO23" s="147"/>
      <c r="AP23" s="147"/>
      <c r="AQ23" s="147"/>
      <c r="AR23" s="147"/>
      <c r="AS23" s="147"/>
      <c r="AT23" s="147"/>
      <c r="AU23" s="147"/>
      <c r="AV23" s="147"/>
      <c r="AW23" s="147"/>
      <c r="AX23" s="147"/>
      <c r="AY23" s="147"/>
      <c r="AZ23" s="147"/>
      <c r="BA23" s="147"/>
      <c r="BB23" s="147"/>
      <c r="BC23" s="147"/>
      <c r="BD23" s="147"/>
      <c r="BE23" s="147"/>
      <c r="BF23" s="147"/>
      <c r="BG23" s="147"/>
      <c r="BH23" s="147"/>
      <c r="BI23" s="147"/>
      <c r="BJ23" s="147"/>
      <c r="BK23" s="147"/>
      <c r="BL23" s="147"/>
      <c r="BM23" s="147"/>
      <c r="BN23" s="147"/>
      <c r="BO23" s="147"/>
      <c r="BP23" s="147"/>
      <c r="BQ23" s="147"/>
      <c r="BR23" s="147"/>
      <c r="BS23" s="147"/>
      <c r="BT23" s="147"/>
      <c r="BU23" s="147"/>
      <c r="BV23" s="147"/>
      <c r="BW23" s="147"/>
      <c r="BX23" s="147"/>
      <c r="BY23" s="147"/>
      <c r="BZ23" s="147"/>
      <c r="CA23" s="147"/>
      <c r="CB23" s="147"/>
      <c r="CC23" s="147"/>
      <c r="CD23" s="147"/>
      <c r="CE23" s="147"/>
      <c r="CF23" s="147"/>
      <c r="CG23" s="147"/>
      <c r="CH23" s="147"/>
      <c r="CI23" s="147"/>
      <c r="CJ23" s="147"/>
      <c r="CK23" s="147"/>
      <c r="CL23" s="147"/>
      <c r="CM23" s="147"/>
      <c r="CN23" s="147"/>
      <c r="CO23" s="147"/>
      <c r="CP23" s="147"/>
    </row>
    <row r="24" spans="1:94" s="177" customFormat="1" ht="15" x14ac:dyDescent="0.25">
      <c r="A24" s="178"/>
      <c r="B24" s="179"/>
      <c r="C24" s="244"/>
      <c r="D24" s="242"/>
      <c r="E24" s="180"/>
      <c r="F24" s="181">
        <v>0</v>
      </c>
      <c r="G24" s="175">
        <v>0</v>
      </c>
      <c r="H24" s="176">
        <f t="shared" si="0"/>
        <v>0</v>
      </c>
      <c r="I24" s="176">
        <f t="shared" si="1"/>
        <v>0</v>
      </c>
      <c r="J24" s="159">
        <f t="shared" si="3"/>
        <v>0</v>
      </c>
      <c r="K24" s="166"/>
      <c r="L24" s="176">
        <f t="shared" si="2"/>
        <v>0</v>
      </c>
      <c r="M24" s="176">
        <f t="shared" si="4"/>
        <v>0</v>
      </c>
      <c r="N24" s="183">
        <f t="shared" si="5"/>
        <v>0</v>
      </c>
      <c r="O24"/>
      <c r="P24"/>
      <c r="Q24"/>
      <c r="R24"/>
      <c r="S24"/>
      <c r="T24"/>
      <c r="U24"/>
      <c r="V24"/>
      <c r="W24"/>
      <c r="X24"/>
      <c r="Y24"/>
      <c r="Z24" s="344"/>
      <c r="AA24" s="345"/>
      <c r="AB24" s="363"/>
      <c r="AC24" s="363"/>
      <c r="AD24" s="329"/>
      <c r="AE24" s="147"/>
      <c r="AF24" s="147"/>
      <c r="AG24" s="147"/>
      <c r="AH24" s="147"/>
      <c r="AI24" s="147"/>
      <c r="AJ24" s="147"/>
      <c r="AK24" s="147"/>
      <c r="AL24" s="147"/>
      <c r="AM24" s="147"/>
      <c r="AN24" s="147"/>
      <c r="AO24" s="147"/>
      <c r="AP24" s="147"/>
      <c r="AQ24" s="147"/>
      <c r="AR24" s="147"/>
      <c r="AS24" s="147"/>
      <c r="AT24" s="147"/>
      <c r="AU24" s="147"/>
      <c r="AV24" s="147"/>
      <c r="AW24" s="147"/>
      <c r="AX24" s="147"/>
      <c r="AY24" s="147"/>
      <c r="AZ24" s="147"/>
      <c r="BA24" s="147"/>
      <c r="BB24" s="147"/>
      <c r="BC24" s="147"/>
      <c r="BD24" s="147"/>
      <c r="BE24" s="147"/>
      <c r="BF24" s="147"/>
      <c r="BG24" s="147"/>
      <c r="BH24" s="147"/>
      <c r="BI24" s="147"/>
      <c r="BJ24" s="147"/>
      <c r="BK24" s="147"/>
      <c r="BL24" s="147"/>
      <c r="BM24" s="147"/>
      <c r="BN24" s="147"/>
      <c r="BO24" s="147"/>
      <c r="BP24" s="147"/>
      <c r="BQ24" s="147"/>
      <c r="BR24" s="147"/>
      <c r="BS24" s="147"/>
      <c r="BT24" s="147"/>
      <c r="BU24" s="147"/>
      <c r="BV24" s="147"/>
      <c r="BW24" s="147"/>
      <c r="BX24" s="147"/>
      <c r="BY24" s="147"/>
      <c r="BZ24" s="147"/>
      <c r="CA24" s="147"/>
      <c r="CB24" s="147"/>
      <c r="CC24" s="147"/>
      <c r="CD24" s="147"/>
      <c r="CE24" s="147"/>
      <c r="CF24" s="147"/>
      <c r="CG24" s="147"/>
      <c r="CH24" s="147"/>
      <c r="CI24" s="147"/>
      <c r="CJ24" s="147"/>
      <c r="CK24" s="147"/>
      <c r="CL24" s="147"/>
      <c r="CM24" s="147"/>
      <c r="CN24" s="147"/>
      <c r="CO24" s="147"/>
      <c r="CP24" s="147"/>
    </row>
    <row r="25" spans="1:94" s="177" customFormat="1" ht="15" x14ac:dyDescent="0.25">
      <c r="A25" s="178"/>
      <c r="B25" s="179"/>
      <c r="C25" s="244"/>
      <c r="D25" s="242"/>
      <c r="E25" s="180"/>
      <c r="F25" s="181">
        <v>0</v>
      </c>
      <c r="G25" s="182">
        <v>0</v>
      </c>
      <c r="H25" s="176">
        <f t="shared" si="0"/>
        <v>0</v>
      </c>
      <c r="I25" s="176">
        <f t="shared" si="1"/>
        <v>0</v>
      </c>
      <c r="J25" s="159">
        <f t="shared" si="3"/>
        <v>0</v>
      </c>
      <c r="K25" s="166"/>
      <c r="L25" s="176">
        <f t="shared" si="2"/>
        <v>0</v>
      </c>
      <c r="M25" s="176">
        <f t="shared" si="4"/>
        <v>0</v>
      </c>
      <c r="N25" s="183">
        <f t="shared" si="5"/>
        <v>0</v>
      </c>
      <c r="O25"/>
      <c r="P25"/>
      <c r="Q25"/>
      <c r="R25"/>
      <c r="S25"/>
      <c r="T25"/>
      <c r="U25"/>
      <c r="V25"/>
      <c r="W25"/>
      <c r="X25"/>
      <c r="Y25"/>
      <c r="Z25" s="344"/>
      <c r="AA25" s="345"/>
      <c r="AB25" s="363"/>
      <c r="AC25" s="363"/>
      <c r="AD25" s="329"/>
      <c r="AE25" s="147"/>
      <c r="AF25" s="147"/>
      <c r="AG25" s="147"/>
      <c r="AH25" s="147"/>
      <c r="AI25" s="147"/>
      <c r="AJ25" s="147"/>
      <c r="AK25" s="147"/>
      <c r="AL25" s="147"/>
      <c r="AM25" s="147"/>
      <c r="AN25" s="147"/>
      <c r="AO25" s="147"/>
      <c r="AP25" s="147"/>
      <c r="AQ25" s="147"/>
      <c r="AR25" s="147"/>
      <c r="AS25" s="147"/>
      <c r="AT25" s="147"/>
      <c r="AU25" s="147"/>
      <c r="AV25" s="147"/>
      <c r="AW25" s="147"/>
      <c r="AX25" s="147"/>
      <c r="AY25" s="147"/>
      <c r="AZ25" s="147"/>
      <c r="BA25" s="147"/>
      <c r="BB25" s="147"/>
      <c r="BC25" s="147"/>
      <c r="BD25" s="147"/>
      <c r="BE25" s="147"/>
      <c r="BF25" s="147"/>
      <c r="BG25" s="147"/>
      <c r="BH25" s="147"/>
      <c r="BI25" s="147"/>
      <c r="BJ25" s="147"/>
      <c r="BK25" s="147"/>
      <c r="BL25" s="147"/>
      <c r="BM25" s="147"/>
      <c r="BN25" s="147"/>
      <c r="BO25" s="147"/>
      <c r="BP25" s="147"/>
      <c r="BQ25" s="147"/>
      <c r="BR25" s="147"/>
      <c r="BS25" s="147"/>
      <c r="BT25" s="147"/>
      <c r="BU25" s="147"/>
      <c r="BV25" s="147"/>
      <c r="BW25" s="147"/>
      <c r="BX25" s="147"/>
      <c r="BY25" s="147"/>
      <c r="BZ25" s="147"/>
      <c r="CA25" s="147"/>
      <c r="CB25" s="147"/>
      <c r="CC25" s="147"/>
      <c r="CD25" s="147"/>
      <c r="CE25" s="147"/>
      <c r="CF25" s="147"/>
      <c r="CG25" s="147"/>
      <c r="CH25" s="147"/>
      <c r="CI25" s="147"/>
      <c r="CJ25" s="147"/>
      <c r="CK25" s="147"/>
      <c r="CL25" s="147"/>
      <c r="CM25" s="147"/>
      <c r="CN25" s="147"/>
      <c r="CO25" s="147"/>
      <c r="CP25" s="147"/>
    </row>
    <row r="26" spans="1:94" s="177" customFormat="1" ht="15" x14ac:dyDescent="0.25">
      <c r="A26" s="178"/>
      <c r="B26" s="179"/>
      <c r="C26" s="244"/>
      <c r="D26" s="242"/>
      <c r="E26" s="180"/>
      <c r="F26" s="181">
        <v>0</v>
      </c>
      <c r="G26" s="182">
        <v>0</v>
      </c>
      <c r="H26" s="176">
        <f t="shared" si="0"/>
        <v>0</v>
      </c>
      <c r="I26" s="176">
        <f t="shared" si="1"/>
        <v>0</v>
      </c>
      <c r="J26" s="159">
        <f t="shared" si="3"/>
        <v>0</v>
      </c>
      <c r="K26" s="166"/>
      <c r="L26" s="176">
        <f t="shared" si="2"/>
        <v>0</v>
      </c>
      <c r="M26" s="176">
        <f t="shared" si="4"/>
        <v>0</v>
      </c>
      <c r="N26" s="183">
        <f t="shared" si="5"/>
        <v>0</v>
      </c>
      <c r="O26"/>
      <c r="P26"/>
      <c r="Q26"/>
      <c r="R26"/>
      <c r="S26"/>
      <c r="T26"/>
      <c r="U26"/>
      <c r="V26"/>
      <c r="W26"/>
      <c r="X26"/>
      <c r="Y26"/>
      <c r="Z26" s="344"/>
      <c r="AA26" s="345"/>
      <c r="AB26" s="363"/>
      <c r="AC26" s="363"/>
      <c r="AD26" s="329"/>
      <c r="AE26" s="147"/>
      <c r="AF26" s="147"/>
      <c r="AG26" s="147"/>
      <c r="AH26" s="147"/>
      <c r="AI26" s="147"/>
      <c r="AJ26" s="147"/>
      <c r="AK26" s="147"/>
      <c r="AL26" s="147"/>
      <c r="AM26" s="147"/>
      <c r="AN26" s="147"/>
      <c r="AO26" s="147"/>
      <c r="AP26" s="147"/>
      <c r="AQ26" s="147"/>
      <c r="AR26" s="147"/>
      <c r="AS26" s="147"/>
      <c r="AT26" s="147"/>
      <c r="AU26" s="147"/>
      <c r="AV26" s="147"/>
      <c r="AW26" s="147"/>
      <c r="AX26" s="147"/>
      <c r="AY26" s="147"/>
      <c r="AZ26" s="147"/>
      <c r="BA26" s="147"/>
      <c r="BB26" s="147"/>
      <c r="BC26" s="147"/>
      <c r="BD26" s="147"/>
      <c r="BE26" s="147"/>
      <c r="BF26" s="147"/>
      <c r="BG26" s="147"/>
      <c r="BH26" s="147"/>
      <c r="BI26" s="147"/>
      <c r="BJ26" s="147"/>
      <c r="BK26" s="147"/>
      <c r="BL26" s="147"/>
      <c r="BM26" s="147"/>
      <c r="BN26" s="147"/>
      <c r="BO26" s="147"/>
      <c r="BP26" s="147"/>
      <c r="BQ26" s="147"/>
      <c r="BR26" s="147"/>
      <c r="BS26" s="147"/>
      <c r="BT26" s="147"/>
      <c r="BU26" s="147"/>
      <c r="BV26" s="147"/>
      <c r="BW26" s="147"/>
      <c r="BX26" s="147"/>
      <c r="BY26" s="147"/>
      <c r="BZ26" s="147"/>
      <c r="CA26" s="147"/>
      <c r="CB26" s="147"/>
      <c r="CC26" s="147"/>
      <c r="CD26" s="147"/>
      <c r="CE26" s="147"/>
      <c r="CF26" s="147"/>
      <c r="CG26" s="147"/>
      <c r="CH26" s="147"/>
      <c r="CI26" s="147"/>
      <c r="CJ26" s="147"/>
      <c r="CK26" s="147"/>
      <c r="CL26" s="147"/>
      <c r="CM26" s="147"/>
      <c r="CN26" s="147"/>
      <c r="CO26" s="147"/>
      <c r="CP26" s="147"/>
    </row>
    <row r="27" spans="1:94" s="177" customFormat="1" ht="15" x14ac:dyDescent="0.25">
      <c r="A27" s="178"/>
      <c r="B27" s="179"/>
      <c r="C27" s="244"/>
      <c r="D27" s="242"/>
      <c r="E27" s="180"/>
      <c r="F27" s="181">
        <v>0</v>
      </c>
      <c r="G27" s="182">
        <v>0</v>
      </c>
      <c r="H27" s="176">
        <f t="shared" si="0"/>
        <v>0</v>
      </c>
      <c r="I27" s="176">
        <f t="shared" si="1"/>
        <v>0</v>
      </c>
      <c r="J27" s="159">
        <f t="shared" si="3"/>
        <v>0</v>
      </c>
      <c r="K27" s="166"/>
      <c r="L27" s="176">
        <f t="shared" si="2"/>
        <v>0</v>
      </c>
      <c r="M27" s="176">
        <f t="shared" si="4"/>
        <v>0</v>
      </c>
      <c r="N27" s="183">
        <f t="shared" si="5"/>
        <v>0</v>
      </c>
      <c r="O27"/>
      <c r="P27"/>
      <c r="Q27"/>
      <c r="R27"/>
      <c r="S27"/>
      <c r="T27"/>
      <c r="U27"/>
      <c r="V27"/>
      <c r="W27"/>
      <c r="X27"/>
      <c r="Y27"/>
      <c r="Z27" s="344"/>
      <c r="AA27" s="363"/>
      <c r="AB27" s="363"/>
      <c r="AC27" s="363"/>
      <c r="AD27" s="329"/>
      <c r="AE27" s="147"/>
      <c r="AF27" s="147"/>
      <c r="AG27" s="147"/>
      <c r="AH27" s="147"/>
      <c r="AI27" s="147"/>
      <c r="AJ27" s="147"/>
      <c r="AK27" s="147"/>
      <c r="AL27" s="147"/>
      <c r="AM27" s="147"/>
      <c r="AN27" s="147"/>
      <c r="AO27" s="147"/>
      <c r="AP27" s="147"/>
      <c r="AQ27" s="147"/>
      <c r="AR27" s="147"/>
      <c r="AS27" s="147"/>
      <c r="AT27" s="147"/>
      <c r="AU27" s="147"/>
      <c r="AV27" s="147"/>
      <c r="AW27" s="147"/>
      <c r="AX27" s="147"/>
      <c r="AY27" s="147"/>
      <c r="AZ27" s="147"/>
      <c r="BA27" s="147"/>
      <c r="BB27" s="147"/>
      <c r="BC27" s="147"/>
      <c r="BD27" s="147"/>
      <c r="BE27" s="147"/>
      <c r="BF27" s="147"/>
      <c r="BG27" s="147"/>
      <c r="BH27" s="147"/>
      <c r="BI27" s="147"/>
      <c r="BJ27" s="147"/>
      <c r="BK27" s="147"/>
      <c r="BL27" s="147"/>
      <c r="BM27" s="147"/>
      <c r="BN27" s="147"/>
      <c r="BO27" s="147"/>
      <c r="BP27" s="147"/>
      <c r="BQ27" s="147"/>
      <c r="BR27" s="147"/>
      <c r="BS27" s="147"/>
      <c r="BT27" s="147"/>
      <c r="BU27" s="147"/>
      <c r="BV27" s="147"/>
      <c r="BW27" s="147"/>
      <c r="BX27" s="147"/>
      <c r="BY27" s="147"/>
      <c r="BZ27" s="147"/>
      <c r="CA27" s="147"/>
      <c r="CB27" s="147"/>
      <c r="CC27" s="147"/>
      <c r="CD27" s="147"/>
      <c r="CE27" s="147"/>
      <c r="CF27" s="147"/>
      <c r="CG27" s="147"/>
      <c r="CH27" s="147"/>
      <c r="CI27" s="147"/>
      <c r="CJ27" s="147"/>
      <c r="CK27" s="147"/>
      <c r="CL27" s="147"/>
      <c r="CM27" s="147"/>
      <c r="CN27" s="147"/>
      <c r="CO27" s="147"/>
      <c r="CP27" s="147"/>
    </row>
    <row r="28" spans="1:94" s="177" customFormat="1" ht="15" x14ac:dyDescent="0.25">
      <c r="A28" s="178"/>
      <c r="B28" s="179"/>
      <c r="C28" s="244"/>
      <c r="D28" s="242"/>
      <c r="E28" s="180"/>
      <c r="F28" s="181">
        <v>0</v>
      </c>
      <c r="G28" s="182">
        <v>0</v>
      </c>
      <c r="H28" s="176">
        <f t="shared" si="0"/>
        <v>0</v>
      </c>
      <c r="I28" s="176">
        <f t="shared" si="1"/>
        <v>0</v>
      </c>
      <c r="J28" s="159">
        <f t="shared" si="3"/>
        <v>0</v>
      </c>
      <c r="K28" s="166"/>
      <c r="L28" s="176">
        <f t="shared" si="2"/>
        <v>0</v>
      </c>
      <c r="M28" s="176">
        <f t="shared" si="4"/>
        <v>0</v>
      </c>
      <c r="N28" s="183">
        <f t="shared" si="5"/>
        <v>0</v>
      </c>
      <c r="O28"/>
      <c r="P28"/>
      <c r="Q28"/>
      <c r="R28"/>
      <c r="S28"/>
      <c r="T28"/>
      <c r="U28"/>
      <c r="V28"/>
      <c r="W28"/>
      <c r="X28"/>
      <c r="Y28"/>
      <c r="Z28" s="344"/>
      <c r="AA28" s="363"/>
      <c r="AB28" s="363"/>
      <c r="AC28" s="363"/>
      <c r="AD28" s="329"/>
      <c r="AE28" s="147"/>
      <c r="AF28" s="147"/>
      <c r="AG28" s="147"/>
      <c r="AH28" s="147"/>
      <c r="AI28" s="147"/>
      <c r="AJ28" s="147"/>
      <c r="AK28" s="147"/>
      <c r="AL28" s="147"/>
      <c r="AM28" s="147"/>
      <c r="AN28" s="147"/>
      <c r="AO28" s="147"/>
      <c r="AP28" s="147"/>
      <c r="AQ28" s="147"/>
      <c r="AR28" s="147"/>
      <c r="AS28" s="147"/>
      <c r="AT28" s="147"/>
      <c r="AU28" s="147"/>
      <c r="AV28" s="147"/>
      <c r="AW28" s="147"/>
      <c r="AX28" s="147"/>
      <c r="AY28" s="147"/>
      <c r="AZ28" s="147"/>
      <c r="BA28" s="147"/>
      <c r="BB28" s="147"/>
      <c r="BC28" s="147"/>
      <c r="BD28" s="147"/>
      <c r="BE28" s="147"/>
      <c r="BF28" s="147"/>
      <c r="BG28" s="147"/>
      <c r="BH28" s="147"/>
      <c r="BI28" s="147"/>
      <c r="BJ28" s="147"/>
      <c r="BK28" s="147"/>
      <c r="BL28" s="147"/>
      <c r="BM28" s="147"/>
      <c r="BN28" s="147"/>
      <c r="BO28" s="147"/>
      <c r="BP28" s="147"/>
      <c r="BQ28" s="147"/>
      <c r="BR28" s="147"/>
      <c r="BS28" s="147"/>
      <c r="BT28" s="147"/>
      <c r="BU28" s="147"/>
      <c r="BV28" s="147"/>
      <c r="BW28" s="147"/>
      <c r="BX28" s="147"/>
      <c r="BY28" s="147"/>
      <c r="BZ28" s="147"/>
      <c r="CA28" s="147"/>
      <c r="CB28" s="147"/>
      <c r="CC28" s="147"/>
      <c r="CD28" s="147"/>
      <c r="CE28" s="147"/>
      <c r="CF28" s="147"/>
      <c r="CG28" s="147"/>
      <c r="CH28" s="147"/>
      <c r="CI28" s="147"/>
      <c r="CJ28" s="147"/>
      <c r="CK28" s="147"/>
      <c r="CL28" s="147"/>
      <c r="CM28" s="147"/>
      <c r="CN28" s="147"/>
      <c r="CO28" s="147"/>
      <c r="CP28" s="147"/>
    </row>
    <row r="29" spans="1:94" s="177" customFormat="1" ht="15" x14ac:dyDescent="0.25">
      <c r="A29" s="179"/>
      <c r="B29" s="179"/>
      <c r="C29" s="171"/>
      <c r="D29" s="243"/>
      <c r="E29" s="180"/>
      <c r="F29" s="181">
        <v>0</v>
      </c>
      <c r="G29" s="182">
        <v>0</v>
      </c>
      <c r="H29" s="176">
        <f t="shared" si="0"/>
        <v>0</v>
      </c>
      <c r="I29" s="176">
        <f t="shared" si="1"/>
        <v>0</v>
      </c>
      <c r="J29" s="159">
        <f t="shared" si="3"/>
        <v>0</v>
      </c>
      <c r="K29" s="166"/>
      <c r="L29" s="176">
        <f t="shared" si="2"/>
        <v>0</v>
      </c>
      <c r="M29" s="176">
        <f t="shared" si="4"/>
        <v>0</v>
      </c>
      <c r="N29" s="183">
        <f t="shared" si="5"/>
        <v>0</v>
      </c>
      <c r="O29"/>
      <c r="P29"/>
      <c r="Q29"/>
      <c r="R29"/>
      <c r="S29"/>
      <c r="T29"/>
      <c r="U29"/>
      <c r="V29"/>
      <c r="W29"/>
      <c r="X29"/>
      <c r="Y29"/>
      <c r="Z29" s="344"/>
      <c r="AA29" s="363"/>
      <c r="AB29" s="363"/>
      <c r="AC29" s="363"/>
      <c r="AD29" s="329"/>
      <c r="AE29" s="147"/>
      <c r="AF29" s="147"/>
      <c r="AG29" s="147"/>
      <c r="AH29" s="147"/>
      <c r="AI29" s="147"/>
      <c r="AJ29" s="147"/>
      <c r="AK29" s="147"/>
      <c r="AL29" s="147"/>
      <c r="AM29" s="147"/>
      <c r="AN29" s="147"/>
      <c r="AO29" s="147"/>
      <c r="AP29" s="147"/>
      <c r="AQ29" s="147"/>
      <c r="AR29" s="147"/>
      <c r="AS29" s="147"/>
      <c r="AT29" s="147"/>
      <c r="AU29" s="147"/>
      <c r="AV29" s="147"/>
      <c r="AW29" s="147"/>
      <c r="AX29" s="147"/>
      <c r="AY29" s="147"/>
      <c r="AZ29" s="147"/>
      <c r="BA29" s="147"/>
      <c r="BB29" s="147"/>
      <c r="BC29" s="147"/>
      <c r="BD29" s="147"/>
      <c r="BE29" s="147"/>
      <c r="BF29" s="147"/>
      <c r="BG29" s="147"/>
      <c r="BH29" s="147"/>
      <c r="BI29" s="147"/>
      <c r="BJ29" s="147"/>
      <c r="BK29" s="147"/>
      <c r="BL29" s="147"/>
      <c r="BM29" s="147"/>
      <c r="BN29" s="147"/>
      <c r="BO29" s="147"/>
      <c r="BP29" s="147"/>
      <c r="BQ29" s="147"/>
      <c r="BR29" s="147"/>
      <c r="BS29" s="147"/>
      <c r="BT29" s="147"/>
      <c r="BU29" s="147"/>
      <c r="BV29" s="147"/>
      <c r="BW29" s="147"/>
      <c r="BX29" s="147"/>
      <c r="BY29" s="147"/>
      <c r="BZ29" s="147"/>
      <c r="CA29" s="147"/>
      <c r="CB29" s="147"/>
      <c r="CC29" s="147"/>
      <c r="CD29" s="147"/>
      <c r="CE29" s="147"/>
      <c r="CF29" s="147"/>
      <c r="CG29" s="147"/>
      <c r="CH29" s="147"/>
      <c r="CI29" s="147"/>
      <c r="CJ29" s="147"/>
      <c r="CK29" s="147"/>
      <c r="CL29" s="147"/>
      <c r="CM29" s="147"/>
      <c r="CN29" s="147"/>
      <c r="CO29" s="147"/>
      <c r="CP29" s="147"/>
    </row>
    <row r="30" spans="1:94" s="177" customFormat="1" ht="15" x14ac:dyDescent="0.25">
      <c r="A30" s="179"/>
      <c r="B30" s="184"/>
      <c r="C30" s="171"/>
      <c r="D30" s="243"/>
      <c r="E30" s="180"/>
      <c r="F30" s="181">
        <v>0</v>
      </c>
      <c r="G30" s="182">
        <v>0</v>
      </c>
      <c r="H30" s="176">
        <f t="shared" si="0"/>
        <v>0</v>
      </c>
      <c r="I30" s="176">
        <f t="shared" si="1"/>
        <v>0</v>
      </c>
      <c r="J30" s="159">
        <f t="shared" si="3"/>
        <v>0</v>
      </c>
      <c r="K30" s="166"/>
      <c r="L30" s="176">
        <f t="shared" si="2"/>
        <v>0</v>
      </c>
      <c r="M30" s="176">
        <f t="shared" si="4"/>
        <v>0</v>
      </c>
      <c r="N30" s="183">
        <f t="shared" si="5"/>
        <v>0</v>
      </c>
      <c r="O30"/>
      <c r="P30"/>
      <c r="Q30"/>
      <c r="R30"/>
      <c r="S30"/>
      <c r="T30"/>
      <c r="U30"/>
      <c r="V30"/>
      <c r="W30"/>
      <c r="X30"/>
      <c r="Y30"/>
      <c r="Z30" s="344"/>
      <c r="AA30" s="363"/>
      <c r="AB30" s="363"/>
      <c r="AC30" s="363"/>
      <c r="AD30" s="329"/>
      <c r="AE30" s="147"/>
      <c r="AF30" s="147"/>
      <c r="AG30" s="147"/>
      <c r="AH30" s="147"/>
      <c r="AI30" s="147"/>
      <c r="AJ30" s="147"/>
      <c r="AK30" s="147"/>
      <c r="AL30" s="147"/>
      <c r="AM30" s="147"/>
      <c r="AN30" s="147"/>
      <c r="AO30" s="147"/>
      <c r="AP30" s="147"/>
      <c r="AQ30" s="147"/>
      <c r="AR30" s="147"/>
      <c r="AS30" s="147"/>
      <c r="AT30" s="147"/>
      <c r="AU30" s="147"/>
      <c r="AV30" s="147"/>
      <c r="AW30" s="147"/>
      <c r="AX30" s="147"/>
      <c r="AY30" s="147"/>
      <c r="AZ30" s="147"/>
      <c r="BA30" s="147"/>
      <c r="BB30" s="147"/>
      <c r="BC30" s="147"/>
      <c r="BD30" s="147"/>
      <c r="BE30" s="147"/>
      <c r="BF30" s="147"/>
      <c r="BG30" s="147"/>
      <c r="BH30" s="147"/>
      <c r="BI30" s="147"/>
      <c r="BJ30" s="147"/>
      <c r="BK30" s="147"/>
      <c r="BL30" s="147"/>
      <c r="BM30" s="147"/>
      <c r="BN30" s="147"/>
      <c r="BO30" s="147"/>
      <c r="BP30" s="147"/>
      <c r="BQ30" s="147"/>
      <c r="BR30" s="147"/>
      <c r="BS30" s="147"/>
      <c r="BT30" s="147"/>
      <c r="BU30" s="147"/>
      <c r="BV30" s="147"/>
      <c r="BW30" s="147"/>
      <c r="BX30" s="147"/>
      <c r="BY30" s="147"/>
      <c r="BZ30" s="147"/>
      <c r="CA30" s="147"/>
      <c r="CB30" s="147"/>
      <c r="CC30" s="147"/>
      <c r="CD30" s="147"/>
      <c r="CE30" s="147"/>
      <c r="CF30" s="147"/>
      <c r="CG30" s="147"/>
      <c r="CH30" s="147"/>
      <c r="CI30" s="147"/>
      <c r="CJ30" s="147"/>
      <c r="CK30" s="147"/>
      <c r="CL30" s="147"/>
      <c r="CM30" s="147"/>
      <c r="CN30" s="147"/>
      <c r="CO30" s="147"/>
      <c r="CP30" s="147"/>
    </row>
    <row r="31" spans="1:94" s="153" customFormat="1" ht="15" x14ac:dyDescent="0.25">
      <c r="A31" s="139"/>
      <c r="B31" s="168"/>
      <c r="C31" s="245"/>
      <c r="D31" s="246" t="s">
        <v>36</v>
      </c>
      <c r="E31" s="150"/>
      <c r="F31" s="165"/>
      <c r="G31" s="166"/>
      <c r="H31" s="166"/>
      <c r="I31" s="166"/>
      <c r="J31" s="166"/>
      <c r="K31" s="166"/>
      <c r="L31" s="166"/>
      <c r="M31" s="166"/>
      <c r="N31" s="166"/>
      <c r="O31"/>
      <c r="P31"/>
      <c r="Q31"/>
      <c r="R31"/>
      <c r="S31"/>
      <c r="T31"/>
      <c r="U31"/>
      <c r="V31"/>
      <c r="W31"/>
      <c r="X31"/>
      <c r="Y31"/>
      <c r="Z31" s="344"/>
      <c r="AA31" s="363"/>
      <c r="AB31" s="363"/>
      <c r="AC31" s="363"/>
      <c r="AD31" s="329"/>
      <c r="AE31" s="147"/>
      <c r="AF31" s="147"/>
      <c r="AG31" s="147"/>
      <c r="AH31" s="147"/>
      <c r="AI31" s="147"/>
      <c r="AJ31" s="147"/>
      <c r="AK31" s="147"/>
      <c r="AL31" s="147"/>
      <c r="AM31" s="147"/>
      <c r="AN31" s="147"/>
      <c r="AO31" s="147"/>
      <c r="AP31" s="147"/>
      <c r="AQ31" s="147"/>
      <c r="AR31" s="147"/>
      <c r="AS31" s="147"/>
      <c r="AT31" s="147"/>
      <c r="AU31" s="147"/>
      <c r="AV31" s="147"/>
      <c r="AW31" s="147"/>
      <c r="AX31" s="147"/>
      <c r="AY31" s="147"/>
      <c r="AZ31" s="147"/>
      <c r="BA31" s="147"/>
      <c r="BB31" s="147"/>
      <c r="BC31" s="147"/>
      <c r="BD31" s="147"/>
      <c r="BE31" s="147"/>
      <c r="BF31" s="147"/>
      <c r="BG31" s="147"/>
      <c r="BH31" s="147"/>
      <c r="BI31" s="147"/>
      <c r="BJ31" s="147"/>
      <c r="BK31" s="147"/>
      <c r="BL31" s="147"/>
      <c r="BM31" s="147"/>
      <c r="BN31" s="147"/>
      <c r="BO31" s="147"/>
      <c r="BP31" s="147"/>
      <c r="BQ31" s="147"/>
      <c r="BR31" s="147"/>
      <c r="BS31" s="147"/>
      <c r="BT31" s="147"/>
      <c r="BU31" s="147"/>
      <c r="BV31" s="147"/>
      <c r="BW31" s="147"/>
      <c r="BX31" s="147"/>
      <c r="BY31" s="147"/>
      <c r="BZ31" s="147"/>
      <c r="CA31" s="147"/>
      <c r="CB31" s="147"/>
      <c r="CC31" s="147"/>
      <c r="CD31" s="147"/>
      <c r="CE31" s="147"/>
      <c r="CF31" s="147"/>
      <c r="CG31" s="147"/>
      <c r="CH31" s="147"/>
      <c r="CI31" s="147"/>
      <c r="CJ31" s="147"/>
      <c r="CK31" s="147"/>
      <c r="CL31" s="147"/>
      <c r="CM31" s="147"/>
      <c r="CN31" s="147"/>
      <c r="CO31" s="147"/>
      <c r="CP31" s="147"/>
    </row>
    <row r="32" spans="1:94" s="177" customFormat="1" ht="15" x14ac:dyDescent="0.25">
      <c r="A32" s="185"/>
      <c r="B32" s="185"/>
      <c r="C32" s="244"/>
      <c r="D32" s="242"/>
      <c r="E32" s="173"/>
      <c r="F32" s="174">
        <v>0</v>
      </c>
      <c r="G32" s="175">
        <v>0</v>
      </c>
      <c r="H32" s="176">
        <f t="shared" ref="H32:H35" si="6">IF(AND($F32&lt;&gt;0,$G32&lt;&gt;0,OR($E32=1,$E32=3)),$F32*Health,0)</f>
        <v>0</v>
      </c>
      <c r="I32" s="176">
        <f t="shared" ref="I32:I34" si="7">IF(AND($E32=1,$C32=""),$G32*PermVB+$G32*Retire1,IF($E32=1,$G32*PermVB+$G32*VLOOKUP($C32,Retirement_Rates,3,FALSE),IF($E32=2,$G32*GroupVB,IF(AND($E32=3,$C32=""),$G32*ElectVB+$G32*Retire1,IF($E32=3,$G32*ElectVB+$G32*VLOOKUP($C32,Retirement_Rates,3,FALSE),0)))))</f>
        <v>0</v>
      </c>
      <c r="J32" s="279">
        <f t="shared" si="3"/>
        <v>0</v>
      </c>
      <c r="K32" s="166"/>
      <c r="L32" s="176">
        <f t="shared" ref="L32:L35" si="8">IF(AND($F32&lt;&gt;0,$G32&lt;&gt;0,OR($E32=1,$E32=3)),$F32*HealthCHG,0)</f>
        <v>0</v>
      </c>
      <c r="M32" s="176">
        <f t="shared" ref="M32:M35" si="9">IF(AND($E32=1,$C32=""),$G32*PermVBCHG+$G32*Retire1CHG,IF($E32=1,$G32*PermVBCHG+$G32*VLOOKUP($C32,Retirement_Rates,5,FALSE),IF($E32=2,0,IF(AND($E32=3,$C32=""),$G32*ElectVBCHG+$G32*Retire1CHG,IF($E32=3,$G32*ElectVBCHG+$G32*VLOOKUP($C32,Retirement_Rates,5,FALSE),0)))))</f>
        <v>0</v>
      </c>
      <c r="N32" s="176">
        <f t="shared" ref="N32:N35" si="10">SUM(L32:M32)</f>
        <v>0</v>
      </c>
      <c r="O32"/>
      <c r="P32"/>
      <c r="Q32"/>
      <c r="R32"/>
      <c r="S32"/>
      <c r="T32"/>
      <c r="U32"/>
      <c r="V32"/>
      <c r="W32"/>
      <c r="X32"/>
      <c r="Y32"/>
      <c r="Z32" s="344"/>
      <c r="AA32" s="363"/>
      <c r="AB32" s="363"/>
      <c r="AC32" s="363"/>
      <c r="AD32" s="329"/>
      <c r="AE32" s="147"/>
      <c r="AF32" s="147"/>
      <c r="AG32" s="147"/>
      <c r="AH32" s="147"/>
      <c r="AI32" s="147"/>
      <c r="AJ32" s="147"/>
      <c r="AK32" s="147"/>
      <c r="AL32" s="147"/>
      <c r="AM32" s="147"/>
      <c r="AN32" s="147"/>
      <c r="AO32" s="147"/>
      <c r="AP32" s="147"/>
      <c r="AQ32" s="147"/>
      <c r="AR32" s="147"/>
      <c r="AS32" s="147"/>
      <c r="AT32" s="147"/>
      <c r="AU32" s="147"/>
      <c r="AV32" s="147"/>
      <c r="AW32" s="147"/>
      <c r="AX32" s="147"/>
      <c r="AY32" s="147"/>
      <c r="AZ32" s="147"/>
      <c r="BA32" s="147"/>
      <c r="BB32" s="147"/>
      <c r="BC32" s="147"/>
      <c r="BD32" s="147"/>
      <c r="BE32" s="147"/>
      <c r="BF32" s="147"/>
      <c r="BG32" s="147"/>
      <c r="BH32" s="147"/>
      <c r="BI32" s="147"/>
      <c r="BJ32" s="147"/>
      <c r="BK32" s="147"/>
      <c r="BL32" s="147"/>
      <c r="BM32" s="147"/>
      <c r="BN32" s="147"/>
      <c r="BO32" s="147"/>
      <c r="BP32" s="147"/>
      <c r="BQ32" s="147"/>
      <c r="BR32" s="147"/>
      <c r="BS32" s="147"/>
      <c r="BT32" s="147"/>
      <c r="BU32" s="147"/>
      <c r="BV32" s="147"/>
      <c r="BW32" s="147"/>
      <c r="BX32" s="147"/>
      <c r="BY32" s="147"/>
      <c r="BZ32" s="147"/>
      <c r="CA32" s="147"/>
      <c r="CB32" s="147"/>
      <c r="CC32" s="147"/>
      <c r="CD32" s="147"/>
      <c r="CE32" s="147"/>
      <c r="CF32" s="147"/>
      <c r="CG32" s="147"/>
      <c r="CH32" s="147"/>
      <c r="CI32" s="147"/>
      <c r="CJ32" s="147"/>
      <c r="CK32" s="147"/>
      <c r="CL32" s="147"/>
      <c r="CM32" s="147"/>
      <c r="CN32" s="147"/>
      <c r="CO32" s="147"/>
      <c r="CP32" s="147"/>
    </row>
    <row r="33" spans="1:94" s="177" customFormat="1" ht="15" x14ac:dyDescent="0.25">
      <c r="A33" s="186"/>
      <c r="B33" s="187"/>
      <c r="C33" s="244"/>
      <c r="D33" s="242"/>
      <c r="E33" s="180"/>
      <c r="F33" s="181">
        <v>0</v>
      </c>
      <c r="G33" s="182">
        <v>0</v>
      </c>
      <c r="H33" s="176">
        <f t="shared" si="6"/>
        <v>0</v>
      </c>
      <c r="I33" s="176">
        <f t="shared" si="7"/>
        <v>0</v>
      </c>
      <c r="J33" s="279">
        <f t="shared" si="3"/>
        <v>0</v>
      </c>
      <c r="K33" s="166"/>
      <c r="L33" s="176">
        <f t="shared" si="8"/>
        <v>0</v>
      </c>
      <c r="M33" s="176">
        <f t="shared" si="9"/>
        <v>0</v>
      </c>
      <c r="N33" s="183">
        <f t="shared" si="10"/>
        <v>0</v>
      </c>
      <c r="O33"/>
      <c r="P33"/>
      <c r="Q33"/>
      <c r="R33"/>
      <c r="S33"/>
      <c r="T33"/>
      <c r="U33"/>
      <c r="V33"/>
      <c r="W33"/>
      <c r="X33"/>
      <c r="Y33"/>
      <c r="Z33" s="344"/>
      <c r="AA33" s="363"/>
      <c r="AB33" s="363"/>
      <c r="AC33" s="363"/>
      <c r="AD33" s="329"/>
      <c r="AE33" s="147"/>
      <c r="AF33" s="147"/>
      <c r="AG33" s="147"/>
      <c r="AH33" s="147"/>
      <c r="AI33" s="147"/>
      <c r="AJ33" s="147"/>
      <c r="AK33" s="147"/>
      <c r="AL33" s="147"/>
      <c r="AM33" s="147"/>
      <c r="AN33" s="147"/>
      <c r="AO33" s="147"/>
      <c r="AP33" s="147"/>
      <c r="AQ33" s="147"/>
      <c r="AR33" s="147"/>
      <c r="AS33" s="147"/>
      <c r="AT33" s="147"/>
      <c r="AU33" s="147"/>
      <c r="AV33" s="147"/>
      <c r="AW33" s="147"/>
      <c r="AX33" s="147"/>
      <c r="AY33" s="147"/>
      <c r="AZ33" s="147"/>
      <c r="BA33" s="147"/>
      <c r="BB33" s="147"/>
      <c r="BC33" s="147"/>
      <c r="BD33" s="147"/>
      <c r="BE33" s="147"/>
      <c r="BF33" s="147"/>
      <c r="BG33" s="147"/>
      <c r="BH33" s="147"/>
      <c r="BI33" s="147"/>
      <c r="BJ33" s="147"/>
      <c r="BK33" s="147"/>
      <c r="BL33" s="147"/>
      <c r="BM33" s="147"/>
      <c r="BN33" s="147"/>
      <c r="BO33" s="147"/>
      <c r="BP33" s="147"/>
      <c r="BQ33" s="147"/>
      <c r="BR33" s="147"/>
      <c r="BS33" s="147"/>
      <c r="BT33" s="147"/>
      <c r="BU33" s="147"/>
      <c r="BV33" s="147"/>
      <c r="BW33" s="147"/>
      <c r="BX33" s="147"/>
      <c r="BY33" s="147"/>
      <c r="BZ33" s="147"/>
      <c r="CA33" s="147"/>
      <c r="CB33" s="147"/>
      <c r="CC33" s="147"/>
      <c r="CD33" s="147"/>
      <c r="CE33" s="147"/>
      <c r="CF33" s="147"/>
      <c r="CG33" s="147"/>
      <c r="CH33" s="147"/>
      <c r="CI33" s="147"/>
      <c r="CJ33" s="147"/>
      <c r="CK33" s="147"/>
      <c r="CL33" s="147"/>
      <c r="CM33" s="147"/>
      <c r="CN33" s="147"/>
      <c r="CO33" s="147"/>
      <c r="CP33" s="147"/>
    </row>
    <row r="34" spans="1:94" s="177" customFormat="1" ht="15" x14ac:dyDescent="0.25">
      <c r="A34" s="186"/>
      <c r="B34" s="187"/>
      <c r="C34" s="244"/>
      <c r="D34" s="242"/>
      <c r="E34" s="180"/>
      <c r="F34" s="181">
        <v>0</v>
      </c>
      <c r="G34" s="182">
        <v>0</v>
      </c>
      <c r="H34" s="176">
        <f t="shared" si="6"/>
        <v>0</v>
      </c>
      <c r="I34" s="176">
        <f t="shared" si="7"/>
        <v>0</v>
      </c>
      <c r="J34" s="279">
        <f t="shared" si="3"/>
        <v>0</v>
      </c>
      <c r="K34" s="280"/>
      <c r="L34" s="176">
        <f t="shared" si="8"/>
        <v>0</v>
      </c>
      <c r="M34" s="176">
        <f t="shared" si="9"/>
        <v>0</v>
      </c>
      <c r="N34" s="183">
        <f t="shared" si="10"/>
        <v>0</v>
      </c>
      <c r="O34"/>
      <c r="P34"/>
      <c r="Q34"/>
      <c r="R34"/>
      <c r="S34"/>
      <c r="T34"/>
      <c r="U34"/>
      <c r="V34"/>
      <c r="W34"/>
      <c r="X34"/>
      <c r="Y34"/>
      <c r="Z34" s="344"/>
      <c r="AA34" s="363"/>
      <c r="AB34" s="363"/>
      <c r="AC34" s="363"/>
      <c r="AD34" s="329"/>
      <c r="AE34" s="147"/>
      <c r="AF34" s="147"/>
      <c r="AG34" s="147"/>
      <c r="AH34" s="147"/>
      <c r="AI34" s="147"/>
      <c r="AJ34" s="147"/>
      <c r="AK34" s="147"/>
      <c r="AL34" s="147"/>
      <c r="AM34" s="147"/>
      <c r="AN34" s="147"/>
      <c r="AO34" s="147"/>
      <c r="AP34" s="147"/>
      <c r="AQ34" s="147"/>
      <c r="AR34" s="147"/>
      <c r="AS34" s="147"/>
      <c r="AT34" s="147"/>
      <c r="AU34" s="147"/>
      <c r="AV34" s="147"/>
      <c r="AW34" s="147"/>
      <c r="AX34" s="147"/>
      <c r="AY34" s="147"/>
      <c r="AZ34" s="147"/>
      <c r="BA34" s="147"/>
      <c r="BB34" s="147"/>
      <c r="BC34" s="147"/>
      <c r="BD34" s="147"/>
      <c r="BE34" s="147"/>
      <c r="BF34" s="147"/>
      <c r="BG34" s="147"/>
      <c r="BH34" s="147"/>
      <c r="BI34" s="147"/>
      <c r="BJ34" s="147"/>
      <c r="BK34" s="147"/>
      <c r="BL34" s="147"/>
      <c r="BM34" s="147"/>
      <c r="BN34" s="147"/>
      <c r="BO34" s="147"/>
      <c r="BP34" s="147"/>
      <c r="BQ34" s="147"/>
      <c r="BR34" s="147"/>
      <c r="BS34" s="147"/>
      <c r="BT34" s="147"/>
      <c r="BU34" s="147"/>
      <c r="BV34" s="147"/>
      <c r="BW34" s="147"/>
      <c r="BX34" s="147"/>
      <c r="BY34" s="147"/>
      <c r="BZ34" s="147"/>
      <c r="CA34" s="147"/>
      <c r="CB34" s="147"/>
      <c r="CC34" s="147"/>
      <c r="CD34" s="147"/>
      <c r="CE34" s="147"/>
      <c r="CF34" s="147"/>
      <c r="CG34" s="147"/>
      <c r="CH34" s="147"/>
      <c r="CI34" s="147"/>
      <c r="CJ34" s="147"/>
      <c r="CK34" s="147"/>
      <c r="CL34" s="147"/>
      <c r="CM34" s="147"/>
      <c r="CN34" s="147"/>
      <c r="CO34" s="147"/>
      <c r="CP34" s="147"/>
    </row>
    <row r="35" spans="1:94" s="177" customFormat="1" ht="15" x14ac:dyDescent="0.25">
      <c r="A35" s="186"/>
      <c r="B35" s="187"/>
      <c r="C35" s="244"/>
      <c r="D35" s="242"/>
      <c r="E35" s="180"/>
      <c r="F35" s="181">
        <v>0</v>
      </c>
      <c r="G35" s="182">
        <v>0</v>
      </c>
      <c r="H35" s="176">
        <f t="shared" si="6"/>
        <v>0</v>
      </c>
      <c r="I35" s="176">
        <f>IF(AND($E35=1,$C35=""),$G35*(PermVB+Retire1),IF($E35=1,$G35*PermVB+$G35*VLOOKUP($C35,Retirement_Rates,3,FALSE),IF($E35=2,$G35*GroupVB,IF(AND($E35=3,$C35=""),$G35*ElectVB+$G35*Retire1,IF($E35=3,$G35*ElectVB+$G35*VLOOKUP($C35,Retirement_Rates,3,FALSE),0)))))</f>
        <v>0</v>
      </c>
      <c r="J35" s="279">
        <f t="shared" si="3"/>
        <v>0</v>
      </c>
      <c r="K35" s="309"/>
      <c r="L35" s="176">
        <f t="shared" si="8"/>
        <v>0</v>
      </c>
      <c r="M35" s="176">
        <f t="shared" si="9"/>
        <v>0</v>
      </c>
      <c r="N35" s="183">
        <f t="shared" si="10"/>
        <v>0</v>
      </c>
      <c r="O35"/>
      <c r="P35"/>
      <c r="Q35"/>
      <c r="R35"/>
      <c r="S35"/>
      <c r="T35"/>
      <c r="U35"/>
      <c r="V35"/>
      <c r="W35"/>
      <c r="X35"/>
      <c r="Y35"/>
      <c r="Z35" s="344"/>
      <c r="AA35" s="363"/>
      <c r="AB35" s="363"/>
      <c r="AC35" s="363"/>
      <c r="AD35" s="329"/>
      <c r="AE35" s="147"/>
      <c r="AF35" s="147"/>
      <c r="AG35" s="147"/>
      <c r="AH35" s="147"/>
      <c r="AI35" s="147"/>
      <c r="AJ35" s="147"/>
      <c r="AK35" s="147"/>
      <c r="AL35" s="147"/>
      <c r="AM35" s="147"/>
      <c r="AN35" s="147"/>
      <c r="AO35" s="147"/>
      <c r="AP35" s="147"/>
      <c r="AQ35" s="147"/>
      <c r="AR35" s="147"/>
      <c r="AS35" s="147"/>
      <c r="AT35" s="147"/>
      <c r="AU35" s="147"/>
      <c r="AV35" s="147"/>
      <c r="AW35" s="147"/>
      <c r="AX35" s="147"/>
      <c r="AY35" s="147"/>
      <c r="AZ35" s="147"/>
      <c r="BA35" s="147"/>
      <c r="BB35" s="147"/>
      <c r="BC35" s="147"/>
      <c r="BD35" s="147"/>
      <c r="BE35" s="147"/>
      <c r="BF35" s="147"/>
      <c r="BG35" s="147"/>
      <c r="BH35" s="147"/>
      <c r="BI35" s="147"/>
      <c r="BJ35" s="147"/>
      <c r="BK35" s="147"/>
      <c r="BL35" s="147"/>
      <c r="BM35" s="147"/>
      <c r="BN35" s="147"/>
      <c r="BO35" s="147"/>
      <c r="BP35" s="147"/>
      <c r="BQ35" s="147"/>
      <c r="BR35" s="147"/>
      <c r="BS35" s="147"/>
      <c r="BT35" s="147"/>
      <c r="BU35" s="147"/>
      <c r="BV35" s="147"/>
      <c r="BW35" s="147"/>
      <c r="BX35" s="147"/>
      <c r="BY35" s="147"/>
      <c r="BZ35" s="147"/>
      <c r="CA35" s="147"/>
      <c r="CB35" s="147"/>
      <c r="CC35" s="147"/>
      <c r="CD35" s="147"/>
      <c r="CE35" s="147"/>
      <c r="CF35" s="147"/>
      <c r="CG35" s="147"/>
      <c r="CH35" s="147"/>
      <c r="CI35" s="147"/>
      <c r="CJ35" s="147"/>
      <c r="CK35" s="147"/>
      <c r="CL35" s="147"/>
      <c r="CM35" s="147"/>
      <c r="CN35" s="147"/>
      <c r="CO35" s="147"/>
      <c r="CP35" s="147"/>
    </row>
    <row r="36" spans="1:94" s="213" customFormat="1" ht="15" x14ac:dyDescent="0.25">
      <c r="A36" s="281"/>
      <c r="B36" s="282"/>
      <c r="C36" s="283"/>
      <c r="D36" s="284"/>
      <c r="E36" s="285"/>
      <c r="F36" s="197"/>
      <c r="G36" s="259"/>
      <c r="H36" s="259"/>
      <c r="I36" s="259"/>
      <c r="J36" s="286"/>
      <c r="K36" s="280"/>
      <c r="L36" s="321"/>
      <c r="M36" s="259"/>
      <c r="N36" s="259"/>
      <c r="O36"/>
      <c r="P36"/>
      <c r="Q36"/>
      <c r="R36"/>
      <c r="S36"/>
      <c r="T36"/>
      <c r="U36"/>
      <c r="V36"/>
      <c r="W36"/>
      <c r="X36"/>
      <c r="Y36"/>
      <c r="Z36" s="344"/>
      <c r="AA36" s="363" t="s">
        <v>94</v>
      </c>
      <c r="AB36" s="333" t="s">
        <v>95</v>
      </c>
      <c r="AC36" s="333" t="s">
        <v>106</v>
      </c>
      <c r="AD36" s="330"/>
    </row>
    <row r="37" spans="1:94" s="153" customFormat="1" ht="17.25" customHeight="1" x14ac:dyDescent="0.25">
      <c r="A37" s="139"/>
      <c r="B37" s="188"/>
      <c r="C37" s="459" t="s">
        <v>37</v>
      </c>
      <c r="D37" s="460"/>
      <c r="E37" s="150"/>
      <c r="F37" s="165"/>
      <c r="G37" s="166"/>
      <c r="H37" s="166"/>
      <c r="I37" s="166"/>
      <c r="J37" s="322"/>
      <c r="K37" s="166"/>
      <c r="L37" s="166"/>
      <c r="M37" s="166"/>
      <c r="N37" s="166"/>
      <c r="O37"/>
      <c r="P37"/>
      <c r="Q37"/>
      <c r="R37"/>
      <c r="S37"/>
      <c r="T37"/>
      <c r="U37"/>
      <c r="V37"/>
      <c r="W37"/>
      <c r="X37"/>
      <c r="Y37"/>
      <c r="Z37" s="344"/>
      <c r="AA37" s="461" t="s">
        <v>107</v>
      </c>
      <c r="AB37" s="462"/>
      <c r="AC37" s="462"/>
      <c r="AD37" s="329"/>
      <c r="AE37" s="147"/>
      <c r="AF37" s="147"/>
      <c r="AG37" s="147"/>
      <c r="AH37" s="147"/>
      <c r="AI37" s="147"/>
      <c r="AJ37" s="147"/>
      <c r="AK37" s="147"/>
      <c r="AL37" s="147"/>
      <c r="AM37" s="147"/>
      <c r="AN37" s="147"/>
      <c r="AO37" s="147"/>
      <c r="AP37" s="147"/>
      <c r="AQ37" s="147"/>
      <c r="AR37" s="147"/>
      <c r="AS37" s="147"/>
      <c r="AT37" s="147"/>
      <c r="AU37" s="147"/>
      <c r="AV37" s="147"/>
      <c r="AW37" s="147"/>
      <c r="AX37" s="147"/>
      <c r="AY37" s="147"/>
      <c r="AZ37" s="147"/>
      <c r="BA37" s="147"/>
      <c r="BB37" s="147"/>
      <c r="BC37" s="147"/>
      <c r="BD37" s="147"/>
      <c r="BE37" s="147"/>
      <c r="BF37" s="147"/>
      <c r="BG37" s="147"/>
      <c r="BH37" s="147"/>
      <c r="BI37" s="147"/>
      <c r="BJ37" s="147"/>
      <c r="BK37" s="147"/>
      <c r="BL37" s="147"/>
      <c r="BM37" s="147"/>
      <c r="BN37" s="147"/>
      <c r="BO37" s="147"/>
      <c r="BP37" s="147"/>
      <c r="BQ37" s="147"/>
      <c r="BR37" s="147"/>
      <c r="BS37" s="147"/>
      <c r="BT37" s="147"/>
      <c r="BU37" s="147"/>
      <c r="BV37" s="147"/>
      <c r="BW37" s="147"/>
      <c r="BX37" s="147"/>
      <c r="BY37" s="147"/>
      <c r="BZ37" s="147"/>
      <c r="CA37" s="147"/>
      <c r="CB37" s="147"/>
      <c r="CC37" s="147"/>
      <c r="CD37" s="147"/>
      <c r="CE37" s="147"/>
      <c r="CF37" s="147"/>
      <c r="CG37" s="147"/>
      <c r="CH37" s="147"/>
      <c r="CI37" s="147"/>
      <c r="CJ37" s="147"/>
      <c r="CK37" s="147"/>
      <c r="CL37" s="147"/>
      <c r="CM37" s="147"/>
      <c r="CN37" s="147"/>
      <c r="CO37" s="147"/>
      <c r="CP37" s="147"/>
    </row>
    <row r="38" spans="1:94" s="153" customFormat="1" ht="15" x14ac:dyDescent="0.25">
      <c r="A38" s="139"/>
      <c r="B38" s="188"/>
      <c r="C38" s="443" t="str">
        <f>perm_name</f>
        <v>Permanent Positions</v>
      </c>
      <c r="D38" s="444"/>
      <c r="E38" s="189">
        <v>1</v>
      </c>
      <c r="F38" s="190">
        <f>SUMIF($E9:$E35,$E38,$F9:$F35)</f>
        <v>2.85</v>
      </c>
      <c r="G38" s="191">
        <f>SUMIF($E10:$E35,$E38,$G10:$G35)</f>
        <v>146729.44</v>
      </c>
      <c r="H38" s="192">
        <f>SUMIF($E10:$E35,$E38,$H10:$H35)</f>
        <v>33202.5</v>
      </c>
      <c r="I38" s="192">
        <f>SUMIF($E10:$E35,$E38,$I10:$I35)</f>
        <v>31322.333556800007</v>
      </c>
      <c r="J38" s="192">
        <f>SUM(G38:I38)</f>
        <v>211254.27355680001</v>
      </c>
      <c r="K38" s="166"/>
      <c r="L38" s="191">
        <f>SUMIF($E10:$E35,$E38,$L10:$L35)</f>
        <v>0</v>
      </c>
      <c r="M38" s="192">
        <f>SUMIF($E10:$E35,$E38,$M10:$M35)</f>
        <v>-704.30131199999983</v>
      </c>
      <c r="N38" s="192">
        <f>SUM(L38:M38)</f>
        <v>-704.30131199999983</v>
      </c>
      <c r="O38"/>
      <c r="P38"/>
      <c r="Q38"/>
      <c r="R38"/>
      <c r="S38"/>
      <c r="T38"/>
      <c r="U38"/>
      <c r="V38"/>
      <c r="W38"/>
      <c r="X38"/>
      <c r="Y38"/>
      <c r="Z38" s="344"/>
      <c r="AA38" s="338">
        <f>ROUND(AdjPermSalary*CECPerm,-2)</f>
        <v>1500</v>
      </c>
      <c r="AB38" s="338">
        <f>ROUND((AdjPermVB*CECPerm+AdjPermVBBY*CECPerm),-2)</f>
        <v>300</v>
      </c>
      <c r="AC38" s="338">
        <f>SUM(AA38:AB38)</f>
        <v>1800</v>
      </c>
      <c r="AD38" s="329"/>
      <c r="AE38" s="147"/>
      <c r="AF38" s="147"/>
      <c r="AG38" s="147"/>
      <c r="AH38" s="147"/>
      <c r="AI38" s="147"/>
      <c r="AJ38" s="147"/>
      <c r="AK38" s="147"/>
      <c r="AL38" s="147"/>
      <c r="AM38" s="147"/>
      <c r="AN38" s="147"/>
      <c r="AO38" s="147"/>
      <c r="AP38" s="147"/>
      <c r="AQ38" s="147"/>
      <c r="AR38" s="147"/>
      <c r="AS38" s="147"/>
      <c r="AT38" s="147"/>
      <c r="AU38" s="147"/>
      <c r="AV38" s="147"/>
      <c r="AW38" s="147"/>
      <c r="AX38" s="147"/>
      <c r="AY38" s="147"/>
      <c r="AZ38" s="147"/>
      <c r="BA38" s="147"/>
      <c r="BB38" s="147"/>
      <c r="BC38" s="147"/>
      <c r="BD38" s="147"/>
      <c r="BE38" s="147"/>
      <c r="BF38" s="147"/>
      <c r="BG38" s="147"/>
      <c r="BH38" s="147"/>
      <c r="BI38" s="147"/>
      <c r="BJ38" s="147"/>
      <c r="BK38" s="147"/>
      <c r="BL38" s="147"/>
      <c r="BM38" s="147"/>
      <c r="BN38" s="147"/>
      <c r="BO38" s="147"/>
      <c r="BP38" s="147"/>
      <c r="BQ38" s="147"/>
      <c r="BR38" s="147"/>
      <c r="BS38" s="147"/>
      <c r="BT38" s="147"/>
      <c r="BU38" s="147"/>
      <c r="BV38" s="147"/>
      <c r="BW38" s="147"/>
      <c r="BX38" s="147"/>
      <c r="BY38" s="147"/>
      <c r="BZ38" s="147"/>
      <c r="CA38" s="147"/>
      <c r="CB38" s="147"/>
      <c r="CC38" s="147"/>
      <c r="CD38" s="147"/>
      <c r="CE38" s="147"/>
      <c r="CF38" s="147"/>
      <c r="CG38" s="147"/>
      <c r="CH38" s="147"/>
      <c r="CI38" s="147"/>
      <c r="CJ38" s="147"/>
      <c r="CK38" s="147"/>
      <c r="CL38" s="147"/>
      <c r="CM38" s="147"/>
      <c r="CN38" s="147"/>
      <c r="CO38" s="147"/>
      <c r="CP38" s="147"/>
    </row>
    <row r="39" spans="1:94" s="153" customFormat="1" ht="15" x14ac:dyDescent="0.25">
      <c r="A39" s="139"/>
      <c r="B39" s="188"/>
      <c r="C39" s="443" t="str">
        <f>Group_name</f>
        <v>Board &amp; Group Positions</v>
      </c>
      <c r="D39" s="444"/>
      <c r="E39" s="189">
        <v>2</v>
      </c>
      <c r="F39" s="151">
        <f>SUMIF($E9:$E35,$E39,$F9:$F35)</f>
        <v>0</v>
      </c>
      <c r="G39" s="193">
        <f>SUMIF($E10:$E35,$E39,$G10:$G35)</f>
        <v>0</v>
      </c>
      <c r="H39" s="152">
        <f>SUMIF($E10:$E35,$E39,$H10:$H35)</f>
        <v>0</v>
      </c>
      <c r="I39" s="152">
        <f>SUMIF($E10:$E35,$E39,$I10:$I35)</f>
        <v>0</v>
      </c>
      <c r="J39" s="152">
        <f>SUM(G39:I39)</f>
        <v>0</v>
      </c>
      <c r="K39" s="259"/>
      <c r="L39" s="193">
        <f>SUMIF($E10:$E35,$E39,$L10:$L35)</f>
        <v>0</v>
      </c>
      <c r="M39" s="152">
        <f>SUMIF($E11:$E37,$E39,$M11:$M37)</f>
        <v>0</v>
      </c>
      <c r="N39" s="152">
        <f>SUM(L39:M39)</f>
        <v>0</v>
      </c>
      <c r="O39"/>
      <c r="P39"/>
      <c r="Q39"/>
      <c r="R39"/>
      <c r="S39"/>
      <c r="T39"/>
      <c r="U39"/>
      <c r="V39"/>
      <c r="W39"/>
      <c r="X39"/>
      <c r="Y39"/>
      <c r="Z39" s="344"/>
      <c r="AA39" s="338">
        <f>ROUND(AdjGroupSalary*CECGroup,-2)</f>
        <v>0</v>
      </c>
      <c r="AB39" s="338">
        <f>ROUND(AdjGroupVB*CECGroup,-2)</f>
        <v>0</v>
      </c>
      <c r="AC39" s="338">
        <f>SUM(AA39:AB39)</f>
        <v>0</v>
      </c>
      <c r="AD39" s="329"/>
      <c r="AE39" s="147"/>
      <c r="AF39" s="147"/>
      <c r="AG39" s="147"/>
      <c r="AH39" s="147"/>
      <c r="AI39" s="147"/>
      <c r="AJ39" s="147"/>
      <c r="AK39" s="147"/>
      <c r="AL39" s="147"/>
      <c r="AM39" s="147"/>
      <c r="AN39" s="147"/>
      <c r="AO39" s="147"/>
      <c r="AP39" s="147"/>
      <c r="AQ39" s="147"/>
      <c r="AR39" s="147"/>
      <c r="AS39" s="147"/>
      <c r="AT39" s="147"/>
      <c r="AU39" s="147"/>
      <c r="AV39" s="147"/>
      <c r="AW39" s="147"/>
      <c r="AX39" s="147"/>
      <c r="AY39" s="147"/>
      <c r="AZ39" s="147"/>
      <c r="BA39" s="147"/>
      <c r="BB39" s="147"/>
      <c r="BC39" s="147"/>
      <c r="BD39" s="147"/>
      <c r="BE39" s="147"/>
      <c r="BF39" s="147"/>
      <c r="BG39" s="147"/>
      <c r="BH39" s="147"/>
      <c r="BI39" s="147"/>
      <c r="BJ39" s="147"/>
      <c r="BK39" s="147"/>
      <c r="BL39" s="147"/>
      <c r="BM39" s="147"/>
      <c r="BN39" s="147"/>
      <c r="BO39" s="147"/>
      <c r="BP39" s="147"/>
      <c r="BQ39" s="147"/>
      <c r="BR39" s="147"/>
      <c r="BS39" s="147"/>
      <c r="BT39" s="147"/>
      <c r="BU39" s="147"/>
      <c r="BV39" s="147"/>
      <c r="BW39" s="147"/>
      <c r="BX39" s="147"/>
      <c r="BY39" s="147"/>
      <c r="BZ39" s="147"/>
      <c r="CA39" s="147"/>
      <c r="CB39" s="147"/>
      <c r="CC39" s="147"/>
      <c r="CD39" s="147"/>
      <c r="CE39" s="147"/>
      <c r="CF39" s="147"/>
      <c r="CG39" s="147"/>
      <c r="CH39" s="147"/>
      <c r="CI39" s="147"/>
      <c r="CJ39" s="147"/>
      <c r="CK39" s="147"/>
      <c r="CL39" s="147"/>
      <c r="CM39" s="147"/>
      <c r="CN39" s="147"/>
      <c r="CO39" s="147"/>
      <c r="CP39" s="147"/>
    </row>
    <row r="40" spans="1:94" s="153" customFormat="1" ht="15" x14ac:dyDescent="0.25">
      <c r="A40" s="139"/>
      <c r="B40" s="188"/>
      <c r="C40" s="364" t="str">
        <f>Elect_name</f>
        <v>Elected Officials &amp; Full Time Commissioners</v>
      </c>
      <c r="D40" s="365"/>
      <c r="E40" s="189">
        <v>3</v>
      </c>
      <c r="F40" s="151">
        <f>SUMIF($E9:$E35,$E40,$F9:$F35)</f>
        <v>0</v>
      </c>
      <c r="G40" s="193">
        <f>SUMIF($E10:$E35,$E40,$G10:$G35)</f>
        <v>0</v>
      </c>
      <c r="H40" s="152">
        <f>SUMIF($E10:$E35,$E40,$H10:$H35)</f>
        <v>0</v>
      </c>
      <c r="I40" s="152">
        <f>SUMIF($E10:$E35,$E40,$I10:$I35)</f>
        <v>0</v>
      </c>
      <c r="J40" s="152">
        <f>SUM(G40:I40)</f>
        <v>0</v>
      </c>
      <c r="K40" s="259"/>
      <c r="L40" s="193">
        <f>SUMIF($E10:$E35,$E40,$L10:$L35)</f>
        <v>0</v>
      </c>
      <c r="M40" s="152">
        <f>SUMIF($E10:$E35,$E40,$M10:$M35)</f>
        <v>0</v>
      </c>
      <c r="N40" s="152">
        <f>SUM(L40:M40)</f>
        <v>0</v>
      </c>
      <c r="O40"/>
      <c r="P40"/>
      <c r="Q40"/>
      <c r="R40"/>
      <c r="S40"/>
      <c r="T40"/>
      <c r="U40"/>
      <c r="V40"/>
      <c r="W40"/>
      <c r="X40"/>
      <c r="Y40"/>
      <c r="Z40" s="344"/>
      <c r="AA40" s="363"/>
      <c r="AB40" s="363"/>
      <c r="AC40" s="363"/>
      <c r="AD40" s="329"/>
      <c r="AE40" s="147"/>
      <c r="AF40" s="147"/>
      <c r="AG40" s="147"/>
      <c r="AH40" s="147"/>
      <c r="AI40" s="147"/>
      <c r="AJ40" s="147"/>
      <c r="AK40" s="147"/>
      <c r="AL40" s="147"/>
      <c r="AM40" s="147"/>
      <c r="AN40" s="147"/>
      <c r="AO40" s="147"/>
      <c r="AP40" s="147"/>
      <c r="AQ40" s="147"/>
      <c r="AR40" s="147"/>
      <c r="AS40" s="147"/>
      <c r="AT40" s="147"/>
      <c r="AU40" s="147"/>
      <c r="AV40" s="147"/>
      <c r="AW40" s="147"/>
      <c r="AX40" s="147"/>
      <c r="AY40" s="147"/>
      <c r="AZ40" s="147"/>
      <c r="BA40" s="147"/>
      <c r="BB40" s="147"/>
      <c r="BC40" s="147"/>
      <c r="BD40" s="147"/>
      <c r="BE40" s="147"/>
      <c r="BF40" s="147"/>
      <c r="BG40" s="147"/>
      <c r="BH40" s="147"/>
      <c r="BI40" s="147"/>
      <c r="BJ40" s="147"/>
      <c r="BK40" s="147"/>
      <c r="BL40" s="147"/>
      <c r="BM40" s="147"/>
      <c r="BN40" s="147"/>
      <c r="BO40" s="147"/>
      <c r="BP40" s="147"/>
      <c r="BQ40" s="147"/>
      <c r="BR40" s="147"/>
      <c r="BS40" s="147"/>
      <c r="BT40" s="147"/>
      <c r="BU40" s="147"/>
      <c r="BV40" s="147"/>
      <c r="BW40" s="147"/>
      <c r="BX40" s="147"/>
      <c r="BY40" s="147"/>
      <c r="BZ40" s="147"/>
      <c r="CA40" s="147"/>
      <c r="CB40" s="147"/>
      <c r="CC40" s="147"/>
      <c r="CD40" s="147"/>
      <c r="CE40" s="147"/>
      <c r="CF40" s="147"/>
      <c r="CG40" s="147"/>
      <c r="CH40" s="147"/>
      <c r="CI40" s="147"/>
      <c r="CJ40" s="147"/>
      <c r="CK40" s="147"/>
      <c r="CL40" s="147"/>
      <c r="CM40" s="147"/>
      <c r="CN40" s="147"/>
      <c r="CO40" s="147"/>
      <c r="CP40" s="147"/>
    </row>
    <row r="41" spans="1:94" s="153" customFormat="1" ht="15" x14ac:dyDescent="0.25">
      <c r="A41" s="139"/>
      <c r="B41" s="188"/>
      <c r="C41" s="443" t="s">
        <v>38</v>
      </c>
      <c r="D41" s="444"/>
      <c r="E41" s="189"/>
      <c r="F41" s="161">
        <f>SUM(F38:F40)</f>
        <v>2.85</v>
      </c>
      <c r="G41" s="195">
        <f>SUM($G$38:$G$40)</f>
        <v>146729.44</v>
      </c>
      <c r="H41" s="162">
        <f>SUM($H$38:$H$40)</f>
        <v>33202.5</v>
      </c>
      <c r="I41" s="162">
        <f>SUM($I$38:$I$40)</f>
        <v>31322.333556800007</v>
      </c>
      <c r="J41" s="162">
        <f>SUM($J$38:$J$40)</f>
        <v>211254.27355680001</v>
      </c>
      <c r="K41" s="259"/>
      <c r="L41" s="195">
        <f>SUM($L$38:$L$40)</f>
        <v>0</v>
      </c>
      <c r="M41" s="162">
        <f>SUM($M$38:$M$40)</f>
        <v>-704.30131199999983</v>
      </c>
      <c r="N41" s="162">
        <f>SUM(L41:M41)</f>
        <v>-704.30131199999983</v>
      </c>
      <c r="O41"/>
      <c r="P41"/>
      <c r="Q41"/>
      <c r="R41"/>
      <c r="S41"/>
      <c r="T41"/>
      <c r="U41"/>
      <c r="V41"/>
      <c r="W41"/>
      <c r="X41"/>
      <c r="Y41"/>
      <c r="Z41" s="344"/>
      <c r="AA41" s="363" t="s">
        <v>94</v>
      </c>
      <c r="AB41" s="333" t="s">
        <v>95</v>
      </c>
      <c r="AC41" s="333" t="s">
        <v>106</v>
      </c>
      <c r="AD41" s="329"/>
      <c r="AE41" s="147"/>
      <c r="AF41" s="147"/>
      <c r="AG41" s="147"/>
      <c r="AH41" s="147"/>
      <c r="AI41" s="147"/>
      <c r="AJ41" s="147"/>
      <c r="AK41" s="147"/>
      <c r="AL41" s="147"/>
      <c r="AM41" s="147"/>
      <c r="AN41" s="147"/>
      <c r="AO41" s="147"/>
      <c r="AP41" s="147"/>
      <c r="AQ41" s="147"/>
      <c r="AR41" s="147"/>
      <c r="AS41" s="147"/>
      <c r="AT41" s="147"/>
      <c r="AU41" s="147"/>
      <c r="AV41" s="147"/>
      <c r="AW41" s="147"/>
      <c r="AX41" s="147"/>
      <c r="AY41" s="147"/>
      <c r="AZ41" s="147"/>
      <c r="BA41" s="147"/>
      <c r="BB41" s="147"/>
      <c r="BC41" s="147"/>
      <c r="BD41" s="147"/>
      <c r="BE41" s="147"/>
      <c r="BF41" s="147"/>
      <c r="BG41" s="147"/>
      <c r="BH41" s="147"/>
      <c r="BI41" s="147"/>
      <c r="BJ41" s="147"/>
      <c r="BK41" s="147"/>
      <c r="BL41" s="147"/>
      <c r="BM41" s="147"/>
      <c r="BN41" s="147"/>
      <c r="BO41" s="147"/>
      <c r="BP41" s="147"/>
      <c r="BQ41" s="147"/>
      <c r="BR41" s="147"/>
      <c r="BS41" s="147"/>
      <c r="BT41" s="147"/>
      <c r="BU41" s="147"/>
      <c r="BV41" s="147"/>
      <c r="BW41" s="147"/>
      <c r="BX41" s="147"/>
      <c r="BY41" s="147"/>
      <c r="BZ41" s="147"/>
      <c r="CA41" s="147"/>
      <c r="CB41" s="147"/>
      <c r="CC41" s="147"/>
      <c r="CD41" s="147"/>
      <c r="CE41" s="147"/>
      <c r="CF41" s="147"/>
      <c r="CG41" s="147"/>
      <c r="CH41" s="147"/>
      <c r="CI41" s="147"/>
      <c r="CJ41" s="147"/>
      <c r="CK41" s="147"/>
      <c r="CL41" s="147"/>
      <c r="CM41" s="147"/>
      <c r="CN41" s="147"/>
      <c r="CO41" s="147"/>
      <c r="CP41" s="147"/>
    </row>
    <row r="42" spans="1:94" s="153" customFormat="1" ht="4.5" customHeight="1" x14ac:dyDescent="0.25">
      <c r="A42" s="139"/>
      <c r="B42" s="188"/>
      <c r="C42" s="445"/>
      <c r="D42" s="446"/>
      <c r="E42" s="196"/>
      <c r="F42" s="197"/>
      <c r="G42" s="198"/>
      <c r="H42" s="199"/>
      <c r="I42" s="199"/>
      <c r="J42" s="324"/>
      <c r="K42" s="200"/>
      <c r="L42" s="323"/>
      <c r="M42" s="323"/>
      <c r="N42" s="201"/>
      <c r="O42"/>
      <c r="P42"/>
      <c r="Q42"/>
      <c r="R42"/>
      <c r="S42"/>
      <c r="T42"/>
      <c r="U42"/>
      <c r="V42"/>
      <c r="W42"/>
      <c r="X42"/>
      <c r="Y42"/>
      <c r="Z42" s="344"/>
      <c r="AA42" s="363"/>
      <c r="AB42" s="363"/>
      <c r="AC42" s="363"/>
      <c r="AD42" s="329"/>
      <c r="AE42" s="147"/>
      <c r="AF42" s="147"/>
      <c r="AG42" s="147"/>
      <c r="AH42" s="147"/>
      <c r="AI42" s="147"/>
      <c r="AJ42" s="147"/>
      <c r="AK42" s="147"/>
      <c r="AL42" s="147"/>
      <c r="AM42" s="147"/>
      <c r="AN42" s="147"/>
      <c r="AO42" s="147"/>
      <c r="AP42" s="147"/>
      <c r="AQ42" s="147"/>
      <c r="AR42" s="147"/>
      <c r="AS42" s="147"/>
      <c r="AT42" s="147"/>
      <c r="AU42" s="147"/>
      <c r="AV42" s="147"/>
      <c r="AW42" s="147"/>
      <c r="AX42" s="147"/>
      <c r="AY42" s="147"/>
      <c r="AZ42" s="147"/>
      <c r="BA42" s="147"/>
      <c r="BB42" s="147"/>
      <c r="BC42" s="147"/>
      <c r="BD42" s="147"/>
      <c r="BE42" s="147"/>
      <c r="BF42" s="147"/>
      <c r="BG42" s="147"/>
      <c r="BH42" s="147"/>
      <c r="BI42" s="147"/>
      <c r="BJ42" s="147"/>
      <c r="BK42" s="147"/>
      <c r="BL42" s="147"/>
      <c r="BM42" s="147"/>
      <c r="BN42" s="147"/>
      <c r="BO42" s="147"/>
      <c r="BP42" s="147"/>
      <c r="BQ42" s="147"/>
      <c r="BR42" s="147"/>
      <c r="BS42" s="147"/>
      <c r="BT42" s="147"/>
      <c r="BU42" s="147"/>
      <c r="BV42" s="147"/>
      <c r="BW42" s="147"/>
      <c r="BX42" s="147"/>
      <c r="BY42" s="147"/>
      <c r="BZ42" s="147"/>
      <c r="CA42" s="147"/>
      <c r="CB42" s="147"/>
      <c r="CC42" s="147"/>
      <c r="CD42" s="147"/>
      <c r="CE42" s="147"/>
      <c r="CF42" s="147"/>
      <c r="CG42" s="147"/>
      <c r="CH42" s="147"/>
      <c r="CI42" s="147"/>
      <c r="CJ42" s="147"/>
      <c r="CK42" s="147"/>
      <c r="CL42" s="147"/>
      <c r="CM42" s="147"/>
      <c r="CN42" s="147"/>
      <c r="CO42" s="147"/>
      <c r="CP42" s="147"/>
    </row>
    <row r="43" spans="1:94" s="153" customFormat="1" ht="15.75" customHeight="1" x14ac:dyDescent="0.25">
      <c r="A43" s="139"/>
      <c r="B43" s="202"/>
      <c r="C43" s="447" t="s">
        <v>39</v>
      </c>
      <c r="D43" s="448"/>
      <c r="E43" s="203" t="s">
        <v>40</v>
      </c>
      <c r="F43" s="205">
        <f>ROUND(F51-F41,2)</f>
        <v>0.15</v>
      </c>
      <c r="G43" s="206">
        <f>ROUND(G51-G41,-2)</f>
        <v>-900</v>
      </c>
      <c r="H43" s="159">
        <f>ROUND(H51-H41,-2)</f>
        <v>-200</v>
      </c>
      <c r="I43" s="159">
        <f>ROUND(I51-I41,-2)</f>
        <v>-200</v>
      </c>
      <c r="J43" s="159">
        <f>SUM(G43:I43)</f>
        <v>-1300</v>
      </c>
      <c r="K43" s="424" t="str">
        <f>IF(E51=0,"ERROR! Enter Original Appropriation amount in DU 3.00!","Calculated "&amp;IF(J43&gt;0,"overfunding ","underfunding ")&amp;"is "&amp;TEXT(J43/J51,"#.0%;(#.0% );0% ;")&amp;" of Original Appropriation")</f>
        <v>Calculated underfunding is (.6% ) of Original Appropriation</v>
      </c>
      <c r="L43" s="425"/>
      <c r="M43" s="425"/>
      <c r="N43" s="426"/>
      <c r="O43"/>
      <c r="P43"/>
      <c r="Q43"/>
      <c r="R43"/>
      <c r="S43"/>
      <c r="T43"/>
      <c r="U43"/>
      <c r="V43"/>
      <c r="W43"/>
      <c r="X43"/>
      <c r="Y43"/>
      <c r="Z43" s="344"/>
      <c r="AA43" s="451" t="s">
        <v>108</v>
      </c>
      <c r="AB43" s="452"/>
      <c r="AC43" s="452"/>
      <c r="AD43" s="329"/>
      <c r="AE43" s="147"/>
      <c r="AF43" s="147"/>
      <c r="AG43" s="147"/>
      <c r="AH43" s="147"/>
      <c r="AI43" s="147"/>
      <c r="AJ43" s="147"/>
      <c r="AK43" s="147"/>
      <c r="AL43" s="147"/>
      <c r="AM43" s="147"/>
      <c r="AN43" s="147"/>
      <c r="AO43" s="147"/>
      <c r="AP43" s="147"/>
      <c r="AQ43" s="147"/>
      <c r="AR43" s="147"/>
      <c r="AS43" s="147"/>
      <c r="AT43" s="147"/>
      <c r="AU43" s="147"/>
      <c r="AV43" s="147"/>
      <c r="AW43" s="147"/>
      <c r="AX43" s="147"/>
      <c r="AY43" s="147"/>
      <c r="AZ43" s="147"/>
      <c r="BA43" s="147"/>
      <c r="BB43" s="147"/>
      <c r="BC43" s="147"/>
      <c r="BD43" s="147"/>
      <c r="BE43" s="147"/>
      <c r="BF43" s="147"/>
      <c r="BG43" s="147"/>
      <c r="BH43" s="147"/>
      <c r="BI43" s="147"/>
      <c r="BJ43" s="147"/>
      <c r="BK43" s="147"/>
      <c r="BL43" s="147"/>
      <c r="BM43" s="147"/>
      <c r="BN43" s="147"/>
      <c r="BO43" s="147"/>
      <c r="BP43" s="147"/>
      <c r="BQ43" s="147"/>
      <c r="BR43" s="147"/>
      <c r="BS43" s="147"/>
      <c r="BT43" s="147"/>
      <c r="BU43" s="147"/>
      <c r="BV43" s="147"/>
      <c r="BW43" s="147"/>
      <c r="BX43" s="147"/>
      <c r="BY43" s="147"/>
      <c r="BZ43" s="147"/>
      <c r="CA43" s="147"/>
      <c r="CB43" s="147"/>
      <c r="CC43" s="147"/>
      <c r="CD43" s="147"/>
      <c r="CE43" s="147"/>
      <c r="CF43" s="147"/>
      <c r="CG43" s="147"/>
      <c r="CH43" s="147"/>
      <c r="CI43" s="147"/>
      <c r="CJ43" s="147"/>
      <c r="CK43" s="147"/>
      <c r="CL43" s="147"/>
      <c r="CM43" s="147"/>
      <c r="CN43" s="147"/>
      <c r="CO43" s="147"/>
      <c r="CP43" s="147"/>
    </row>
    <row r="44" spans="1:94" s="153" customFormat="1" ht="15.75" customHeight="1" x14ac:dyDescent="0.25">
      <c r="A44" s="139"/>
      <c r="B44" s="202"/>
      <c r="C44" s="449"/>
      <c r="D44" s="450"/>
      <c r="E44" s="204" t="s">
        <v>41</v>
      </c>
      <c r="F44" s="205">
        <f>ROUND(F60-F41,2)</f>
        <v>0.15</v>
      </c>
      <c r="G44" s="206">
        <f>ROUND(G60-G41,-2)</f>
        <v>-900</v>
      </c>
      <c r="H44" s="159">
        <f>ROUND(H60-H41,-2)</f>
        <v>-200</v>
      </c>
      <c r="I44" s="159">
        <f>ROUND(I60-I41,-2)</f>
        <v>-200</v>
      </c>
      <c r="J44" s="159">
        <f>SUM(G44:I44)</f>
        <v>-1300</v>
      </c>
      <c r="K44" s="424" t="str">
        <f>IF(E51=0,"ERROR! Enter Original Appropriation amount in DU 3.00!","Calculated "&amp;IF(J44&gt;0,"overfunding ","underfunding ")&amp;"is "&amp;TEXT(J44/J60,"#.0%;(#.0% );0% ;")&amp;" of Estimated Expenditures")</f>
        <v>Calculated underfunding is (.6% ) of Estimated Expenditures</v>
      </c>
      <c r="L44" s="425"/>
      <c r="M44" s="425"/>
      <c r="N44" s="426"/>
      <c r="O44"/>
      <c r="P44"/>
      <c r="Q44"/>
      <c r="R44"/>
      <c r="S44"/>
      <c r="T44"/>
      <c r="U44"/>
      <c r="V44"/>
      <c r="W44"/>
      <c r="X44"/>
      <c r="Y44"/>
      <c r="Z44" s="344"/>
      <c r="AA44" s="338">
        <f>NEW_AdjPermSalary-NEW_PermSalaryFilled</f>
        <v>0</v>
      </c>
      <c r="AB44" s="338">
        <f>NEW_AdjPermVB-NEW_PermVBFilled</f>
        <v>0</v>
      </c>
      <c r="AC44" s="338">
        <f>SUM(AA44:AB44)</f>
        <v>0</v>
      </c>
      <c r="AD44" s="329"/>
      <c r="AE44" s="147"/>
      <c r="AF44" s="147"/>
      <c r="AG44" s="147"/>
      <c r="AH44" s="147"/>
      <c r="AI44" s="147"/>
      <c r="AJ44" s="147"/>
      <c r="AK44" s="147"/>
      <c r="AL44" s="147"/>
      <c r="AM44" s="147"/>
      <c r="AN44" s="147"/>
      <c r="AO44" s="147"/>
      <c r="AP44" s="147"/>
      <c r="AQ44" s="147"/>
      <c r="AR44" s="147"/>
      <c r="AS44" s="147"/>
      <c r="AT44" s="147"/>
      <c r="AU44" s="147"/>
      <c r="AV44" s="147"/>
      <c r="AW44" s="147"/>
      <c r="AX44" s="147"/>
      <c r="AY44" s="147"/>
      <c r="AZ44" s="147"/>
      <c r="BA44" s="147"/>
      <c r="BB44" s="147"/>
      <c r="BC44" s="147"/>
      <c r="BD44" s="147"/>
      <c r="BE44" s="147"/>
      <c r="BF44" s="147"/>
      <c r="BG44" s="147"/>
      <c r="BH44" s="147"/>
      <c r="BI44" s="147"/>
      <c r="BJ44" s="147"/>
      <c r="BK44" s="147"/>
      <c r="BL44" s="147"/>
      <c r="BM44" s="147"/>
      <c r="BN44" s="147"/>
      <c r="BO44" s="147"/>
      <c r="BP44" s="147"/>
      <c r="BQ44" s="147"/>
      <c r="BR44" s="147"/>
      <c r="BS44" s="147"/>
      <c r="BT44" s="147"/>
      <c r="BU44" s="147"/>
      <c r="BV44" s="147"/>
      <c r="BW44" s="147"/>
      <c r="BX44" s="147"/>
      <c r="BY44" s="147"/>
      <c r="BZ44" s="147"/>
      <c r="CA44" s="147"/>
      <c r="CB44" s="147"/>
      <c r="CC44" s="147"/>
      <c r="CD44" s="147"/>
      <c r="CE44" s="147"/>
      <c r="CF44" s="147"/>
      <c r="CG44" s="147"/>
      <c r="CH44" s="147"/>
      <c r="CI44" s="147"/>
      <c r="CJ44" s="147"/>
      <c r="CK44" s="147"/>
      <c r="CL44" s="147"/>
      <c r="CM44" s="147"/>
      <c r="CN44" s="147"/>
      <c r="CO44" s="147"/>
      <c r="CP44" s="147"/>
    </row>
    <row r="45" spans="1:94" s="153" customFormat="1" ht="15.75" customHeight="1" x14ac:dyDescent="0.25">
      <c r="A45" s="139"/>
      <c r="B45" s="202"/>
      <c r="C45" s="215"/>
      <c r="D45" s="215"/>
      <c r="E45" s="204" t="s">
        <v>99</v>
      </c>
      <c r="F45" s="205">
        <f>ROUND(F67-F41-F63,2)</f>
        <v>0.15</v>
      </c>
      <c r="G45" s="206">
        <f>ROUND(G67-G41-G63,-2)</f>
        <v>-900</v>
      </c>
      <c r="H45" s="206">
        <f>ROUND(H67-H41-H63,-2)</f>
        <v>-200</v>
      </c>
      <c r="I45" s="206">
        <f>ROUND(I67-I41-I63,-2)</f>
        <v>-200</v>
      </c>
      <c r="J45" s="159">
        <f>SUM(G45:I45)</f>
        <v>-1300</v>
      </c>
      <c r="K45" s="424" t="str">
        <f>IF(J67=0,"Program has a zero base",IF(E51=0,"ERROR! Enter Original Appropriation amount in DU 3.00!","Calculated "&amp;IF(J45&gt;0,"overfunding ","underfunding ")&amp;"is "&amp;TEXT(J45/J67,"#.0%;(#.0% );0% ;")&amp;" of the Base"))</f>
        <v>Calculated underfunding is (.6% ) of the Base</v>
      </c>
      <c r="L45" s="425"/>
      <c r="M45" s="425"/>
      <c r="N45" s="426"/>
      <c r="O45"/>
      <c r="P45"/>
      <c r="Q45"/>
      <c r="R45"/>
      <c r="S45"/>
      <c r="T45"/>
      <c r="U45"/>
      <c r="V45"/>
      <c r="W45"/>
      <c r="X45"/>
      <c r="Y45"/>
      <c r="Z45" s="344"/>
      <c r="AA45" s="338">
        <f>NEW_AdjGroupSalary-NEW_GroupSalaryFilled</f>
        <v>0</v>
      </c>
      <c r="AB45" s="338">
        <f>NEW_AdjGroupVB-NEW_GroupVBFilled</f>
        <v>0</v>
      </c>
      <c r="AC45" s="338">
        <f>SUM(AA45:AB45)</f>
        <v>0</v>
      </c>
      <c r="AD45" s="329"/>
      <c r="AE45" s="147"/>
      <c r="AF45" s="147"/>
      <c r="AG45" s="147"/>
      <c r="AH45" s="147"/>
      <c r="AI45" s="147"/>
      <c r="AJ45" s="147"/>
      <c r="AK45" s="147"/>
      <c r="AL45" s="147"/>
      <c r="AM45" s="147"/>
      <c r="AN45" s="147"/>
      <c r="AO45" s="147"/>
      <c r="AP45" s="147"/>
      <c r="AQ45" s="147"/>
      <c r="AR45" s="147"/>
      <c r="AS45" s="147"/>
      <c r="AT45" s="147"/>
      <c r="AU45" s="147"/>
      <c r="AV45" s="147"/>
      <c r="AW45" s="147"/>
      <c r="AX45" s="147"/>
      <c r="AY45" s="147"/>
      <c r="AZ45" s="147"/>
      <c r="BA45" s="147"/>
      <c r="BB45" s="147"/>
      <c r="BC45" s="147"/>
      <c r="BD45" s="147"/>
      <c r="BE45" s="147"/>
      <c r="BF45" s="147"/>
      <c r="BG45" s="147"/>
      <c r="BH45" s="147"/>
      <c r="BI45" s="147"/>
      <c r="BJ45" s="147"/>
      <c r="BK45" s="147"/>
      <c r="BL45" s="147"/>
      <c r="BM45" s="147"/>
      <c r="BN45" s="147"/>
      <c r="BO45" s="147"/>
      <c r="BP45" s="147"/>
      <c r="BQ45" s="147"/>
      <c r="BR45" s="147"/>
      <c r="BS45" s="147"/>
      <c r="BT45" s="147"/>
      <c r="BU45" s="147"/>
      <c r="BV45" s="147"/>
      <c r="BW45" s="147"/>
      <c r="BX45" s="147"/>
      <c r="BY45" s="147"/>
      <c r="BZ45" s="147"/>
      <c r="CA45" s="147"/>
      <c r="CB45" s="147"/>
      <c r="CC45" s="147"/>
      <c r="CD45" s="147"/>
      <c r="CE45" s="147"/>
      <c r="CF45" s="147"/>
      <c r="CG45" s="147"/>
      <c r="CH45" s="147"/>
      <c r="CI45" s="147"/>
      <c r="CJ45" s="147"/>
      <c r="CK45" s="147"/>
      <c r="CL45" s="147"/>
      <c r="CM45" s="147"/>
      <c r="CN45" s="147"/>
      <c r="CO45" s="147"/>
      <c r="CP45" s="147"/>
    </row>
    <row r="46" spans="1:94" s="153" customFormat="1" ht="28.5" customHeight="1" x14ac:dyDescent="0.25">
      <c r="A46" s="139"/>
      <c r="B46" s="202"/>
      <c r="C46" s="215"/>
      <c r="D46" s="215"/>
      <c r="E46" s="427" t="s">
        <v>100</v>
      </c>
      <c r="F46" s="428"/>
      <c r="G46" s="428"/>
      <c r="H46" s="428"/>
      <c r="I46" s="428"/>
      <c r="J46" s="429"/>
      <c r="K46" s="433" t="str">
        <f>IF(OR(J45&lt;0,F45&lt;0),"You may not have sufficient funding or authorized FTP, and may need to make additional adjustments to finalize this form.  Please contact both your DFM and LSO analysts.","")</f>
        <v>You may not have sufficient funding or authorized FTP, and may need to make additional adjustments to finalize this form.  Please contact both your DFM and LSO analysts.</v>
      </c>
      <c r="L46" s="434"/>
      <c r="M46" s="434"/>
      <c r="N46" s="435"/>
      <c r="O46"/>
      <c r="P46"/>
      <c r="Q46"/>
      <c r="R46"/>
      <c r="S46"/>
      <c r="T46"/>
      <c r="U46"/>
      <c r="V46"/>
      <c r="W46"/>
      <c r="X46"/>
      <c r="Y46"/>
      <c r="Z46" s="344"/>
      <c r="AA46" s="363"/>
      <c r="AB46" s="363"/>
      <c r="AC46" s="363"/>
      <c r="AD46" s="329"/>
      <c r="AE46" s="147"/>
      <c r="AF46" s="147"/>
      <c r="AG46" s="147"/>
      <c r="AH46" s="147"/>
      <c r="AI46" s="147"/>
      <c r="AJ46" s="147"/>
      <c r="AK46" s="147"/>
      <c r="AL46" s="147"/>
      <c r="AM46" s="147"/>
      <c r="AN46" s="147"/>
      <c r="AO46" s="147"/>
      <c r="AP46" s="147"/>
      <c r="AQ46" s="147"/>
      <c r="AR46" s="147"/>
      <c r="AS46" s="147"/>
      <c r="AT46" s="147"/>
      <c r="AU46" s="147"/>
      <c r="AV46" s="147"/>
      <c r="AW46" s="147"/>
      <c r="AX46" s="147"/>
      <c r="AY46" s="147"/>
      <c r="AZ46" s="147"/>
      <c r="BA46" s="147"/>
      <c r="BB46" s="147"/>
      <c r="BC46" s="147"/>
      <c r="BD46" s="147"/>
      <c r="BE46" s="147"/>
      <c r="BF46" s="147"/>
      <c r="BG46" s="147"/>
      <c r="BH46" s="147"/>
      <c r="BI46" s="147"/>
      <c r="BJ46" s="147"/>
      <c r="BK46" s="147"/>
      <c r="BL46" s="147"/>
      <c r="BM46" s="147"/>
      <c r="BN46" s="147"/>
      <c r="BO46" s="147"/>
      <c r="BP46" s="147"/>
      <c r="BQ46" s="147"/>
      <c r="BR46" s="147"/>
      <c r="BS46" s="147"/>
      <c r="BT46" s="147"/>
      <c r="BU46" s="147"/>
      <c r="BV46" s="147"/>
      <c r="BW46" s="147"/>
      <c r="BX46" s="147"/>
      <c r="BY46" s="147"/>
      <c r="BZ46" s="147"/>
      <c r="CA46" s="147"/>
      <c r="CB46" s="147"/>
      <c r="CC46" s="147"/>
      <c r="CD46" s="147"/>
      <c r="CE46" s="147"/>
      <c r="CF46" s="147"/>
      <c r="CG46" s="147"/>
      <c r="CH46" s="147"/>
      <c r="CI46" s="147"/>
      <c r="CJ46" s="147"/>
      <c r="CK46" s="147"/>
      <c r="CL46" s="147"/>
      <c r="CM46" s="147"/>
      <c r="CN46" s="147"/>
      <c r="CO46" s="147"/>
      <c r="CP46" s="147"/>
    </row>
    <row r="47" spans="1:94" s="153" customFormat="1" ht="21.75" customHeight="1" x14ac:dyDescent="0.25">
      <c r="A47" s="139"/>
      <c r="B47" s="202"/>
      <c r="C47" s="215"/>
      <c r="D47" s="215"/>
      <c r="E47" s="430"/>
      <c r="F47" s="431"/>
      <c r="G47" s="431"/>
      <c r="H47" s="431"/>
      <c r="I47" s="431"/>
      <c r="J47" s="432"/>
      <c r="K47" s="436"/>
      <c r="L47" s="437"/>
      <c r="M47" s="437"/>
      <c r="N47" s="438"/>
      <c r="O47"/>
      <c r="P47"/>
      <c r="Q47"/>
      <c r="R47"/>
      <c r="S47"/>
      <c r="T47"/>
      <c r="U47"/>
      <c r="V47"/>
      <c r="W47"/>
      <c r="X47"/>
      <c r="Y47"/>
      <c r="Z47" s="344"/>
      <c r="AA47" s="363"/>
      <c r="AB47" s="363"/>
      <c r="AC47" s="363"/>
      <c r="AD47" s="329"/>
      <c r="AE47" s="147"/>
      <c r="AF47" s="147"/>
      <c r="AG47" s="147"/>
      <c r="AH47" s="147"/>
      <c r="AI47" s="147"/>
      <c r="AJ47" s="147"/>
      <c r="AK47" s="147"/>
      <c r="AL47" s="147"/>
      <c r="AM47" s="147"/>
      <c r="AN47" s="147"/>
      <c r="AO47" s="147"/>
      <c r="AP47" s="147"/>
      <c r="AQ47" s="147"/>
      <c r="AR47" s="147"/>
      <c r="AS47" s="147"/>
      <c r="AT47" s="147"/>
      <c r="AU47" s="147"/>
      <c r="AV47" s="147"/>
      <c r="AW47" s="147"/>
      <c r="AX47" s="147"/>
      <c r="AY47" s="147"/>
      <c r="AZ47" s="147"/>
      <c r="BA47" s="147"/>
      <c r="BB47" s="147"/>
      <c r="BC47" s="147"/>
      <c r="BD47" s="147"/>
      <c r="BE47" s="147"/>
      <c r="BF47" s="147"/>
      <c r="BG47" s="147"/>
      <c r="BH47" s="147"/>
      <c r="BI47" s="147"/>
      <c r="BJ47" s="147"/>
      <c r="BK47" s="147"/>
      <c r="BL47" s="147"/>
      <c r="BM47" s="147"/>
      <c r="BN47" s="147"/>
      <c r="BO47" s="147"/>
      <c r="BP47" s="147"/>
      <c r="BQ47" s="147"/>
      <c r="BR47" s="147"/>
      <c r="BS47" s="147"/>
      <c r="BT47" s="147"/>
      <c r="BU47" s="147"/>
      <c r="BV47" s="147"/>
      <c r="BW47" s="147"/>
      <c r="BX47" s="147"/>
      <c r="BY47" s="147"/>
      <c r="BZ47" s="147"/>
      <c r="CA47" s="147"/>
      <c r="CB47" s="147"/>
      <c r="CC47" s="147"/>
      <c r="CD47" s="147"/>
      <c r="CE47" s="147"/>
      <c r="CF47" s="147"/>
      <c r="CG47" s="147"/>
      <c r="CH47" s="147"/>
      <c r="CI47" s="147"/>
      <c r="CJ47" s="147"/>
      <c r="CK47" s="147"/>
      <c r="CL47" s="147"/>
      <c r="CM47" s="147"/>
      <c r="CN47" s="147"/>
      <c r="CO47" s="147"/>
      <c r="CP47" s="147"/>
    </row>
    <row r="48" spans="1:94" s="214" customFormat="1" ht="8.25" customHeight="1" x14ac:dyDescent="0.25">
      <c r="A48" s="207"/>
      <c r="B48" s="208"/>
      <c r="C48" s="136"/>
      <c r="D48" s="136"/>
      <c r="E48" s="209"/>
      <c r="F48" s="210"/>
      <c r="G48" s="211"/>
      <c r="H48" s="211"/>
      <c r="I48" s="211"/>
      <c r="J48" s="211"/>
      <c r="K48" s="211"/>
      <c r="L48" s="137"/>
      <c r="M48" s="138"/>
      <c r="N48" s="212"/>
      <c r="O48"/>
      <c r="P48"/>
      <c r="Q48"/>
      <c r="R48"/>
      <c r="S48"/>
      <c r="T48"/>
      <c r="U48"/>
      <c r="V48"/>
      <c r="W48"/>
      <c r="X48"/>
      <c r="Y48"/>
      <c r="Z48" s="344"/>
      <c r="AA48" s="339"/>
      <c r="AB48" s="339"/>
      <c r="AC48" s="339"/>
      <c r="AD48" s="330"/>
      <c r="AE48" s="213"/>
      <c r="AF48" s="213"/>
      <c r="AG48" s="213"/>
      <c r="AH48" s="213"/>
      <c r="AI48" s="213"/>
      <c r="AJ48" s="213"/>
      <c r="AK48" s="213"/>
      <c r="AL48" s="213"/>
      <c r="AM48" s="213"/>
      <c r="AN48" s="213"/>
      <c r="AO48" s="213"/>
      <c r="AP48" s="213"/>
      <c r="AQ48" s="213"/>
      <c r="AR48" s="213"/>
      <c r="AS48" s="213"/>
      <c r="AT48" s="213"/>
      <c r="AU48" s="213"/>
      <c r="AV48" s="213"/>
      <c r="AW48" s="213"/>
      <c r="AX48" s="213"/>
      <c r="AY48" s="213"/>
      <c r="AZ48" s="213"/>
      <c r="BA48" s="213"/>
      <c r="BB48" s="213"/>
      <c r="BC48" s="213"/>
      <c r="BD48" s="213"/>
      <c r="BE48" s="213"/>
      <c r="BF48" s="213"/>
      <c r="BG48" s="213"/>
      <c r="BH48" s="213"/>
      <c r="BI48" s="213"/>
      <c r="BJ48" s="213"/>
      <c r="BK48" s="213"/>
      <c r="BL48" s="213"/>
      <c r="BM48" s="213"/>
      <c r="BN48" s="213"/>
      <c r="BO48" s="213"/>
      <c r="BP48" s="213"/>
      <c r="BQ48" s="213"/>
      <c r="BR48" s="213"/>
      <c r="BS48" s="213"/>
      <c r="BT48" s="213"/>
      <c r="BU48" s="213"/>
      <c r="BV48" s="213"/>
      <c r="BW48" s="213"/>
      <c r="BX48" s="213"/>
      <c r="BY48" s="213"/>
      <c r="BZ48" s="213"/>
      <c r="CA48" s="213"/>
      <c r="CB48" s="213"/>
      <c r="CC48" s="213"/>
      <c r="CD48" s="213"/>
      <c r="CE48" s="213"/>
      <c r="CF48" s="213"/>
      <c r="CG48" s="213"/>
      <c r="CH48" s="213"/>
      <c r="CI48" s="213"/>
      <c r="CJ48" s="213"/>
      <c r="CK48" s="213"/>
      <c r="CL48" s="213"/>
      <c r="CM48" s="213"/>
      <c r="CN48" s="213"/>
      <c r="CO48" s="213"/>
      <c r="CP48" s="213"/>
    </row>
    <row r="49" spans="1:94" s="53" customFormat="1" ht="6" customHeight="1" x14ac:dyDescent="0.25">
      <c r="A49" s="63"/>
      <c r="B49" s="64"/>
      <c r="C49" s="65"/>
      <c r="D49" s="66"/>
      <c r="E49" s="67"/>
      <c r="F49" s="68"/>
      <c r="G49" s="64"/>
      <c r="H49" s="64"/>
      <c r="I49" s="64"/>
      <c r="J49" s="64"/>
      <c r="K49" s="64"/>
      <c r="L49" s="69"/>
      <c r="M49" s="69"/>
      <c r="N49" s="70"/>
      <c r="O49"/>
      <c r="P49"/>
      <c r="Q49"/>
      <c r="R49"/>
      <c r="S49"/>
      <c r="T49"/>
      <c r="U49"/>
      <c r="V49"/>
      <c r="W49"/>
      <c r="X49"/>
      <c r="Y49"/>
      <c r="Z49" s="344"/>
      <c r="AA49" s="363"/>
      <c r="AB49" s="363"/>
      <c r="AC49" s="363"/>
      <c r="AD49" s="110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1"/>
      <c r="AV49" s="41"/>
      <c r="AW49" s="41"/>
      <c r="AX49" s="41"/>
      <c r="AY49" s="41"/>
      <c r="AZ49" s="41"/>
      <c r="BA49" s="41"/>
      <c r="BB49" s="41"/>
      <c r="BC49" s="41"/>
      <c r="BD49" s="41"/>
      <c r="BE49" s="41"/>
      <c r="BF49" s="41"/>
      <c r="BG49" s="41"/>
      <c r="BH49" s="41"/>
      <c r="BI49" s="41"/>
      <c r="BJ49" s="41"/>
      <c r="BK49" s="41"/>
      <c r="BL49" s="41"/>
      <c r="BM49" s="41"/>
      <c r="BN49" s="41"/>
      <c r="BO49" s="41"/>
      <c r="BP49" s="41"/>
      <c r="BQ49" s="41"/>
      <c r="BR49" s="41"/>
      <c r="BS49" s="41"/>
      <c r="BT49" s="41"/>
      <c r="BU49" s="41"/>
      <c r="BV49" s="41"/>
      <c r="BW49" s="41"/>
      <c r="BX49" s="41"/>
      <c r="BY49" s="41"/>
      <c r="BZ49" s="41"/>
      <c r="CA49" s="41"/>
      <c r="CB49" s="41"/>
      <c r="CC49" s="41"/>
      <c r="CD49" s="41"/>
      <c r="CE49" s="41"/>
      <c r="CF49" s="41"/>
      <c r="CG49" s="41"/>
      <c r="CH49" s="41"/>
      <c r="CI49" s="41"/>
      <c r="CJ49" s="41"/>
      <c r="CK49" s="41"/>
      <c r="CL49" s="41"/>
      <c r="CM49" s="41"/>
      <c r="CN49" s="41"/>
      <c r="CO49" s="41"/>
      <c r="CP49" s="41"/>
    </row>
    <row r="50" spans="1:94" s="53" customFormat="1" ht="24.75" customHeight="1" x14ac:dyDescent="0.25">
      <c r="A50" s="257" t="s">
        <v>42</v>
      </c>
      <c r="B50" s="71"/>
      <c r="C50" s="439"/>
      <c r="D50" s="440"/>
      <c r="E50" s="72" t="s">
        <v>43</v>
      </c>
      <c r="F50" s="73" t="s">
        <v>24</v>
      </c>
      <c r="G50" s="72" t="str">
        <f>"FY "&amp;M4-2001&amp;" Salary"</f>
        <v>FY 22 Salary</v>
      </c>
      <c r="H50" s="72" t="str">
        <f>"FY "&amp;M4-2001&amp;" Health Ben"</f>
        <v>FY 22 Health Ben</v>
      </c>
      <c r="I50" s="72" t="str">
        <f>"FY "&amp;M4-2001&amp;" Var Ben"</f>
        <v>FY 22 Var Ben</v>
      </c>
      <c r="J50" s="72" t="str">
        <f>"FY "&amp;M4-1&amp;" Total"</f>
        <v>FY 2022 Total</v>
      </c>
      <c r="K50" s="307" t="str">
        <f>"FY "&amp;FiscalYear&amp;" SALARY CHG"</f>
        <v>FY 2023 SALARY CHG</v>
      </c>
      <c r="L50" s="74" t="str">
        <f>"FY "&amp;M4-2000&amp;" Chg Health Bens"</f>
        <v>FY 23 Chg Health Bens</v>
      </c>
      <c r="M50" s="74" t="str">
        <f>"FY "&amp;M4-2000&amp;" Chg Var Bens"</f>
        <v>FY 23 Chg Var Bens</v>
      </c>
      <c r="N50" s="74" t="s">
        <v>44</v>
      </c>
      <c r="O50"/>
      <c r="P50"/>
      <c r="Q50"/>
      <c r="R50"/>
      <c r="S50"/>
      <c r="T50"/>
      <c r="U50"/>
      <c r="V50"/>
      <c r="W50"/>
      <c r="X50"/>
      <c r="Y50"/>
      <c r="Z50" s="344"/>
      <c r="AA50" s="363"/>
      <c r="AB50" s="363"/>
      <c r="AC50" s="363"/>
      <c r="AD50" s="110"/>
      <c r="AE50" s="41"/>
      <c r="AF50" s="41"/>
      <c r="AG50" s="41"/>
      <c r="AH50" s="41"/>
      <c r="AI50" s="41"/>
      <c r="AJ50" s="41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U50" s="41"/>
      <c r="AV50" s="41"/>
      <c r="AW50" s="41"/>
      <c r="AX50" s="41"/>
      <c r="AY50" s="41"/>
      <c r="AZ50" s="41"/>
      <c r="BA50" s="41"/>
      <c r="BB50" s="41"/>
      <c r="BC50" s="41"/>
      <c r="BD50" s="41"/>
      <c r="BE50" s="41"/>
      <c r="BF50" s="41"/>
      <c r="BG50" s="41"/>
      <c r="BH50" s="41"/>
      <c r="BI50" s="41"/>
      <c r="BJ50" s="41"/>
      <c r="BK50" s="41"/>
      <c r="BL50" s="41"/>
      <c r="BM50" s="41"/>
      <c r="BN50" s="41"/>
      <c r="BO50" s="41"/>
      <c r="BP50" s="41"/>
      <c r="BQ50" s="41"/>
      <c r="BR50" s="41"/>
      <c r="BS50" s="41"/>
      <c r="BT50" s="41"/>
      <c r="BU50" s="41"/>
      <c r="BV50" s="41"/>
      <c r="BW50" s="41"/>
      <c r="BX50" s="41"/>
      <c r="BY50" s="41"/>
      <c r="BZ50" s="41"/>
      <c r="CA50" s="41"/>
      <c r="CB50" s="41"/>
      <c r="CC50" s="41"/>
      <c r="CD50" s="41"/>
      <c r="CE50" s="41"/>
      <c r="CF50" s="41"/>
      <c r="CG50" s="41"/>
      <c r="CH50" s="41"/>
      <c r="CI50" s="41"/>
      <c r="CJ50" s="41"/>
      <c r="CK50" s="41"/>
      <c r="CL50" s="41"/>
      <c r="CM50" s="41"/>
      <c r="CN50" s="41"/>
      <c r="CO50" s="41"/>
      <c r="CP50" s="41"/>
    </row>
    <row r="51" spans="1:94" s="53" customFormat="1" ht="15.75" customHeight="1" x14ac:dyDescent="0.25">
      <c r="A51" s="75">
        <v>3</v>
      </c>
      <c r="B51" s="76" t="s">
        <v>45</v>
      </c>
      <c r="C51" s="54" t="str">
        <f>"FY "&amp;M4-1</f>
        <v>FY 2022</v>
      </c>
      <c r="D51" s="77" t="s">
        <v>31</v>
      </c>
      <c r="E51" s="78">
        <f>OrigApprop</f>
        <v>209900</v>
      </c>
      <c r="F51" s="272">
        <f>AppropFTP</f>
        <v>3</v>
      </c>
      <c r="G51" s="274">
        <f>IF(E51=0,0,(G41/$J$41)*$E$51)</f>
        <v>145788.81145199269</v>
      </c>
      <c r="H51" s="274">
        <f>IF(E51=0,0,(H41/$J$41)*$E$51)</f>
        <v>32989.650967350433</v>
      </c>
      <c r="I51" s="275">
        <f>IF(E51=0,0,(I41/$J$41)*$E$51)</f>
        <v>31121.537580656885</v>
      </c>
      <c r="J51" s="90">
        <f>SUM(G51:I51)</f>
        <v>209900</v>
      </c>
      <c r="K51" s="263"/>
      <c r="L51" s="61"/>
      <c r="M51" s="81"/>
      <c r="N51" s="81"/>
      <c r="O51"/>
      <c r="P51"/>
      <c r="Q51"/>
      <c r="R51"/>
      <c r="S51"/>
      <c r="T51"/>
      <c r="U51"/>
      <c r="V51"/>
      <c r="W51"/>
      <c r="X51"/>
      <c r="Y51"/>
      <c r="Z51" s="344"/>
      <c r="AA51" s="346"/>
      <c r="AB51" s="363"/>
      <c r="AC51" s="363"/>
      <c r="AD51" s="110"/>
      <c r="AE51" s="41"/>
      <c r="AF51" s="41"/>
      <c r="AG51" s="41"/>
      <c r="AH51" s="41"/>
      <c r="AI51" s="41"/>
      <c r="AJ51" s="41"/>
      <c r="AK51" s="41"/>
      <c r="AL51" s="41"/>
      <c r="AM51" s="41"/>
      <c r="AN51" s="41"/>
      <c r="AO51" s="41"/>
      <c r="AP51" s="41"/>
      <c r="AQ51" s="41"/>
      <c r="AR51" s="41"/>
      <c r="AS51" s="41"/>
      <c r="AT51" s="41"/>
      <c r="AU51" s="41"/>
      <c r="AV51" s="41"/>
      <c r="AW51" s="41"/>
      <c r="AX51" s="41"/>
      <c r="AY51" s="41"/>
      <c r="AZ51" s="41"/>
      <c r="BA51" s="41"/>
      <c r="BB51" s="41"/>
      <c r="BC51" s="41"/>
      <c r="BD51" s="41"/>
      <c r="BE51" s="41"/>
      <c r="BF51" s="41"/>
      <c r="BG51" s="41"/>
      <c r="BH51" s="41"/>
      <c r="BI51" s="41"/>
      <c r="BJ51" s="41"/>
      <c r="BK51" s="41"/>
      <c r="BL51" s="41"/>
      <c r="BM51" s="41"/>
      <c r="BN51" s="41"/>
      <c r="BO51" s="41"/>
      <c r="BP51" s="41"/>
      <c r="BQ51" s="41"/>
      <c r="BR51" s="41"/>
      <c r="BS51" s="41"/>
      <c r="BT51" s="41"/>
      <c r="BU51" s="41"/>
      <c r="BV51" s="41"/>
      <c r="BW51" s="41"/>
      <c r="BX51" s="41"/>
      <c r="BY51" s="41"/>
      <c r="BZ51" s="41"/>
      <c r="CA51" s="41"/>
      <c r="CB51" s="41"/>
      <c r="CC51" s="41"/>
      <c r="CD51" s="41"/>
      <c r="CE51" s="41"/>
      <c r="CF51" s="41"/>
      <c r="CG51" s="41"/>
      <c r="CH51" s="41"/>
      <c r="CI51" s="41"/>
      <c r="CJ51" s="41"/>
      <c r="CK51" s="41"/>
      <c r="CL51" s="41"/>
      <c r="CM51" s="41"/>
      <c r="CN51" s="41"/>
      <c r="CO51" s="41"/>
      <c r="CP51" s="41"/>
    </row>
    <row r="52" spans="1:94" s="53" customFormat="1" ht="15.75" customHeight="1" x14ac:dyDescent="0.25">
      <c r="A52" s="82"/>
      <c r="B52" s="83"/>
      <c r="C52" s="84"/>
      <c r="D52" s="132" t="s">
        <v>46</v>
      </c>
      <c r="E52" s="133"/>
      <c r="F52" s="55">
        <f>F51</f>
        <v>3</v>
      </c>
      <c r="G52" s="79">
        <f>ROUND(G51,-2)</f>
        <v>145800</v>
      </c>
      <c r="H52" s="79">
        <f>ROUND(H51,-2)</f>
        <v>33000</v>
      </c>
      <c r="I52" s="266">
        <f>ROUND(I51,-2)</f>
        <v>31100</v>
      </c>
      <c r="J52" s="80">
        <f>ROUND(J51,-2)</f>
        <v>209900</v>
      </c>
      <c r="K52" s="263"/>
      <c r="L52" s="61"/>
      <c r="M52" s="81"/>
      <c r="N52" s="81"/>
      <c r="O52"/>
      <c r="P52"/>
      <c r="Q52"/>
      <c r="R52"/>
      <c r="S52"/>
      <c r="T52"/>
      <c r="U52"/>
      <c r="V52"/>
      <c r="W52"/>
      <c r="X52"/>
      <c r="Y52"/>
      <c r="Z52" s="344"/>
      <c r="AA52" s="347"/>
      <c r="AB52" s="363"/>
      <c r="AC52" s="363"/>
      <c r="AD52" s="110"/>
      <c r="AE52" s="41"/>
      <c r="AF52" s="41"/>
      <c r="AG52" s="41"/>
      <c r="AH52" s="41"/>
      <c r="AI52" s="41"/>
      <c r="AJ52" s="41"/>
      <c r="AK52" s="41"/>
      <c r="AL52" s="41"/>
      <c r="AM52" s="41"/>
      <c r="AN52" s="41"/>
      <c r="AO52" s="41"/>
      <c r="AP52" s="41"/>
      <c r="AQ52" s="41"/>
      <c r="AR52" s="41"/>
      <c r="AS52" s="41"/>
      <c r="AT52" s="41"/>
      <c r="AU52" s="41"/>
      <c r="AV52" s="41"/>
      <c r="AW52" s="41"/>
      <c r="AX52" s="41"/>
      <c r="AY52" s="41"/>
      <c r="AZ52" s="41"/>
      <c r="BA52" s="41"/>
      <c r="BB52" s="41"/>
      <c r="BC52" s="41"/>
      <c r="BD52" s="41"/>
      <c r="BE52" s="41"/>
      <c r="BF52" s="41"/>
      <c r="BG52" s="41"/>
      <c r="BH52" s="41"/>
      <c r="BI52" s="41"/>
      <c r="BJ52" s="41"/>
      <c r="BK52" s="41"/>
      <c r="BL52" s="41"/>
      <c r="BM52" s="41"/>
      <c r="BN52" s="41"/>
      <c r="BO52" s="41"/>
      <c r="BP52" s="41"/>
      <c r="BQ52" s="41"/>
      <c r="BR52" s="41"/>
      <c r="BS52" s="41"/>
      <c r="BT52" s="41"/>
      <c r="BU52" s="41"/>
      <c r="BV52" s="41"/>
      <c r="BW52" s="41"/>
      <c r="BX52" s="41"/>
      <c r="BY52" s="41"/>
      <c r="BZ52" s="41"/>
      <c r="CA52" s="41"/>
      <c r="CB52" s="41"/>
      <c r="CC52" s="41"/>
      <c r="CD52" s="41"/>
      <c r="CE52" s="41"/>
      <c r="CF52" s="41"/>
      <c r="CG52" s="41"/>
      <c r="CH52" s="41"/>
      <c r="CI52" s="41"/>
      <c r="CJ52" s="41"/>
      <c r="CK52" s="41"/>
      <c r="CL52" s="41"/>
      <c r="CM52" s="41"/>
      <c r="CN52" s="41"/>
      <c r="CO52" s="41"/>
      <c r="CP52" s="41"/>
    </row>
    <row r="53" spans="1:94" s="53" customFormat="1" ht="15" x14ac:dyDescent="0.25">
      <c r="A53" s="85"/>
      <c r="B53" s="83"/>
      <c r="C53" s="441" t="s">
        <v>47</v>
      </c>
      <c r="D53" s="442"/>
      <c r="E53" s="271"/>
      <c r="F53" s="273"/>
      <c r="G53" s="62"/>
      <c r="H53" s="62"/>
      <c r="I53" s="62"/>
      <c r="J53" s="62"/>
      <c r="K53" s="62"/>
      <c r="L53" s="61"/>
      <c r="M53" s="86"/>
      <c r="N53" s="86"/>
      <c r="O53"/>
      <c r="P53"/>
      <c r="Q53"/>
      <c r="R53"/>
      <c r="S53"/>
      <c r="T53"/>
      <c r="U53"/>
      <c r="V53"/>
      <c r="W53"/>
      <c r="X53"/>
      <c r="Y53"/>
      <c r="Z53" s="344"/>
      <c r="AA53" s="363"/>
      <c r="AB53" s="363"/>
      <c r="AC53" s="363"/>
      <c r="AD53" s="110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U53" s="41"/>
      <c r="AV53" s="41"/>
      <c r="AW53" s="41"/>
      <c r="AX53" s="41"/>
      <c r="AY53" s="41"/>
      <c r="AZ53" s="41"/>
      <c r="BA53" s="41"/>
      <c r="BB53" s="41"/>
      <c r="BC53" s="41"/>
      <c r="BD53" s="41"/>
      <c r="BE53" s="41"/>
      <c r="BF53" s="41"/>
      <c r="BG53" s="41"/>
      <c r="BH53" s="41"/>
      <c r="BI53" s="41"/>
      <c r="BJ53" s="41"/>
      <c r="BK53" s="41"/>
      <c r="BL53" s="41"/>
      <c r="BM53" s="41"/>
      <c r="BN53" s="41"/>
      <c r="BO53" s="41"/>
      <c r="BP53" s="41"/>
      <c r="BQ53" s="41"/>
      <c r="BR53" s="41"/>
      <c r="BS53" s="41"/>
      <c r="BT53" s="41"/>
      <c r="BU53" s="41"/>
      <c r="BV53" s="41"/>
      <c r="BW53" s="41"/>
      <c r="BX53" s="41"/>
      <c r="BY53" s="41"/>
      <c r="BZ53" s="41"/>
      <c r="CA53" s="41"/>
      <c r="CB53" s="41"/>
      <c r="CC53" s="41"/>
      <c r="CD53" s="41"/>
      <c r="CE53" s="41"/>
      <c r="CF53" s="41"/>
      <c r="CG53" s="41"/>
      <c r="CH53" s="41"/>
      <c r="CI53" s="41"/>
      <c r="CJ53" s="41"/>
      <c r="CK53" s="41"/>
      <c r="CL53" s="41"/>
      <c r="CM53" s="41"/>
      <c r="CN53" s="41"/>
      <c r="CO53" s="41"/>
      <c r="CP53" s="41"/>
    </row>
    <row r="54" spans="1:94" s="53" customFormat="1" ht="15.75" customHeight="1" x14ac:dyDescent="0.25">
      <c r="A54" s="85">
        <v>4.1100000000000003</v>
      </c>
      <c r="B54" s="83"/>
      <c r="C54" s="408" t="s">
        <v>48</v>
      </c>
      <c r="D54" s="409"/>
      <c r="E54" s="59"/>
      <c r="F54" s="58">
        <v>0</v>
      </c>
      <c r="G54" s="88">
        <v>0</v>
      </c>
      <c r="H54" s="88">
        <v>0</v>
      </c>
      <c r="I54" s="265">
        <v>0</v>
      </c>
      <c r="J54" s="89">
        <f>SUM(G54:I54)</f>
        <v>0</v>
      </c>
      <c r="K54" s="62"/>
      <c r="L54" s="61"/>
      <c r="M54" s="86"/>
      <c r="N54" s="86"/>
      <c r="O54"/>
      <c r="P54"/>
      <c r="Q54"/>
      <c r="R54"/>
      <c r="S54"/>
      <c r="T54"/>
      <c r="U54"/>
      <c r="V54"/>
      <c r="W54"/>
      <c r="X54"/>
      <c r="Y54"/>
      <c r="Z54" s="344"/>
      <c r="AA54" s="363"/>
      <c r="AB54" s="363"/>
      <c r="AC54" s="363"/>
      <c r="AD54" s="110"/>
      <c r="AE54" s="41"/>
      <c r="AF54" s="41"/>
      <c r="AG54" s="41"/>
      <c r="AH54" s="41"/>
      <c r="AI54" s="41"/>
      <c r="AJ54" s="41"/>
      <c r="AK54" s="41"/>
      <c r="AL54" s="41"/>
      <c r="AM54" s="41"/>
      <c r="AN54" s="41"/>
      <c r="AO54" s="41"/>
      <c r="AP54" s="41"/>
      <c r="AQ54" s="41"/>
      <c r="AR54" s="41"/>
      <c r="AS54" s="41"/>
      <c r="AT54" s="41"/>
      <c r="AU54" s="41"/>
      <c r="AV54" s="41"/>
      <c r="AW54" s="41"/>
      <c r="AX54" s="41"/>
      <c r="AY54" s="41"/>
      <c r="AZ54" s="41"/>
      <c r="BA54" s="41"/>
      <c r="BB54" s="41"/>
      <c r="BC54" s="41"/>
      <c r="BD54" s="41"/>
      <c r="BE54" s="41"/>
      <c r="BF54" s="41"/>
      <c r="BG54" s="41"/>
      <c r="BH54" s="41"/>
      <c r="BI54" s="41"/>
      <c r="BJ54" s="41"/>
      <c r="BK54" s="41"/>
      <c r="BL54" s="41"/>
      <c r="BM54" s="41"/>
      <c r="BN54" s="41"/>
      <c r="BO54" s="41"/>
      <c r="BP54" s="41"/>
      <c r="BQ54" s="41"/>
      <c r="BR54" s="41"/>
      <c r="BS54" s="41"/>
      <c r="BT54" s="41"/>
      <c r="BU54" s="41"/>
      <c r="BV54" s="41"/>
      <c r="BW54" s="41"/>
      <c r="BX54" s="41"/>
      <c r="BY54" s="41"/>
      <c r="BZ54" s="41"/>
      <c r="CA54" s="41"/>
      <c r="CB54" s="41"/>
      <c r="CC54" s="41"/>
      <c r="CD54" s="41"/>
      <c r="CE54" s="41"/>
      <c r="CF54" s="41"/>
      <c r="CG54" s="41"/>
      <c r="CH54" s="41"/>
      <c r="CI54" s="41"/>
      <c r="CJ54" s="41"/>
      <c r="CK54" s="41"/>
      <c r="CL54" s="41"/>
      <c r="CM54" s="41"/>
      <c r="CN54" s="41"/>
      <c r="CO54" s="41"/>
      <c r="CP54" s="41"/>
    </row>
    <row r="55" spans="1:94" s="53" customFormat="1" ht="15.75" customHeight="1" x14ac:dyDescent="0.25">
      <c r="A55" s="85">
        <v>4.3099999999999996</v>
      </c>
      <c r="B55" s="83"/>
      <c r="C55" s="421" t="s">
        <v>49</v>
      </c>
      <c r="D55" s="422"/>
      <c r="E55" s="59"/>
      <c r="F55" s="277">
        <v>0</v>
      </c>
      <c r="G55" s="92">
        <v>0</v>
      </c>
      <c r="H55" s="92">
        <v>0</v>
      </c>
      <c r="I55" s="264">
        <v>0</v>
      </c>
      <c r="J55" s="287">
        <f>SUM(G55:I55)</f>
        <v>0</v>
      </c>
      <c r="K55" s="62"/>
      <c r="L55" s="88"/>
      <c r="M55" s="261"/>
      <c r="N55" s="89">
        <f>SUM(L55:M55)</f>
        <v>0</v>
      </c>
      <c r="O55"/>
      <c r="P55"/>
      <c r="Q55"/>
      <c r="R55"/>
      <c r="S55"/>
      <c r="T55"/>
      <c r="U55"/>
      <c r="V55"/>
      <c r="W55"/>
      <c r="X55"/>
      <c r="Y55"/>
      <c r="Z55" s="344"/>
      <c r="AA55" s="363"/>
      <c r="AB55" s="363"/>
      <c r="AC55" s="363"/>
      <c r="AD55" s="110"/>
      <c r="AE55" s="41"/>
      <c r="AF55" s="41"/>
      <c r="AG55" s="41"/>
      <c r="AH55" s="41"/>
      <c r="AI55" s="41"/>
      <c r="AJ55" s="41"/>
      <c r="AK55" s="41"/>
      <c r="AL55" s="41"/>
      <c r="AM55" s="41"/>
      <c r="AN55" s="41"/>
      <c r="AO55" s="41"/>
      <c r="AP55" s="41"/>
      <c r="AQ55" s="41"/>
      <c r="AR55" s="41"/>
      <c r="AS55" s="41"/>
      <c r="AT55" s="41"/>
      <c r="AU55" s="41"/>
      <c r="AV55" s="41"/>
      <c r="AW55" s="41"/>
      <c r="AX55" s="41"/>
      <c r="AY55" s="41"/>
      <c r="AZ55" s="41"/>
      <c r="BA55" s="41"/>
      <c r="BB55" s="41"/>
      <c r="BC55" s="41"/>
      <c r="BD55" s="41"/>
      <c r="BE55" s="41"/>
      <c r="BF55" s="41"/>
      <c r="BG55" s="41"/>
      <c r="BH55" s="41"/>
      <c r="BI55" s="41"/>
      <c r="BJ55" s="41"/>
      <c r="BK55" s="41"/>
      <c r="BL55" s="41"/>
      <c r="BM55" s="41"/>
      <c r="BN55" s="41"/>
      <c r="BO55" s="41"/>
      <c r="BP55" s="41"/>
      <c r="BQ55" s="41"/>
      <c r="BR55" s="41"/>
      <c r="BS55" s="41"/>
      <c r="BT55" s="41"/>
      <c r="BU55" s="41"/>
      <c r="BV55" s="41"/>
      <c r="BW55" s="41"/>
      <c r="BX55" s="41"/>
      <c r="BY55" s="41"/>
      <c r="BZ55" s="41"/>
      <c r="CA55" s="41"/>
      <c r="CB55" s="41"/>
      <c r="CC55" s="41"/>
      <c r="CD55" s="41"/>
      <c r="CE55" s="41"/>
      <c r="CF55" s="41"/>
      <c r="CG55" s="41"/>
      <c r="CH55" s="41"/>
      <c r="CI55" s="41"/>
      <c r="CJ55" s="41"/>
      <c r="CK55" s="41"/>
      <c r="CL55" s="41"/>
      <c r="CM55" s="41"/>
      <c r="CN55" s="41"/>
      <c r="CO55" s="41"/>
      <c r="CP55" s="41"/>
    </row>
    <row r="56" spans="1:94" s="53" customFormat="1" ht="15.75" customHeight="1" x14ac:dyDescent="0.25">
      <c r="A56" s="75">
        <v>5</v>
      </c>
      <c r="B56" s="76"/>
      <c r="C56" s="54" t="str">
        <f>"FY "&amp;M4-1</f>
        <v>FY 2022</v>
      </c>
      <c r="D56" s="131" t="s">
        <v>50</v>
      </c>
      <c r="E56" s="135"/>
      <c r="F56" s="55">
        <f>SUM(F52:F55)</f>
        <v>3</v>
      </c>
      <c r="G56" s="80">
        <f>SUM(G52:G55)</f>
        <v>145800</v>
      </c>
      <c r="H56" s="80">
        <f>SUM(H52:H55)</f>
        <v>33000</v>
      </c>
      <c r="I56" s="260">
        <f>SUM(I52:I55)</f>
        <v>31100</v>
      </c>
      <c r="J56" s="80">
        <f>SUM(J52:J55)</f>
        <v>209900</v>
      </c>
      <c r="K56" s="263"/>
      <c r="L56" s="61"/>
      <c r="M56" s="61"/>
      <c r="N56" s="61"/>
      <c r="O56"/>
      <c r="P56"/>
      <c r="Q56"/>
      <c r="R56"/>
      <c r="S56"/>
      <c r="T56"/>
      <c r="U56"/>
      <c r="V56"/>
      <c r="W56"/>
      <c r="X56"/>
      <c r="Y56"/>
      <c r="Z56" s="344"/>
      <c r="AA56" s="363"/>
      <c r="AB56" s="363"/>
      <c r="AC56" s="363"/>
      <c r="AD56" s="110"/>
      <c r="AE56" s="41"/>
      <c r="AF56" s="41"/>
      <c r="AG56" s="41"/>
      <c r="AH56" s="41"/>
      <c r="AI56" s="41"/>
      <c r="AJ56" s="41"/>
      <c r="AK56" s="41"/>
      <c r="AL56" s="41"/>
      <c r="AM56" s="41"/>
      <c r="AN56" s="41"/>
      <c r="AO56" s="41"/>
      <c r="AP56" s="41"/>
      <c r="AQ56" s="41"/>
      <c r="AR56" s="41"/>
      <c r="AS56" s="41"/>
      <c r="AT56" s="41"/>
      <c r="AU56" s="41"/>
      <c r="AV56" s="41"/>
      <c r="AW56" s="41"/>
      <c r="AX56" s="41"/>
      <c r="AY56" s="41"/>
      <c r="AZ56" s="41"/>
      <c r="BA56" s="41"/>
      <c r="BB56" s="41"/>
      <c r="BC56" s="41"/>
      <c r="BD56" s="41"/>
      <c r="BE56" s="41"/>
      <c r="BF56" s="41"/>
      <c r="BG56" s="41"/>
      <c r="BH56" s="41"/>
      <c r="BI56" s="41"/>
      <c r="BJ56" s="41"/>
      <c r="BK56" s="41"/>
      <c r="BL56" s="41"/>
      <c r="BM56" s="41"/>
      <c r="BN56" s="41"/>
      <c r="BO56" s="41"/>
      <c r="BP56" s="41"/>
      <c r="BQ56" s="41"/>
      <c r="BR56" s="41"/>
      <c r="BS56" s="41"/>
      <c r="BT56" s="41"/>
      <c r="BU56" s="41"/>
      <c r="BV56" s="41"/>
      <c r="BW56" s="41"/>
      <c r="BX56" s="41"/>
      <c r="BY56" s="41"/>
      <c r="BZ56" s="41"/>
      <c r="CA56" s="41"/>
      <c r="CB56" s="41"/>
      <c r="CC56" s="41"/>
      <c r="CD56" s="41"/>
      <c r="CE56" s="41"/>
      <c r="CF56" s="41"/>
      <c r="CG56" s="41"/>
      <c r="CH56" s="41"/>
      <c r="CI56" s="41"/>
      <c r="CJ56" s="41"/>
      <c r="CK56" s="41"/>
      <c r="CL56" s="41"/>
      <c r="CM56" s="41"/>
      <c r="CN56" s="41"/>
      <c r="CO56" s="41"/>
      <c r="CP56" s="41"/>
    </row>
    <row r="57" spans="1:94" s="53" customFormat="1" ht="15.75" customHeight="1" x14ac:dyDescent="0.25">
      <c r="A57" s="85"/>
      <c r="B57" s="83"/>
      <c r="C57" s="419" t="s">
        <v>51</v>
      </c>
      <c r="D57" s="423"/>
      <c r="E57" s="367"/>
      <c r="F57" s="273"/>
      <c r="G57" s="62"/>
      <c r="H57" s="62"/>
      <c r="I57" s="62"/>
      <c r="J57" s="62"/>
      <c r="K57" s="62"/>
      <c r="L57" s="61"/>
      <c r="M57" s="61"/>
      <c r="N57" s="61"/>
      <c r="O57"/>
      <c r="P57"/>
      <c r="Q57"/>
      <c r="R57"/>
      <c r="S57"/>
      <c r="T57"/>
      <c r="U57"/>
      <c r="V57"/>
      <c r="W57"/>
      <c r="X57"/>
      <c r="Y57"/>
      <c r="Z57" s="344"/>
      <c r="AA57" s="363"/>
      <c r="AB57" s="363"/>
      <c r="AC57" s="363"/>
      <c r="AD57" s="110"/>
      <c r="AE57" s="41"/>
      <c r="AF57" s="41"/>
      <c r="AG57" s="41"/>
      <c r="AH57" s="41"/>
      <c r="AI57" s="41"/>
      <c r="AJ57" s="41"/>
      <c r="AK57" s="41"/>
      <c r="AL57" s="41"/>
      <c r="AM57" s="41"/>
      <c r="AN57" s="41"/>
      <c r="AO57" s="41"/>
      <c r="AP57" s="41"/>
      <c r="AQ57" s="41"/>
      <c r="AR57" s="41"/>
      <c r="AS57" s="41"/>
      <c r="AT57" s="41"/>
      <c r="AU57" s="41"/>
      <c r="AV57" s="41"/>
      <c r="AW57" s="41"/>
      <c r="AX57" s="41"/>
      <c r="AY57" s="41"/>
      <c r="AZ57" s="41"/>
      <c r="BA57" s="41"/>
      <c r="BB57" s="41"/>
      <c r="BC57" s="41"/>
      <c r="BD57" s="41"/>
      <c r="BE57" s="41"/>
      <c r="BF57" s="41"/>
      <c r="BG57" s="41"/>
      <c r="BH57" s="41"/>
      <c r="BI57" s="41"/>
      <c r="BJ57" s="41"/>
      <c r="BK57" s="41"/>
      <c r="BL57" s="41"/>
      <c r="BM57" s="41"/>
      <c r="BN57" s="41"/>
      <c r="BO57" s="41"/>
      <c r="BP57" s="41"/>
      <c r="BQ57" s="41"/>
      <c r="BR57" s="41"/>
      <c r="BS57" s="41"/>
      <c r="BT57" s="41"/>
      <c r="BU57" s="41"/>
      <c r="BV57" s="41"/>
      <c r="BW57" s="41"/>
      <c r="BX57" s="41"/>
      <c r="BY57" s="41"/>
      <c r="BZ57" s="41"/>
      <c r="CA57" s="41"/>
      <c r="CB57" s="41"/>
      <c r="CC57" s="41"/>
      <c r="CD57" s="41"/>
      <c r="CE57" s="41"/>
      <c r="CF57" s="41"/>
      <c r="CG57" s="41"/>
      <c r="CH57" s="41"/>
      <c r="CI57" s="41"/>
      <c r="CJ57" s="41"/>
      <c r="CK57" s="41"/>
      <c r="CL57" s="41"/>
      <c r="CM57" s="41"/>
      <c r="CN57" s="41"/>
      <c r="CO57" s="41"/>
      <c r="CP57" s="41"/>
    </row>
    <row r="58" spans="1:94" s="53" customFormat="1" ht="15.75" customHeight="1" x14ac:dyDescent="0.25">
      <c r="A58" s="85">
        <v>6.31</v>
      </c>
      <c r="B58" s="83"/>
      <c r="C58" s="408" t="s">
        <v>52</v>
      </c>
      <c r="D58" s="409"/>
      <c r="E58" s="102"/>
      <c r="F58" s="58">
        <v>0</v>
      </c>
      <c r="G58" s="88">
        <v>0</v>
      </c>
      <c r="H58" s="88">
        <v>0</v>
      </c>
      <c r="I58" s="265">
        <v>0</v>
      </c>
      <c r="J58" s="89">
        <f>SUM(G58:I58)</f>
        <v>0</v>
      </c>
      <c r="K58" s="62"/>
      <c r="L58" s="88"/>
      <c r="M58" s="262"/>
      <c r="N58" s="89">
        <f>SUM(L58:M58)</f>
        <v>0</v>
      </c>
      <c r="O58"/>
      <c r="P58"/>
      <c r="Q58"/>
      <c r="R58"/>
      <c r="S58"/>
      <c r="T58"/>
      <c r="U58"/>
      <c r="V58"/>
      <c r="W58"/>
      <c r="X58"/>
      <c r="Y58"/>
      <c r="Z58" s="344"/>
      <c r="AA58" s="363"/>
      <c r="AB58" s="363"/>
      <c r="AC58" s="363"/>
      <c r="AD58" s="110"/>
      <c r="AE58" s="41"/>
      <c r="AF58" s="41"/>
      <c r="AG58" s="41"/>
      <c r="AH58" s="41"/>
      <c r="AI58" s="41"/>
      <c r="AJ58" s="41"/>
      <c r="AK58" s="41"/>
      <c r="AL58" s="41"/>
      <c r="AM58" s="41"/>
      <c r="AN58" s="41"/>
      <c r="AO58" s="41"/>
      <c r="AP58" s="41"/>
      <c r="AQ58" s="41"/>
      <c r="AR58" s="41"/>
      <c r="AS58" s="41"/>
      <c r="AT58" s="41"/>
      <c r="AU58" s="41"/>
      <c r="AV58" s="41"/>
      <c r="AW58" s="41"/>
      <c r="AX58" s="41"/>
      <c r="AY58" s="41"/>
      <c r="AZ58" s="41"/>
      <c r="BA58" s="41"/>
      <c r="BB58" s="41"/>
      <c r="BC58" s="41"/>
      <c r="BD58" s="41"/>
      <c r="BE58" s="41"/>
      <c r="BF58" s="41"/>
      <c r="BG58" s="41"/>
      <c r="BH58" s="41"/>
      <c r="BI58" s="41"/>
      <c r="BJ58" s="41"/>
      <c r="BK58" s="41"/>
      <c r="BL58" s="41"/>
      <c r="BM58" s="41"/>
      <c r="BN58" s="41"/>
      <c r="BO58" s="41"/>
      <c r="BP58" s="41"/>
      <c r="BQ58" s="41"/>
      <c r="BR58" s="41"/>
      <c r="BS58" s="41"/>
      <c r="BT58" s="41"/>
      <c r="BU58" s="41"/>
      <c r="BV58" s="41"/>
      <c r="BW58" s="41"/>
      <c r="BX58" s="41"/>
      <c r="BY58" s="41"/>
      <c r="BZ58" s="41"/>
      <c r="CA58" s="41"/>
      <c r="CB58" s="41"/>
      <c r="CC58" s="41"/>
      <c r="CD58" s="41"/>
      <c r="CE58" s="41"/>
      <c r="CF58" s="41"/>
      <c r="CG58" s="41"/>
      <c r="CH58" s="41"/>
      <c r="CI58" s="41"/>
      <c r="CJ58" s="41"/>
      <c r="CK58" s="41"/>
      <c r="CL58" s="41"/>
      <c r="CM58" s="41"/>
      <c r="CN58" s="41"/>
      <c r="CO58" s="41"/>
      <c r="CP58" s="41"/>
    </row>
    <row r="59" spans="1:94" s="53" customFormat="1" ht="15.75" customHeight="1" x14ac:dyDescent="0.25">
      <c r="A59" s="85">
        <v>6.51</v>
      </c>
      <c r="B59" s="83"/>
      <c r="C59" s="421" t="s">
        <v>66</v>
      </c>
      <c r="D59" s="422"/>
      <c r="E59" s="102"/>
      <c r="F59" s="58">
        <v>0</v>
      </c>
      <c r="G59" s="88">
        <v>0</v>
      </c>
      <c r="H59" s="92">
        <v>0</v>
      </c>
      <c r="I59" s="264">
        <v>0</v>
      </c>
      <c r="J59" s="267">
        <f>SUM(G59:I59)</f>
        <v>0</v>
      </c>
      <c r="K59" s="62"/>
      <c r="L59" s="88"/>
      <c r="M59" s="261"/>
      <c r="N59" s="89">
        <f>SUM(L59:M59)</f>
        <v>0</v>
      </c>
      <c r="O59"/>
      <c r="P59"/>
      <c r="Q59"/>
      <c r="R59"/>
      <c r="S59"/>
      <c r="T59"/>
      <c r="U59"/>
      <c r="V59"/>
      <c r="W59"/>
      <c r="X59"/>
      <c r="Y59"/>
      <c r="Z59" s="344"/>
      <c r="AA59" s="363"/>
      <c r="AB59" s="363"/>
      <c r="AC59" s="363"/>
      <c r="AD59" s="110"/>
      <c r="AE59" s="41"/>
      <c r="AF59" s="41"/>
      <c r="AG59" s="41"/>
      <c r="AH59" s="41"/>
      <c r="AI59" s="41"/>
      <c r="AJ59" s="41"/>
      <c r="AK59" s="41"/>
      <c r="AL59" s="41"/>
      <c r="AM59" s="41"/>
      <c r="AN59" s="41"/>
      <c r="AO59" s="41"/>
      <c r="AP59" s="41"/>
      <c r="AQ59" s="41"/>
      <c r="AR59" s="41"/>
      <c r="AS59" s="41"/>
      <c r="AT59" s="41"/>
      <c r="AU59" s="41"/>
      <c r="AV59" s="41"/>
      <c r="AW59" s="41"/>
      <c r="AX59" s="41"/>
      <c r="AY59" s="41"/>
      <c r="AZ59" s="41"/>
      <c r="BA59" s="41"/>
      <c r="BB59" s="41"/>
      <c r="BC59" s="41"/>
      <c r="BD59" s="41"/>
      <c r="BE59" s="41"/>
      <c r="BF59" s="41"/>
      <c r="BG59" s="41"/>
      <c r="BH59" s="41"/>
      <c r="BI59" s="41"/>
      <c r="BJ59" s="41"/>
      <c r="BK59" s="41"/>
      <c r="BL59" s="41"/>
      <c r="BM59" s="41"/>
      <c r="BN59" s="41"/>
      <c r="BO59" s="41"/>
      <c r="BP59" s="41"/>
      <c r="BQ59" s="41"/>
      <c r="BR59" s="41"/>
      <c r="BS59" s="41"/>
      <c r="BT59" s="41"/>
      <c r="BU59" s="41"/>
      <c r="BV59" s="41"/>
      <c r="BW59" s="41"/>
      <c r="BX59" s="41"/>
      <c r="BY59" s="41"/>
      <c r="BZ59" s="41"/>
      <c r="CA59" s="41"/>
      <c r="CB59" s="41"/>
      <c r="CC59" s="41"/>
      <c r="CD59" s="41"/>
      <c r="CE59" s="41"/>
      <c r="CF59" s="41"/>
      <c r="CG59" s="41"/>
      <c r="CH59" s="41"/>
      <c r="CI59" s="41"/>
      <c r="CJ59" s="41"/>
      <c r="CK59" s="41"/>
      <c r="CL59" s="41"/>
      <c r="CM59" s="41"/>
      <c r="CN59" s="41"/>
      <c r="CO59" s="41"/>
      <c r="CP59" s="41"/>
    </row>
    <row r="60" spans="1:94" s="53" customFormat="1" ht="15.75" customHeight="1" x14ac:dyDescent="0.25">
      <c r="A60" s="75">
        <v>7</v>
      </c>
      <c r="B60" s="76"/>
      <c r="C60" s="54" t="str">
        <f>"FY "&amp;M4-1</f>
        <v>FY 2022</v>
      </c>
      <c r="D60" s="131" t="s">
        <v>53</v>
      </c>
      <c r="E60" s="135"/>
      <c r="F60" s="55">
        <f>SUM(F56:F59)</f>
        <v>3</v>
      </c>
      <c r="G60" s="80">
        <f>SUM(G56:G59)</f>
        <v>145800</v>
      </c>
      <c r="H60" s="80">
        <f>SUM(H56:H59)</f>
        <v>33000</v>
      </c>
      <c r="I60" s="260">
        <f>SUM(I56:I59)</f>
        <v>31100</v>
      </c>
      <c r="J60" s="80">
        <f>SUM(J56:J59)</f>
        <v>209900</v>
      </c>
      <c r="K60" s="263"/>
      <c r="L60" s="61"/>
      <c r="M60" s="61"/>
      <c r="N60" s="60"/>
      <c r="O60"/>
      <c r="P60"/>
      <c r="Q60"/>
      <c r="R60"/>
      <c r="S60"/>
      <c r="T60"/>
      <c r="U60"/>
      <c r="V60"/>
      <c r="W60"/>
      <c r="X60"/>
      <c r="Y60"/>
      <c r="Z60" s="344"/>
      <c r="AA60" s="363"/>
      <c r="AB60" s="363"/>
      <c r="AC60" s="363"/>
      <c r="AD60" s="110"/>
      <c r="AE60" s="41"/>
      <c r="AF60" s="41"/>
      <c r="AG60" s="41"/>
      <c r="AH60" s="41"/>
      <c r="AI60" s="41"/>
      <c r="AJ60" s="41"/>
      <c r="AK60" s="41"/>
      <c r="AL60" s="41"/>
      <c r="AM60" s="41"/>
      <c r="AN60" s="41"/>
      <c r="AO60" s="41"/>
      <c r="AP60" s="41"/>
      <c r="AQ60" s="41"/>
      <c r="AR60" s="41"/>
      <c r="AS60" s="41"/>
      <c r="AT60" s="41"/>
      <c r="AU60" s="41"/>
      <c r="AV60" s="41"/>
      <c r="AW60" s="41"/>
      <c r="AX60" s="41"/>
      <c r="AY60" s="41"/>
      <c r="AZ60" s="41"/>
      <c r="BA60" s="41"/>
      <c r="BB60" s="41"/>
      <c r="BC60" s="41"/>
      <c r="BD60" s="41"/>
      <c r="BE60" s="41"/>
      <c r="BF60" s="41"/>
      <c r="BG60" s="41"/>
      <c r="BH60" s="41"/>
      <c r="BI60" s="41"/>
      <c r="BJ60" s="41"/>
      <c r="BK60" s="41"/>
      <c r="BL60" s="41"/>
      <c r="BM60" s="41"/>
      <c r="BN60" s="41"/>
      <c r="BO60" s="41"/>
      <c r="BP60" s="41"/>
      <c r="BQ60" s="41"/>
      <c r="BR60" s="41"/>
      <c r="BS60" s="41"/>
      <c r="BT60" s="41"/>
      <c r="BU60" s="41"/>
      <c r="BV60" s="41"/>
      <c r="BW60" s="41"/>
      <c r="BX60" s="41"/>
      <c r="BY60" s="41"/>
      <c r="BZ60" s="41"/>
      <c r="CA60" s="41"/>
      <c r="CB60" s="41"/>
      <c r="CC60" s="41"/>
      <c r="CD60" s="41"/>
      <c r="CE60" s="41"/>
      <c r="CF60" s="41"/>
      <c r="CG60" s="41"/>
      <c r="CH60" s="41"/>
      <c r="CI60" s="41"/>
      <c r="CJ60" s="41"/>
      <c r="CK60" s="41"/>
      <c r="CL60" s="41"/>
      <c r="CM60" s="41"/>
      <c r="CN60" s="41"/>
      <c r="CO60" s="41"/>
      <c r="CP60" s="41"/>
    </row>
    <row r="61" spans="1:94" s="53" customFormat="1" ht="15.75" customHeight="1" x14ac:dyDescent="0.25">
      <c r="A61" s="85"/>
      <c r="B61" s="83"/>
      <c r="C61" s="419" t="s">
        <v>54</v>
      </c>
      <c r="D61" s="423"/>
      <c r="E61" s="367"/>
      <c r="F61" s="273"/>
      <c r="G61" s="62"/>
      <c r="H61" s="62"/>
      <c r="I61" s="62"/>
      <c r="J61" s="62"/>
      <c r="K61" s="62"/>
      <c r="L61" s="61"/>
      <c r="M61" s="61"/>
      <c r="N61" s="60"/>
      <c r="O61"/>
      <c r="P61"/>
      <c r="Q61"/>
      <c r="R61"/>
      <c r="S61"/>
      <c r="T61"/>
      <c r="U61"/>
      <c r="V61"/>
      <c r="W61"/>
      <c r="X61"/>
      <c r="Y61"/>
      <c r="Z61" s="344"/>
      <c r="AA61" s="363"/>
      <c r="AB61" s="363"/>
      <c r="AC61" s="363"/>
      <c r="AD61" s="110"/>
      <c r="AE61" s="41"/>
      <c r="AF61" s="41"/>
      <c r="AG61" s="41"/>
      <c r="AH61" s="41"/>
      <c r="AI61" s="41"/>
      <c r="AJ61" s="41"/>
      <c r="AK61" s="41"/>
      <c r="AL61" s="41"/>
      <c r="AM61" s="41"/>
      <c r="AN61" s="41"/>
      <c r="AO61" s="41"/>
      <c r="AP61" s="41"/>
      <c r="AQ61" s="41"/>
      <c r="AR61" s="41"/>
      <c r="AS61" s="41"/>
      <c r="AT61" s="41"/>
      <c r="AU61" s="41"/>
      <c r="AV61" s="41"/>
      <c r="AW61" s="41"/>
      <c r="AX61" s="41"/>
      <c r="AY61" s="41"/>
      <c r="AZ61" s="41"/>
      <c r="BA61" s="41"/>
      <c r="BB61" s="41"/>
      <c r="BC61" s="41"/>
      <c r="BD61" s="41"/>
      <c r="BE61" s="41"/>
      <c r="BF61" s="41"/>
      <c r="BG61" s="41"/>
      <c r="BH61" s="41"/>
      <c r="BI61" s="41"/>
      <c r="BJ61" s="41"/>
      <c r="BK61" s="41"/>
      <c r="BL61" s="41"/>
      <c r="BM61" s="41"/>
      <c r="BN61" s="41"/>
      <c r="BO61" s="41"/>
      <c r="BP61" s="41"/>
      <c r="BQ61" s="41"/>
      <c r="BR61" s="41"/>
      <c r="BS61" s="41"/>
      <c r="BT61" s="41"/>
      <c r="BU61" s="41"/>
      <c r="BV61" s="41"/>
      <c r="BW61" s="41"/>
      <c r="BX61" s="41"/>
      <c r="BY61" s="41"/>
      <c r="BZ61" s="41"/>
      <c r="CA61" s="41"/>
      <c r="CB61" s="41"/>
      <c r="CC61" s="41"/>
      <c r="CD61" s="41"/>
      <c r="CE61" s="41"/>
      <c r="CF61" s="41"/>
      <c r="CG61" s="41"/>
      <c r="CH61" s="41"/>
      <c r="CI61" s="41"/>
      <c r="CJ61" s="41"/>
      <c r="CK61" s="41"/>
      <c r="CL61" s="41"/>
      <c r="CM61" s="41"/>
      <c r="CN61" s="41"/>
      <c r="CO61" s="41"/>
      <c r="CP61" s="41"/>
    </row>
    <row r="62" spans="1:94" s="53" customFormat="1" ht="15.75" customHeight="1" x14ac:dyDescent="0.25">
      <c r="A62" s="85">
        <v>8.31</v>
      </c>
      <c r="B62" s="83"/>
      <c r="C62" s="408" t="s">
        <v>67</v>
      </c>
      <c r="D62" s="409"/>
      <c r="E62" s="102"/>
      <c r="F62" s="58">
        <v>0</v>
      </c>
      <c r="G62" s="88">
        <v>0</v>
      </c>
      <c r="H62" s="91">
        <v>0</v>
      </c>
      <c r="I62" s="276">
        <v>0</v>
      </c>
      <c r="J62" s="89">
        <f>SUM(G62:I62)</f>
        <v>0</v>
      </c>
      <c r="K62" s="62"/>
      <c r="L62" s="88"/>
      <c r="M62" s="261"/>
      <c r="N62" s="89">
        <f>SUM(L62:M62)</f>
        <v>0</v>
      </c>
      <c r="O62"/>
      <c r="P62"/>
      <c r="Q62"/>
      <c r="R62"/>
      <c r="S62"/>
      <c r="T62"/>
      <c r="U62"/>
      <c r="V62"/>
      <c r="W62"/>
      <c r="X62"/>
      <c r="Y62"/>
      <c r="Z62" s="344"/>
      <c r="AA62" s="363"/>
      <c r="AB62" s="363"/>
      <c r="AC62" s="363"/>
      <c r="AD62" s="110"/>
      <c r="AE62" s="41"/>
      <c r="AF62" s="41"/>
      <c r="AG62" s="41"/>
      <c r="AH62" s="41"/>
      <c r="AI62" s="41"/>
      <c r="AJ62" s="41"/>
      <c r="AK62" s="41"/>
      <c r="AL62" s="41"/>
      <c r="AM62" s="41"/>
      <c r="AN62" s="41"/>
      <c r="AO62" s="41"/>
      <c r="AP62" s="41"/>
      <c r="AQ62" s="41"/>
      <c r="AR62" s="41"/>
      <c r="AS62" s="41"/>
      <c r="AT62" s="41"/>
      <c r="AU62" s="41"/>
      <c r="AV62" s="41"/>
      <c r="AW62" s="41"/>
      <c r="AX62" s="41"/>
      <c r="AY62" s="41"/>
      <c r="AZ62" s="41"/>
      <c r="BA62" s="41"/>
      <c r="BB62" s="41"/>
      <c r="BC62" s="41"/>
      <c r="BD62" s="41"/>
      <c r="BE62" s="41"/>
      <c r="BF62" s="41"/>
      <c r="BG62" s="41"/>
      <c r="BH62" s="41"/>
      <c r="BI62" s="41"/>
      <c r="BJ62" s="41"/>
      <c r="BK62" s="41"/>
      <c r="BL62" s="41"/>
      <c r="BM62" s="41"/>
      <c r="BN62" s="41"/>
      <c r="BO62" s="41"/>
      <c r="BP62" s="41"/>
      <c r="BQ62" s="41"/>
      <c r="BR62" s="41"/>
      <c r="BS62" s="41"/>
      <c r="BT62" s="41"/>
      <c r="BU62" s="41"/>
      <c r="BV62" s="41"/>
      <c r="BW62" s="41"/>
      <c r="BX62" s="41"/>
      <c r="BY62" s="41"/>
      <c r="BZ62" s="41"/>
      <c r="CA62" s="41"/>
      <c r="CB62" s="41"/>
      <c r="CC62" s="41"/>
      <c r="CD62" s="41"/>
      <c r="CE62" s="41"/>
      <c r="CF62" s="41"/>
      <c r="CG62" s="41"/>
      <c r="CH62" s="41"/>
      <c r="CI62" s="41"/>
      <c r="CJ62" s="41"/>
      <c r="CK62" s="41"/>
      <c r="CL62" s="41"/>
      <c r="CM62" s="41"/>
      <c r="CN62" s="41"/>
      <c r="CO62" s="41"/>
      <c r="CP62" s="41"/>
    </row>
    <row r="63" spans="1:94" s="53" customFormat="1" ht="15.75" customHeight="1" x14ac:dyDescent="0.25">
      <c r="A63" s="85">
        <v>8.41</v>
      </c>
      <c r="B63" s="83"/>
      <c r="C63" s="408" t="s">
        <v>55</v>
      </c>
      <c r="D63" s="409"/>
      <c r="E63" s="102"/>
      <c r="F63" s="58">
        <v>0</v>
      </c>
      <c r="G63" s="89">
        <f>ROUND((OneTimePC_Total-H63)/(1+(PermVB+Retire1)),-2)</f>
        <v>0</v>
      </c>
      <c r="H63" s="89">
        <f>ROUND(IF(AND(F63&lt;0,OneTimePC_Total&lt;0),F63*Health,0),-2)</f>
        <v>0</v>
      </c>
      <c r="I63" s="310">
        <f>OneTimePC_Total-G63-H63</f>
        <v>0</v>
      </c>
      <c r="J63" s="89">
        <v>0</v>
      </c>
      <c r="K63" s="308"/>
      <c r="L63" s="88"/>
      <c r="M63" s="261"/>
      <c r="N63" s="89">
        <f>SUM(L63:M63)</f>
        <v>0</v>
      </c>
      <c r="O63"/>
      <c r="P63"/>
      <c r="Q63"/>
      <c r="R63"/>
      <c r="S63"/>
      <c r="T63"/>
      <c r="U63"/>
      <c r="V63"/>
      <c r="W63"/>
      <c r="X63"/>
      <c r="Y63"/>
      <c r="Z63" s="344"/>
      <c r="AA63" s="363"/>
      <c r="AB63" s="363"/>
      <c r="AC63" s="363"/>
      <c r="AD63" s="110"/>
      <c r="AE63" s="41"/>
      <c r="AF63" s="41"/>
      <c r="AG63" s="41"/>
      <c r="AH63" s="41"/>
      <c r="AI63" s="41"/>
      <c r="AJ63" s="41"/>
      <c r="AK63" s="41"/>
      <c r="AL63" s="41"/>
      <c r="AM63" s="41"/>
      <c r="AN63" s="41"/>
      <c r="AO63" s="41"/>
      <c r="AP63" s="41"/>
      <c r="AQ63" s="41"/>
      <c r="AR63" s="41"/>
      <c r="AS63" s="41"/>
      <c r="AT63" s="41"/>
      <c r="AU63" s="41"/>
      <c r="AV63" s="41"/>
      <c r="AW63" s="41"/>
      <c r="AX63" s="41"/>
      <c r="AY63" s="41"/>
      <c r="AZ63" s="41"/>
      <c r="BA63" s="41"/>
      <c r="BB63" s="41"/>
      <c r="BC63" s="41"/>
      <c r="BD63" s="41"/>
      <c r="BE63" s="41"/>
      <c r="BF63" s="41"/>
      <c r="BG63" s="41"/>
      <c r="BH63" s="41"/>
      <c r="BI63" s="41"/>
      <c r="BJ63" s="41"/>
      <c r="BK63" s="41"/>
      <c r="BL63" s="41"/>
      <c r="BM63" s="41"/>
      <c r="BN63" s="41"/>
      <c r="BO63" s="41"/>
      <c r="BP63" s="41"/>
      <c r="BQ63" s="41"/>
      <c r="BR63" s="41"/>
      <c r="BS63" s="41"/>
      <c r="BT63" s="41"/>
      <c r="BU63" s="41"/>
      <c r="BV63" s="41"/>
      <c r="BW63" s="41"/>
      <c r="BX63" s="41"/>
      <c r="BY63" s="41"/>
      <c r="BZ63" s="41"/>
      <c r="CA63" s="41"/>
      <c r="CB63" s="41"/>
      <c r="CC63" s="41"/>
      <c r="CD63" s="41"/>
      <c r="CE63" s="41"/>
      <c r="CF63" s="41"/>
      <c r="CG63" s="41"/>
      <c r="CH63" s="41"/>
      <c r="CI63" s="41"/>
      <c r="CJ63" s="41"/>
      <c r="CK63" s="41"/>
      <c r="CL63" s="41"/>
      <c r="CM63" s="41"/>
      <c r="CN63" s="41"/>
      <c r="CO63" s="41"/>
      <c r="CP63" s="41"/>
    </row>
    <row r="64" spans="1:94" s="53" customFormat="1" ht="15.75" customHeight="1" thickBot="1" x14ac:dyDescent="0.3">
      <c r="A64" s="93">
        <v>8.51</v>
      </c>
      <c r="B64" s="93"/>
      <c r="C64" s="413" t="s">
        <v>56</v>
      </c>
      <c r="D64" s="414"/>
      <c r="E64" s="134"/>
      <c r="F64" s="58">
        <v>0</v>
      </c>
      <c r="G64" s="88"/>
      <c r="H64" s="88">
        <v>0</v>
      </c>
      <c r="I64" s="265"/>
      <c r="J64" s="89">
        <f>SUM(G64:I64)</f>
        <v>0</v>
      </c>
      <c r="K64" s="62"/>
      <c r="L64" s="88"/>
      <c r="M64" s="261"/>
      <c r="N64" s="89">
        <f>SUM(L64:M64)</f>
        <v>0</v>
      </c>
      <c r="O64"/>
      <c r="P64"/>
      <c r="Q64"/>
      <c r="R64"/>
      <c r="S64"/>
      <c r="T64"/>
      <c r="U64"/>
      <c r="V64"/>
      <c r="W64"/>
      <c r="X64"/>
      <c r="Y64"/>
      <c r="Z64" s="344"/>
      <c r="AA64" s="363"/>
      <c r="AB64" s="363"/>
      <c r="AC64" s="363"/>
      <c r="AD64" s="110"/>
      <c r="AE64" s="41"/>
      <c r="AF64" s="41"/>
      <c r="AG64" s="41"/>
      <c r="AH64" s="41"/>
      <c r="AI64" s="41"/>
      <c r="AJ64" s="41"/>
      <c r="AK64" s="41"/>
      <c r="AL64" s="41"/>
      <c r="AM64" s="41"/>
      <c r="AN64" s="41"/>
      <c r="AO64" s="41"/>
      <c r="AP64" s="41"/>
      <c r="AQ64" s="41"/>
      <c r="AR64" s="41"/>
      <c r="AS64" s="41"/>
      <c r="AT64" s="41"/>
      <c r="AU64" s="41"/>
      <c r="AV64" s="41"/>
      <c r="AW64" s="41"/>
      <c r="AX64" s="41"/>
      <c r="AY64" s="41"/>
      <c r="AZ64" s="41"/>
      <c r="BA64" s="41"/>
      <c r="BB64" s="41"/>
      <c r="BC64" s="41"/>
      <c r="BD64" s="41"/>
      <c r="BE64" s="41"/>
      <c r="BF64" s="41"/>
      <c r="BG64" s="41"/>
      <c r="BH64" s="41"/>
      <c r="BI64" s="41"/>
      <c r="BJ64" s="41"/>
      <c r="BK64" s="41"/>
      <c r="BL64" s="41"/>
      <c r="BM64" s="41"/>
      <c r="BN64" s="41"/>
      <c r="BO64" s="41"/>
      <c r="BP64" s="41"/>
      <c r="BQ64" s="41"/>
      <c r="BR64" s="41"/>
      <c r="BS64" s="41"/>
      <c r="BT64" s="41"/>
      <c r="BU64" s="41"/>
      <c r="BV64" s="41"/>
      <c r="BW64" s="41"/>
      <c r="BX64" s="41"/>
      <c r="BY64" s="41"/>
      <c r="BZ64" s="41"/>
      <c r="CA64" s="41"/>
      <c r="CB64" s="41"/>
      <c r="CC64" s="41"/>
      <c r="CD64" s="41"/>
      <c r="CE64" s="41"/>
      <c r="CF64" s="41"/>
      <c r="CG64" s="41"/>
      <c r="CH64" s="41"/>
      <c r="CI64" s="41"/>
      <c r="CJ64" s="41"/>
      <c r="CK64" s="41"/>
      <c r="CL64" s="41"/>
      <c r="CM64" s="41"/>
      <c r="CN64" s="41"/>
      <c r="CO64" s="41"/>
      <c r="CP64" s="41"/>
    </row>
    <row r="65" spans="1:94" s="53" customFormat="1" ht="6" customHeight="1" thickTop="1" x14ac:dyDescent="0.25">
      <c r="A65" s="94"/>
      <c r="B65" s="95"/>
      <c r="C65" s="415"/>
      <c r="D65" s="416"/>
      <c r="E65" s="96"/>
      <c r="F65" s="97"/>
      <c r="G65" s="98"/>
      <c r="H65" s="98"/>
      <c r="I65" s="98"/>
      <c r="J65" s="98"/>
      <c r="K65" s="98"/>
      <c r="L65" s="98"/>
      <c r="M65" s="99"/>
      <c r="N65" s="95"/>
      <c r="O65"/>
      <c r="P65"/>
      <c r="Q65"/>
      <c r="R65"/>
      <c r="S65"/>
      <c r="T65"/>
      <c r="U65"/>
      <c r="V65"/>
      <c r="W65"/>
      <c r="X65"/>
      <c r="Y65"/>
      <c r="Z65" s="344"/>
      <c r="AA65" s="363"/>
      <c r="AB65" s="363"/>
      <c r="AC65" s="363"/>
      <c r="AD65" s="110"/>
      <c r="AE65" s="41"/>
      <c r="AF65" s="41"/>
      <c r="AG65" s="41"/>
      <c r="AH65" s="41"/>
      <c r="AI65" s="41"/>
      <c r="AJ65" s="41"/>
      <c r="AK65" s="41"/>
      <c r="AL65" s="41"/>
      <c r="AM65" s="41"/>
      <c r="AN65" s="41"/>
      <c r="AO65" s="41"/>
      <c r="AP65" s="41"/>
      <c r="AQ65" s="41"/>
      <c r="AR65" s="41"/>
      <c r="AS65" s="41"/>
      <c r="AT65" s="41"/>
      <c r="AU65" s="41"/>
      <c r="AV65" s="41"/>
      <c r="AW65" s="41"/>
      <c r="AX65" s="41"/>
      <c r="AY65" s="41"/>
      <c r="AZ65" s="41"/>
      <c r="BA65" s="41"/>
      <c r="BB65" s="41"/>
      <c r="BC65" s="41"/>
      <c r="BD65" s="41"/>
      <c r="BE65" s="41"/>
      <c r="BF65" s="41"/>
      <c r="BG65" s="41"/>
      <c r="BH65" s="41"/>
      <c r="BI65" s="41"/>
      <c r="BJ65" s="41"/>
      <c r="BK65" s="41"/>
      <c r="BL65" s="41"/>
      <c r="BM65" s="41"/>
      <c r="BN65" s="41"/>
      <c r="BO65" s="41"/>
      <c r="BP65" s="41"/>
      <c r="BQ65" s="41"/>
      <c r="BR65" s="41"/>
      <c r="BS65" s="41"/>
      <c r="BT65" s="41"/>
      <c r="BU65" s="41"/>
      <c r="BV65" s="41"/>
      <c r="BW65" s="41"/>
      <c r="BX65" s="41"/>
      <c r="BY65" s="41"/>
      <c r="BZ65" s="41"/>
      <c r="CA65" s="41"/>
      <c r="CB65" s="41"/>
      <c r="CC65" s="41"/>
      <c r="CD65" s="41"/>
      <c r="CE65" s="41"/>
      <c r="CF65" s="41"/>
      <c r="CG65" s="41"/>
      <c r="CH65" s="41"/>
      <c r="CI65" s="41"/>
      <c r="CJ65" s="41"/>
      <c r="CK65" s="41"/>
      <c r="CL65" s="41"/>
      <c r="CM65" s="41"/>
      <c r="CN65" s="41"/>
      <c r="CO65" s="41"/>
      <c r="CP65" s="41"/>
    </row>
    <row r="66" spans="1:94" s="107" customFormat="1" ht="15" x14ac:dyDescent="0.25">
      <c r="A66" s="100"/>
      <c r="B66" s="101"/>
      <c r="C66" s="417"/>
      <c r="D66" s="418"/>
      <c r="E66" s="102"/>
      <c r="F66" s="103" t="s">
        <v>24</v>
      </c>
      <c r="G66" s="104" t="str">
        <f>"FY "&amp;M4-2000&amp;" Salary"</f>
        <v>FY 23 Salary</v>
      </c>
      <c r="H66" s="104" t="str">
        <f>"FY"&amp;M4-2000&amp;" Health Ben"</f>
        <v>FY23 Health Ben</v>
      </c>
      <c r="I66" s="104" t="str">
        <f>"FY "&amp;M4-2000&amp;" Var Ben"</f>
        <v>FY 23 Var Ben</v>
      </c>
      <c r="J66" s="104" t="str">
        <f>"FY "&amp;M4&amp;" Total"</f>
        <v>FY 2023 Total</v>
      </c>
      <c r="K66" s="104"/>
      <c r="L66" s="105"/>
      <c r="M66" s="105"/>
      <c r="N66" s="101"/>
      <c r="O66"/>
      <c r="P66"/>
      <c r="Q66"/>
      <c r="R66"/>
      <c r="S66"/>
      <c r="T66"/>
      <c r="U66"/>
      <c r="V66"/>
      <c r="W66"/>
      <c r="X66"/>
      <c r="Y66"/>
      <c r="Z66" s="344"/>
      <c r="AA66" s="339"/>
      <c r="AB66" s="339"/>
      <c r="AC66" s="339"/>
      <c r="AD66" s="105"/>
      <c r="AE66" s="106"/>
      <c r="AF66" s="106"/>
      <c r="AG66" s="106"/>
      <c r="AH66" s="106"/>
      <c r="AI66" s="106"/>
      <c r="AJ66" s="106"/>
      <c r="AK66" s="106"/>
      <c r="AL66" s="106"/>
      <c r="AM66" s="106"/>
      <c r="AN66" s="106"/>
      <c r="AO66" s="106"/>
      <c r="AP66" s="106"/>
      <c r="AQ66" s="106"/>
      <c r="AR66" s="106"/>
      <c r="AS66" s="106"/>
      <c r="AT66" s="106"/>
      <c r="AU66" s="106"/>
      <c r="AV66" s="106"/>
      <c r="AW66" s="106"/>
      <c r="AX66" s="106"/>
      <c r="AY66" s="106"/>
      <c r="AZ66" s="106"/>
      <c r="BA66" s="106"/>
      <c r="BB66" s="106"/>
      <c r="BC66" s="106"/>
      <c r="BD66" s="106"/>
      <c r="BE66" s="106"/>
      <c r="BF66" s="106"/>
      <c r="BG66" s="106"/>
      <c r="BH66" s="106"/>
      <c r="BI66" s="106"/>
      <c r="BJ66" s="106"/>
      <c r="BK66" s="106"/>
      <c r="BL66" s="106"/>
      <c r="BM66" s="106"/>
      <c r="BN66" s="106"/>
      <c r="BO66" s="106"/>
      <c r="BP66" s="106"/>
      <c r="BQ66" s="106"/>
      <c r="BR66" s="106"/>
      <c r="BS66" s="106"/>
      <c r="BT66" s="106"/>
      <c r="BU66" s="106"/>
      <c r="BV66" s="106"/>
      <c r="BW66" s="106"/>
      <c r="BX66" s="106"/>
      <c r="BY66" s="106"/>
      <c r="BZ66" s="106"/>
      <c r="CA66" s="106"/>
      <c r="CB66" s="106"/>
      <c r="CC66" s="106"/>
      <c r="CD66" s="106"/>
      <c r="CE66" s="106"/>
      <c r="CF66" s="106"/>
      <c r="CG66" s="106"/>
      <c r="CH66" s="106"/>
      <c r="CI66" s="106"/>
      <c r="CJ66" s="106"/>
      <c r="CK66" s="106"/>
      <c r="CL66" s="106"/>
      <c r="CM66" s="106"/>
      <c r="CN66" s="106"/>
      <c r="CO66" s="106"/>
      <c r="CP66" s="106"/>
    </row>
    <row r="67" spans="1:94" s="53" customFormat="1" ht="15" x14ac:dyDescent="0.25">
      <c r="A67" s="82">
        <v>9</v>
      </c>
      <c r="B67" s="83"/>
      <c r="C67" s="84" t="str">
        <f>"FY "&amp;M4</f>
        <v>FY 2023</v>
      </c>
      <c r="D67" s="108" t="s">
        <v>57</v>
      </c>
      <c r="E67" s="109"/>
      <c r="F67" s="55">
        <f>SUM(F60:F64)</f>
        <v>3</v>
      </c>
      <c r="G67" s="80">
        <f>SUM(G60:G64)</f>
        <v>145800</v>
      </c>
      <c r="H67" s="80">
        <f>SUM(H60:H64)</f>
        <v>33000</v>
      </c>
      <c r="I67" s="80">
        <f>SUM(I60:I64)</f>
        <v>31100</v>
      </c>
      <c r="J67" s="80">
        <f>SUM(J60:J64)</f>
        <v>209900</v>
      </c>
      <c r="K67" s="263"/>
      <c r="L67" s="110"/>
      <c r="M67" s="110"/>
      <c r="N67" s="111"/>
      <c r="O67"/>
      <c r="P67"/>
      <c r="Q67"/>
      <c r="R67"/>
      <c r="S67"/>
      <c r="T67"/>
      <c r="U67"/>
      <c r="V67"/>
      <c r="W67"/>
      <c r="X67"/>
      <c r="Y67"/>
      <c r="Z67" s="344"/>
      <c r="AA67" s="363"/>
      <c r="AB67" s="363"/>
      <c r="AC67" s="363"/>
      <c r="AD67" s="110"/>
      <c r="AE67" s="41"/>
      <c r="AF67" s="41"/>
      <c r="AG67" s="41"/>
      <c r="AH67" s="41"/>
      <c r="AI67" s="41"/>
      <c r="AJ67" s="41"/>
      <c r="AK67" s="41"/>
      <c r="AL67" s="41"/>
      <c r="AM67" s="41"/>
      <c r="AN67" s="41"/>
      <c r="AO67" s="41"/>
      <c r="AP67" s="41"/>
      <c r="AQ67" s="41"/>
      <c r="AR67" s="41"/>
      <c r="AS67" s="41"/>
      <c r="AT67" s="41"/>
      <c r="AU67" s="41"/>
      <c r="AV67" s="41"/>
      <c r="AW67" s="41"/>
      <c r="AX67" s="41"/>
      <c r="AY67" s="41"/>
      <c r="AZ67" s="41"/>
      <c r="BA67" s="41"/>
      <c r="BB67" s="41"/>
      <c r="BC67" s="41"/>
      <c r="BD67" s="41"/>
      <c r="BE67" s="41"/>
      <c r="BF67" s="41"/>
      <c r="BG67" s="41"/>
      <c r="BH67" s="41"/>
      <c r="BI67" s="41"/>
      <c r="BJ67" s="41"/>
      <c r="BK67" s="41"/>
      <c r="BL67" s="41"/>
      <c r="BM67" s="41"/>
      <c r="BN67" s="41"/>
      <c r="BO67" s="41"/>
      <c r="BP67" s="41"/>
      <c r="BQ67" s="41"/>
      <c r="BR67" s="41"/>
      <c r="BS67" s="41"/>
      <c r="BT67" s="41"/>
      <c r="BU67" s="41"/>
      <c r="BV67" s="41"/>
      <c r="BW67" s="41"/>
      <c r="BX67" s="41"/>
      <c r="BY67" s="41"/>
      <c r="BZ67" s="41"/>
      <c r="CA67" s="41"/>
      <c r="CB67" s="41"/>
      <c r="CC67" s="41"/>
      <c r="CD67" s="41"/>
      <c r="CE67" s="41"/>
      <c r="CF67" s="41"/>
      <c r="CG67" s="41"/>
      <c r="CH67" s="41"/>
      <c r="CI67" s="41"/>
      <c r="CJ67" s="41"/>
      <c r="CK67" s="41"/>
      <c r="CL67" s="41"/>
      <c r="CM67" s="41"/>
      <c r="CN67" s="41"/>
      <c r="CO67" s="41"/>
      <c r="CP67" s="41"/>
    </row>
    <row r="68" spans="1:94" s="53" customFormat="1" ht="15.75" customHeight="1" x14ac:dyDescent="0.25">
      <c r="A68" s="85">
        <v>10.11</v>
      </c>
      <c r="B68" s="83"/>
      <c r="C68" s="419" t="s">
        <v>58</v>
      </c>
      <c r="D68" s="420"/>
      <c r="E68" s="112"/>
      <c r="F68" s="288"/>
      <c r="G68" s="287"/>
      <c r="H68" s="113">
        <f>IF(DUNine=0,0,ROUND(SUM(L41:L65),-2))</f>
        <v>0</v>
      </c>
      <c r="I68" s="113"/>
      <c r="J68" s="287">
        <f>SUM(G68:I68)</f>
        <v>0</v>
      </c>
      <c r="K68" s="291"/>
      <c r="L68" s="292"/>
      <c r="M68" s="292"/>
      <c r="N68" s="293"/>
      <c r="O68"/>
      <c r="P68"/>
      <c r="Q68"/>
      <c r="R68"/>
      <c r="S68"/>
      <c r="T68"/>
      <c r="U68"/>
      <c r="V68"/>
      <c r="W68"/>
      <c r="X68"/>
      <c r="Y68"/>
      <c r="Z68" s="344"/>
      <c r="AA68" s="363"/>
      <c r="AB68" s="363"/>
      <c r="AC68" s="363"/>
      <c r="AD68" s="110"/>
      <c r="AE68" s="41"/>
      <c r="AF68" s="41"/>
      <c r="AG68" s="41"/>
      <c r="AH68" s="41"/>
      <c r="AI68" s="41"/>
      <c r="AJ68" s="41"/>
      <c r="AK68" s="41"/>
      <c r="AL68" s="41"/>
      <c r="AM68" s="41"/>
      <c r="AN68" s="41"/>
      <c r="AO68" s="41"/>
      <c r="AP68" s="41"/>
      <c r="AQ68" s="41"/>
      <c r="AR68" s="41"/>
      <c r="AS68" s="41"/>
      <c r="AT68" s="41"/>
      <c r="AU68" s="41"/>
      <c r="AV68" s="41"/>
      <c r="AW68" s="41"/>
      <c r="AX68" s="41"/>
      <c r="AY68" s="41"/>
      <c r="AZ68" s="41"/>
      <c r="BA68" s="41"/>
      <c r="BB68" s="41"/>
      <c r="BC68" s="41"/>
      <c r="BD68" s="41"/>
      <c r="BE68" s="41"/>
      <c r="BF68" s="41"/>
      <c r="BG68" s="41"/>
      <c r="BH68" s="41"/>
      <c r="BI68" s="41"/>
      <c r="BJ68" s="41"/>
      <c r="BK68" s="41"/>
      <c r="BL68" s="41"/>
      <c r="BM68" s="41"/>
      <c r="BN68" s="41"/>
      <c r="BO68" s="41"/>
      <c r="BP68" s="41"/>
      <c r="BQ68" s="41"/>
      <c r="BR68" s="41"/>
      <c r="BS68" s="41"/>
      <c r="BT68" s="41"/>
      <c r="BU68" s="41"/>
      <c r="BV68" s="41"/>
      <c r="BW68" s="41"/>
      <c r="BX68" s="41"/>
      <c r="BY68" s="41"/>
      <c r="BZ68" s="41"/>
      <c r="CA68" s="41"/>
      <c r="CB68" s="41"/>
      <c r="CC68" s="41"/>
      <c r="CD68" s="41"/>
      <c r="CE68" s="41"/>
      <c r="CF68" s="41"/>
      <c r="CG68" s="41"/>
      <c r="CH68" s="41"/>
      <c r="CI68" s="41"/>
      <c r="CJ68" s="41"/>
      <c r="CK68" s="41"/>
      <c r="CL68" s="41"/>
      <c r="CM68" s="41"/>
      <c r="CN68" s="41"/>
      <c r="CO68" s="41"/>
      <c r="CP68" s="41"/>
    </row>
    <row r="69" spans="1:94" s="53" customFormat="1" ht="15" x14ac:dyDescent="0.25">
      <c r="A69" s="85">
        <v>10.119999999999999</v>
      </c>
      <c r="B69" s="83"/>
      <c r="C69" s="419" t="s">
        <v>59</v>
      </c>
      <c r="D69" s="420"/>
      <c r="E69" s="112"/>
      <c r="F69" s="288"/>
      <c r="G69" s="113"/>
      <c r="H69" s="113"/>
      <c r="I69" s="113">
        <f>IF(DUNine=0,0,ROUND(SUM(M41:M64),-2))</f>
        <v>-700</v>
      </c>
      <c r="J69" s="287">
        <f>SUM(G69:I69)</f>
        <v>-700</v>
      </c>
      <c r="K69" s="291"/>
      <c r="L69" s="292"/>
      <c r="M69" s="292"/>
      <c r="N69" s="293"/>
      <c r="O69"/>
      <c r="P69"/>
      <c r="Q69"/>
      <c r="R69"/>
      <c r="S69"/>
      <c r="T69"/>
      <c r="U69"/>
      <c r="V69"/>
      <c r="W69"/>
      <c r="X69"/>
      <c r="Y69"/>
      <c r="Z69" s="344"/>
      <c r="AA69" s="363"/>
      <c r="AB69" s="363"/>
      <c r="AC69" s="363"/>
      <c r="AD69" s="110"/>
      <c r="AE69" s="41"/>
      <c r="AF69" s="41"/>
      <c r="AG69" s="41"/>
      <c r="AH69" s="41"/>
      <c r="AI69" s="41"/>
      <c r="AJ69" s="41"/>
      <c r="AK69" s="41"/>
      <c r="AL69" s="41"/>
      <c r="AM69" s="41"/>
      <c r="AN69" s="41"/>
      <c r="AO69" s="41"/>
      <c r="AP69" s="41"/>
      <c r="AQ69" s="41"/>
      <c r="AR69" s="41"/>
      <c r="AS69" s="41"/>
      <c r="AT69" s="41"/>
      <c r="AU69" s="41"/>
      <c r="AV69" s="41"/>
      <c r="AW69" s="41"/>
      <c r="AX69" s="41"/>
      <c r="AY69" s="41"/>
      <c r="AZ69" s="41"/>
      <c r="BA69" s="41"/>
      <c r="BB69" s="41"/>
      <c r="BC69" s="41"/>
      <c r="BD69" s="41"/>
      <c r="BE69" s="41"/>
      <c r="BF69" s="41"/>
      <c r="BG69" s="41"/>
      <c r="BH69" s="41"/>
      <c r="BI69" s="41"/>
      <c r="BJ69" s="41"/>
      <c r="BK69" s="41"/>
      <c r="BL69" s="41"/>
      <c r="BM69" s="41"/>
      <c r="BN69" s="41"/>
      <c r="BO69" s="41"/>
      <c r="BP69" s="41"/>
      <c r="BQ69" s="41"/>
      <c r="BR69" s="41"/>
      <c r="BS69" s="41"/>
      <c r="BT69" s="41"/>
      <c r="BU69" s="41"/>
      <c r="BV69" s="41"/>
      <c r="BW69" s="41"/>
      <c r="BX69" s="41"/>
      <c r="BY69" s="41"/>
      <c r="BZ69" s="41"/>
      <c r="CA69" s="41"/>
      <c r="CB69" s="41"/>
      <c r="CC69" s="41"/>
      <c r="CD69" s="41"/>
      <c r="CE69" s="41"/>
      <c r="CF69" s="41"/>
      <c r="CG69" s="41"/>
      <c r="CH69" s="41"/>
      <c r="CI69" s="41"/>
      <c r="CJ69" s="41"/>
      <c r="CK69" s="41"/>
      <c r="CL69" s="41"/>
      <c r="CM69" s="41"/>
      <c r="CN69" s="41"/>
      <c r="CO69" s="41"/>
      <c r="CP69" s="41"/>
    </row>
    <row r="70" spans="1:94" s="53" customFormat="1" ht="15" x14ac:dyDescent="0.25">
      <c r="A70" s="85"/>
      <c r="B70" s="83"/>
      <c r="C70" s="406"/>
      <c r="D70" s="407"/>
      <c r="E70" s="236" t="s">
        <v>23</v>
      </c>
      <c r="F70" s="288"/>
      <c r="G70" s="113"/>
      <c r="H70" s="113"/>
      <c r="I70" s="113"/>
      <c r="J70" s="287">
        <f>SUM(G70:I70)</f>
        <v>0</v>
      </c>
      <c r="K70" s="291"/>
      <c r="L70" s="292"/>
      <c r="M70" s="294"/>
      <c r="N70" s="295"/>
      <c r="O70"/>
      <c r="P70"/>
      <c r="Q70"/>
      <c r="R70"/>
      <c r="S70"/>
      <c r="T70"/>
      <c r="U70"/>
      <c r="V70"/>
      <c r="W70"/>
      <c r="X70"/>
      <c r="Y70"/>
      <c r="Z70" s="344"/>
      <c r="AA70" s="363"/>
      <c r="AB70" s="363"/>
      <c r="AC70" s="363"/>
      <c r="AD70" s="110"/>
      <c r="AE70" s="41"/>
      <c r="AF70" s="41"/>
      <c r="AG70" s="41"/>
      <c r="AH70" s="41"/>
      <c r="AI70" s="41"/>
      <c r="AJ70" s="41"/>
      <c r="AK70" s="41"/>
      <c r="AL70" s="41"/>
      <c r="AM70" s="41"/>
      <c r="AN70" s="41"/>
      <c r="AO70" s="41"/>
      <c r="AP70" s="41"/>
      <c r="AQ70" s="41"/>
      <c r="AR70" s="41"/>
      <c r="AS70" s="41"/>
      <c r="AT70" s="41"/>
      <c r="AU70" s="41"/>
      <c r="AV70" s="41"/>
      <c r="AW70" s="41"/>
      <c r="AX70" s="41"/>
      <c r="AY70" s="41"/>
      <c r="AZ70" s="41"/>
      <c r="BA70" s="41"/>
      <c r="BB70" s="41"/>
      <c r="BC70" s="41"/>
      <c r="BD70" s="41"/>
      <c r="BE70" s="41"/>
      <c r="BF70" s="41"/>
      <c r="BG70" s="41"/>
      <c r="BH70" s="41"/>
      <c r="BI70" s="41"/>
      <c r="BJ70" s="41"/>
      <c r="BK70" s="41"/>
      <c r="BL70" s="41"/>
      <c r="BM70" s="41"/>
      <c r="BN70" s="41"/>
      <c r="BO70" s="41"/>
      <c r="BP70" s="41"/>
      <c r="BQ70" s="41"/>
      <c r="BR70" s="41"/>
      <c r="BS70" s="41"/>
      <c r="BT70" s="41"/>
      <c r="BU70" s="41"/>
      <c r="BV70" s="41"/>
      <c r="BW70" s="41"/>
      <c r="BX70" s="41"/>
      <c r="BY70" s="41"/>
      <c r="BZ70" s="41"/>
      <c r="CA70" s="41"/>
      <c r="CB70" s="41"/>
      <c r="CC70" s="41"/>
      <c r="CD70" s="41"/>
      <c r="CE70" s="41"/>
      <c r="CF70" s="41"/>
      <c r="CG70" s="41"/>
      <c r="CH70" s="41"/>
      <c r="CI70" s="41"/>
      <c r="CJ70" s="41"/>
      <c r="CK70" s="41"/>
      <c r="CL70" s="41"/>
      <c r="CM70" s="41"/>
      <c r="CN70" s="41"/>
      <c r="CO70" s="41"/>
      <c r="CP70" s="41"/>
    </row>
    <row r="71" spans="1:94" s="53" customFormat="1" ht="15.75" customHeight="1" x14ac:dyDescent="0.25">
      <c r="A71" s="85">
        <v>10.51</v>
      </c>
      <c r="B71" s="83"/>
      <c r="C71" s="408" t="s">
        <v>60</v>
      </c>
      <c r="D71" s="409"/>
      <c r="E71" s="237"/>
      <c r="F71" s="288"/>
      <c r="G71" s="92">
        <v>0</v>
      </c>
      <c r="H71" s="92">
        <v>0</v>
      </c>
      <c r="I71" s="287">
        <f>ROUND(IF(AND($G71&lt;&gt;0,$E71=1),$G71*PermVBBY+$G71*Retire1BY,IF(AND($G71&lt;&gt;0,$E71=2),$G71*GroupVBBY,IF(AND($G71&lt;&gt;0,$E71=3),$G71*ElectVBBY+$G71*Retire1BY,0))),-2)</f>
        <v>0</v>
      </c>
      <c r="J71" s="113">
        <f t="shared" ref="J71:J74" si="11">SUM(G71:I71)</f>
        <v>0</v>
      </c>
      <c r="K71" s="296"/>
      <c r="L71" s="297"/>
      <c r="M71" s="348" t="s">
        <v>112</v>
      </c>
      <c r="N71" s="356"/>
      <c r="O71" s="357"/>
      <c r="P71" s="357"/>
      <c r="Q71"/>
      <c r="R71"/>
      <c r="S71"/>
      <c r="T71"/>
      <c r="U71"/>
      <c r="V71"/>
      <c r="W71"/>
      <c r="X71"/>
      <c r="Y71"/>
      <c r="Z71" s="344"/>
      <c r="AA71" s="363"/>
      <c r="AB71" s="363"/>
      <c r="AC71" s="363"/>
      <c r="AD71" s="110"/>
      <c r="AE71" s="41"/>
      <c r="AF71" s="41"/>
      <c r="AG71" s="41"/>
      <c r="AH71" s="41"/>
      <c r="AI71" s="41"/>
      <c r="AJ71" s="41"/>
      <c r="AK71" s="41"/>
      <c r="AL71" s="41"/>
      <c r="AM71" s="41"/>
      <c r="AN71" s="41"/>
      <c r="AO71" s="41"/>
      <c r="AP71" s="41"/>
      <c r="AQ71" s="41"/>
      <c r="AR71" s="41"/>
      <c r="AS71" s="41"/>
      <c r="AT71" s="41"/>
      <c r="AU71" s="41"/>
      <c r="AV71" s="41"/>
      <c r="AW71" s="41"/>
      <c r="AX71" s="41"/>
      <c r="AY71" s="41"/>
      <c r="AZ71" s="41"/>
      <c r="BA71" s="41"/>
      <c r="BB71" s="41"/>
      <c r="BC71" s="41"/>
      <c r="BD71" s="41"/>
      <c r="BE71" s="41"/>
      <c r="BF71" s="41"/>
      <c r="BG71" s="41"/>
      <c r="BH71" s="41"/>
      <c r="BI71" s="41"/>
      <c r="BJ71" s="41"/>
      <c r="BK71" s="41"/>
      <c r="BL71" s="41"/>
      <c r="BM71" s="41"/>
      <c r="BN71" s="41"/>
      <c r="BO71" s="41"/>
      <c r="BP71" s="41"/>
      <c r="BQ71" s="41"/>
      <c r="BR71" s="41"/>
      <c r="BS71" s="41"/>
      <c r="BT71" s="41"/>
      <c r="BU71" s="41"/>
      <c r="BV71" s="41"/>
      <c r="BW71" s="41"/>
      <c r="BX71" s="41"/>
      <c r="BY71" s="41"/>
      <c r="BZ71" s="41"/>
      <c r="CA71" s="41"/>
      <c r="CB71" s="41"/>
      <c r="CC71" s="41"/>
      <c r="CD71" s="41"/>
      <c r="CE71" s="41"/>
      <c r="CF71" s="41"/>
      <c r="CG71" s="41"/>
      <c r="CH71" s="41"/>
      <c r="CI71" s="41"/>
      <c r="CJ71" s="41"/>
      <c r="CK71" s="41"/>
      <c r="CL71" s="41"/>
      <c r="CM71" s="41"/>
      <c r="CN71" s="41"/>
      <c r="CO71" s="41"/>
      <c r="CP71" s="41"/>
    </row>
    <row r="72" spans="1:94" s="53" customFormat="1" ht="15.75" customHeight="1" x14ac:dyDescent="0.25">
      <c r="A72" s="85">
        <v>10.61</v>
      </c>
      <c r="B72" s="83"/>
      <c r="C72" s="408" t="s">
        <v>101</v>
      </c>
      <c r="D72" s="410"/>
      <c r="E72" s="290">
        <f>CECPerm</f>
        <v>0.01</v>
      </c>
      <c r="F72" s="288"/>
      <c r="G72" s="355">
        <f>IF(DUNine=0,0,IF(DUNine&lt;0,0,ROUND(AdjPermSalary*CECPerm,-2)))</f>
        <v>1500</v>
      </c>
      <c r="H72" s="287"/>
      <c r="I72" s="287">
        <f>ROUND(($G72*PermVBBY+$G72*Retire1BY),-2)</f>
        <v>300</v>
      </c>
      <c r="J72" s="113">
        <f>SUM(G72:I72)</f>
        <v>1800</v>
      </c>
      <c r="K72" s="296"/>
      <c r="L72" s="298"/>
      <c r="M72" s="349" t="e">
        <f>IF(DUNine=0,0,IF(((#REF!-G39-G40)*E72)&lt;0,0,ROUND(((#REF!-G39-G40)*E72),-2)))</f>
        <v>#REF!</v>
      </c>
      <c r="N72" s="358"/>
      <c r="O72" s="357" t="e">
        <f>IF(DUNine=0,0,IF(DUNine&lt;0,0,IF(SubCECBase&lt;RoundedAppropSalary,ROUND(AdjPermSalary*CECpermCalc,-2)+((SubCECBase-RoundedAppropSalary)*CECpermCalc),IF(SubCECBase&gt;RoundedAppropSalary,ROUND(AdjPermSalary*CECpermCalc,-2)+((SubCECBase-RoundedAppropSalary)*CECpermCalc),ROUND(AdjPermSalary*CECpermCalc,-2)))))</f>
        <v>#REF!</v>
      </c>
      <c r="P72" s="357"/>
      <c r="Q72"/>
      <c r="R72"/>
      <c r="S72"/>
      <c r="T72"/>
      <c r="U72"/>
      <c r="V72"/>
      <c r="W72"/>
      <c r="X72"/>
      <c r="Y72"/>
      <c r="Z72" s="344"/>
      <c r="AA72" s="363"/>
      <c r="AB72" s="363"/>
      <c r="AC72" s="363"/>
      <c r="AD72" s="110"/>
      <c r="AE72" s="41"/>
      <c r="AF72" s="41"/>
      <c r="AG72" s="41"/>
      <c r="AH72" s="41"/>
      <c r="AI72" s="41"/>
      <c r="AJ72" s="41"/>
      <c r="AK72" s="41"/>
      <c r="AL72" s="41"/>
      <c r="AM72" s="41"/>
      <c r="AN72" s="41"/>
      <c r="AO72" s="41"/>
      <c r="AP72" s="41"/>
      <c r="AQ72" s="41"/>
      <c r="AR72" s="41"/>
      <c r="AS72" s="41"/>
      <c r="AT72" s="41"/>
      <c r="AU72" s="41"/>
      <c r="AV72" s="41"/>
      <c r="AW72" s="41"/>
      <c r="AX72" s="41"/>
      <c r="AY72" s="41"/>
      <c r="AZ72" s="41"/>
      <c r="BA72" s="41"/>
      <c r="BB72" s="41"/>
      <c r="BC72" s="41"/>
      <c r="BD72" s="41"/>
      <c r="BE72" s="41"/>
      <c r="BF72" s="41"/>
      <c r="BG72" s="41"/>
      <c r="BH72" s="41"/>
      <c r="BI72" s="41"/>
      <c r="BJ72" s="41"/>
      <c r="BK72" s="41"/>
      <c r="BL72" s="41"/>
      <c r="BM72" s="41"/>
      <c r="BN72" s="41"/>
      <c r="BO72" s="41"/>
      <c r="BP72" s="41"/>
      <c r="BQ72" s="41"/>
      <c r="BR72" s="41"/>
      <c r="BS72" s="41"/>
      <c r="BT72" s="41"/>
      <c r="BU72" s="41"/>
      <c r="BV72" s="41"/>
      <c r="BW72" s="41"/>
      <c r="BX72" s="41"/>
      <c r="BY72" s="41"/>
      <c r="BZ72" s="41"/>
      <c r="CA72" s="41"/>
      <c r="CB72" s="41"/>
      <c r="CC72" s="41"/>
      <c r="CD72" s="41"/>
      <c r="CE72" s="41"/>
      <c r="CF72" s="41"/>
      <c r="CG72" s="41"/>
      <c r="CH72" s="41"/>
      <c r="CI72" s="41"/>
      <c r="CJ72" s="41"/>
      <c r="CK72" s="41"/>
      <c r="CL72" s="41"/>
      <c r="CM72" s="41"/>
      <c r="CN72" s="41"/>
      <c r="CO72" s="41"/>
      <c r="CP72" s="41"/>
    </row>
    <row r="73" spans="1:94" s="53" customFormat="1" ht="15.6" customHeight="1" x14ac:dyDescent="0.25">
      <c r="A73" s="85">
        <v>10.62</v>
      </c>
      <c r="B73" s="83"/>
      <c r="C73" s="408" t="s">
        <v>61</v>
      </c>
      <c r="D73" s="410"/>
      <c r="E73" s="289">
        <f>CECGroup</f>
        <v>0.01</v>
      </c>
      <c r="F73" s="288"/>
      <c r="G73" s="355">
        <f>IF(DUNine=0,0,IF(DUNine&lt;0,0,ROUND(AdjGroupSalary*CECGroup,-2)))</f>
        <v>0</v>
      </c>
      <c r="H73" s="287"/>
      <c r="I73" s="287">
        <f>ROUND(($G73*GroupVBBY),-2)</f>
        <v>0</v>
      </c>
      <c r="J73" s="113">
        <f t="shared" si="11"/>
        <v>0</v>
      </c>
      <c r="K73" s="301"/>
      <c r="L73" s="302"/>
      <c r="M73" s="359"/>
      <c r="N73" s="360"/>
      <c r="O73" s="357"/>
      <c r="P73" s="357"/>
      <c r="Q73"/>
      <c r="R73"/>
      <c r="S73"/>
      <c r="T73"/>
      <c r="U73"/>
      <c r="V73"/>
      <c r="W73"/>
      <c r="X73"/>
      <c r="Y73"/>
      <c r="Z73" s="344"/>
      <c r="AA73" s="363"/>
      <c r="AB73" s="363"/>
      <c r="AC73" s="363"/>
      <c r="AD73" s="110"/>
      <c r="AE73" s="41"/>
      <c r="AF73" s="41"/>
      <c r="AG73" s="41"/>
      <c r="AH73" s="41"/>
      <c r="AI73" s="41"/>
      <c r="AJ73" s="41"/>
      <c r="AK73" s="41"/>
      <c r="AL73" s="41"/>
      <c r="AM73" s="41"/>
      <c r="AN73" s="41"/>
      <c r="AO73" s="41"/>
      <c r="AP73" s="41"/>
      <c r="AQ73" s="41"/>
      <c r="AR73" s="41"/>
      <c r="AS73" s="41"/>
      <c r="AT73" s="41"/>
      <c r="AU73" s="41"/>
      <c r="AV73" s="41"/>
      <c r="AW73" s="41"/>
      <c r="AX73" s="41"/>
      <c r="AY73" s="41"/>
      <c r="AZ73" s="41"/>
      <c r="BA73" s="41"/>
      <c r="BB73" s="41"/>
      <c r="BC73" s="41"/>
      <c r="BD73" s="41"/>
      <c r="BE73" s="41"/>
      <c r="BF73" s="41"/>
      <c r="BG73" s="41"/>
      <c r="BH73" s="41"/>
      <c r="BI73" s="41"/>
      <c r="BJ73" s="41"/>
      <c r="BK73" s="41"/>
      <c r="BL73" s="41"/>
      <c r="BM73" s="41"/>
      <c r="BN73" s="41"/>
      <c r="BO73" s="41"/>
      <c r="BP73" s="41"/>
      <c r="BQ73" s="41"/>
      <c r="BR73" s="41"/>
      <c r="BS73" s="41"/>
      <c r="BT73" s="41"/>
      <c r="BU73" s="41"/>
      <c r="BV73" s="41"/>
      <c r="BW73" s="41"/>
      <c r="BX73" s="41"/>
      <c r="BY73" s="41"/>
      <c r="BZ73" s="41"/>
      <c r="CA73" s="41"/>
      <c r="CB73" s="41"/>
      <c r="CC73" s="41"/>
      <c r="CD73" s="41"/>
      <c r="CE73" s="41"/>
      <c r="CF73" s="41"/>
      <c r="CG73" s="41"/>
      <c r="CH73" s="41"/>
      <c r="CI73" s="41"/>
      <c r="CJ73" s="41"/>
      <c r="CK73" s="41"/>
      <c r="CL73" s="41"/>
      <c r="CM73" s="41"/>
      <c r="CN73" s="41"/>
      <c r="CO73" s="41"/>
      <c r="CP73" s="41"/>
    </row>
    <row r="74" spans="1:94" s="53" customFormat="1" ht="15.6" customHeight="1" x14ac:dyDescent="0.25">
      <c r="A74" s="85">
        <v>10.63</v>
      </c>
      <c r="B74" s="83"/>
      <c r="C74" s="366" t="s">
        <v>62</v>
      </c>
      <c r="D74" s="368"/>
      <c r="E74" s="112"/>
      <c r="F74" s="288"/>
      <c r="G74" s="92">
        <v>0</v>
      </c>
      <c r="H74" s="287"/>
      <c r="I74" s="287">
        <f>ROUND(($G74*ElectVBBY+$G74*Retire1BY),-2)</f>
        <v>0</v>
      </c>
      <c r="J74" s="113">
        <f t="shared" si="11"/>
        <v>0</v>
      </c>
      <c r="K74" s="301"/>
      <c r="L74" s="302"/>
      <c r="M74" s="303"/>
      <c r="N74" s="304"/>
      <c r="O74"/>
      <c r="P74"/>
      <c r="Q74"/>
      <c r="R74"/>
      <c r="S74"/>
      <c r="T74"/>
      <c r="U74"/>
      <c r="V74"/>
      <c r="W74"/>
      <c r="X74"/>
      <c r="Y74"/>
      <c r="Z74" s="344"/>
      <c r="AA74" s="363"/>
      <c r="AB74" s="363"/>
      <c r="AC74" s="363"/>
      <c r="AD74" s="110"/>
      <c r="AE74" s="41"/>
      <c r="AF74" s="41"/>
      <c r="AG74" s="41"/>
      <c r="AH74" s="41"/>
      <c r="AI74" s="41"/>
      <c r="AJ74" s="41"/>
      <c r="AK74" s="41"/>
      <c r="AL74" s="41"/>
      <c r="AM74" s="41"/>
      <c r="AN74" s="41"/>
      <c r="AO74" s="41"/>
      <c r="AP74" s="41"/>
      <c r="AQ74" s="41"/>
      <c r="AR74" s="41"/>
      <c r="AS74" s="41"/>
      <c r="AT74" s="41"/>
      <c r="AU74" s="41"/>
      <c r="AV74" s="41"/>
      <c r="AW74" s="41"/>
      <c r="AX74" s="41"/>
      <c r="AY74" s="41"/>
      <c r="AZ74" s="41"/>
      <c r="BA74" s="41"/>
      <c r="BB74" s="41"/>
      <c r="BC74" s="41"/>
      <c r="BD74" s="41"/>
      <c r="BE74" s="41"/>
      <c r="BF74" s="41"/>
      <c r="BG74" s="41"/>
      <c r="BH74" s="41"/>
      <c r="BI74" s="41"/>
      <c r="BJ74" s="41"/>
      <c r="BK74" s="41"/>
      <c r="BL74" s="41"/>
      <c r="BM74" s="41"/>
      <c r="BN74" s="41"/>
      <c r="BO74" s="41"/>
      <c r="BP74" s="41"/>
      <c r="BQ74" s="41"/>
      <c r="BR74" s="41"/>
      <c r="BS74" s="41"/>
      <c r="BT74" s="41"/>
      <c r="BU74" s="41"/>
      <c r="BV74" s="41"/>
      <c r="BW74" s="41"/>
      <c r="BX74" s="41"/>
      <c r="BY74" s="41"/>
      <c r="BZ74" s="41"/>
      <c r="CA74" s="41"/>
      <c r="CB74" s="41"/>
      <c r="CC74" s="41"/>
      <c r="CD74" s="41"/>
      <c r="CE74" s="41"/>
      <c r="CF74" s="41"/>
      <c r="CG74" s="41"/>
      <c r="CH74" s="41"/>
      <c r="CI74" s="41"/>
      <c r="CJ74" s="41"/>
      <c r="CK74" s="41"/>
      <c r="CL74" s="41"/>
      <c r="CM74" s="41"/>
      <c r="CN74" s="41"/>
      <c r="CO74" s="41"/>
      <c r="CP74" s="41"/>
    </row>
    <row r="75" spans="1:94" s="53" customFormat="1" ht="15.75" customHeight="1" x14ac:dyDescent="0.25">
      <c r="A75" s="75">
        <v>11</v>
      </c>
      <c r="B75" s="76"/>
      <c r="C75" s="54" t="str">
        <f>"FY "&amp;M4</f>
        <v>FY 2023</v>
      </c>
      <c r="D75" s="77" t="s">
        <v>63</v>
      </c>
      <c r="E75" s="112"/>
      <c r="F75" s="55">
        <f>SUM(F67:F74)</f>
        <v>3</v>
      </c>
      <c r="G75" s="80">
        <f>SUM(G67:G74)</f>
        <v>147300</v>
      </c>
      <c r="H75" s="80">
        <f>SUM(H67:H74)</f>
        <v>33000</v>
      </c>
      <c r="I75" s="80">
        <f>SUM(I67:I74)</f>
        <v>30700</v>
      </c>
      <c r="J75" s="80">
        <f>SUM(J67:K74)</f>
        <v>211000</v>
      </c>
      <c r="K75" s="296"/>
      <c r="L75" s="299"/>
      <c r="M75" s="299"/>
      <c r="N75" s="300"/>
      <c r="O75"/>
      <c r="P75"/>
      <c r="Q75"/>
      <c r="R75"/>
      <c r="S75"/>
      <c r="T75"/>
      <c r="U75"/>
      <c r="V75"/>
      <c r="W75"/>
      <c r="X75"/>
      <c r="Y75"/>
      <c r="Z75" s="344"/>
      <c r="AA75" s="363"/>
      <c r="AB75" s="363"/>
      <c r="AC75" s="363"/>
      <c r="AD75" s="110"/>
      <c r="AE75" s="41"/>
      <c r="AF75" s="41"/>
      <c r="AG75" s="41"/>
      <c r="AH75" s="41"/>
      <c r="AI75" s="41"/>
      <c r="AJ75" s="41"/>
      <c r="AK75" s="41"/>
      <c r="AL75" s="41"/>
      <c r="AM75" s="41"/>
      <c r="AN75" s="41"/>
      <c r="AO75" s="41"/>
      <c r="AP75" s="41"/>
      <c r="AQ75" s="41"/>
      <c r="AR75" s="41"/>
      <c r="AS75" s="41"/>
      <c r="AT75" s="41"/>
      <c r="AU75" s="41"/>
      <c r="AV75" s="41"/>
      <c r="AW75" s="41"/>
      <c r="AX75" s="41"/>
      <c r="AY75" s="41"/>
      <c r="AZ75" s="41"/>
      <c r="BA75" s="41"/>
      <c r="BB75" s="41"/>
      <c r="BC75" s="41"/>
      <c r="BD75" s="41"/>
      <c r="BE75" s="41"/>
      <c r="BF75" s="41"/>
      <c r="BG75" s="41"/>
      <c r="BH75" s="41"/>
      <c r="BI75" s="41"/>
      <c r="BJ75" s="41"/>
      <c r="BK75" s="41"/>
      <c r="BL75" s="41"/>
      <c r="BM75" s="41"/>
      <c r="BN75" s="41"/>
      <c r="BO75" s="41"/>
      <c r="BP75" s="41"/>
      <c r="BQ75" s="41"/>
      <c r="BR75" s="41"/>
      <c r="BS75" s="41"/>
      <c r="BT75" s="41"/>
      <c r="BU75" s="41"/>
      <c r="BV75" s="41"/>
      <c r="BW75" s="41"/>
      <c r="BX75" s="41"/>
      <c r="BY75" s="41"/>
      <c r="BZ75" s="41"/>
      <c r="CA75" s="41"/>
      <c r="CB75" s="41"/>
      <c r="CC75" s="41"/>
      <c r="CD75" s="41"/>
      <c r="CE75" s="41"/>
      <c r="CF75" s="41"/>
      <c r="CG75" s="41"/>
      <c r="CH75" s="41"/>
      <c r="CI75" s="41"/>
      <c r="CJ75" s="41"/>
      <c r="CK75" s="41"/>
      <c r="CL75" s="41"/>
      <c r="CM75" s="41"/>
      <c r="CN75" s="41"/>
      <c r="CO75" s="41"/>
      <c r="CP75" s="41"/>
    </row>
    <row r="76" spans="1:94" s="53" customFormat="1" ht="28.5" customHeight="1" x14ac:dyDescent="0.25">
      <c r="A76" s="85"/>
      <c r="B76" s="83"/>
      <c r="C76" s="411" t="s">
        <v>64</v>
      </c>
      <c r="D76" s="412"/>
      <c r="E76" s="59"/>
      <c r="F76" s="59"/>
      <c r="G76" s="61"/>
      <c r="H76" s="61"/>
      <c r="I76" s="61"/>
      <c r="J76" s="61"/>
      <c r="K76" s="291"/>
      <c r="L76" s="292"/>
      <c r="M76" s="305"/>
      <c r="N76" s="293"/>
      <c r="O76"/>
      <c r="P76"/>
      <c r="Q76"/>
      <c r="R76"/>
      <c r="S76"/>
      <c r="T76"/>
      <c r="U76"/>
      <c r="V76"/>
      <c r="W76"/>
      <c r="X76"/>
      <c r="Y76"/>
      <c r="Z76" s="344"/>
      <c r="AA76" s="363"/>
      <c r="AB76" s="363"/>
      <c r="AC76" s="363"/>
      <c r="AD76" s="110"/>
      <c r="AE76" s="41"/>
      <c r="AF76" s="41"/>
      <c r="AG76" s="41"/>
      <c r="AH76" s="41"/>
      <c r="AI76" s="41"/>
      <c r="AJ76" s="41"/>
      <c r="AK76" s="41"/>
      <c r="AL76" s="41"/>
      <c r="AM76" s="41"/>
      <c r="AN76" s="41"/>
      <c r="AO76" s="41"/>
      <c r="AP76" s="41"/>
      <c r="AQ76" s="41"/>
      <c r="AR76" s="41"/>
      <c r="AS76" s="41"/>
      <c r="AT76" s="41"/>
      <c r="AU76" s="41"/>
      <c r="AV76" s="41"/>
      <c r="AW76" s="41"/>
      <c r="AX76" s="41"/>
      <c r="AY76" s="41"/>
      <c r="AZ76" s="41"/>
      <c r="BA76" s="41"/>
      <c r="BB76" s="41"/>
      <c r="BC76" s="41"/>
      <c r="BD76" s="41"/>
      <c r="BE76" s="41"/>
      <c r="BF76" s="41"/>
      <c r="BG76" s="41"/>
      <c r="BH76" s="41"/>
      <c r="BI76" s="41"/>
      <c r="BJ76" s="41"/>
      <c r="BK76" s="41"/>
      <c r="BL76" s="41"/>
      <c r="BM76" s="41"/>
      <c r="BN76" s="41"/>
      <c r="BO76" s="41"/>
      <c r="BP76" s="41"/>
      <c r="BQ76" s="41"/>
      <c r="BR76" s="41"/>
      <c r="BS76" s="41"/>
      <c r="BT76" s="41"/>
      <c r="BU76" s="41"/>
      <c r="BV76" s="41"/>
      <c r="BW76" s="41"/>
      <c r="BX76" s="41"/>
      <c r="BY76" s="41"/>
      <c r="BZ76" s="41"/>
      <c r="CA76" s="41"/>
      <c r="CB76" s="41"/>
      <c r="CC76" s="41"/>
      <c r="CD76" s="41"/>
      <c r="CE76" s="41"/>
      <c r="CF76" s="41"/>
      <c r="CG76" s="41"/>
      <c r="CH76" s="41"/>
      <c r="CI76" s="41"/>
      <c r="CJ76" s="41"/>
      <c r="CK76" s="41"/>
      <c r="CL76" s="41"/>
      <c r="CM76" s="41"/>
      <c r="CN76" s="41"/>
      <c r="CO76" s="41"/>
      <c r="CP76" s="41"/>
    </row>
    <row r="77" spans="1:94" s="53" customFormat="1" ht="15" x14ac:dyDescent="0.25">
      <c r="A77" s="116">
        <v>12.01</v>
      </c>
      <c r="B77" s="57"/>
      <c r="C77" s="404"/>
      <c r="D77" s="405"/>
      <c r="E77" s="87"/>
      <c r="F77" s="58"/>
      <c r="G77" s="88"/>
      <c r="H77" s="88"/>
      <c r="I77" s="88"/>
      <c r="J77" s="80">
        <f>ROUND(SUM(G77:I77),-2)</f>
        <v>0</v>
      </c>
      <c r="K77" s="296"/>
      <c r="L77" s="292"/>
      <c r="M77" s="292"/>
      <c r="N77" s="293"/>
      <c r="O77"/>
      <c r="P77"/>
      <c r="Q77"/>
      <c r="R77"/>
      <c r="S77"/>
      <c r="T77"/>
      <c r="U77"/>
      <c r="V77"/>
      <c r="W77"/>
      <c r="X77"/>
      <c r="Y77"/>
      <c r="Z77" s="344"/>
      <c r="AA77" s="363"/>
      <c r="AB77" s="363"/>
      <c r="AC77" s="363"/>
      <c r="AD77" s="110"/>
      <c r="AE77" s="41"/>
      <c r="AF77" s="41"/>
      <c r="AG77" s="41"/>
      <c r="AH77" s="41"/>
      <c r="AI77" s="41"/>
      <c r="AJ77" s="41"/>
      <c r="AK77" s="41"/>
      <c r="AL77" s="41"/>
      <c r="AM77" s="41"/>
      <c r="AN77" s="41"/>
      <c r="AO77" s="41"/>
      <c r="AP77" s="41"/>
      <c r="AQ77" s="41"/>
      <c r="AR77" s="41"/>
      <c r="AS77" s="41"/>
      <c r="AT77" s="41"/>
      <c r="AU77" s="41"/>
      <c r="AV77" s="41"/>
      <c r="AW77" s="41"/>
      <c r="AX77" s="41"/>
      <c r="AY77" s="41"/>
      <c r="AZ77" s="41"/>
      <c r="BA77" s="41"/>
      <c r="BB77" s="41"/>
      <c r="BC77" s="41"/>
      <c r="BD77" s="41"/>
      <c r="BE77" s="41"/>
      <c r="BF77" s="41"/>
      <c r="BG77" s="41"/>
      <c r="BH77" s="41"/>
      <c r="BI77" s="41"/>
      <c r="BJ77" s="41"/>
      <c r="BK77" s="41"/>
      <c r="BL77" s="41"/>
      <c r="BM77" s="41"/>
      <c r="BN77" s="41"/>
      <c r="BO77" s="41"/>
      <c r="BP77" s="41"/>
      <c r="BQ77" s="41"/>
      <c r="BR77" s="41"/>
      <c r="BS77" s="41"/>
      <c r="BT77" s="41"/>
      <c r="BU77" s="41"/>
      <c r="BV77" s="41"/>
      <c r="BW77" s="41"/>
      <c r="BX77" s="41"/>
      <c r="BY77" s="41"/>
      <c r="BZ77" s="41"/>
      <c r="CA77" s="41"/>
      <c r="CB77" s="41"/>
      <c r="CC77" s="41"/>
      <c r="CD77" s="41"/>
      <c r="CE77" s="41"/>
      <c r="CF77" s="41"/>
      <c r="CG77" s="41"/>
      <c r="CH77" s="41"/>
      <c r="CI77" s="41"/>
      <c r="CJ77" s="41"/>
      <c r="CK77" s="41"/>
      <c r="CL77" s="41"/>
      <c r="CM77" s="41"/>
      <c r="CN77" s="41"/>
      <c r="CO77" s="41"/>
      <c r="CP77" s="41"/>
    </row>
    <row r="78" spans="1:94" s="53" customFormat="1" ht="15" x14ac:dyDescent="0.25">
      <c r="A78" s="116">
        <v>12.02</v>
      </c>
      <c r="B78" s="57"/>
      <c r="C78" s="404"/>
      <c r="D78" s="405"/>
      <c r="E78" s="87"/>
      <c r="F78" s="58"/>
      <c r="G78" s="88"/>
      <c r="H78" s="88"/>
      <c r="I78" s="88"/>
      <c r="J78" s="80">
        <f>ROUND(SUM(G78:I78),-2)</f>
        <v>0</v>
      </c>
      <c r="K78" s="296"/>
      <c r="L78" s="292"/>
      <c r="M78" s="292"/>
      <c r="N78" s="293"/>
      <c r="O78"/>
      <c r="P78"/>
      <c r="Q78"/>
      <c r="R78"/>
      <c r="S78"/>
      <c r="T78"/>
      <c r="U78"/>
      <c r="V78"/>
      <c r="W78"/>
      <c r="X78"/>
      <c r="Y78"/>
      <c r="Z78" s="344"/>
      <c r="AA78" s="363"/>
      <c r="AB78" s="363"/>
      <c r="AC78" s="363"/>
      <c r="AD78" s="110"/>
      <c r="AE78" s="41"/>
      <c r="AF78" s="41"/>
      <c r="AG78" s="41"/>
      <c r="AH78" s="41"/>
      <c r="AI78" s="41"/>
      <c r="AJ78" s="41"/>
      <c r="AK78" s="41"/>
      <c r="AL78" s="41"/>
      <c r="AM78" s="41"/>
      <c r="AN78" s="41"/>
      <c r="AO78" s="41"/>
      <c r="AP78" s="41"/>
      <c r="AQ78" s="41"/>
      <c r="AR78" s="41"/>
      <c r="AS78" s="41"/>
      <c r="AT78" s="41"/>
      <c r="AU78" s="41"/>
      <c r="AV78" s="41"/>
      <c r="AW78" s="41"/>
      <c r="AX78" s="41"/>
      <c r="AY78" s="41"/>
      <c r="AZ78" s="41"/>
      <c r="BA78" s="41"/>
      <c r="BB78" s="41"/>
      <c r="BC78" s="41"/>
      <c r="BD78" s="41"/>
      <c r="BE78" s="41"/>
      <c r="BF78" s="41"/>
      <c r="BG78" s="41"/>
      <c r="BH78" s="41"/>
      <c r="BI78" s="41"/>
      <c r="BJ78" s="41"/>
      <c r="BK78" s="41"/>
      <c r="BL78" s="41"/>
      <c r="BM78" s="41"/>
      <c r="BN78" s="41"/>
      <c r="BO78" s="41"/>
      <c r="BP78" s="41"/>
      <c r="BQ78" s="41"/>
      <c r="BR78" s="41"/>
      <c r="BS78" s="41"/>
      <c r="BT78" s="41"/>
      <c r="BU78" s="41"/>
      <c r="BV78" s="41"/>
      <c r="BW78" s="41"/>
      <c r="BX78" s="41"/>
      <c r="BY78" s="41"/>
      <c r="BZ78" s="41"/>
      <c r="CA78" s="41"/>
      <c r="CB78" s="41"/>
      <c r="CC78" s="41"/>
      <c r="CD78" s="41"/>
      <c r="CE78" s="41"/>
      <c r="CF78" s="41"/>
      <c r="CG78" s="41"/>
      <c r="CH78" s="41"/>
      <c r="CI78" s="41"/>
      <c r="CJ78" s="41"/>
      <c r="CK78" s="41"/>
      <c r="CL78" s="41"/>
      <c r="CM78" s="41"/>
      <c r="CN78" s="41"/>
      <c r="CO78" s="41"/>
      <c r="CP78" s="41"/>
    </row>
    <row r="79" spans="1:94" s="53" customFormat="1" ht="15" x14ac:dyDescent="0.25">
      <c r="A79" s="116">
        <v>12.03</v>
      </c>
      <c r="B79" s="57" t="s">
        <v>45</v>
      </c>
      <c r="C79" s="404"/>
      <c r="D79" s="405"/>
      <c r="E79" s="87"/>
      <c r="F79" s="58"/>
      <c r="G79" s="88"/>
      <c r="H79" s="88"/>
      <c r="I79" s="88"/>
      <c r="J79" s="80">
        <f>ROUND(SUM(G79:I79),-2)</f>
        <v>0</v>
      </c>
      <c r="K79" s="296"/>
      <c r="L79" s="292"/>
      <c r="M79" s="292"/>
      <c r="N79" s="293"/>
      <c r="O79"/>
      <c r="P79"/>
      <c r="Q79"/>
      <c r="R79"/>
      <c r="S79"/>
      <c r="T79"/>
      <c r="U79"/>
      <c r="V79"/>
      <c r="W79"/>
      <c r="X79"/>
      <c r="Y79"/>
      <c r="Z79" s="344"/>
      <c r="AA79" s="363"/>
      <c r="AB79" s="363"/>
      <c r="AC79" s="363"/>
      <c r="AD79" s="110"/>
      <c r="AE79" s="41"/>
      <c r="AF79" s="41"/>
      <c r="AG79" s="41"/>
      <c r="AH79" s="41"/>
      <c r="AI79" s="41"/>
      <c r="AJ79" s="41"/>
      <c r="AK79" s="41"/>
      <c r="AL79" s="41"/>
      <c r="AM79" s="41"/>
      <c r="AN79" s="41"/>
      <c r="AO79" s="41"/>
      <c r="AP79" s="41"/>
      <c r="AQ79" s="41"/>
      <c r="AR79" s="41"/>
      <c r="AS79" s="41"/>
      <c r="AT79" s="41"/>
      <c r="AU79" s="41"/>
      <c r="AV79" s="41"/>
      <c r="AW79" s="41"/>
      <c r="AX79" s="41"/>
      <c r="AY79" s="41"/>
      <c r="AZ79" s="41"/>
      <c r="BA79" s="41"/>
      <c r="BB79" s="41"/>
      <c r="BC79" s="41"/>
      <c r="BD79" s="41"/>
      <c r="BE79" s="41"/>
      <c r="BF79" s="41"/>
      <c r="BG79" s="41"/>
      <c r="BH79" s="41"/>
      <c r="BI79" s="41"/>
      <c r="BJ79" s="41"/>
      <c r="BK79" s="41"/>
      <c r="BL79" s="41"/>
      <c r="BM79" s="41"/>
      <c r="BN79" s="41"/>
      <c r="BO79" s="41"/>
      <c r="BP79" s="41"/>
      <c r="BQ79" s="41"/>
      <c r="BR79" s="41"/>
      <c r="BS79" s="41"/>
      <c r="BT79" s="41"/>
      <c r="BU79" s="41"/>
      <c r="BV79" s="41"/>
      <c r="BW79" s="41"/>
      <c r="BX79" s="41"/>
      <c r="BY79" s="41"/>
      <c r="BZ79" s="41"/>
      <c r="CA79" s="41"/>
      <c r="CB79" s="41"/>
      <c r="CC79" s="41"/>
      <c r="CD79" s="41"/>
      <c r="CE79" s="41"/>
      <c r="CF79" s="41"/>
      <c r="CG79" s="41"/>
      <c r="CH79" s="41"/>
      <c r="CI79" s="41"/>
      <c r="CJ79" s="41"/>
      <c r="CK79" s="41"/>
      <c r="CL79" s="41"/>
      <c r="CM79" s="41"/>
      <c r="CN79" s="41"/>
      <c r="CO79" s="41"/>
      <c r="CP79" s="41"/>
    </row>
    <row r="80" spans="1:94" s="53" customFormat="1" ht="15.75" customHeight="1" x14ac:dyDescent="0.25">
      <c r="A80" s="117">
        <v>13</v>
      </c>
      <c r="B80" s="118"/>
      <c r="C80" s="119" t="str">
        <f>"FY "&amp;M4</f>
        <v>FY 2023</v>
      </c>
      <c r="D80" s="120" t="s">
        <v>65</v>
      </c>
      <c r="E80" s="121"/>
      <c r="F80" s="55">
        <f>SUM(F75:F79)</f>
        <v>3</v>
      </c>
      <c r="G80" s="80">
        <f>SUM(G75:G79)</f>
        <v>147300</v>
      </c>
      <c r="H80" s="80">
        <f>SUM(H75:H79)</f>
        <v>33000</v>
      </c>
      <c r="I80" s="80">
        <f>SUM(I75:I79)</f>
        <v>30700</v>
      </c>
      <c r="J80" s="80">
        <f>SUM(J75:J79)</f>
        <v>211000</v>
      </c>
      <c r="K80" s="270"/>
      <c r="L80" s="122"/>
      <c r="M80" s="122"/>
      <c r="N80" s="123"/>
      <c r="O80"/>
      <c r="P80"/>
      <c r="Q80"/>
      <c r="R80"/>
      <c r="S80"/>
      <c r="T80"/>
      <c r="U80"/>
      <c r="V80"/>
      <c r="W80"/>
      <c r="X80"/>
      <c r="Y80"/>
      <c r="Z80" s="344"/>
      <c r="AA80" s="363"/>
      <c r="AB80" s="363"/>
      <c r="AC80" s="363"/>
      <c r="AD80" s="110"/>
      <c r="AE80" s="41"/>
      <c r="AF80" s="41"/>
      <c r="AG80" s="41"/>
      <c r="AH80" s="41"/>
      <c r="AI80" s="41"/>
      <c r="AJ80" s="41"/>
      <c r="AK80" s="41"/>
      <c r="AL80" s="41"/>
      <c r="AM80" s="41"/>
      <c r="AN80" s="41"/>
      <c r="AO80" s="41"/>
      <c r="AP80" s="41"/>
      <c r="AQ80" s="41"/>
      <c r="AR80" s="41"/>
      <c r="AS80" s="41"/>
      <c r="AT80" s="41"/>
      <c r="AU80" s="41"/>
      <c r="AV80" s="41"/>
      <c r="AW80" s="41"/>
      <c r="AX80" s="41"/>
      <c r="AY80" s="41"/>
      <c r="AZ80" s="41"/>
      <c r="BA80" s="41"/>
      <c r="BB80" s="41"/>
      <c r="BC80" s="41"/>
      <c r="BD80" s="41"/>
      <c r="BE80" s="41"/>
      <c r="BF80" s="41"/>
      <c r="BG80" s="41"/>
      <c r="BH80" s="41"/>
      <c r="BI80" s="41"/>
      <c r="BJ80" s="41"/>
      <c r="BK80" s="41"/>
      <c r="BL80" s="41"/>
      <c r="BM80" s="41"/>
      <c r="BN80" s="41"/>
      <c r="BO80" s="41"/>
      <c r="BP80" s="41"/>
      <c r="BQ80" s="41"/>
      <c r="BR80" s="41"/>
      <c r="BS80" s="41"/>
      <c r="BT80" s="41"/>
      <c r="BU80" s="41"/>
      <c r="BV80" s="41"/>
      <c r="BW80" s="41"/>
      <c r="BX80" s="41"/>
      <c r="BY80" s="41"/>
      <c r="BZ80" s="41"/>
      <c r="CA80" s="41"/>
      <c r="CB80" s="41"/>
      <c r="CC80" s="41"/>
      <c r="CD80" s="41"/>
      <c r="CE80" s="41"/>
      <c r="CF80" s="41"/>
      <c r="CG80" s="41"/>
      <c r="CH80" s="41"/>
      <c r="CI80" s="41"/>
      <c r="CJ80" s="41"/>
      <c r="CK80" s="41"/>
      <c r="CL80" s="41"/>
      <c r="CM80" s="41"/>
      <c r="CN80" s="41"/>
      <c r="CO80" s="41"/>
      <c r="CP80" s="41"/>
    </row>
  </sheetData>
  <mergeCells count="51">
    <mergeCell ref="C13:D13"/>
    <mergeCell ref="M1:N1"/>
    <mergeCell ref="M2:N2"/>
    <mergeCell ref="M3:N3"/>
    <mergeCell ref="M4:N4"/>
    <mergeCell ref="I5:L5"/>
    <mergeCell ref="C8:D8"/>
    <mergeCell ref="AA8:AC8"/>
    <mergeCell ref="C9:D9"/>
    <mergeCell ref="C10:D10"/>
    <mergeCell ref="C11:D11"/>
    <mergeCell ref="C12:D12"/>
    <mergeCell ref="K43:N43"/>
    <mergeCell ref="AA43:AC43"/>
    <mergeCell ref="K44:N44"/>
    <mergeCell ref="C16:D16"/>
    <mergeCell ref="C17:D17"/>
    <mergeCell ref="C18:D18"/>
    <mergeCell ref="C37:D37"/>
    <mergeCell ref="AA37:AC37"/>
    <mergeCell ref="C38:D38"/>
    <mergeCell ref="C54:D54"/>
    <mergeCell ref="C39:D39"/>
    <mergeCell ref="C41:D41"/>
    <mergeCell ref="C42:D42"/>
    <mergeCell ref="C43:D44"/>
    <mergeCell ref="K45:N45"/>
    <mergeCell ref="E46:J47"/>
    <mergeCell ref="K46:N47"/>
    <mergeCell ref="C50:D50"/>
    <mergeCell ref="C53:D53"/>
    <mergeCell ref="C69:D69"/>
    <mergeCell ref="C55:D55"/>
    <mergeCell ref="C57:D57"/>
    <mergeCell ref="C58:D58"/>
    <mergeCell ref="C59:D59"/>
    <mergeCell ref="C61:D61"/>
    <mergeCell ref="C62:D62"/>
    <mergeCell ref="C63:D63"/>
    <mergeCell ref="C64:D64"/>
    <mergeCell ref="C65:D65"/>
    <mergeCell ref="C66:D66"/>
    <mergeCell ref="C68:D68"/>
    <mergeCell ref="C78:D78"/>
    <mergeCell ref="C79:D79"/>
    <mergeCell ref="C70:D70"/>
    <mergeCell ref="C71:D71"/>
    <mergeCell ref="C72:D72"/>
    <mergeCell ref="C73:D73"/>
    <mergeCell ref="C76:D76"/>
    <mergeCell ref="C77:D77"/>
  </mergeCells>
  <conditionalFormatting sqref="K44">
    <cfRule type="expression" dxfId="23" priority="5">
      <formula>$J$44&lt;0</formula>
    </cfRule>
  </conditionalFormatting>
  <conditionalFormatting sqref="K43">
    <cfRule type="expression" dxfId="22" priority="4">
      <formula>$J$43&lt;0</formula>
    </cfRule>
  </conditionalFormatting>
  <conditionalFormatting sqref="L16">
    <cfRule type="expression" dxfId="21" priority="3">
      <formula>$J$16&lt;0</formula>
    </cfRule>
  </conditionalFormatting>
  <conditionalFormatting sqref="K45">
    <cfRule type="expression" dxfId="20" priority="2">
      <formula>$J$44&lt;0</formula>
    </cfRule>
  </conditionalFormatting>
  <conditionalFormatting sqref="K43:N45">
    <cfRule type="containsText" dxfId="19" priority="1" operator="containsText" text="underfunding">
      <formula>NOT(ISERROR(SEARCH("underfunding",K43)))</formula>
    </cfRule>
  </conditionalFormatting>
  <printOptions horizontalCentered="1"/>
  <pageMargins left="0.5" right="0.5" top="0.65" bottom="0.65" header="0.26" footer="0.31"/>
  <pageSetup scale="63" fitToHeight="2" orientation="landscape" r:id="rId1"/>
  <headerFooter>
    <oddHeader>&amp;L&amp;"Helv,Bold"FORM B6:  WAGE &amp;&amp; SALARY RECONCILIATION</oddHeader>
    <oddFooter>&amp;LPrinted: &amp;D, &amp;T&amp;RPage &amp;P of &amp;N</oddFooter>
  </headerFooter>
  <rowBreaks count="1" manualBreakCount="1">
    <brk id="64" max="12" man="1"/>
  </rowBreaks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6EA12BC2-4B67-492E-B2A1-B28B2109B151}">
          <x14:formula1>
            <xm:f>Benefits!$A$20:$A$26</xm:f>
          </x14:formula1>
          <xm:sqref>C20:C30 C32:C36</xm:sqref>
        </x14:dataValidation>
      </x14:dataValidation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4"/>
  <dimension ref="A1:YF613"/>
  <sheetViews>
    <sheetView workbookViewId="0">
      <pane xSplit="3" ySplit="1" topLeftCell="AM588" activePane="bottomRight" state="frozen"/>
      <selection pane="topRight" activeCell="D1" sqref="D1"/>
      <selection pane="bottomLeft" activeCell="A2" sqref="A2"/>
      <selection pane="bottomRight" activeCell="AS595" sqref="AS595:BA613"/>
    </sheetView>
  </sheetViews>
  <sheetFormatPr defaultRowHeight="15" x14ac:dyDescent="0.25"/>
  <cols>
    <col min="45" max="53" width="15.7109375" customWidth="1"/>
    <col min="54" max="54" width="13.42578125" bestFit="1" customWidth="1"/>
    <col min="55" max="55" width="10.7109375" bestFit="1" customWidth="1"/>
    <col min="56" max="56" width="11.7109375" bestFit="1" customWidth="1"/>
    <col min="57" max="57" width="10.7109375" bestFit="1" customWidth="1"/>
    <col min="58" max="58" width="11.7109375" bestFit="1" customWidth="1"/>
    <col min="59" max="60" width="10.7109375" bestFit="1" customWidth="1"/>
    <col min="61" max="62" width="10.5703125" bestFit="1" customWidth="1"/>
    <col min="63" max="63" width="9.140625" bestFit="1" customWidth="1"/>
    <col min="64" max="64" width="13.42578125" bestFit="1" customWidth="1"/>
    <col min="65" max="65" width="10.7109375" bestFit="1" customWidth="1"/>
    <col min="66" max="66" width="13.42578125" bestFit="1" customWidth="1"/>
    <col min="67" max="67" width="10.7109375" bestFit="1" customWidth="1"/>
    <col min="68" max="68" width="11.7109375" bestFit="1" customWidth="1"/>
    <col min="69" max="69" width="10.7109375" bestFit="1" customWidth="1"/>
    <col min="70" max="70" width="11.7109375" bestFit="1" customWidth="1"/>
    <col min="71" max="71" width="10.7109375" bestFit="1" customWidth="1"/>
    <col min="72" max="72" width="9.140625" bestFit="1" customWidth="1"/>
    <col min="73" max="74" width="10.5703125" bestFit="1" customWidth="1"/>
    <col min="75" max="75" width="9.140625" bestFit="1" customWidth="1"/>
    <col min="76" max="76" width="13.42578125" bestFit="1" customWidth="1"/>
    <col min="77" max="77" width="10.7109375" bestFit="1" customWidth="1"/>
    <col min="78" max="83" width="9.140625" bestFit="1" customWidth="1"/>
    <col min="84" max="84" width="11.28515625" bestFit="1" customWidth="1"/>
    <col min="85" max="87" width="9.140625" bestFit="1" customWidth="1"/>
    <col min="88" max="88" width="11.28515625" bestFit="1" customWidth="1"/>
    <col min="89" max="89" width="9.140625" bestFit="1" customWidth="1"/>
    <col min="90" max="90" width="11.7109375" bestFit="1" customWidth="1"/>
    <col min="91" max="91" width="10.7109375" bestFit="1" customWidth="1"/>
  </cols>
  <sheetData>
    <row r="1" spans="1:92" ht="12.75" customHeight="1" thickBot="1" x14ac:dyDescent="0.3">
      <c r="A1" s="373" t="s">
        <v>118</v>
      </c>
      <c r="B1" s="373" t="s">
        <v>119</v>
      </c>
      <c r="C1" s="373" t="s">
        <v>20</v>
      </c>
      <c r="D1" s="373" t="s">
        <v>120</v>
      </c>
      <c r="E1" s="373" t="s">
        <v>121</v>
      </c>
      <c r="F1" s="374" t="s">
        <v>122</v>
      </c>
      <c r="G1" s="373" t="s">
        <v>123</v>
      </c>
      <c r="H1" s="373" t="s">
        <v>124</v>
      </c>
      <c r="I1" s="373" t="s">
        <v>125</v>
      </c>
      <c r="J1" s="373" t="s">
        <v>126</v>
      </c>
      <c r="K1" s="373" t="s">
        <v>127</v>
      </c>
      <c r="L1" s="373" t="s">
        <v>128</v>
      </c>
      <c r="M1" s="373" t="s">
        <v>129</v>
      </c>
      <c r="N1" s="373" t="s">
        <v>130</v>
      </c>
      <c r="O1" s="373" t="s">
        <v>131</v>
      </c>
      <c r="P1" s="373" t="s">
        <v>132</v>
      </c>
      <c r="Q1" s="373" t="s">
        <v>133</v>
      </c>
      <c r="R1" s="373" t="s">
        <v>134</v>
      </c>
      <c r="S1" s="373" t="s">
        <v>135</v>
      </c>
      <c r="T1" s="373" t="s">
        <v>136</v>
      </c>
      <c r="U1" s="373" t="s">
        <v>137</v>
      </c>
      <c r="V1" s="373" t="s">
        <v>138</v>
      </c>
      <c r="W1" s="373" t="s">
        <v>139</v>
      </c>
      <c r="X1" s="373" t="s">
        <v>140</v>
      </c>
      <c r="Y1" s="373" t="s">
        <v>141</v>
      </c>
      <c r="Z1" s="373" t="s">
        <v>142</v>
      </c>
      <c r="AA1" s="373" t="s">
        <v>143</v>
      </c>
      <c r="AB1" s="373" t="s">
        <v>144</v>
      </c>
      <c r="AC1" s="373" t="s">
        <v>145</v>
      </c>
      <c r="AD1" s="373" t="s">
        <v>146</v>
      </c>
      <c r="AE1" s="373" t="s">
        <v>147</v>
      </c>
      <c r="AF1" s="373" t="s">
        <v>148</v>
      </c>
      <c r="AG1" s="373" t="s">
        <v>149</v>
      </c>
      <c r="AH1" s="373" t="s">
        <v>150</v>
      </c>
      <c r="AI1" s="373" t="s">
        <v>151</v>
      </c>
      <c r="AJ1" s="373" t="s">
        <v>152</v>
      </c>
      <c r="AK1" s="373" t="s">
        <v>153</v>
      </c>
      <c r="AL1" s="373" t="s">
        <v>154</v>
      </c>
      <c r="AM1" s="373" t="s">
        <v>155</v>
      </c>
      <c r="AN1" s="373" t="s">
        <v>156</v>
      </c>
      <c r="AO1" s="373" t="s">
        <v>157</v>
      </c>
      <c r="AP1" s="373" t="s">
        <v>158</v>
      </c>
      <c r="AQ1" s="373" t="s">
        <v>159</v>
      </c>
      <c r="AR1" s="373" t="s">
        <v>160</v>
      </c>
      <c r="AS1" s="385" t="s">
        <v>1939</v>
      </c>
      <c r="AT1" s="385" t="s">
        <v>1940</v>
      </c>
      <c r="AU1" s="385" t="s">
        <v>1941</v>
      </c>
      <c r="AV1" s="385" t="s">
        <v>1942</v>
      </c>
      <c r="AW1" s="385" t="s">
        <v>1943</v>
      </c>
      <c r="AX1" s="385" t="s">
        <v>1944</v>
      </c>
      <c r="AY1" s="385" t="s">
        <v>1945</v>
      </c>
      <c r="AZ1" s="385" t="s">
        <v>1946</v>
      </c>
      <c r="BA1" s="387" t="s">
        <v>1947</v>
      </c>
      <c r="BB1" s="388" t="s">
        <v>1948</v>
      </c>
      <c r="BC1" s="388" t="s">
        <v>1949</v>
      </c>
      <c r="BD1" s="388" t="s">
        <v>1950</v>
      </c>
      <c r="BE1" s="388" t="s">
        <v>1951</v>
      </c>
      <c r="BF1" s="388" t="s">
        <v>1952</v>
      </c>
      <c r="BG1" s="388" t="s">
        <v>1953</v>
      </c>
      <c r="BH1" s="388" t="s">
        <v>1954</v>
      </c>
      <c r="BI1" s="388" t="s">
        <v>1955</v>
      </c>
      <c r="BJ1" s="388" t="s">
        <v>1956</v>
      </c>
      <c r="BK1" s="388" t="s">
        <v>1957</v>
      </c>
      <c r="BL1" s="389" t="s">
        <v>1958</v>
      </c>
      <c r="BM1" s="389" t="s">
        <v>1959</v>
      </c>
      <c r="BN1" s="388" t="s">
        <v>1960</v>
      </c>
      <c r="BO1" s="388" t="s">
        <v>1961</v>
      </c>
      <c r="BP1" s="388" t="s">
        <v>1962</v>
      </c>
      <c r="BQ1" s="388" t="s">
        <v>1963</v>
      </c>
      <c r="BR1" s="388" t="s">
        <v>1964</v>
      </c>
      <c r="BS1" s="388" t="s">
        <v>1965</v>
      </c>
      <c r="BT1" s="388" t="s">
        <v>1966</v>
      </c>
      <c r="BU1" s="388" t="s">
        <v>1967</v>
      </c>
      <c r="BV1" s="388" t="s">
        <v>1968</v>
      </c>
      <c r="BW1" s="388" t="s">
        <v>1969</v>
      </c>
      <c r="BX1" s="389" t="s">
        <v>1970</v>
      </c>
      <c r="BY1" s="389" t="s">
        <v>1971</v>
      </c>
      <c r="BZ1" s="388" t="s">
        <v>1972</v>
      </c>
      <c r="CA1" s="388" t="s">
        <v>1973</v>
      </c>
      <c r="CB1" s="388" t="s">
        <v>1974</v>
      </c>
      <c r="CC1" s="388" t="s">
        <v>1975</v>
      </c>
      <c r="CD1" s="388" t="s">
        <v>1976</v>
      </c>
      <c r="CE1" s="388" t="s">
        <v>1977</v>
      </c>
      <c r="CF1" s="388" t="s">
        <v>1978</v>
      </c>
      <c r="CG1" s="388" t="s">
        <v>1979</v>
      </c>
      <c r="CH1" s="388" t="s">
        <v>1980</v>
      </c>
      <c r="CI1" s="388" t="s">
        <v>1981</v>
      </c>
      <c r="CJ1" s="389" t="s">
        <v>1982</v>
      </c>
      <c r="CK1" s="389" t="s">
        <v>1983</v>
      </c>
      <c r="CL1" s="390" t="s">
        <v>1984</v>
      </c>
      <c r="CM1" s="390" t="s">
        <v>1985</v>
      </c>
      <c r="CN1" s="390" t="s">
        <v>1986</v>
      </c>
    </row>
    <row r="2" spans="1:92" ht="15.75" thickBot="1" x14ac:dyDescent="0.3">
      <c r="A2" s="375" t="s">
        <v>161</v>
      </c>
      <c r="B2" s="375" t="s">
        <v>162</v>
      </c>
      <c r="C2" s="375" t="s">
        <v>163</v>
      </c>
      <c r="D2" s="375" t="s">
        <v>164</v>
      </c>
      <c r="E2" s="375" t="s">
        <v>165</v>
      </c>
      <c r="F2" s="376" t="s">
        <v>166</v>
      </c>
      <c r="G2" s="375" t="s">
        <v>167</v>
      </c>
      <c r="H2" s="377"/>
      <c r="I2" s="377"/>
      <c r="J2" s="375" t="s">
        <v>168</v>
      </c>
      <c r="K2" s="375" t="s">
        <v>169</v>
      </c>
      <c r="L2" s="375" t="s">
        <v>170</v>
      </c>
      <c r="M2" s="375" t="s">
        <v>171</v>
      </c>
      <c r="N2" s="375" t="s">
        <v>172</v>
      </c>
      <c r="O2" s="378">
        <v>0</v>
      </c>
      <c r="P2" s="384">
        <v>1</v>
      </c>
      <c r="Q2" s="384">
        <v>1</v>
      </c>
      <c r="R2" s="379">
        <v>80</v>
      </c>
      <c r="S2" s="384">
        <v>1</v>
      </c>
      <c r="T2" s="379">
        <v>0</v>
      </c>
      <c r="U2" s="379">
        <v>0</v>
      </c>
      <c r="V2" s="379">
        <v>0</v>
      </c>
      <c r="W2" s="379">
        <v>52000</v>
      </c>
      <c r="X2" s="379">
        <v>22776</v>
      </c>
      <c r="Y2" s="379">
        <v>52000</v>
      </c>
      <c r="Z2" s="379">
        <v>22516</v>
      </c>
      <c r="AA2" s="377"/>
      <c r="AB2" s="375" t="s">
        <v>45</v>
      </c>
      <c r="AC2" s="375" t="s">
        <v>45</v>
      </c>
      <c r="AD2" s="377"/>
      <c r="AE2" s="377"/>
      <c r="AF2" s="377"/>
      <c r="AG2" s="377"/>
      <c r="AH2" s="378">
        <v>0</v>
      </c>
      <c r="AI2" s="378">
        <v>0</v>
      </c>
      <c r="AJ2" s="377"/>
      <c r="AK2" s="377"/>
      <c r="AL2" s="375" t="s">
        <v>173</v>
      </c>
      <c r="AM2" s="377"/>
      <c r="AN2" s="377"/>
      <c r="AO2" s="378">
        <v>0</v>
      </c>
      <c r="AP2" s="384">
        <v>0</v>
      </c>
      <c r="AQ2" s="384">
        <v>0</v>
      </c>
      <c r="AR2" s="382"/>
      <c r="AS2" s="386">
        <f>IF(((AO2/80)*AP2*P2)&gt;1,AQ2,((AO2/80)*AP2*P2))</f>
        <v>0</v>
      </c>
      <c r="AT2">
        <f>IF(AND(M2="F",N2&lt;&gt;"NG",AS2&lt;&gt;0,AND(AR2&lt;&gt;6,AR2&lt;&gt;36,AR2&lt;&gt;56),AG2&lt;&gt;"A",OR(AG2="H",AJ2="FS")),1,IF(AND(M2="F",N2&lt;&gt;"NG",AS2&lt;&gt;0,AG2="A"),3,0))</f>
        <v>0</v>
      </c>
      <c r="AU2" s="386" t="str">
        <f>IF(AT2=0,"",IF(AND(AT2=1,M2="F",SUMIF(C2:C557,C2,AS2:AS557)&lt;=1),SUMIF(C2:C557,C2,AS2:AS557),IF(AND(AT2=1,M2="F",SUMIF(C2:C557,C2,AS2:AS557)&gt;1),1,"")))</f>
        <v/>
      </c>
      <c r="AV2" s="386" t="str">
        <f>IF(AT2=0,"",IF(AND(AT2=3,M2="F",SUMIF(C2:C557,C2,AS2:AS557)&lt;=1),SUMIF(C2:C557,C2,AS2:AS557),IF(AND(AT2=3,M2="F",SUMIF(C2:C557,C2,AS2:AS557)&gt;1),1,"")))</f>
        <v/>
      </c>
      <c r="AW2" s="386">
        <f>SUMIF(C2:C557,C2,O2:O557)</f>
        <v>0</v>
      </c>
      <c r="AX2" s="386">
        <f>IF(AND(M2="F",AS2&lt;&gt;0),SUMIF(C2:C557,C2,W2:W557),0)</f>
        <v>0</v>
      </c>
      <c r="AY2" s="386" t="str">
        <f>IF(AT2=1,W2,"")</f>
        <v/>
      </c>
      <c r="AZ2" s="386" t="str">
        <f>IF(AT2=3,W2,"")</f>
        <v/>
      </c>
      <c r="BA2" s="386">
        <f>IF(AT2=1,Y2-W2,0)</f>
        <v>0</v>
      </c>
      <c r="BB2" s="386">
        <f t="shared" ref="BB2:BB65" si="0">IF(AND(AT2=1,AK2="E",AU2&gt;=0.75,AW2=1),Health,IF(AND(AT2=1,AK2="E",AU2&gt;=0.75),Health*P2,IF(AND(AT2=1,AK2="E",AU2&gt;=0.5,AW2=1),PTHealth,IF(AND(AT2=1,AK2="E",AU2&gt;=0.5),PTHealth*P2,0))))</f>
        <v>0</v>
      </c>
      <c r="BC2" s="386">
        <f t="shared" ref="BC2:BC65" si="1">IF(AND(AT2=3,AK2="E",AV2&gt;=0.75,AW2=1),Health,IF(AND(AT2=3,AK2="E",AV2&gt;=0.75),Health*P2,IF(AND(AT2=3,AK2="E",AV2&gt;=0.5,AW2=1),PTHealth,IF(AND(AT2=3,AK2="E",AV2&gt;=0.5),PTHealth*P2,0))))</f>
        <v>0</v>
      </c>
      <c r="BD2" s="386">
        <f t="shared" ref="BD2:BD65" si="2">IF(AND(AT2&lt;&gt;0,AX2&gt;=MAXSSDI),SSDI*MAXSSDI*P2,IF(AT2&lt;&gt;0,SSDI*W2,0))</f>
        <v>0</v>
      </c>
      <c r="BE2" s="386">
        <f t="shared" ref="BE2:BE65" si="3">IF(AT2&lt;&gt;0,SSHI*W2,0)</f>
        <v>0</v>
      </c>
      <c r="BF2" s="386">
        <f t="shared" ref="BF2:BF65" si="4">IF(AND(AT2&lt;&gt;0,AN2&lt;&gt;"NE"),VLOOKUP(AN2,Retirement_Rates,3,FALSE)*W2,0)</f>
        <v>0</v>
      </c>
      <c r="BG2" s="386">
        <f t="shared" ref="BG2:BG65" si="5">IF(AND(AT2&lt;&gt;0,AJ2&lt;&gt;"PF"),Life*W2,0)</f>
        <v>0</v>
      </c>
      <c r="BH2" s="386">
        <f t="shared" ref="BH2:BH65" si="6">IF(AND(AT2&lt;&gt;0,AM2="Y"),UI*W2,0)</f>
        <v>0</v>
      </c>
      <c r="BI2" s="386">
        <f t="shared" ref="BI2:BI65" si="7">IF(AND(AT2&lt;&gt;0,N2&lt;&gt;"NR"),DHR*W2,0)</f>
        <v>0</v>
      </c>
      <c r="BJ2" s="386">
        <f t="shared" ref="BJ2:BJ65" si="8">IF(AT2&lt;&gt;0,WC*W2,0)</f>
        <v>0</v>
      </c>
      <c r="BK2" s="386">
        <f t="shared" ref="BK2:BK65" si="9">IF(OR(AND(AT2&lt;&gt;0,AJ2&lt;&gt;"PF",AN2&lt;&gt;"NE",AG2&lt;&gt;"A"),AND(AL2="E",OR(AT2=1,AT2=3))),Sick*W2,0)</f>
        <v>0</v>
      </c>
      <c r="BL2" s="386">
        <f>IF(AT2=1,SUM(BD2:BK2),0)</f>
        <v>0</v>
      </c>
      <c r="BM2" s="386">
        <f>IF(AT2=3,SUM(BD2:BK2),0)</f>
        <v>0</v>
      </c>
      <c r="BN2" s="386">
        <f t="shared" ref="BN2:BN65" si="10">IF(AND(AT2=1,AK2="E",AU2&gt;=0.75,AW2=1),HealthBY,IF(AND(AT2=1,AK2="E",AU2&gt;=0.75),HealthBY*P2,IF(AND(AT2=1,AK2="E",AU2&gt;=0.5,AW2=1),PTHealthBY,IF(AND(AT2=1,AK2="E",AU2&gt;=0.5),PTHealthBY*P2,0))))</f>
        <v>0</v>
      </c>
      <c r="BO2" s="386">
        <f t="shared" ref="BO2:BO65" si="11">IF(AND(AT2=3,AK2="E",AV2&gt;=0.75,AW2=1),HealthBY,IF(AND(AT2=3,AK2="E",AV2&gt;=0.75),HealthBY*P2,IF(AND(AT2=3,AK2="E",AV2&gt;=0.5,AW2=1),PTHealthBY,IF(AND(AT2=3,AK2="E",AV2&gt;=0.5),PTHealthBY*P2,0))))</f>
        <v>0</v>
      </c>
      <c r="BP2" s="386">
        <f t="shared" ref="BP2:BP65" si="12">IF(AND(AT2&lt;&gt;0,(AX2+BA2)&gt;=MAXSSDIBY),SSDIBY*MAXSSDIBY*P2,IF(AT2&lt;&gt;0,SSDIBY*W2,0))</f>
        <v>0</v>
      </c>
      <c r="BQ2" s="386">
        <f t="shared" ref="BQ2:BQ65" si="13">IF(AT2&lt;&gt;0,SSHIBY*W2,0)</f>
        <v>0</v>
      </c>
      <c r="BR2" s="386">
        <f t="shared" ref="BR2:BR65" si="14">IF(AND(AT2&lt;&gt;0,AN2&lt;&gt;"NE"),VLOOKUP(AN2,Retirement_Rates,4,FALSE)*W2,0)</f>
        <v>0</v>
      </c>
      <c r="BS2" s="386">
        <f t="shared" ref="BS2:BS65" si="15">IF(AND(AT2&lt;&gt;0,AJ2&lt;&gt;"PF"),LifeBY*W2,0)</f>
        <v>0</v>
      </c>
      <c r="BT2" s="386">
        <f t="shared" ref="BT2:BT65" si="16">IF(AND(AT2&lt;&gt;0,AM2="Y"),UIBY*W2,0)</f>
        <v>0</v>
      </c>
      <c r="BU2" s="386">
        <f t="shared" ref="BU2:BU65" si="17">IF(AND(AT2&lt;&gt;0,N2&lt;&gt;"NR"),DHRBY*W2,0)</f>
        <v>0</v>
      </c>
      <c r="BV2" s="386">
        <f t="shared" ref="BV2:BV65" si="18">IF(AT2&lt;&gt;0,WCBY*W2,0)</f>
        <v>0</v>
      </c>
      <c r="BW2" s="386">
        <f t="shared" ref="BW2:BW65" si="19">IF(OR(AND(AT2&lt;&gt;0,AJ2&lt;&gt;"PF",AN2&lt;&gt;"NE",AG2&lt;&gt;"A"),AND(AL2="E",OR(AT2=1,AT2=3))),SickBY*W2,0)</f>
        <v>0</v>
      </c>
      <c r="BX2" s="386">
        <f>IF(AT2=1,SUM(BP2:BW2),0)</f>
        <v>0</v>
      </c>
      <c r="BY2" s="386">
        <f>IF(AT2=3,SUM(BP2:BW2),0)</f>
        <v>0</v>
      </c>
      <c r="BZ2" s="386">
        <f>IF(AT2=1,BN2-BB2,0)</f>
        <v>0</v>
      </c>
      <c r="CA2" s="386">
        <f>IF(AT2=3,BO2-BC2,0)</f>
        <v>0</v>
      </c>
      <c r="CB2" s="386">
        <f>BP2-BD2</f>
        <v>0</v>
      </c>
      <c r="CC2" s="386">
        <f t="shared" ref="CC2:CC65" si="20">IF(AT2&lt;&gt;0,SSHICHG*Y2,0)</f>
        <v>0</v>
      </c>
      <c r="CD2" s="386">
        <f t="shared" ref="CD2:CD65" si="21">IF(AND(AT2&lt;&gt;0,AN2&lt;&gt;"NE"),VLOOKUP(AN2,Retirement_Rates,5,FALSE)*Y2,0)</f>
        <v>0</v>
      </c>
      <c r="CE2" s="386">
        <f t="shared" ref="CE2:CE65" si="22">IF(AND(AT2&lt;&gt;0,AJ2&lt;&gt;"PF"),LifeCHG*Y2,0)</f>
        <v>0</v>
      </c>
      <c r="CF2" s="386">
        <f t="shared" ref="CF2:CF65" si="23">IF(AND(AT2&lt;&gt;0,AM2="Y"),UICHG*Y2,0)</f>
        <v>0</v>
      </c>
      <c r="CG2" s="386">
        <f t="shared" ref="CG2:CG65" si="24">IF(AND(AT2&lt;&gt;0,N2&lt;&gt;"NR"),DHRCHG*Y2,0)</f>
        <v>0</v>
      </c>
      <c r="CH2" s="386">
        <f t="shared" ref="CH2:CH65" si="25">IF(AT2&lt;&gt;0,WCCHG*Y2,0)</f>
        <v>0</v>
      </c>
      <c r="CI2" s="386">
        <f t="shared" ref="CI2:CI65" si="26">IF(OR(AND(AT2&lt;&gt;0,AJ2&lt;&gt;"PF",AN2&lt;&gt;"NE",AG2&lt;&gt;"A"),AND(AL2="E",OR(AT2=1,AT2=3))),SickCHG*Y2,0)</f>
        <v>0</v>
      </c>
      <c r="CJ2" s="386">
        <f>IF(AT2=1,SUM(CB2:CI2),0)</f>
        <v>0</v>
      </c>
      <c r="CK2" s="386" t="str">
        <f>IF(AT2=3,SUM(CB2:CI2),"")</f>
        <v/>
      </c>
      <c r="CL2" s="386" t="str">
        <f>IF(OR(N2="NG",AG2="D"),(T2+U2),"")</f>
        <v/>
      </c>
      <c r="CM2" s="386" t="str">
        <f>IF(OR(N2="NG",AG2="D"),V2,"")</f>
        <v/>
      </c>
      <c r="CN2" s="386" t="str">
        <f>E2 &amp; "-" &amp; F2</f>
        <v>0001-00</v>
      </c>
    </row>
    <row r="3" spans="1:92" ht="15.75" thickBot="1" x14ac:dyDescent="0.3">
      <c r="A3" s="375" t="s">
        <v>161</v>
      </c>
      <c r="B3" s="375" t="s">
        <v>162</v>
      </c>
      <c r="C3" s="375" t="s">
        <v>174</v>
      </c>
      <c r="D3" s="375" t="s">
        <v>175</v>
      </c>
      <c r="E3" s="375" t="s">
        <v>165</v>
      </c>
      <c r="F3" s="376" t="s">
        <v>166</v>
      </c>
      <c r="G3" s="375" t="s">
        <v>167</v>
      </c>
      <c r="H3" s="377"/>
      <c r="I3" s="377"/>
      <c r="J3" s="375" t="s">
        <v>168</v>
      </c>
      <c r="K3" s="375" t="s">
        <v>176</v>
      </c>
      <c r="L3" s="375" t="s">
        <v>170</v>
      </c>
      <c r="M3" s="375" t="s">
        <v>177</v>
      </c>
      <c r="N3" s="375" t="s">
        <v>172</v>
      </c>
      <c r="O3" s="378">
        <v>1</v>
      </c>
      <c r="P3" s="384">
        <v>1</v>
      </c>
      <c r="Q3" s="384">
        <v>1</v>
      </c>
      <c r="R3" s="379">
        <v>80</v>
      </c>
      <c r="S3" s="384">
        <v>1</v>
      </c>
      <c r="T3" s="379">
        <v>15732.8</v>
      </c>
      <c r="U3" s="379">
        <v>0</v>
      </c>
      <c r="V3" s="379">
        <v>7321.63</v>
      </c>
      <c r="W3" s="379">
        <v>54080</v>
      </c>
      <c r="X3" s="379">
        <v>23028.959999999999</v>
      </c>
      <c r="Y3" s="379">
        <v>54080</v>
      </c>
      <c r="Z3" s="379">
        <v>22769.38</v>
      </c>
      <c r="AA3" s="375" t="s">
        <v>178</v>
      </c>
      <c r="AB3" s="375" t="s">
        <v>179</v>
      </c>
      <c r="AC3" s="375" t="s">
        <v>180</v>
      </c>
      <c r="AD3" s="375" t="s">
        <v>181</v>
      </c>
      <c r="AE3" s="375" t="s">
        <v>176</v>
      </c>
      <c r="AF3" s="375" t="s">
        <v>182</v>
      </c>
      <c r="AG3" s="375" t="s">
        <v>183</v>
      </c>
      <c r="AH3" s="378">
        <v>26</v>
      </c>
      <c r="AI3" s="378">
        <v>240</v>
      </c>
      <c r="AJ3" s="375" t="s">
        <v>184</v>
      </c>
      <c r="AK3" s="375" t="s">
        <v>185</v>
      </c>
      <c r="AL3" s="375" t="s">
        <v>173</v>
      </c>
      <c r="AM3" s="375" t="s">
        <v>186</v>
      </c>
      <c r="AN3" s="375" t="s">
        <v>68</v>
      </c>
      <c r="AO3" s="378">
        <v>80</v>
      </c>
      <c r="AP3" s="384">
        <v>1</v>
      </c>
      <c r="AQ3" s="384">
        <v>1</v>
      </c>
      <c r="AR3" s="383" t="s">
        <v>187</v>
      </c>
      <c r="AS3" s="386">
        <f t="shared" ref="AS3:AS66" si="27">IF(((AO3/80)*AP3*P3)&gt;1,AQ3,((AO3/80)*AP3*P3))</f>
        <v>1</v>
      </c>
      <c r="AT3">
        <f t="shared" ref="AT3:AT66" si="28">IF(AND(M3="F",N3&lt;&gt;"NG",AS3&lt;&gt;0,AND(AR3&lt;&gt;6,AR3&lt;&gt;36,AR3&lt;&gt;56),AG3&lt;&gt;"A",OR(AG3="H",AJ3="FS")),1,IF(AND(M3="F",N3&lt;&gt;"NG",AS3&lt;&gt;0,AG3="A"),3,0))</f>
        <v>1</v>
      </c>
      <c r="AU3" s="386">
        <f>IF(AT3=0,"",IF(AND(AT3=1,M3="F",SUMIF(C2:C557,C3,AS2:AS557)&lt;=1),SUMIF(C2:C557,C3,AS2:AS557),IF(AND(AT3=1,M3="F",SUMIF(C2:C557,C3,AS2:AS557)&gt;1),1,"")))</f>
        <v>1</v>
      </c>
      <c r="AV3" s="386" t="str">
        <f>IF(AT3=0,"",IF(AND(AT3=3,M3="F",SUMIF(C2:C557,C3,AS2:AS557)&lt;=1),SUMIF(C2:C557,C3,AS2:AS557),IF(AND(AT3=3,M3="F",SUMIF(C2:C557,C3,AS2:AS557)&gt;1),1,"")))</f>
        <v/>
      </c>
      <c r="AW3" s="386">
        <f>SUMIF(C2:C557,C3,O2:O557)</f>
        <v>1</v>
      </c>
      <c r="AX3" s="386">
        <f>IF(AND(M3="F",AS3&lt;&gt;0),SUMIF(C2:C557,C3,W2:W557),0)</f>
        <v>54080</v>
      </c>
      <c r="AY3" s="386">
        <f t="shared" ref="AY3:AY66" si="29">IF(AT3=1,W3,"")</f>
        <v>54080</v>
      </c>
      <c r="AZ3" s="386" t="str">
        <f t="shared" ref="AZ3:AZ66" si="30">IF(AT3=3,W3,"")</f>
        <v/>
      </c>
      <c r="BA3" s="386">
        <f t="shared" ref="BA3:BA66" si="31">IF(AT3=1,Y3-W3,0)</f>
        <v>0</v>
      </c>
      <c r="BB3" s="386">
        <f t="shared" si="0"/>
        <v>11650</v>
      </c>
      <c r="BC3" s="386">
        <f t="shared" si="1"/>
        <v>0</v>
      </c>
      <c r="BD3" s="386">
        <f t="shared" si="2"/>
        <v>3352.96</v>
      </c>
      <c r="BE3" s="386">
        <f t="shared" si="3"/>
        <v>784.16000000000008</v>
      </c>
      <c r="BF3" s="386">
        <f t="shared" si="4"/>
        <v>6457.152</v>
      </c>
      <c r="BG3" s="386">
        <f t="shared" si="5"/>
        <v>389.91680000000002</v>
      </c>
      <c r="BH3" s="386">
        <f t="shared" si="6"/>
        <v>264.99200000000002</v>
      </c>
      <c r="BI3" s="386">
        <f t="shared" si="7"/>
        <v>0</v>
      </c>
      <c r="BJ3" s="386">
        <f t="shared" si="8"/>
        <v>129.792</v>
      </c>
      <c r="BK3" s="386">
        <f t="shared" si="9"/>
        <v>0</v>
      </c>
      <c r="BL3" s="386">
        <f t="shared" ref="BL3:BL66" si="32">IF(AT3=1,SUM(BD3:BK3),0)</f>
        <v>11378.972800000001</v>
      </c>
      <c r="BM3" s="386">
        <f t="shared" ref="BM3:BM66" si="33">IF(AT3=3,SUM(BD3:BK3),0)</f>
        <v>0</v>
      </c>
      <c r="BN3" s="386">
        <f t="shared" si="10"/>
        <v>11650</v>
      </c>
      <c r="BO3" s="386">
        <f t="shared" si="11"/>
        <v>0</v>
      </c>
      <c r="BP3" s="386">
        <f t="shared" si="12"/>
        <v>3352.96</v>
      </c>
      <c r="BQ3" s="386">
        <f t="shared" si="13"/>
        <v>784.16000000000008</v>
      </c>
      <c r="BR3" s="386">
        <f t="shared" si="14"/>
        <v>6457.152</v>
      </c>
      <c r="BS3" s="386">
        <f t="shared" si="15"/>
        <v>389.91680000000002</v>
      </c>
      <c r="BT3" s="386">
        <f t="shared" si="16"/>
        <v>0</v>
      </c>
      <c r="BU3" s="386">
        <f t="shared" si="17"/>
        <v>0</v>
      </c>
      <c r="BV3" s="386">
        <f t="shared" si="18"/>
        <v>135.19999999999999</v>
      </c>
      <c r="BW3" s="386">
        <f t="shared" si="19"/>
        <v>0</v>
      </c>
      <c r="BX3" s="386">
        <f t="shared" ref="BX3:BX66" si="34">IF(AT3=1,SUM(BP3:BW3),0)</f>
        <v>11119.388800000002</v>
      </c>
      <c r="BY3" s="386">
        <f t="shared" ref="BY3:BY66" si="35">IF(AT3=3,SUM(BP3:BW3),0)</f>
        <v>0</v>
      </c>
      <c r="BZ3" s="386">
        <f t="shared" ref="BZ3:BZ66" si="36">IF(AT3=1,BN3-BB3,0)</f>
        <v>0</v>
      </c>
      <c r="CA3" s="386">
        <f t="shared" ref="CA3:CA66" si="37">IF(AT3=3,BO3-BC3,0)</f>
        <v>0</v>
      </c>
      <c r="CB3" s="386">
        <f t="shared" ref="CB3:CB66" si="38">BP3-BD3</f>
        <v>0</v>
      </c>
      <c r="CC3" s="386">
        <f t="shared" si="20"/>
        <v>0</v>
      </c>
      <c r="CD3" s="386">
        <f t="shared" si="21"/>
        <v>0</v>
      </c>
      <c r="CE3" s="386">
        <f t="shared" si="22"/>
        <v>0</v>
      </c>
      <c r="CF3" s="386">
        <f t="shared" si="23"/>
        <v>-264.99200000000002</v>
      </c>
      <c r="CG3" s="386">
        <f t="shared" si="24"/>
        <v>0</v>
      </c>
      <c r="CH3" s="386">
        <f t="shared" si="25"/>
        <v>5.4080000000000146</v>
      </c>
      <c r="CI3" s="386">
        <f t="shared" si="26"/>
        <v>0</v>
      </c>
      <c r="CJ3" s="386">
        <f t="shared" ref="CJ3:CJ66" si="39">IF(AT3=1,SUM(CB3:CI3),0)</f>
        <v>-259.584</v>
      </c>
      <c r="CK3" s="386" t="str">
        <f t="shared" ref="CK3:CK66" si="40">IF(AT3=3,SUM(CB3:CI3),"")</f>
        <v/>
      </c>
      <c r="CL3" s="386" t="str">
        <f t="shared" ref="CL3:CL66" si="41">IF(OR(N3="NG",AG3="D"),(T3+U3),"")</f>
        <v/>
      </c>
      <c r="CM3" s="386" t="str">
        <f t="shared" ref="CM3:CM66" si="42">IF(OR(N3="NG",AG3="D"),V3,"")</f>
        <v/>
      </c>
      <c r="CN3" s="386" t="str">
        <f t="shared" ref="CN3:CN66" si="43">E3 &amp; "-" &amp; F3</f>
        <v>0001-00</v>
      </c>
    </row>
    <row r="4" spans="1:92" ht="15.75" thickBot="1" x14ac:dyDescent="0.3">
      <c r="A4" s="375" t="s">
        <v>161</v>
      </c>
      <c r="B4" s="375" t="s">
        <v>162</v>
      </c>
      <c r="C4" s="375" t="s">
        <v>188</v>
      </c>
      <c r="D4" s="375" t="s">
        <v>189</v>
      </c>
      <c r="E4" s="375" t="s">
        <v>165</v>
      </c>
      <c r="F4" s="376" t="s">
        <v>166</v>
      </c>
      <c r="G4" s="375" t="s">
        <v>167</v>
      </c>
      <c r="H4" s="377"/>
      <c r="I4" s="377"/>
      <c r="J4" s="375" t="s">
        <v>168</v>
      </c>
      <c r="K4" s="375" t="s">
        <v>190</v>
      </c>
      <c r="L4" s="375" t="s">
        <v>166</v>
      </c>
      <c r="M4" s="375" t="s">
        <v>177</v>
      </c>
      <c r="N4" s="375" t="s">
        <v>172</v>
      </c>
      <c r="O4" s="378">
        <v>1</v>
      </c>
      <c r="P4" s="384">
        <v>1</v>
      </c>
      <c r="Q4" s="384">
        <v>1</v>
      </c>
      <c r="R4" s="379">
        <v>80</v>
      </c>
      <c r="S4" s="384">
        <v>1</v>
      </c>
      <c r="T4" s="379">
        <v>104090</v>
      </c>
      <c r="U4" s="379">
        <v>0</v>
      </c>
      <c r="V4" s="379">
        <v>32661.68</v>
      </c>
      <c r="W4" s="379">
        <v>106072</v>
      </c>
      <c r="X4" s="379">
        <v>33448.83</v>
      </c>
      <c r="Y4" s="379">
        <v>106072</v>
      </c>
      <c r="Z4" s="379">
        <v>33459.440000000002</v>
      </c>
      <c r="AA4" s="375" t="s">
        <v>191</v>
      </c>
      <c r="AB4" s="375" t="s">
        <v>192</v>
      </c>
      <c r="AC4" s="375" t="s">
        <v>193</v>
      </c>
      <c r="AD4" s="375" t="s">
        <v>194</v>
      </c>
      <c r="AE4" s="375" t="s">
        <v>190</v>
      </c>
      <c r="AF4" s="375" t="s">
        <v>182</v>
      </c>
      <c r="AG4" s="375" t="s">
        <v>195</v>
      </c>
      <c r="AH4" s="378">
        <v>106072</v>
      </c>
      <c r="AI4" s="378">
        <v>30000</v>
      </c>
      <c r="AJ4" s="375" t="s">
        <v>184</v>
      </c>
      <c r="AK4" s="375" t="s">
        <v>185</v>
      </c>
      <c r="AL4" s="375" t="s">
        <v>173</v>
      </c>
      <c r="AM4" s="375" t="s">
        <v>173</v>
      </c>
      <c r="AN4" s="375" t="s">
        <v>68</v>
      </c>
      <c r="AO4" s="378">
        <v>80</v>
      </c>
      <c r="AP4" s="384">
        <v>1</v>
      </c>
      <c r="AQ4" s="384">
        <v>1</v>
      </c>
      <c r="AR4" s="383" t="s">
        <v>187</v>
      </c>
      <c r="AS4" s="386">
        <f t="shared" si="27"/>
        <v>1</v>
      </c>
      <c r="AT4">
        <f t="shared" si="28"/>
        <v>3</v>
      </c>
      <c r="AU4" s="386" t="str">
        <f>IF(AT4=0,"",IF(AND(AT4=1,M4="F",SUMIF(C2:C557,C4,AS2:AS557)&lt;=1),SUMIF(C2:C557,C4,AS2:AS557),IF(AND(AT4=1,M4="F",SUMIF(C2:C557,C4,AS2:AS557)&gt;1),1,"")))</f>
        <v/>
      </c>
      <c r="AV4" s="386">
        <f>IF(AT4=0,"",IF(AND(AT4=3,M4="F",SUMIF(C2:C557,C4,AS2:AS557)&lt;=1),SUMIF(C2:C557,C4,AS2:AS557),IF(AND(AT4=3,M4="F",SUMIF(C2:C557,C4,AS2:AS557)&gt;1),1,"")))</f>
        <v>1</v>
      </c>
      <c r="AW4" s="386">
        <f>SUMIF(C2:C557,C4,O2:O557)</f>
        <v>1</v>
      </c>
      <c r="AX4" s="386">
        <f>IF(AND(M4="F",AS4&lt;&gt;0),SUMIF(C2:C557,C4,W2:W557),0)</f>
        <v>106072</v>
      </c>
      <c r="AY4" s="386" t="str">
        <f t="shared" si="29"/>
        <v/>
      </c>
      <c r="AZ4" s="386">
        <f t="shared" si="30"/>
        <v>106072</v>
      </c>
      <c r="BA4" s="386">
        <f t="shared" si="31"/>
        <v>0</v>
      </c>
      <c r="BB4" s="386">
        <f t="shared" si="0"/>
        <v>0</v>
      </c>
      <c r="BC4" s="386">
        <f t="shared" si="1"/>
        <v>11650</v>
      </c>
      <c r="BD4" s="386">
        <f t="shared" si="2"/>
        <v>6576.4639999999999</v>
      </c>
      <c r="BE4" s="386">
        <f t="shared" si="3"/>
        <v>1538.0440000000001</v>
      </c>
      <c r="BF4" s="386">
        <f t="shared" si="4"/>
        <v>12664.996800000001</v>
      </c>
      <c r="BG4" s="386">
        <f t="shared" si="5"/>
        <v>764.77912000000003</v>
      </c>
      <c r="BH4" s="386">
        <f t="shared" si="6"/>
        <v>0</v>
      </c>
      <c r="BI4" s="386">
        <f t="shared" si="7"/>
        <v>0</v>
      </c>
      <c r="BJ4" s="386">
        <f t="shared" si="8"/>
        <v>254.57279999999997</v>
      </c>
      <c r="BK4" s="386">
        <f t="shared" si="9"/>
        <v>0</v>
      </c>
      <c r="BL4" s="386">
        <f t="shared" si="32"/>
        <v>0</v>
      </c>
      <c r="BM4" s="386">
        <f t="shared" si="33"/>
        <v>21798.856720000003</v>
      </c>
      <c r="BN4" s="386">
        <f t="shared" si="10"/>
        <v>0</v>
      </c>
      <c r="BO4" s="386">
        <f t="shared" si="11"/>
        <v>11650</v>
      </c>
      <c r="BP4" s="386">
        <f t="shared" si="12"/>
        <v>6576.4639999999999</v>
      </c>
      <c r="BQ4" s="386">
        <f t="shared" si="13"/>
        <v>1538.0440000000001</v>
      </c>
      <c r="BR4" s="386">
        <f t="shared" si="14"/>
        <v>12664.996800000001</v>
      </c>
      <c r="BS4" s="386">
        <f t="shared" si="15"/>
        <v>764.77912000000003</v>
      </c>
      <c r="BT4" s="386">
        <f t="shared" si="16"/>
        <v>0</v>
      </c>
      <c r="BU4" s="386">
        <f t="shared" si="17"/>
        <v>0</v>
      </c>
      <c r="BV4" s="386">
        <f t="shared" si="18"/>
        <v>265.18</v>
      </c>
      <c r="BW4" s="386">
        <f t="shared" si="19"/>
        <v>0</v>
      </c>
      <c r="BX4" s="386">
        <f t="shared" si="34"/>
        <v>0</v>
      </c>
      <c r="BY4" s="386">
        <f t="shared" si="35"/>
        <v>21809.463920000002</v>
      </c>
      <c r="BZ4" s="386">
        <f t="shared" si="36"/>
        <v>0</v>
      </c>
      <c r="CA4" s="386">
        <f t="shared" si="37"/>
        <v>0</v>
      </c>
      <c r="CB4" s="386">
        <f t="shared" si="38"/>
        <v>0</v>
      </c>
      <c r="CC4" s="386">
        <f t="shared" si="20"/>
        <v>0</v>
      </c>
      <c r="CD4" s="386">
        <f t="shared" si="21"/>
        <v>0</v>
      </c>
      <c r="CE4" s="386">
        <f t="shared" si="22"/>
        <v>0</v>
      </c>
      <c r="CF4" s="386">
        <f t="shared" si="23"/>
        <v>0</v>
      </c>
      <c r="CG4" s="386">
        <f t="shared" si="24"/>
        <v>0</v>
      </c>
      <c r="CH4" s="386">
        <f t="shared" si="25"/>
        <v>10.607200000000027</v>
      </c>
      <c r="CI4" s="386">
        <f t="shared" si="26"/>
        <v>0</v>
      </c>
      <c r="CJ4" s="386">
        <f t="shared" si="39"/>
        <v>0</v>
      </c>
      <c r="CK4" s="386">
        <f t="shared" si="40"/>
        <v>10.607200000000027</v>
      </c>
      <c r="CL4" s="386" t="str">
        <f t="shared" si="41"/>
        <v/>
      </c>
      <c r="CM4" s="386" t="str">
        <f t="shared" si="42"/>
        <v/>
      </c>
      <c r="CN4" s="386" t="str">
        <f t="shared" si="43"/>
        <v>0001-00</v>
      </c>
    </row>
    <row r="5" spans="1:92" ht="15.75" thickBot="1" x14ac:dyDescent="0.3">
      <c r="A5" s="375" t="s">
        <v>161</v>
      </c>
      <c r="B5" s="375" t="s">
        <v>162</v>
      </c>
      <c r="C5" s="375" t="s">
        <v>196</v>
      </c>
      <c r="D5" s="375" t="s">
        <v>164</v>
      </c>
      <c r="E5" s="375" t="s">
        <v>165</v>
      </c>
      <c r="F5" s="376" t="s">
        <v>166</v>
      </c>
      <c r="G5" s="375" t="s">
        <v>167</v>
      </c>
      <c r="H5" s="377"/>
      <c r="I5" s="377"/>
      <c r="J5" s="375" t="s">
        <v>168</v>
      </c>
      <c r="K5" s="375" t="s">
        <v>197</v>
      </c>
      <c r="L5" s="375" t="s">
        <v>198</v>
      </c>
      <c r="M5" s="375" t="s">
        <v>171</v>
      </c>
      <c r="N5" s="375" t="s">
        <v>199</v>
      </c>
      <c r="O5" s="378">
        <v>0</v>
      </c>
      <c r="P5" s="384">
        <v>1</v>
      </c>
      <c r="Q5" s="384">
        <v>1</v>
      </c>
      <c r="R5" s="379">
        <v>80</v>
      </c>
      <c r="S5" s="384">
        <v>1</v>
      </c>
      <c r="T5" s="379">
        <v>48867.199999999997</v>
      </c>
      <c r="U5" s="379">
        <v>0</v>
      </c>
      <c r="V5" s="379">
        <v>21683.119999999999</v>
      </c>
      <c r="W5" s="379">
        <v>47403.199999999997</v>
      </c>
      <c r="X5" s="379">
        <v>20762.599999999999</v>
      </c>
      <c r="Y5" s="379">
        <v>47403.199999999997</v>
      </c>
      <c r="Z5" s="379">
        <v>20525.580000000002</v>
      </c>
      <c r="AA5" s="377"/>
      <c r="AB5" s="375" t="s">
        <v>45</v>
      </c>
      <c r="AC5" s="375" t="s">
        <v>45</v>
      </c>
      <c r="AD5" s="377"/>
      <c r="AE5" s="377"/>
      <c r="AF5" s="377"/>
      <c r="AG5" s="377"/>
      <c r="AH5" s="378">
        <v>0</v>
      </c>
      <c r="AI5" s="378">
        <v>0</v>
      </c>
      <c r="AJ5" s="377"/>
      <c r="AK5" s="377"/>
      <c r="AL5" s="375" t="s">
        <v>173</v>
      </c>
      <c r="AM5" s="377"/>
      <c r="AN5" s="377"/>
      <c r="AO5" s="378">
        <v>0</v>
      </c>
      <c r="AP5" s="384">
        <v>0</v>
      </c>
      <c r="AQ5" s="384">
        <v>0</v>
      </c>
      <c r="AR5" s="382"/>
      <c r="AS5" s="386">
        <f t="shared" si="27"/>
        <v>0</v>
      </c>
      <c r="AT5">
        <f t="shared" si="28"/>
        <v>0</v>
      </c>
      <c r="AU5" s="386" t="str">
        <f>IF(AT5=0,"",IF(AND(AT5=1,M5="F",SUMIF(C2:C557,C5,AS2:AS557)&lt;=1),SUMIF(C2:C557,C5,AS2:AS557),IF(AND(AT5=1,M5="F",SUMIF(C2:C557,C5,AS2:AS557)&gt;1),1,"")))</f>
        <v/>
      </c>
      <c r="AV5" s="386" t="str">
        <f>IF(AT5=0,"",IF(AND(AT5=3,M5="F",SUMIF(C2:C557,C5,AS2:AS557)&lt;=1),SUMIF(C2:C557,C5,AS2:AS557),IF(AND(AT5=3,M5="F",SUMIF(C2:C557,C5,AS2:AS557)&gt;1),1,"")))</f>
        <v/>
      </c>
      <c r="AW5" s="386">
        <f>SUMIF(C2:C557,C5,O2:O557)</f>
        <v>0</v>
      </c>
      <c r="AX5" s="386">
        <f>IF(AND(M5="F",AS5&lt;&gt;0),SUMIF(C2:C557,C5,W2:W557),0)</f>
        <v>0</v>
      </c>
      <c r="AY5" s="386" t="str">
        <f t="shared" si="29"/>
        <v/>
      </c>
      <c r="AZ5" s="386" t="str">
        <f t="shared" si="30"/>
        <v/>
      </c>
      <c r="BA5" s="386">
        <f t="shared" si="31"/>
        <v>0</v>
      </c>
      <c r="BB5" s="386">
        <f t="shared" si="0"/>
        <v>0</v>
      </c>
      <c r="BC5" s="386">
        <f t="shared" si="1"/>
        <v>0</v>
      </c>
      <c r="BD5" s="386">
        <f t="shared" si="2"/>
        <v>0</v>
      </c>
      <c r="BE5" s="386">
        <f t="shared" si="3"/>
        <v>0</v>
      </c>
      <c r="BF5" s="386">
        <f t="shared" si="4"/>
        <v>0</v>
      </c>
      <c r="BG5" s="386">
        <f t="shared" si="5"/>
        <v>0</v>
      </c>
      <c r="BH5" s="386">
        <f t="shared" si="6"/>
        <v>0</v>
      </c>
      <c r="BI5" s="386">
        <f t="shared" si="7"/>
        <v>0</v>
      </c>
      <c r="BJ5" s="386">
        <f t="shared" si="8"/>
        <v>0</v>
      </c>
      <c r="BK5" s="386">
        <f t="shared" si="9"/>
        <v>0</v>
      </c>
      <c r="BL5" s="386">
        <f t="shared" si="32"/>
        <v>0</v>
      </c>
      <c r="BM5" s="386">
        <f t="shared" si="33"/>
        <v>0</v>
      </c>
      <c r="BN5" s="386">
        <f t="shared" si="10"/>
        <v>0</v>
      </c>
      <c r="BO5" s="386">
        <f t="shared" si="11"/>
        <v>0</v>
      </c>
      <c r="BP5" s="386">
        <f t="shared" si="12"/>
        <v>0</v>
      </c>
      <c r="BQ5" s="386">
        <f t="shared" si="13"/>
        <v>0</v>
      </c>
      <c r="BR5" s="386">
        <f t="shared" si="14"/>
        <v>0</v>
      </c>
      <c r="BS5" s="386">
        <f t="shared" si="15"/>
        <v>0</v>
      </c>
      <c r="BT5" s="386">
        <f t="shared" si="16"/>
        <v>0</v>
      </c>
      <c r="BU5" s="386">
        <f t="shared" si="17"/>
        <v>0</v>
      </c>
      <c r="BV5" s="386">
        <f t="shared" si="18"/>
        <v>0</v>
      </c>
      <c r="BW5" s="386">
        <f t="shared" si="19"/>
        <v>0</v>
      </c>
      <c r="BX5" s="386">
        <f t="shared" si="34"/>
        <v>0</v>
      </c>
      <c r="BY5" s="386">
        <f t="shared" si="35"/>
        <v>0</v>
      </c>
      <c r="BZ5" s="386">
        <f t="shared" si="36"/>
        <v>0</v>
      </c>
      <c r="CA5" s="386">
        <f t="shared" si="37"/>
        <v>0</v>
      </c>
      <c r="CB5" s="386">
        <f t="shared" si="38"/>
        <v>0</v>
      </c>
      <c r="CC5" s="386">
        <f t="shared" si="20"/>
        <v>0</v>
      </c>
      <c r="CD5" s="386">
        <f t="shared" si="21"/>
        <v>0</v>
      </c>
      <c r="CE5" s="386">
        <f t="shared" si="22"/>
        <v>0</v>
      </c>
      <c r="CF5" s="386">
        <f t="shared" si="23"/>
        <v>0</v>
      </c>
      <c r="CG5" s="386">
        <f t="shared" si="24"/>
        <v>0</v>
      </c>
      <c r="CH5" s="386">
        <f t="shared" si="25"/>
        <v>0</v>
      </c>
      <c r="CI5" s="386">
        <f t="shared" si="26"/>
        <v>0</v>
      </c>
      <c r="CJ5" s="386">
        <f t="shared" si="39"/>
        <v>0</v>
      </c>
      <c r="CK5" s="386" t="str">
        <f t="shared" si="40"/>
        <v/>
      </c>
      <c r="CL5" s="386" t="str">
        <f t="shared" si="41"/>
        <v/>
      </c>
      <c r="CM5" s="386" t="str">
        <f t="shared" si="42"/>
        <v/>
      </c>
      <c r="CN5" s="386" t="str">
        <f t="shared" si="43"/>
        <v>0001-00</v>
      </c>
    </row>
    <row r="6" spans="1:92" ht="15.75" thickBot="1" x14ac:dyDescent="0.3">
      <c r="A6" s="375" t="s">
        <v>161</v>
      </c>
      <c r="B6" s="375" t="s">
        <v>162</v>
      </c>
      <c r="C6" s="375" t="s">
        <v>200</v>
      </c>
      <c r="D6" s="375" t="s">
        <v>201</v>
      </c>
      <c r="E6" s="375" t="s">
        <v>165</v>
      </c>
      <c r="F6" s="376" t="s">
        <v>166</v>
      </c>
      <c r="G6" s="375" t="s">
        <v>167</v>
      </c>
      <c r="H6" s="377"/>
      <c r="I6" s="377"/>
      <c r="J6" s="375" t="s">
        <v>168</v>
      </c>
      <c r="K6" s="375" t="s">
        <v>202</v>
      </c>
      <c r="L6" s="375" t="s">
        <v>183</v>
      </c>
      <c r="M6" s="375" t="s">
        <v>177</v>
      </c>
      <c r="N6" s="375" t="s">
        <v>199</v>
      </c>
      <c r="O6" s="378">
        <v>1</v>
      </c>
      <c r="P6" s="384">
        <v>1</v>
      </c>
      <c r="Q6" s="384">
        <v>1</v>
      </c>
      <c r="R6" s="379">
        <v>80</v>
      </c>
      <c r="S6" s="384">
        <v>1</v>
      </c>
      <c r="T6" s="379">
        <v>42656.88</v>
      </c>
      <c r="U6" s="379">
        <v>0</v>
      </c>
      <c r="V6" s="379">
        <v>20456.16</v>
      </c>
      <c r="W6" s="379">
        <v>42494.400000000001</v>
      </c>
      <c r="X6" s="379">
        <v>20721.25</v>
      </c>
      <c r="Y6" s="379">
        <v>42494.400000000001</v>
      </c>
      <c r="Z6" s="379">
        <v>20517.28</v>
      </c>
      <c r="AA6" s="375" t="s">
        <v>203</v>
      </c>
      <c r="AB6" s="375" t="s">
        <v>204</v>
      </c>
      <c r="AC6" s="375" t="s">
        <v>205</v>
      </c>
      <c r="AD6" s="375" t="s">
        <v>195</v>
      </c>
      <c r="AE6" s="375" t="s">
        <v>202</v>
      </c>
      <c r="AF6" s="375" t="s">
        <v>206</v>
      </c>
      <c r="AG6" s="375" t="s">
        <v>183</v>
      </c>
      <c r="AH6" s="380">
        <v>20.43</v>
      </c>
      <c r="AI6" s="380">
        <v>45144.4</v>
      </c>
      <c r="AJ6" s="375" t="s">
        <v>184</v>
      </c>
      <c r="AK6" s="375" t="s">
        <v>185</v>
      </c>
      <c r="AL6" s="375" t="s">
        <v>173</v>
      </c>
      <c r="AM6" s="375" t="s">
        <v>186</v>
      </c>
      <c r="AN6" s="375" t="s">
        <v>68</v>
      </c>
      <c r="AO6" s="378">
        <v>80</v>
      </c>
      <c r="AP6" s="384">
        <v>1</v>
      </c>
      <c r="AQ6" s="384">
        <v>1</v>
      </c>
      <c r="AR6" s="383" t="s">
        <v>187</v>
      </c>
      <c r="AS6" s="386">
        <f t="shared" si="27"/>
        <v>1</v>
      </c>
      <c r="AT6">
        <f t="shared" si="28"/>
        <v>1</v>
      </c>
      <c r="AU6" s="386">
        <f>IF(AT6=0,"",IF(AND(AT6=1,M6="F",SUMIF(C2:C557,C6,AS2:AS557)&lt;=1),SUMIF(C2:C557,C6,AS2:AS557),IF(AND(AT6=1,M6="F",SUMIF(C2:C557,C6,AS2:AS557)&gt;1),1,"")))</f>
        <v>1</v>
      </c>
      <c r="AV6" s="386" t="str">
        <f>IF(AT6=0,"",IF(AND(AT6=3,M6="F",SUMIF(C2:C557,C6,AS2:AS557)&lt;=1),SUMIF(C2:C557,C6,AS2:AS557),IF(AND(AT6=3,M6="F",SUMIF(C2:C557,C6,AS2:AS557)&gt;1),1,"")))</f>
        <v/>
      </c>
      <c r="AW6" s="386">
        <f>SUMIF(C2:C557,C6,O2:O557)</f>
        <v>1</v>
      </c>
      <c r="AX6" s="386">
        <f>IF(AND(M6="F",AS6&lt;&gt;0),SUMIF(C2:C557,C6,W2:W557),0)</f>
        <v>42494.400000000001</v>
      </c>
      <c r="AY6" s="386">
        <f t="shared" si="29"/>
        <v>42494.400000000001</v>
      </c>
      <c r="AZ6" s="386" t="str">
        <f t="shared" si="30"/>
        <v/>
      </c>
      <c r="BA6" s="386">
        <f t="shared" si="31"/>
        <v>0</v>
      </c>
      <c r="BB6" s="386">
        <f t="shared" si="0"/>
        <v>11650</v>
      </c>
      <c r="BC6" s="386">
        <f t="shared" si="1"/>
        <v>0</v>
      </c>
      <c r="BD6" s="386">
        <f t="shared" si="2"/>
        <v>2634.6528000000003</v>
      </c>
      <c r="BE6" s="386">
        <f t="shared" si="3"/>
        <v>616.16880000000003</v>
      </c>
      <c r="BF6" s="386">
        <f t="shared" si="4"/>
        <v>5073.8313600000001</v>
      </c>
      <c r="BG6" s="386">
        <f t="shared" si="5"/>
        <v>306.38462400000003</v>
      </c>
      <c r="BH6" s="386">
        <f t="shared" si="6"/>
        <v>208.22255999999999</v>
      </c>
      <c r="BI6" s="386">
        <f t="shared" si="7"/>
        <v>130.03286399999999</v>
      </c>
      <c r="BJ6" s="386">
        <f t="shared" si="8"/>
        <v>101.98656</v>
      </c>
      <c r="BK6" s="386">
        <f t="shared" si="9"/>
        <v>0</v>
      </c>
      <c r="BL6" s="386">
        <f t="shared" si="32"/>
        <v>9071.2795679999999</v>
      </c>
      <c r="BM6" s="386">
        <f t="shared" si="33"/>
        <v>0</v>
      </c>
      <c r="BN6" s="386">
        <f t="shared" si="10"/>
        <v>11650</v>
      </c>
      <c r="BO6" s="386">
        <f t="shared" si="11"/>
        <v>0</v>
      </c>
      <c r="BP6" s="386">
        <f t="shared" si="12"/>
        <v>2634.6528000000003</v>
      </c>
      <c r="BQ6" s="386">
        <f t="shared" si="13"/>
        <v>616.16880000000003</v>
      </c>
      <c r="BR6" s="386">
        <f t="shared" si="14"/>
        <v>5073.8313600000001</v>
      </c>
      <c r="BS6" s="386">
        <f t="shared" si="15"/>
        <v>306.38462400000003</v>
      </c>
      <c r="BT6" s="386">
        <f t="shared" si="16"/>
        <v>0</v>
      </c>
      <c r="BU6" s="386">
        <f t="shared" si="17"/>
        <v>130.03286399999999</v>
      </c>
      <c r="BV6" s="386">
        <f t="shared" si="18"/>
        <v>106.236</v>
      </c>
      <c r="BW6" s="386">
        <f t="shared" si="19"/>
        <v>0</v>
      </c>
      <c r="BX6" s="386">
        <f t="shared" si="34"/>
        <v>8867.3064480000012</v>
      </c>
      <c r="BY6" s="386">
        <f t="shared" si="35"/>
        <v>0</v>
      </c>
      <c r="BZ6" s="386">
        <f t="shared" si="36"/>
        <v>0</v>
      </c>
      <c r="CA6" s="386">
        <f t="shared" si="37"/>
        <v>0</v>
      </c>
      <c r="CB6" s="386">
        <f t="shared" si="38"/>
        <v>0</v>
      </c>
      <c r="CC6" s="386">
        <f t="shared" si="20"/>
        <v>0</v>
      </c>
      <c r="CD6" s="386">
        <f t="shared" si="21"/>
        <v>0</v>
      </c>
      <c r="CE6" s="386">
        <f t="shared" si="22"/>
        <v>0</v>
      </c>
      <c r="CF6" s="386">
        <f t="shared" si="23"/>
        <v>-208.22255999999999</v>
      </c>
      <c r="CG6" s="386">
        <f t="shared" si="24"/>
        <v>0</v>
      </c>
      <c r="CH6" s="386">
        <f t="shared" si="25"/>
        <v>4.2494400000000114</v>
      </c>
      <c r="CI6" s="386">
        <f t="shared" si="26"/>
        <v>0</v>
      </c>
      <c r="CJ6" s="386">
        <f t="shared" si="39"/>
        <v>-203.97311999999997</v>
      </c>
      <c r="CK6" s="386" t="str">
        <f t="shared" si="40"/>
        <v/>
      </c>
      <c r="CL6" s="386" t="str">
        <f t="shared" si="41"/>
        <v/>
      </c>
      <c r="CM6" s="386" t="str">
        <f t="shared" si="42"/>
        <v/>
      </c>
      <c r="CN6" s="386" t="str">
        <f t="shared" si="43"/>
        <v>0001-00</v>
      </c>
    </row>
    <row r="7" spans="1:92" ht="15.75" thickBot="1" x14ac:dyDescent="0.3">
      <c r="A7" s="375" t="s">
        <v>161</v>
      </c>
      <c r="B7" s="375" t="s">
        <v>162</v>
      </c>
      <c r="C7" s="375" t="s">
        <v>207</v>
      </c>
      <c r="D7" s="375" t="s">
        <v>208</v>
      </c>
      <c r="E7" s="375" t="s">
        <v>165</v>
      </c>
      <c r="F7" s="376" t="s">
        <v>166</v>
      </c>
      <c r="G7" s="375" t="s">
        <v>167</v>
      </c>
      <c r="H7" s="377"/>
      <c r="I7" s="377"/>
      <c r="J7" s="375" t="s">
        <v>168</v>
      </c>
      <c r="K7" s="375" t="s">
        <v>209</v>
      </c>
      <c r="L7" s="375" t="s">
        <v>210</v>
      </c>
      <c r="M7" s="375" t="s">
        <v>177</v>
      </c>
      <c r="N7" s="375" t="s">
        <v>199</v>
      </c>
      <c r="O7" s="378">
        <v>1</v>
      </c>
      <c r="P7" s="384">
        <v>1</v>
      </c>
      <c r="Q7" s="384">
        <v>1</v>
      </c>
      <c r="R7" s="379">
        <v>80</v>
      </c>
      <c r="S7" s="384">
        <v>1</v>
      </c>
      <c r="T7" s="379">
        <v>28466.080000000002</v>
      </c>
      <c r="U7" s="379">
        <v>0</v>
      </c>
      <c r="V7" s="379">
        <v>15173.91</v>
      </c>
      <c r="W7" s="379">
        <v>37377.599999999999</v>
      </c>
      <c r="X7" s="379">
        <v>19628.97</v>
      </c>
      <c r="Y7" s="379">
        <v>37377.599999999999</v>
      </c>
      <c r="Z7" s="379">
        <v>19449.560000000001</v>
      </c>
      <c r="AA7" s="375" t="s">
        <v>211</v>
      </c>
      <c r="AB7" s="375" t="s">
        <v>212</v>
      </c>
      <c r="AC7" s="375" t="s">
        <v>213</v>
      </c>
      <c r="AD7" s="375" t="s">
        <v>214</v>
      </c>
      <c r="AE7" s="375" t="s">
        <v>209</v>
      </c>
      <c r="AF7" s="375" t="s">
        <v>215</v>
      </c>
      <c r="AG7" s="375" t="s">
        <v>183</v>
      </c>
      <c r="AH7" s="380">
        <v>17.97</v>
      </c>
      <c r="AI7" s="380">
        <v>9771.7999999999993</v>
      </c>
      <c r="AJ7" s="375" t="s">
        <v>184</v>
      </c>
      <c r="AK7" s="375" t="s">
        <v>185</v>
      </c>
      <c r="AL7" s="375" t="s">
        <v>173</v>
      </c>
      <c r="AM7" s="375" t="s">
        <v>186</v>
      </c>
      <c r="AN7" s="375" t="s">
        <v>68</v>
      </c>
      <c r="AO7" s="378">
        <v>80</v>
      </c>
      <c r="AP7" s="384">
        <v>1</v>
      </c>
      <c r="AQ7" s="384">
        <v>1</v>
      </c>
      <c r="AR7" s="383" t="s">
        <v>187</v>
      </c>
      <c r="AS7" s="386">
        <f t="shared" si="27"/>
        <v>1</v>
      </c>
      <c r="AT7">
        <f t="shared" si="28"/>
        <v>1</v>
      </c>
      <c r="AU7" s="386">
        <f>IF(AT7=0,"",IF(AND(AT7=1,M7="F",SUMIF(C2:C557,C7,AS2:AS557)&lt;=1),SUMIF(C2:C557,C7,AS2:AS557),IF(AND(AT7=1,M7="F",SUMIF(C2:C557,C7,AS2:AS557)&gt;1),1,"")))</f>
        <v>1</v>
      </c>
      <c r="AV7" s="386" t="str">
        <f>IF(AT7=0,"",IF(AND(AT7=3,M7="F",SUMIF(C2:C557,C7,AS2:AS557)&lt;=1),SUMIF(C2:C557,C7,AS2:AS557),IF(AND(AT7=3,M7="F",SUMIF(C2:C557,C7,AS2:AS557)&gt;1),1,"")))</f>
        <v/>
      </c>
      <c r="AW7" s="386">
        <f>SUMIF(C2:C557,C7,O2:O557)</f>
        <v>1</v>
      </c>
      <c r="AX7" s="386">
        <f>IF(AND(M7="F",AS7&lt;&gt;0),SUMIF(C2:C557,C7,W2:W557),0)</f>
        <v>37377.599999999999</v>
      </c>
      <c r="AY7" s="386">
        <f t="shared" si="29"/>
        <v>37377.599999999999</v>
      </c>
      <c r="AZ7" s="386" t="str">
        <f t="shared" si="30"/>
        <v/>
      </c>
      <c r="BA7" s="386">
        <f t="shared" si="31"/>
        <v>0</v>
      </c>
      <c r="BB7" s="386">
        <f t="shared" si="0"/>
        <v>11650</v>
      </c>
      <c r="BC7" s="386">
        <f t="shared" si="1"/>
        <v>0</v>
      </c>
      <c r="BD7" s="386">
        <f t="shared" si="2"/>
        <v>2317.4112</v>
      </c>
      <c r="BE7" s="386">
        <f t="shared" si="3"/>
        <v>541.97519999999997</v>
      </c>
      <c r="BF7" s="386">
        <f t="shared" si="4"/>
        <v>4462.88544</v>
      </c>
      <c r="BG7" s="386">
        <f t="shared" si="5"/>
        <v>269.49249600000002</v>
      </c>
      <c r="BH7" s="386">
        <f t="shared" si="6"/>
        <v>183.15024</v>
      </c>
      <c r="BI7" s="386">
        <f t="shared" si="7"/>
        <v>114.37545599999999</v>
      </c>
      <c r="BJ7" s="386">
        <f t="shared" si="8"/>
        <v>89.706239999999994</v>
      </c>
      <c r="BK7" s="386">
        <f t="shared" si="9"/>
        <v>0</v>
      </c>
      <c r="BL7" s="386">
        <f t="shared" si="32"/>
        <v>7978.9962719999994</v>
      </c>
      <c r="BM7" s="386">
        <f t="shared" si="33"/>
        <v>0</v>
      </c>
      <c r="BN7" s="386">
        <f t="shared" si="10"/>
        <v>11650</v>
      </c>
      <c r="BO7" s="386">
        <f t="shared" si="11"/>
        <v>0</v>
      </c>
      <c r="BP7" s="386">
        <f t="shared" si="12"/>
        <v>2317.4112</v>
      </c>
      <c r="BQ7" s="386">
        <f t="shared" si="13"/>
        <v>541.97519999999997</v>
      </c>
      <c r="BR7" s="386">
        <f t="shared" si="14"/>
        <v>4462.88544</v>
      </c>
      <c r="BS7" s="386">
        <f t="shared" si="15"/>
        <v>269.49249600000002</v>
      </c>
      <c r="BT7" s="386">
        <f t="shared" si="16"/>
        <v>0</v>
      </c>
      <c r="BU7" s="386">
        <f t="shared" si="17"/>
        <v>114.37545599999999</v>
      </c>
      <c r="BV7" s="386">
        <f t="shared" si="18"/>
        <v>93.444000000000003</v>
      </c>
      <c r="BW7" s="386">
        <f t="shared" si="19"/>
        <v>0</v>
      </c>
      <c r="BX7" s="386">
        <f t="shared" si="34"/>
        <v>7799.5837919999994</v>
      </c>
      <c r="BY7" s="386">
        <f t="shared" si="35"/>
        <v>0</v>
      </c>
      <c r="BZ7" s="386">
        <f t="shared" si="36"/>
        <v>0</v>
      </c>
      <c r="CA7" s="386">
        <f t="shared" si="37"/>
        <v>0</v>
      </c>
      <c r="CB7" s="386">
        <f t="shared" si="38"/>
        <v>0</v>
      </c>
      <c r="CC7" s="386">
        <f t="shared" si="20"/>
        <v>0</v>
      </c>
      <c r="CD7" s="386">
        <f t="shared" si="21"/>
        <v>0</v>
      </c>
      <c r="CE7" s="386">
        <f t="shared" si="22"/>
        <v>0</v>
      </c>
      <c r="CF7" s="386">
        <f t="shared" si="23"/>
        <v>-183.15024</v>
      </c>
      <c r="CG7" s="386">
        <f t="shared" si="24"/>
        <v>0</v>
      </c>
      <c r="CH7" s="386">
        <f t="shared" si="25"/>
        <v>3.7377600000000095</v>
      </c>
      <c r="CI7" s="386">
        <f t="shared" si="26"/>
        <v>0</v>
      </c>
      <c r="CJ7" s="386">
        <f t="shared" si="39"/>
        <v>-179.41247999999999</v>
      </c>
      <c r="CK7" s="386" t="str">
        <f t="shared" si="40"/>
        <v/>
      </c>
      <c r="CL7" s="386" t="str">
        <f t="shared" si="41"/>
        <v/>
      </c>
      <c r="CM7" s="386" t="str">
        <f t="shared" si="42"/>
        <v/>
      </c>
      <c r="CN7" s="386" t="str">
        <f t="shared" si="43"/>
        <v>0001-00</v>
      </c>
    </row>
    <row r="8" spans="1:92" ht="15.75" thickBot="1" x14ac:dyDescent="0.3">
      <c r="A8" s="375" t="s">
        <v>161</v>
      </c>
      <c r="B8" s="375" t="s">
        <v>162</v>
      </c>
      <c r="C8" s="375" t="s">
        <v>216</v>
      </c>
      <c r="D8" s="375" t="s">
        <v>217</v>
      </c>
      <c r="E8" s="375" t="s">
        <v>165</v>
      </c>
      <c r="F8" s="376" t="s">
        <v>166</v>
      </c>
      <c r="G8" s="375" t="s">
        <v>167</v>
      </c>
      <c r="H8" s="377"/>
      <c r="I8" s="377"/>
      <c r="J8" s="375" t="s">
        <v>218</v>
      </c>
      <c r="K8" s="375" t="s">
        <v>219</v>
      </c>
      <c r="L8" s="375" t="s">
        <v>220</v>
      </c>
      <c r="M8" s="375" t="s">
        <v>171</v>
      </c>
      <c r="N8" s="375" t="s">
        <v>199</v>
      </c>
      <c r="O8" s="378">
        <v>0</v>
      </c>
      <c r="P8" s="384">
        <v>0.75</v>
      </c>
      <c r="Q8" s="384">
        <v>0.75</v>
      </c>
      <c r="R8" s="379">
        <v>80</v>
      </c>
      <c r="S8" s="384">
        <v>0.75</v>
      </c>
      <c r="T8" s="379">
        <v>65003.18</v>
      </c>
      <c r="U8" s="379">
        <v>0</v>
      </c>
      <c r="V8" s="379">
        <v>21989.46</v>
      </c>
      <c r="W8" s="379">
        <v>45349.2</v>
      </c>
      <c r="X8" s="379">
        <v>19862.939999999999</v>
      </c>
      <c r="Y8" s="379">
        <v>45349.2</v>
      </c>
      <c r="Z8" s="379">
        <v>19636.2</v>
      </c>
      <c r="AA8" s="377"/>
      <c r="AB8" s="375" t="s">
        <v>45</v>
      </c>
      <c r="AC8" s="375" t="s">
        <v>45</v>
      </c>
      <c r="AD8" s="377"/>
      <c r="AE8" s="377"/>
      <c r="AF8" s="377"/>
      <c r="AG8" s="377"/>
      <c r="AH8" s="378">
        <v>0</v>
      </c>
      <c r="AI8" s="378">
        <v>0</v>
      </c>
      <c r="AJ8" s="377"/>
      <c r="AK8" s="377"/>
      <c r="AL8" s="375" t="s">
        <v>173</v>
      </c>
      <c r="AM8" s="377"/>
      <c r="AN8" s="377"/>
      <c r="AO8" s="378">
        <v>0</v>
      </c>
      <c r="AP8" s="384">
        <v>0</v>
      </c>
      <c r="AQ8" s="384">
        <v>0</v>
      </c>
      <c r="AR8" s="382"/>
      <c r="AS8" s="386">
        <f t="shared" si="27"/>
        <v>0</v>
      </c>
      <c r="AT8">
        <f t="shared" si="28"/>
        <v>0</v>
      </c>
      <c r="AU8" s="386" t="str">
        <f>IF(AT8=0,"",IF(AND(AT8=1,M8="F",SUMIF(C2:C557,C8,AS2:AS557)&lt;=1),SUMIF(C2:C557,C8,AS2:AS557),IF(AND(AT8=1,M8="F",SUMIF(C2:C557,C8,AS2:AS557)&gt;1),1,"")))</f>
        <v/>
      </c>
      <c r="AV8" s="386" t="str">
        <f>IF(AT8=0,"",IF(AND(AT8=3,M8="F",SUMIF(C2:C557,C8,AS2:AS557)&lt;=1),SUMIF(C2:C557,C8,AS2:AS557),IF(AND(AT8=3,M8="F",SUMIF(C2:C557,C8,AS2:AS557)&gt;1),1,"")))</f>
        <v/>
      </c>
      <c r="AW8" s="386">
        <f>SUMIF(C2:C557,C8,O2:O557)</f>
        <v>0</v>
      </c>
      <c r="AX8" s="386">
        <f>IF(AND(M8="F",AS8&lt;&gt;0),SUMIF(C2:C557,C8,W2:W557),0)</f>
        <v>0</v>
      </c>
      <c r="AY8" s="386" t="str">
        <f t="shared" si="29"/>
        <v/>
      </c>
      <c r="AZ8" s="386" t="str">
        <f t="shared" si="30"/>
        <v/>
      </c>
      <c r="BA8" s="386">
        <f t="shared" si="31"/>
        <v>0</v>
      </c>
      <c r="BB8" s="386">
        <f t="shared" si="0"/>
        <v>0</v>
      </c>
      <c r="BC8" s="386">
        <f t="shared" si="1"/>
        <v>0</v>
      </c>
      <c r="BD8" s="386">
        <f t="shared" si="2"/>
        <v>0</v>
      </c>
      <c r="BE8" s="386">
        <f t="shared" si="3"/>
        <v>0</v>
      </c>
      <c r="BF8" s="386">
        <f t="shared" si="4"/>
        <v>0</v>
      </c>
      <c r="BG8" s="386">
        <f t="shared" si="5"/>
        <v>0</v>
      </c>
      <c r="BH8" s="386">
        <f t="shared" si="6"/>
        <v>0</v>
      </c>
      <c r="BI8" s="386">
        <f t="shared" si="7"/>
        <v>0</v>
      </c>
      <c r="BJ8" s="386">
        <f t="shared" si="8"/>
        <v>0</v>
      </c>
      <c r="BK8" s="386">
        <f t="shared" si="9"/>
        <v>0</v>
      </c>
      <c r="BL8" s="386">
        <f t="shared" si="32"/>
        <v>0</v>
      </c>
      <c r="BM8" s="386">
        <f t="shared" si="33"/>
        <v>0</v>
      </c>
      <c r="BN8" s="386">
        <f t="shared" si="10"/>
        <v>0</v>
      </c>
      <c r="BO8" s="386">
        <f t="shared" si="11"/>
        <v>0</v>
      </c>
      <c r="BP8" s="386">
        <f t="shared" si="12"/>
        <v>0</v>
      </c>
      <c r="BQ8" s="386">
        <f t="shared" si="13"/>
        <v>0</v>
      </c>
      <c r="BR8" s="386">
        <f t="shared" si="14"/>
        <v>0</v>
      </c>
      <c r="BS8" s="386">
        <f t="shared" si="15"/>
        <v>0</v>
      </c>
      <c r="BT8" s="386">
        <f t="shared" si="16"/>
        <v>0</v>
      </c>
      <c r="BU8" s="386">
        <f t="shared" si="17"/>
        <v>0</v>
      </c>
      <c r="BV8" s="386">
        <f t="shared" si="18"/>
        <v>0</v>
      </c>
      <c r="BW8" s="386">
        <f t="shared" si="19"/>
        <v>0</v>
      </c>
      <c r="BX8" s="386">
        <f t="shared" si="34"/>
        <v>0</v>
      </c>
      <c r="BY8" s="386">
        <f t="shared" si="35"/>
        <v>0</v>
      </c>
      <c r="BZ8" s="386">
        <f t="shared" si="36"/>
        <v>0</v>
      </c>
      <c r="CA8" s="386">
        <f t="shared" si="37"/>
        <v>0</v>
      </c>
      <c r="CB8" s="386">
        <f t="shared" si="38"/>
        <v>0</v>
      </c>
      <c r="CC8" s="386">
        <f t="shared" si="20"/>
        <v>0</v>
      </c>
      <c r="CD8" s="386">
        <f t="shared" si="21"/>
        <v>0</v>
      </c>
      <c r="CE8" s="386">
        <f t="shared" si="22"/>
        <v>0</v>
      </c>
      <c r="CF8" s="386">
        <f t="shared" si="23"/>
        <v>0</v>
      </c>
      <c r="CG8" s="386">
        <f t="shared" si="24"/>
        <v>0</v>
      </c>
      <c r="CH8" s="386">
        <f t="shared" si="25"/>
        <v>0</v>
      </c>
      <c r="CI8" s="386">
        <f t="shared" si="26"/>
        <v>0</v>
      </c>
      <c r="CJ8" s="386">
        <f t="shared" si="39"/>
        <v>0</v>
      </c>
      <c r="CK8" s="386" t="str">
        <f t="shared" si="40"/>
        <v/>
      </c>
      <c r="CL8" s="386" t="str">
        <f t="shared" si="41"/>
        <v/>
      </c>
      <c r="CM8" s="386" t="str">
        <f t="shared" si="42"/>
        <v/>
      </c>
      <c r="CN8" s="386" t="str">
        <f t="shared" si="43"/>
        <v>0001-00</v>
      </c>
    </row>
    <row r="9" spans="1:92" ht="15.75" thickBot="1" x14ac:dyDescent="0.3">
      <c r="A9" s="375" t="s">
        <v>161</v>
      </c>
      <c r="B9" s="375" t="s">
        <v>162</v>
      </c>
      <c r="C9" s="375" t="s">
        <v>221</v>
      </c>
      <c r="D9" s="375" t="s">
        <v>208</v>
      </c>
      <c r="E9" s="375" t="s">
        <v>165</v>
      </c>
      <c r="F9" s="376" t="s">
        <v>166</v>
      </c>
      <c r="G9" s="375" t="s">
        <v>167</v>
      </c>
      <c r="H9" s="377"/>
      <c r="I9" s="377"/>
      <c r="J9" s="375" t="s">
        <v>168</v>
      </c>
      <c r="K9" s="375" t="s">
        <v>209</v>
      </c>
      <c r="L9" s="375" t="s">
        <v>210</v>
      </c>
      <c r="M9" s="375" t="s">
        <v>177</v>
      </c>
      <c r="N9" s="375" t="s">
        <v>199</v>
      </c>
      <c r="O9" s="378">
        <v>1</v>
      </c>
      <c r="P9" s="384">
        <v>1</v>
      </c>
      <c r="Q9" s="384">
        <v>1</v>
      </c>
      <c r="R9" s="379">
        <v>80</v>
      </c>
      <c r="S9" s="384">
        <v>1</v>
      </c>
      <c r="T9" s="379">
        <v>39516.35</v>
      </c>
      <c r="U9" s="379">
        <v>0</v>
      </c>
      <c r="V9" s="379">
        <v>19882.87</v>
      </c>
      <c r="W9" s="379">
        <v>40934.400000000001</v>
      </c>
      <c r="X9" s="379">
        <v>20388.22</v>
      </c>
      <c r="Y9" s="379">
        <v>40934.400000000001</v>
      </c>
      <c r="Z9" s="379">
        <v>20191.740000000002</v>
      </c>
      <c r="AA9" s="375" t="s">
        <v>222</v>
      </c>
      <c r="AB9" s="375" t="s">
        <v>223</v>
      </c>
      <c r="AC9" s="375" t="s">
        <v>224</v>
      </c>
      <c r="AD9" s="375" t="s">
        <v>210</v>
      </c>
      <c r="AE9" s="375" t="s">
        <v>209</v>
      </c>
      <c r="AF9" s="375" t="s">
        <v>215</v>
      </c>
      <c r="AG9" s="375" t="s">
        <v>183</v>
      </c>
      <c r="AH9" s="380">
        <v>19.68</v>
      </c>
      <c r="AI9" s="380">
        <v>22159.200000000001</v>
      </c>
      <c r="AJ9" s="375" t="s">
        <v>184</v>
      </c>
      <c r="AK9" s="375" t="s">
        <v>185</v>
      </c>
      <c r="AL9" s="375" t="s">
        <v>173</v>
      </c>
      <c r="AM9" s="375" t="s">
        <v>186</v>
      </c>
      <c r="AN9" s="375" t="s">
        <v>68</v>
      </c>
      <c r="AO9" s="378">
        <v>80</v>
      </c>
      <c r="AP9" s="384">
        <v>1</v>
      </c>
      <c r="AQ9" s="384">
        <v>1</v>
      </c>
      <c r="AR9" s="383" t="s">
        <v>187</v>
      </c>
      <c r="AS9" s="386">
        <f t="shared" si="27"/>
        <v>1</v>
      </c>
      <c r="AT9">
        <f t="shared" si="28"/>
        <v>1</v>
      </c>
      <c r="AU9" s="386">
        <f>IF(AT9=0,"",IF(AND(AT9=1,M9="F",SUMIF(C2:C557,C9,AS2:AS557)&lt;=1),SUMIF(C2:C557,C9,AS2:AS557),IF(AND(AT9=1,M9="F",SUMIF(C2:C557,C9,AS2:AS557)&gt;1),1,"")))</f>
        <v>1</v>
      </c>
      <c r="AV9" s="386" t="str">
        <f>IF(AT9=0,"",IF(AND(AT9=3,M9="F",SUMIF(C2:C557,C9,AS2:AS557)&lt;=1),SUMIF(C2:C557,C9,AS2:AS557),IF(AND(AT9=3,M9="F",SUMIF(C2:C557,C9,AS2:AS557)&gt;1),1,"")))</f>
        <v/>
      </c>
      <c r="AW9" s="386">
        <f>SUMIF(C2:C557,C9,O2:O557)</f>
        <v>1</v>
      </c>
      <c r="AX9" s="386">
        <f>IF(AND(M9="F",AS9&lt;&gt;0),SUMIF(C2:C557,C9,W2:W557),0)</f>
        <v>40934.400000000001</v>
      </c>
      <c r="AY9" s="386">
        <f t="shared" si="29"/>
        <v>40934.400000000001</v>
      </c>
      <c r="AZ9" s="386" t="str">
        <f t="shared" si="30"/>
        <v/>
      </c>
      <c r="BA9" s="386">
        <f t="shared" si="31"/>
        <v>0</v>
      </c>
      <c r="BB9" s="386">
        <f t="shared" si="0"/>
        <v>11650</v>
      </c>
      <c r="BC9" s="386">
        <f t="shared" si="1"/>
        <v>0</v>
      </c>
      <c r="BD9" s="386">
        <f t="shared" si="2"/>
        <v>2537.9328</v>
      </c>
      <c r="BE9" s="386">
        <f t="shared" si="3"/>
        <v>593.54880000000003</v>
      </c>
      <c r="BF9" s="386">
        <f t="shared" si="4"/>
        <v>4887.56736</v>
      </c>
      <c r="BG9" s="386">
        <f t="shared" si="5"/>
        <v>295.137024</v>
      </c>
      <c r="BH9" s="386">
        <f t="shared" si="6"/>
        <v>200.57856000000001</v>
      </c>
      <c r="BI9" s="386">
        <f t="shared" si="7"/>
        <v>125.259264</v>
      </c>
      <c r="BJ9" s="386">
        <f t="shared" si="8"/>
        <v>98.242559999999997</v>
      </c>
      <c r="BK9" s="386">
        <f t="shared" si="9"/>
        <v>0</v>
      </c>
      <c r="BL9" s="386">
        <f t="shared" si="32"/>
        <v>8738.2663680000005</v>
      </c>
      <c r="BM9" s="386">
        <f t="shared" si="33"/>
        <v>0</v>
      </c>
      <c r="BN9" s="386">
        <f t="shared" si="10"/>
        <v>11650</v>
      </c>
      <c r="BO9" s="386">
        <f t="shared" si="11"/>
        <v>0</v>
      </c>
      <c r="BP9" s="386">
        <f t="shared" si="12"/>
        <v>2537.9328</v>
      </c>
      <c r="BQ9" s="386">
        <f t="shared" si="13"/>
        <v>593.54880000000003</v>
      </c>
      <c r="BR9" s="386">
        <f t="shared" si="14"/>
        <v>4887.56736</v>
      </c>
      <c r="BS9" s="386">
        <f t="shared" si="15"/>
        <v>295.137024</v>
      </c>
      <c r="BT9" s="386">
        <f t="shared" si="16"/>
        <v>0</v>
      </c>
      <c r="BU9" s="386">
        <f t="shared" si="17"/>
        <v>125.259264</v>
      </c>
      <c r="BV9" s="386">
        <f t="shared" si="18"/>
        <v>102.33600000000001</v>
      </c>
      <c r="BW9" s="386">
        <f t="shared" si="19"/>
        <v>0</v>
      </c>
      <c r="BX9" s="386">
        <f t="shared" si="34"/>
        <v>8541.7812479999993</v>
      </c>
      <c r="BY9" s="386">
        <f t="shared" si="35"/>
        <v>0</v>
      </c>
      <c r="BZ9" s="386">
        <f t="shared" si="36"/>
        <v>0</v>
      </c>
      <c r="CA9" s="386">
        <f t="shared" si="37"/>
        <v>0</v>
      </c>
      <c r="CB9" s="386">
        <f t="shared" si="38"/>
        <v>0</v>
      </c>
      <c r="CC9" s="386">
        <f t="shared" si="20"/>
        <v>0</v>
      </c>
      <c r="CD9" s="386">
        <f t="shared" si="21"/>
        <v>0</v>
      </c>
      <c r="CE9" s="386">
        <f t="shared" si="22"/>
        <v>0</v>
      </c>
      <c r="CF9" s="386">
        <f t="shared" si="23"/>
        <v>-200.57856000000001</v>
      </c>
      <c r="CG9" s="386">
        <f t="shared" si="24"/>
        <v>0</v>
      </c>
      <c r="CH9" s="386">
        <f t="shared" si="25"/>
        <v>4.0934400000000108</v>
      </c>
      <c r="CI9" s="386">
        <f t="shared" si="26"/>
        <v>0</v>
      </c>
      <c r="CJ9" s="386">
        <f t="shared" si="39"/>
        <v>-196.48511999999999</v>
      </c>
      <c r="CK9" s="386" t="str">
        <f t="shared" si="40"/>
        <v/>
      </c>
      <c r="CL9" s="386" t="str">
        <f t="shared" si="41"/>
        <v/>
      </c>
      <c r="CM9" s="386" t="str">
        <f t="shared" si="42"/>
        <v/>
      </c>
      <c r="CN9" s="386" t="str">
        <f t="shared" si="43"/>
        <v>0001-00</v>
      </c>
    </row>
    <row r="10" spans="1:92" ht="15.75" thickBot="1" x14ac:dyDescent="0.3">
      <c r="A10" s="375" t="s">
        <v>161</v>
      </c>
      <c r="B10" s="375" t="s">
        <v>162</v>
      </c>
      <c r="C10" s="375" t="s">
        <v>225</v>
      </c>
      <c r="D10" s="375" t="s">
        <v>208</v>
      </c>
      <c r="E10" s="375" t="s">
        <v>165</v>
      </c>
      <c r="F10" s="376" t="s">
        <v>166</v>
      </c>
      <c r="G10" s="375" t="s">
        <v>167</v>
      </c>
      <c r="H10" s="377"/>
      <c r="I10" s="377"/>
      <c r="J10" s="375" t="s">
        <v>168</v>
      </c>
      <c r="K10" s="375" t="s">
        <v>209</v>
      </c>
      <c r="L10" s="375" t="s">
        <v>210</v>
      </c>
      <c r="M10" s="375" t="s">
        <v>177</v>
      </c>
      <c r="N10" s="375" t="s">
        <v>199</v>
      </c>
      <c r="O10" s="378">
        <v>1</v>
      </c>
      <c r="P10" s="384">
        <v>1</v>
      </c>
      <c r="Q10" s="384">
        <v>1</v>
      </c>
      <c r="R10" s="379">
        <v>80</v>
      </c>
      <c r="S10" s="384">
        <v>1</v>
      </c>
      <c r="T10" s="379">
        <v>35748.800000000003</v>
      </c>
      <c r="U10" s="379">
        <v>1.7</v>
      </c>
      <c r="V10" s="379">
        <v>18929.96</v>
      </c>
      <c r="W10" s="379">
        <v>38459.199999999997</v>
      </c>
      <c r="X10" s="379">
        <v>19859.86</v>
      </c>
      <c r="Y10" s="379">
        <v>38459.199999999997</v>
      </c>
      <c r="Z10" s="379">
        <v>19675.25</v>
      </c>
      <c r="AA10" s="375" t="s">
        <v>226</v>
      </c>
      <c r="AB10" s="375" t="s">
        <v>227</v>
      </c>
      <c r="AC10" s="375" t="s">
        <v>228</v>
      </c>
      <c r="AD10" s="375" t="s">
        <v>195</v>
      </c>
      <c r="AE10" s="375" t="s">
        <v>209</v>
      </c>
      <c r="AF10" s="375" t="s">
        <v>215</v>
      </c>
      <c r="AG10" s="375" t="s">
        <v>183</v>
      </c>
      <c r="AH10" s="380">
        <v>18.489999999999998</v>
      </c>
      <c r="AI10" s="380">
        <v>12847.7</v>
      </c>
      <c r="AJ10" s="375" t="s">
        <v>184</v>
      </c>
      <c r="AK10" s="375" t="s">
        <v>185</v>
      </c>
      <c r="AL10" s="375" t="s">
        <v>173</v>
      </c>
      <c r="AM10" s="375" t="s">
        <v>186</v>
      </c>
      <c r="AN10" s="375" t="s">
        <v>68</v>
      </c>
      <c r="AO10" s="378">
        <v>80</v>
      </c>
      <c r="AP10" s="384">
        <v>1</v>
      </c>
      <c r="AQ10" s="384">
        <v>1</v>
      </c>
      <c r="AR10" s="383" t="s">
        <v>187</v>
      </c>
      <c r="AS10" s="386">
        <f t="shared" si="27"/>
        <v>1</v>
      </c>
      <c r="AT10">
        <f t="shared" si="28"/>
        <v>1</v>
      </c>
      <c r="AU10" s="386">
        <f>IF(AT10=0,"",IF(AND(AT10=1,M10="F",SUMIF(C2:C557,C10,AS2:AS557)&lt;=1),SUMIF(C2:C557,C10,AS2:AS557),IF(AND(AT10=1,M10="F",SUMIF(C2:C557,C10,AS2:AS557)&gt;1),1,"")))</f>
        <v>1</v>
      </c>
      <c r="AV10" s="386" t="str">
        <f>IF(AT10=0,"",IF(AND(AT10=3,M10="F",SUMIF(C2:C557,C10,AS2:AS557)&lt;=1),SUMIF(C2:C557,C10,AS2:AS557),IF(AND(AT10=3,M10="F",SUMIF(C2:C557,C10,AS2:AS557)&gt;1),1,"")))</f>
        <v/>
      </c>
      <c r="AW10" s="386">
        <f>SUMIF(C2:C557,C10,O2:O557)</f>
        <v>1</v>
      </c>
      <c r="AX10" s="386">
        <f>IF(AND(M10="F",AS10&lt;&gt;0),SUMIF(C2:C557,C10,W2:W557),0)</f>
        <v>38459.199999999997</v>
      </c>
      <c r="AY10" s="386">
        <f t="shared" si="29"/>
        <v>38459.199999999997</v>
      </c>
      <c r="AZ10" s="386" t="str">
        <f t="shared" si="30"/>
        <v/>
      </c>
      <c r="BA10" s="386">
        <f t="shared" si="31"/>
        <v>0</v>
      </c>
      <c r="BB10" s="386">
        <f t="shared" si="0"/>
        <v>11650</v>
      </c>
      <c r="BC10" s="386">
        <f t="shared" si="1"/>
        <v>0</v>
      </c>
      <c r="BD10" s="386">
        <f t="shared" si="2"/>
        <v>2384.4703999999997</v>
      </c>
      <c r="BE10" s="386">
        <f t="shared" si="3"/>
        <v>557.65840000000003</v>
      </c>
      <c r="BF10" s="386">
        <f t="shared" si="4"/>
        <v>4592.0284799999999</v>
      </c>
      <c r="BG10" s="386">
        <f t="shared" si="5"/>
        <v>277.29083199999997</v>
      </c>
      <c r="BH10" s="386">
        <f t="shared" si="6"/>
        <v>188.45007999999999</v>
      </c>
      <c r="BI10" s="386">
        <f t="shared" si="7"/>
        <v>117.68515199999999</v>
      </c>
      <c r="BJ10" s="386">
        <f t="shared" si="8"/>
        <v>92.302079999999989</v>
      </c>
      <c r="BK10" s="386">
        <f t="shared" si="9"/>
        <v>0</v>
      </c>
      <c r="BL10" s="386">
        <f t="shared" si="32"/>
        <v>8209.8854239999982</v>
      </c>
      <c r="BM10" s="386">
        <f t="shared" si="33"/>
        <v>0</v>
      </c>
      <c r="BN10" s="386">
        <f t="shared" si="10"/>
        <v>11650</v>
      </c>
      <c r="BO10" s="386">
        <f t="shared" si="11"/>
        <v>0</v>
      </c>
      <c r="BP10" s="386">
        <f t="shared" si="12"/>
        <v>2384.4703999999997</v>
      </c>
      <c r="BQ10" s="386">
        <f t="shared" si="13"/>
        <v>557.65840000000003</v>
      </c>
      <c r="BR10" s="386">
        <f t="shared" si="14"/>
        <v>4592.0284799999999</v>
      </c>
      <c r="BS10" s="386">
        <f t="shared" si="15"/>
        <v>277.29083199999997</v>
      </c>
      <c r="BT10" s="386">
        <f t="shared" si="16"/>
        <v>0</v>
      </c>
      <c r="BU10" s="386">
        <f t="shared" si="17"/>
        <v>117.68515199999999</v>
      </c>
      <c r="BV10" s="386">
        <f t="shared" si="18"/>
        <v>96.147999999999996</v>
      </c>
      <c r="BW10" s="386">
        <f t="shared" si="19"/>
        <v>0</v>
      </c>
      <c r="BX10" s="386">
        <f t="shared" si="34"/>
        <v>8025.2812639999993</v>
      </c>
      <c r="BY10" s="386">
        <f t="shared" si="35"/>
        <v>0</v>
      </c>
      <c r="BZ10" s="386">
        <f t="shared" si="36"/>
        <v>0</v>
      </c>
      <c r="CA10" s="386">
        <f t="shared" si="37"/>
        <v>0</v>
      </c>
      <c r="CB10" s="386">
        <f t="shared" si="38"/>
        <v>0</v>
      </c>
      <c r="CC10" s="386">
        <f t="shared" si="20"/>
        <v>0</v>
      </c>
      <c r="CD10" s="386">
        <f t="shared" si="21"/>
        <v>0</v>
      </c>
      <c r="CE10" s="386">
        <f t="shared" si="22"/>
        <v>0</v>
      </c>
      <c r="CF10" s="386">
        <f t="shared" si="23"/>
        <v>-188.45007999999999</v>
      </c>
      <c r="CG10" s="386">
        <f t="shared" si="24"/>
        <v>0</v>
      </c>
      <c r="CH10" s="386">
        <f t="shared" si="25"/>
        <v>3.8459200000000098</v>
      </c>
      <c r="CI10" s="386">
        <f t="shared" si="26"/>
        <v>0</v>
      </c>
      <c r="CJ10" s="386">
        <f t="shared" si="39"/>
        <v>-184.60415999999998</v>
      </c>
      <c r="CK10" s="386" t="str">
        <f t="shared" si="40"/>
        <v/>
      </c>
      <c r="CL10" s="386" t="str">
        <f t="shared" si="41"/>
        <v/>
      </c>
      <c r="CM10" s="386" t="str">
        <f t="shared" si="42"/>
        <v/>
      </c>
      <c r="CN10" s="386" t="str">
        <f t="shared" si="43"/>
        <v>0001-00</v>
      </c>
    </row>
    <row r="11" spans="1:92" ht="15.75" thickBot="1" x14ac:dyDescent="0.3">
      <c r="A11" s="375" t="s">
        <v>161</v>
      </c>
      <c r="B11" s="375" t="s">
        <v>162</v>
      </c>
      <c r="C11" s="375" t="s">
        <v>229</v>
      </c>
      <c r="D11" s="375" t="s">
        <v>164</v>
      </c>
      <c r="E11" s="375" t="s">
        <v>165</v>
      </c>
      <c r="F11" s="376" t="s">
        <v>166</v>
      </c>
      <c r="G11" s="375" t="s">
        <v>167</v>
      </c>
      <c r="H11" s="377"/>
      <c r="I11" s="377"/>
      <c r="J11" s="375" t="s">
        <v>168</v>
      </c>
      <c r="K11" s="375" t="s">
        <v>197</v>
      </c>
      <c r="L11" s="375" t="s">
        <v>198</v>
      </c>
      <c r="M11" s="375" t="s">
        <v>171</v>
      </c>
      <c r="N11" s="375" t="s">
        <v>199</v>
      </c>
      <c r="O11" s="378">
        <v>0</v>
      </c>
      <c r="P11" s="384">
        <v>1</v>
      </c>
      <c r="Q11" s="384">
        <v>1</v>
      </c>
      <c r="R11" s="379">
        <v>80</v>
      </c>
      <c r="S11" s="384">
        <v>1</v>
      </c>
      <c r="T11" s="379">
        <v>49472.12</v>
      </c>
      <c r="U11" s="379">
        <v>0</v>
      </c>
      <c r="V11" s="379">
        <v>21649.37</v>
      </c>
      <c r="W11" s="379">
        <v>47403.199999999997</v>
      </c>
      <c r="X11" s="379">
        <v>20762.599999999999</v>
      </c>
      <c r="Y11" s="379">
        <v>47403.199999999997</v>
      </c>
      <c r="Z11" s="379">
        <v>20525.580000000002</v>
      </c>
      <c r="AA11" s="377"/>
      <c r="AB11" s="375" t="s">
        <v>45</v>
      </c>
      <c r="AC11" s="375" t="s">
        <v>45</v>
      </c>
      <c r="AD11" s="377"/>
      <c r="AE11" s="377"/>
      <c r="AF11" s="377"/>
      <c r="AG11" s="377"/>
      <c r="AH11" s="378">
        <v>0</v>
      </c>
      <c r="AI11" s="378">
        <v>0</v>
      </c>
      <c r="AJ11" s="377"/>
      <c r="AK11" s="377"/>
      <c r="AL11" s="375" t="s">
        <v>173</v>
      </c>
      <c r="AM11" s="377"/>
      <c r="AN11" s="377"/>
      <c r="AO11" s="378">
        <v>0</v>
      </c>
      <c r="AP11" s="384">
        <v>0</v>
      </c>
      <c r="AQ11" s="384">
        <v>0</v>
      </c>
      <c r="AR11" s="382"/>
      <c r="AS11" s="386">
        <f t="shared" si="27"/>
        <v>0</v>
      </c>
      <c r="AT11">
        <f t="shared" si="28"/>
        <v>0</v>
      </c>
      <c r="AU11" s="386" t="str">
        <f>IF(AT11=0,"",IF(AND(AT11=1,M11="F",SUMIF(C2:C557,C11,AS2:AS557)&lt;=1),SUMIF(C2:C557,C11,AS2:AS557),IF(AND(AT11=1,M11="F",SUMIF(C2:C557,C11,AS2:AS557)&gt;1),1,"")))</f>
        <v/>
      </c>
      <c r="AV11" s="386" t="str">
        <f>IF(AT11=0,"",IF(AND(AT11=3,M11="F",SUMIF(C2:C557,C11,AS2:AS557)&lt;=1),SUMIF(C2:C557,C11,AS2:AS557),IF(AND(AT11=3,M11="F",SUMIF(C2:C557,C11,AS2:AS557)&gt;1),1,"")))</f>
        <v/>
      </c>
      <c r="AW11" s="386">
        <f>SUMIF(C2:C557,C11,O2:O557)</f>
        <v>0</v>
      </c>
      <c r="AX11" s="386">
        <f>IF(AND(M11="F",AS11&lt;&gt;0),SUMIF(C2:C557,C11,W2:W557),0)</f>
        <v>0</v>
      </c>
      <c r="AY11" s="386" t="str">
        <f t="shared" si="29"/>
        <v/>
      </c>
      <c r="AZ11" s="386" t="str">
        <f t="shared" si="30"/>
        <v/>
      </c>
      <c r="BA11" s="386">
        <f t="shared" si="31"/>
        <v>0</v>
      </c>
      <c r="BB11" s="386">
        <f t="shared" si="0"/>
        <v>0</v>
      </c>
      <c r="BC11" s="386">
        <f t="shared" si="1"/>
        <v>0</v>
      </c>
      <c r="BD11" s="386">
        <f t="shared" si="2"/>
        <v>0</v>
      </c>
      <c r="BE11" s="386">
        <f t="shared" si="3"/>
        <v>0</v>
      </c>
      <c r="BF11" s="386">
        <f t="shared" si="4"/>
        <v>0</v>
      </c>
      <c r="BG11" s="386">
        <f t="shared" si="5"/>
        <v>0</v>
      </c>
      <c r="BH11" s="386">
        <f t="shared" si="6"/>
        <v>0</v>
      </c>
      <c r="BI11" s="386">
        <f t="shared" si="7"/>
        <v>0</v>
      </c>
      <c r="BJ11" s="386">
        <f t="shared" si="8"/>
        <v>0</v>
      </c>
      <c r="BK11" s="386">
        <f t="shared" si="9"/>
        <v>0</v>
      </c>
      <c r="BL11" s="386">
        <f t="shared" si="32"/>
        <v>0</v>
      </c>
      <c r="BM11" s="386">
        <f t="shared" si="33"/>
        <v>0</v>
      </c>
      <c r="BN11" s="386">
        <f t="shared" si="10"/>
        <v>0</v>
      </c>
      <c r="BO11" s="386">
        <f t="shared" si="11"/>
        <v>0</v>
      </c>
      <c r="BP11" s="386">
        <f t="shared" si="12"/>
        <v>0</v>
      </c>
      <c r="BQ11" s="386">
        <f t="shared" si="13"/>
        <v>0</v>
      </c>
      <c r="BR11" s="386">
        <f t="shared" si="14"/>
        <v>0</v>
      </c>
      <c r="BS11" s="386">
        <f t="shared" si="15"/>
        <v>0</v>
      </c>
      <c r="BT11" s="386">
        <f t="shared" si="16"/>
        <v>0</v>
      </c>
      <c r="BU11" s="386">
        <f t="shared" si="17"/>
        <v>0</v>
      </c>
      <c r="BV11" s="386">
        <f t="shared" si="18"/>
        <v>0</v>
      </c>
      <c r="BW11" s="386">
        <f t="shared" si="19"/>
        <v>0</v>
      </c>
      <c r="BX11" s="386">
        <f t="shared" si="34"/>
        <v>0</v>
      </c>
      <c r="BY11" s="386">
        <f t="shared" si="35"/>
        <v>0</v>
      </c>
      <c r="BZ11" s="386">
        <f t="shared" si="36"/>
        <v>0</v>
      </c>
      <c r="CA11" s="386">
        <f t="shared" si="37"/>
        <v>0</v>
      </c>
      <c r="CB11" s="386">
        <f t="shared" si="38"/>
        <v>0</v>
      </c>
      <c r="CC11" s="386">
        <f t="shared" si="20"/>
        <v>0</v>
      </c>
      <c r="CD11" s="386">
        <f t="shared" si="21"/>
        <v>0</v>
      </c>
      <c r="CE11" s="386">
        <f t="shared" si="22"/>
        <v>0</v>
      </c>
      <c r="CF11" s="386">
        <f t="shared" si="23"/>
        <v>0</v>
      </c>
      <c r="CG11" s="386">
        <f t="shared" si="24"/>
        <v>0</v>
      </c>
      <c r="CH11" s="386">
        <f t="shared" si="25"/>
        <v>0</v>
      </c>
      <c r="CI11" s="386">
        <f t="shared" si="26"/>
        <v>0</v>
      </c>
      <c r="CJ11" s="386">
        <f t="shared" si="39"/>
        <v>0</v>
      </c>
      <c r="CK11" s="386" t="str">
        <f t="shared" si="40"/>
        <v/>
      </c>
      <c r="CL11" s="386" t="str">
        <f t="shared" si="41"/>
        <v/>
      </c>
      <c r="CM11" s="386" t="str">
        <f t="shared" si="42"/>
        <v/>
      </c>
      <c r="CN11" s="386" t="str">
        <f t="shared" si="43"/>
        <v>0001-00</v>
      </c>
    </row>
    <row r="12" spans="1:92" ht="15.75" thickBot="1" x14ac:dyDescent="0.3">
      <c r="A12" s="375" t="s">
        <v>161</v>
      </c>
      <c r="B12" s="375" t="s">
        <v>162</v>
      </c>
      <c r="C12" s="375" t="s">
        <v>230</v>
      </c>
      <c r="D12" s="375" t="s">
        <v>231</v>
      </c>
      <c r="E12" s="375" t="s">
        <v>165</v>
      </c>
      <c r="F12" s="376" t="s">
        <v>166</v>
      </c>
      <c r="G12" s="375" t="s">
        <v>167</v>
      </c>
      <c r="H12" s="377"/>
      <c r="I12" s="377"/>
      <c r="J12" s="375" t="s">
        <v>168</v>
      </c>
      <c r="K12" s="375" t="s">
        <v>232</v>
      </c>
      <c r="L12" s="375" t="s">
        <v>233</v>
      </c>
      <c r="M12" s="375" t="s">
        <v>177</v>
      </c>
      <c r="N12" s="375" t="s">
        <v>199</v>
      </c>
      <c r="O12" s="378">
        <v>1</v>
      </c>
      <c r="P12" s="384">
        <v>1</v>
      </c>
      <c r="Q12" s="384">
        <v>1</v>
      </c>
      <c r="R12" s="379">
        <v>80</v>
      </c>
      <c r="S12" s="384">
        <v>1</v>
      </c>
      <c r="T12" s="379">
        <v>49086.47</v>
      </c>
      <c r="U12" s="379">
        <v>0</v>
      </c>
      <c r="V12" s="379">
        <v>21780.23</v>
      </c>
      <c r="W12" s="379">
        <v>50793.599999999999</v>
      </c>
      <c r="X12" s="379">
        <v>22492.87</v>
      </c>
      <c r="Y12" s="379">
        <v>50793.599999999999</v>
      </c>
      <c r="Z12" s="379">
        <v>22249.07</v>
      </c>
      <c r="AA12" s="375" t="s">
        <v>234</v>
      </c>
      <c r="AB12" s="375" t="s">
        <v>235</v>
      </c>
      <c r="AC12" s="375" t="s">
        <v>236</v>
      </c>
      <c r="AD12" s="375" t="s">
        <v>195</v>
      </c>
      <c r="AE12" s="375" t="s">
        <v>232</v>
      </c>
      <c r="AF12" s="375" t="s">
        <v>237</v>
      </c>
      <c r="AG12" s="375" t="s">
        <v>183</v>
      </c>
      <c r="AH12" s="380">
        <v>24.42</v>
      </c>
      <c r="AI12" s="380">
        <v>31940.6</v>
      </c>
      <c r="AJ12" s="375" t="s">
        <v>184</v>
      </c>
      <c r="AK12" s="375" t="s">
        <v>185</v>
      </c>
      <c r="AL12" s="375" t="s">
        <v>173</v>
      </c>
      <c r="AM12" s="375" t="s">
        <v>186</v>
      </c>
      <c r="AN12" s="375" t="s">
        <v>68</v>
      </c>
      <c r="AO12" s="378">
        <v>80</v>
      </c>
      <c r="AP12" s="384">
        <v>1</v>
      </c>
      <c r="AQ12" s="384">
        <v>1</v>
      </c>
      <c r="AR12" s="383" t="s">
        <v>187</v>
      </c>
      <c r="AS12" s="386">
        <f t="shared" si="27"/>
        <v>1</v>
      </c>
      <c r="AT12">
        <f t="shared" si="28"/>
        <v>1</v>
      </c>
      <c r="AU12" s="386">
        <f>IF(AT12=0,"",IF(AND(AT12=1,M12="F",SUMIF(C2:C557,C12,AS2:AS557)&lt;=1),SUMIF(C2:C557,C12,AS2:AS557),IF(AND(AT12=1,M12="F",SUMIF(C2:C557,C12,AS2:AS557)&gt;1),1,"")))</f>
        <v>1</v>
      </c>
      <c r="AV12" s="386" t="str">
        <f>IF(AT12=0,"",IF(AND(AT12=3,M12="F",SUMIF(C2:C557,C12,AS2:AS557)&lt;=1),SUMIF(C2:C557,C12,AS2:AS557),IF(AND(AT12=3,M12="F",SUMIF(C2:C557,C12,AS2:AS557)&gt;1),1,"")))</f>
        <v/>
      </c>
      <c r="AW12" s="386">
        <f>SUMIF(C2:C557,C12,O2:O557)</f>
        <v>1</v>
      </c>
      <c r="AX12" s="386">
        <f>IF(AND(M12="F",AS12&lt;&gt;0),SUMIF(C2:C557,C12,W2:W557),0)</f>
        <v>50793.599999999999</v>
      </c>
      <c r="AY12" s="386">
        <f t="shared" si="29"/>
        <v>50793.599999999999</v>
      </c>
      <c r="AZ12" s="386" t="str">
        <f t="shared" si="30"/>
        <v/>
      </c>
      <c r="BA12" s="386">
        <f t="shared" si="31"/>
        <v>0</v>
      </c>
      <c r="BB12" s="386">
        <f t="shared" si="0"/>
        <v>11650</v>
      </c>
      <c r="BC12" s="386">
        <f t="shared" si="1"/>
        <v>0</v>
      </c>
      <c r="BD12" s="386">
        <f t="shared" si="2"/>
        <v>3149.2031999999999</v>
      </c>
      <c r="BE12" s="386">
        <f t="shared" si="3"/>
        <v>736.50720000000001</v>
      </c>
      <c r="BF12" s="386">
        <f t="shared" si="4"/>
        <v>6064.7558399999998</v>
      </c>
      <c r="BG12" s="386">
        <f t="shared" si="5"/>
        <v>366.221856</v>
      </c>
      <c r="BH12" s="386">
        <f t="shared" si="6"/>
        <v>248.88863999999998</v>
      </c>
      <c r="BI12" s="386">
        <f t="shared" si="7"/>
        <v>155.428416</v>
      </c>
      <c r="BJ12" s="386">
        <f t="shared" si="8"/>
        <v>121.90463999999999</v>
      </c>
      <c r="BK12" s="386">
        <f t="shared" si="9"/>
        <v>0</v>
      </c>
      <c r="BL12" s="386">
        <f t="shared" si="32"/>
        <v>10842.909792</v>
      </c>
      <c r="BM12" s="386">
        <f t="shared" si="33"/>
        <v>0</v>
      </c>
      <c r="BN12" s="386">
        <f t="shared" si="10"/>
        <v>11650</v>
      </c>
      <c r="BO12" s="386">
        <f t="shared" si="11"/>
        <v>0</v>
      </c>
      <c r="BP12" s="386">
        <f t="shared" si="12"/>
        <v>3149.2031999999999</v>
      </c>
      <c r="BQ12" s="386">
        <f t="shared" si="13"/>
        <v>736.50720000000001</v>
      </c>
      <c r="BR12" s="386">
        <f t="shared" si="14"/>
        <v>6064.7558399999998</v>
      </c>
      <c r="BS12" s="386">
        <f t="shared" si="15"/>
        <v>366.221856</v>
      </c>
      <c r="BT12" s="386">
        <f t="shared" si="16"/>
        <v>0</v>
      </c>
      <c r="BU12" s="386">
        <f t="shared" si="17"/>
        <v>155.428416</v>
      </c>
      <c r="BV12" s="386">
        <f t="shared" si="18"/>
        <v>126.98399999999999</v>
      </c>
      <c r="BW12" s="386">
        <f t="shared" si="19"/>
        <v>0</v>
      </c>
      <c r="BX12" s="386">
        <f t="shared" si="34"/>
        <v>10599.100512000001</v>
      </c>
      <c r="BY12" s="386">
        <f t="shared" si="35"/>
        <v>0</v>
      </c>
      <c r="BZ12" s="386">
        <f t="shared" si="36"/>
        <v>0</v>
      </c>
      <c r="CA12" s="386">
        <f t="shared" si="37"/>
        <v>0</v>
      </c>
      <c r="CB12" s="386">
        <f t="shared" si="38"/>
        <v>0</v>
      </c>
      <c r="CC12" s="386">
        <f t="shared" si="20"/>
        <v>0</v>
      </c>
      <c r="CD12" s="386">
        <f t="shared" si="21"/>
        <v>0</v>
      </c>
      <c r="CE12" s="386">
        <f t="shared" si="22"/>
        <v>0</v>
      </c>
      <c r="CF12" s="386">
        <f t="shared" si="23"/>
        <v>-248.88863999999998</v>
      </c>
      <c r="CG12" s="386">
        <f t="shared" si="24"/>
        <v>0</v>
      </c>
      <c r="CH12" s="386">
        <f t="shared" si="25"/>
        <v>5.0793600000000128</v>
      </c>
      <c r="CI12" s="386">
        <f t="shared" si="26"/>
        <v>0</v>
      </c>
      <c r="CJ12" s="386">
        <f t="shared" si="39"/>
        <v>-243.80927999999997</v>
      </c>
      <c r="CK12" s="386" t="str">
        <f t="shared" si="40"/>
        <v/>
      </c>
      <c r="CL12" s="386" t="str">
        <f t="shared" si="41"/>
        <v/>
      </c>
      <c r="CM12" s="386" t="str">
        <f t="shared" si="42"/>
        <v/>
      </c>
      <c r="CN12" s="386" t="str">
        <f t="shared" si="43"/>
        <v>0001-00</v>
      </c>
    </row>
    <row r="13" spans="1:92" ht="15.75" thickBot="1" x14ac:dyDescent="0.3">
      <c r="A13" s="375" t="s">
        <v>161</v>
      </c>
      <c r="B13" s="375" t="s">
        <v>162</v>
      </c>
      <c r="C13" s="375" t="s">
        <v>238</v>
      </c>
      <c r="D13" s="375" t="s">
        <v>239</v>
      </c>
      <c r="E13" s="375" t="s">
        <v>165</v>
      </c>
      <c r="F13" s="376" t="s">
        <v>166</v>
      </c>
      <c r="G13" s="375" t="s">
        <v>167</v>
      </c>
      <c r="H13" s="377"/>
      <c r="I13" s="377"/>
      <c r="J13" s="375" t="s">
        <v>168</v>
      </c>
      <c r="K13" s="375" t="s">
        <v>240</v>
      </c>
      <c r="L13" s="375" t="s">
        <v>198</v>
      </c>
      <c r="M13" s="375" t="s">
        <v>177</v>
      </c>
      <c r="N13" s="375" t="s">
        <v>199</v>
      </c>
      <c r="O13" s="378">
        <v>1</v>
      </c>
      <c r="P13" s="384">
        <v>1</v>
      </c>
      <c r="Q13" s="384">
        <v>1</v>
      </c>
      <c r="R13" s="379">
        <v>80</v>
      </c>
      <c r="S13" s="384">
        <v>1</v>
      </c>
      <c r="T13" s="379">
        <v>41773.06</v>
      </c>
      <c r="U13" s="379">
        <v>0</v>
      </c>
      <c r="V13" s="379">
        <v>20198.02</v>
      </c>
      <c r="W13" s="379">
        <v>46092.800000000003</v>
      </c>
      <c r="X13" s="379">
        <v>21489.4</v>
      </c>
      <c r="Y13" s="379">
        <v>46092.800000000003</v>
      </c>
      <c r="Z13" s="379">
        <v>21268.16</v>
      </c>
      <c r="AA13" s="375" t="s">
        <v>241</v>
      </c>
      <c r="AB13" s="375" t="s">
        <v>242</v>
      </c>
      <c r="AC13" s="375" t="s">
        <v>243</v>
      </c>
      <c r="AD13" s="375" t="s">
        <v>244</v>
      </c>
      <c r="AE13" s="375" t="s">
        <v>240</v>
      </c>
      <c r="AF13" s="375" t="s">
        <v>245</v>
      </c>
      <c r="AG13" s="375" t="s">
        <v>183</v>
      </c>
      <c r="AH13" s="380">
        <v>22.16</v>
      </c>
      <c r="AI13" s="380">
        <v>35356.6</v>
      </c>
      <c r="AJ13" s="375" t="s">
        <v>184</v>
      </c>
      <c r="AK13" s="375" t="s">
        <v>185</v>
      </c>
      <c r="AL13" s="375" t="s">
        <v>173</v>
      </c>
      <c r="AM13" s="375" t="s">
        <v>186</v>
      </c>
      <c r="AN13" s="375" t="s">
        <v>68</v>
      </c>
      <c r="AO13" s="378">
        <v>80</v>
      </c>
      <c r="AP13" s="384">
        <v>1</v>
      </c>
      <c r="AQ13" s="384">
        <v>1</v>
      </c>
      <c r="AR13" s="383" t="s">
        <v>187</v>
      </c>
      <c r="AS13" s="386">
        <f t="shared" si="27"/>
        <v>1</v>
      </c>
      <c r="AT13">
        <f t="shared" si="28"/>
        <v>1</v>
      </c>
      <c r="AU13" s="386">
        <f>IF(AT13=0,"",IF(AND(AT13=1,M13="F",SUMIF(C2:C557,C13,AS2:AS557)&lt;=1),SUMIF(C2:C557,C13,AS2:AS557),IF(AND(AT13=1,M13="F",SUMIF(C2:C557,C13,AS2:AS557)&gt;1),1,"")))</f>
        <v>1</v>
      </c>
      <c r="AV13" s="386" t="str">
        <f>IF(AT13=0,"",IF(AND(AT13=3,M13="F",SUMIF(C2:C557,C13,AS2:AS557)&lt;=1),SUMIF(C2:C557,C13,AS2:AS557),IF(AND(AT13=3,M13="F",SUMIF(C2:C557,C13,AS2:AS557)&gt;1),1,"")))</f>
        <v/>
      </c>
      <c r="AW13" s="386">
        <f>SUMIF(C2:C557,C13,O2:O557)</f>
        <v>1</v>
      </c>
      <c r="AX13" s="386">
        <f>IF(AND(M13="F",AS13&lt;&gt;0),SUMIF(C2:C557,C13,W2:W557),0)</f>
        <v>46092.800000000003</v>
      </c>
      <c r="AY13" s="386">
        <f t="shared" si="29"/>
        <v>46092.800000000003</v>
      </c>
      <c r="AZ13" s="386" t="str">
        <f t="shared" si="30"/>
        <v/>
      </c>
      <c r="BA13" s="386">
        <f t="shared" si="31"/>
        <v>0</v>
      </c>
      <c r="BB13" s="386">
        <f t="shared" si="0"/>
        <v>11650</v>
      </c>
      <c r="BC13" s="386">
        <f t="shared" si="1"/>
        <v>0</v>
      </c>
      <c r="BD13" s="386">
        <f t="shared" si="2"/>
        <v>2857.7536</v>
      </c>
      <c r="BE13" s="386">
        <f t="shared" si="3"/>
        <v>668.3456000000001</v>
      </c>
      <c r="BF13" s="386">
        <f t="shared" si="4"/>
        <v>5503.4803200000006</v>
      </c>
      <c r="BG13" s="386">
        <f t="shared" si="5"/>
        <v>332.32908800000001</v>
      </c>
      <c r="BH13" s="386">
        <f t="shared" si="6"/>
        <v>225.85472000000001</v>
      </c>
      <c r="BI13" s="386">
        <f t="shared" si="7"/>
        <v>141.04396800000001</v>
      </c>
      <c r="BJ13" s="386">
        <f t="shared" si="8"/>
        <v>110.62272</v>
      </c>
      <c r="BK13" s="386">
        <f t="shared" si="9"/>
        <v>0</v>
      </c>
      <c r="BL13" s="386">
        <f t="shared" si="32"/>
        <v>9839.4300160000003</v>
      </c>
      <c r="BM13" s="386">
        <f t="shared" si="33"/>
        <v>0</v>
      </c>
      <c r="BN13" s="386">
        <f t="shared" si="10"/>
        <v>11650</v>
      </c>
      <c r="BO13" s="386">
        <f t="shared" si="11"/>
        <v>0</v>
      </c>
      <c r="BP13" s="386">
        <f t="shared" si="12"/>
        <v>2857.7536</v>
      </c>
      <c r="BQ13" s="386">
        <f t="shared" si="13"/>
        <v>668.3456000000001</v>
      </c>
      <c r="BR13" s="386">
        <f t="shared" si="14"/>
        <v>5503.4803200000006</v>
      </c>
      <c r="BS13" s="386">
        <f t="shared" si="15"/>
        <v>332.32908800000001</v>
      </c>
      <c r="BT13" s="386">
        <f t="shared" si="16"/>
        <v>0</v>
      </c>
      <c r="BU13" s="386">
        <f t="shared" si="17"/>
        <v>141.04396800000001</v>
      </c>
      <c r="BV13" s="386">
        <f t="shared" si="18"/>
        <v>115.23200000000001</v>
      </c>
      <c r="BW13" s="386">
        <f t="shared" si="19"/>
        <v>0</v>
      </c>
      <c r="BX13" s="386">
        <f t="shared" si="34"/>
        <v>9618.1845760000015</v>
      </c>
      <c r="BY13" s="386">
        <f t="shared" si="35"/>
        <v>0</v>
      </c>
      <c r="BZ13" s="386">
        <f t="shared" si="36"/>
        <v>0</v>
      </c>
      <c r="CA13" s="386">
        <f t="shared" si="37"/>
        <v>0</v>
      </c>
      <c r="CB13" s="386">
        <f t="shared" si="38"/>
        <v>0</v>
      </c>
      <c r="CC13" s="386">
        <f t="shared" si="20"/>
        <v>0</v>
      </c>
      <c r="CD13" s="386">
        <f t="shared" si="21"/>
        <v>0</v>
      </c>
      <c r="CE13" s="386">
        <f t="shared" si="22"/>
        <v>0</v>
      </c>
      <c r="CF13" s="386">
        <f t="shared" si="23"/>
        <v>-225.85472000000001</v>
      </c>
      <c r="CG13" s="386">
        <f t="shared" si="24"/>
        <v>0</v>
      </c>
      <c r="CH13" s="386">
        <f t="shared" si="25"/>
        <v>4.6092800000000125</v>
      </c>
      <c r="CI13" s="386">
        <f t="shared" si="26"/>
        <v>0</v>
      </c>
      <c r="CJ13" s="386">
        <f t="shared" si="39"/>
        <v>-221.24544</v>
      </c>
      <c r="CK13" s="386" t="str">
        <f t="shared" si="40"/>
        <v/>
      </c>
      <c r="CL13" s="386" t="str">
        <f t="shared" si="41"/>
        <v/>
      </c>
      <c r="CM13" s="386" t="str">
        <f t="shared" si="42"/>
        <v/>
      </c>
      <c r="CN13" s="386" t="str">
        <f t="shared" si="43"/>
        <v>0001-00</v>
      </c>
    </row>
    <row r="14" spans="1:92" ht="15.75" thickBot="1" x14ac:dyDescent="0.3">
      <c r="A14" s="375" t="s">
        <v>161</v>
      </c>
      <c r="B14" s="375" t="s">
        <v>162</v>
      </c>
      <c r="C14" s="375" t="s">
        <v>246</v>
      </c>
      <c r="D14" s="375" t="s">
        <v>247</v>
      </c>
      <c r="E14" s="375" t="s">
        <v>165</v>
      </c>
      <c r="F14" s="376" t="s">
        <v>166</v>
      </c>
      <c r="G14" s="375" t="s">
        <v>167</v>
      </c>
      <c r="H14" s="377"/>
      <c r="I14" s="377"/>
      <c r="J14" s="375" t="s">
        <v>168</v>
      </c>
      <c r="K14" s="375" t="s">
        <v>248</v>
      </c>
      <c r="L14" s="375" t="s">
        <v>220</v>
      </c>
      <c r="M14" s="375" t="s">
        <v>177</v>
      </c>
      <c r="N14" s="375" t="s">
        <v>199</v>
      </c>
      <c r="O14" s="378">
        <v>1</v>
      </c>
      <c r="P14" s="384">
        <v>1</v>
      </c>
      <c r="Q14" s="384">
        <v>1</v>
      </c>
      <c r="R14" s="379">
        <v>80</v>
      </c>
      <c r="S14" s="384">
        <v>1</v>
      </c>
      <c r="T14" s="379">
        <v>79528.03</v>
      </c>
      <c r="U14" s="379">
        <v>0</v>
      </c>
      <c r="V14" s="379">
        <v>27926.55</v>
      </c>
      <c r="W14" s="379">
        <v>82097.600000000006</v>
      </c>
      <c r="X14" s="379">
        <v>29175.34</v>
      </c>
      <c r="Y14" s="379">
        <v>82097.600000000006</v>
      </c>
      <c r="Z14" s="379">
        <v>28781.279999999999</v>
      </c>
      <c r="AA14" s="375" t="s">
        <v>249</v>
      </c>
      <c r="AB14" s="375" t="s">
        <v>250</v>
      </c>
      <c r="AC14" s="375" t="s">
        <v>251</v>
      </c>
      <c r="AD14" s="375" t="s">
        <v>233</v>
      </c>
      <c r="AE14" s="375" t="s">
        <v>248</v>
      </c>
      <c r="AF14" s="375" t="s">
        <v>252</v>
      </c>
      <c r="AG14" s="375" t="s">
        <v>183</v>
      </c>
      <c r="AH14" s="380">
        <v>39.47</v>
      </c>
      <c r="AI14" s="378">
        <v>41694</v>
      </c>
      <c r="AJ14" s="375" t="s">
        <v>184</v>
      </c>
      <c r="AK14" s="375" t="s">
        <v>185</v>
      </c>
      <c r="AL14" s="375" t="s">
        <v>173</v>
      </c>
      <c r="AM14" s="375" t="s">
        <v>186</v>
      </c>
      <c r="AN14" s="375" t="s">
        <v>68</v>
      </c>
      <c r="AO14" s="378">
        <v>80</v>
      </c>
      <c r="AP14" s="384">
        <v>1</v>
      </c>
      <c r="AQ14" s="384">
        <v>1</v>
      </c>
      <c r="AR14" s="383" t="s">
        <v>187</v>
      </c>
      <c r="AS14" s="386">
        <f t="shared" si="27"/>
        <v>1</v>
      </c>
      <c r="AT14">
        <f t="shared" si="28"/>
        <v>1</v>
      </c>
      <c r="AU14" s="386">
        <f>IF(AT14=0,"",IF(AND(AT14=1,M14="F",SUMIF(C2:C557,C14,AS2:AS557)&lt;=1),SUMIF(C2:C557,C14,AS2:AS557),IF(AND(AT14=1,M14="F",SUMIF(C2:C557,C14,AS2:AS557)&gt;1),1,"")))</f>
        <v>1</v>
      </c>
      <c r="AV14" s="386" t="str">
        <f>IF(AT14=0,"",IF(AND(AT14=3,M14="F",SUMIF(C2:C557,C14,AS2:AS557)&lt;=1),SUMIF(C2:C557,C14,AS2:AS557),IF(AND(AT14=3,M14="F",SUMIF(C2:C557,C14,AS2:AS557)&gt;1),1,"")))</f>
        <v/>
      </c>
      <c r="AW14" s="386">
        <f>SUMIF(C2:C557,C14,O2:O557)</f>
        <v>1</v>
      </c>
      <c r="AX14" s="386">
        <f>IF(AND(M14="F",AS14&lt;&gt;0),SUMIF(C2:C557,C14,W2:W557),0)</f>
        <v>82097.600000000006</v>
      </c>
      <c r="AY14" s="386">
        <f t="shared" si="29"/>
        <v>82097.600000000006</v>
      </c>
      <c r="AZ14" s="386" t="str">
        <f t="shared" si="30"/>
        <v/>
      </c>
      <c r="BA14" s="386">
        <f t="shared" si="31"/>
        <v>0</v>
      </c>
      <c r="BB14" s="386">
        <f t="shared" si="0"/>
        <v>11650</v>
      </c>
      <c r="BC14" s="386">
        <f t="shared" si="1"/>
        <v>0</v>
      </c>
      <c r="BD14" s="386">
        <f t="shared" si="2"/>
        <v>5090.0511999999999</v>
      </c>
      <c r="BE14" s="386">
        <f t="shared" si="3"/>
        <v>1190.4152000000001</v>
      </c>
      <c r="BF14" s="386">
        <f t="shared" si="4"/>
        <v>9802.4534400000011</v>
      </c>
      <c r="BG14" s="386">
        <f t="shared" si="5"/>
        <v>591.92369600000006</v>
      </c>
      <c r="BH14" s="386">
        <f t="shared" si="6"/>
        <v>402.27824000000004</v>
      </c>
      <c r="BI14" s="386">
        <f t="shared" si="7"/>
        <v>251.21865600000001</v>
      </c>
      <c r="BJ14" s="386">
        <f t="shared" si="8"/>
        <v>197.03423999999998</v>
      </c>
      <c r="BK14" s="386">
        <f t="shared" si="9"/>
        <v>0</v>
      </c>
      <c r="BL14" s="386">
        <f t="shared" si="32"/>
        <v>17525.374672000005</v>
      </c>
      <c r="BM14" s="386">
        <f t="shared" si="33"/>
        <v>0</v>
      </c>
      <c r="BN14" s="386">
        <f t="shared" si="10"/>
        <v>11650</v>
      </c>
      <c r="BO14" s="386">
        <f t="shared" si="11"/>
        <v>0</v>
      </c>
      <c r="BP14" s="386">
        <f t="shared" si="12"/>
        <v>5090.0511999999999</v>
      </c>
      <c r="BQ14" s="386">
        <f t="shared" si="13"/>
        <v>1190.4152000000001</v>
      </c>
      <c r="BR14" s="386">
        <f t="shared" si="14"/>
        <v>9802.4534400000011</v>
      </c>
      <c r="BS14" s="386">
        <f t="shared" si="15"/>
        <v>591.92369600000006</v>
      </c>
      <c r="BT14" s="386">
        <f t="shared" si="16"/>
        <v>0</v>
      </c>
      <c r="BU14" s="386">
        <f t="shared" si="17"/>
        <v>251.21865600000001</v>
      </c>
      <c r="BV14" s="386">
        <f t="shared" si="18"/>
        <v>205.24400000000003</v>
      </c>
      <c r="BW14" s="386">
        <f t="shared" si="19"/>
        <v>0</v>
      </c>
      <c r="BX14" s="386">
        <f t="shared" si="34"/>
        <v>17131.306192000004</v>
      </c>
      <c r="BY14" s="386">
        <f t="shared" si="35"/>
        <v>0</v>
      </c>
      <c r="BZ14" s="386">
        <f t="shared" si="36"/>
        <v>0</v>
      </c>
      <c r="CA14" s="386">
        <f t="shared" si="37"/>
        <v>0</v>
      </c>
      <c r="CB14" s="386">
        <f t="shared" si="38"/>
        <v>0</v>
      </c>
      <c r="CC14" s="386">
        <f t="shared" si="20"/>
        <v>0</v>
      </c>
      <c r="CD14" s="386">
        <f t="shared" si="21"/>
        <v>0</v>
      </c>
      <c r="CE14" s="386">
        <f t="shared" si="22"/>
        <v>0</v>
      </c>
      <c r="CF14" s="386">
        <f t="shared" si="23"/>
        <v>-402.27824000000004</v>
      </c>
      <c r="CG14" s="386">
        <f t="shared" si="24"/>
        <v>0</v>
      </c>
      <c r="CH14" s="386">
        <f t="shared" si="25"/>
        <v>8.2097600000000224</v>
      </c>
      <c r="CI14" s="386">
        <f t="shared" si="26"/>
        <v>0</v>
      </c>
      <c r="CJ14" s="386">
        <f t="shared" si="39"/>
        <v>-394.06848000000002</v>
      </c>
      <c r="CK14" s="386" t="str">
        <f t="shared" si="40"/>
        <v/>
      </c>
      <c r="CL14" s="386" t="str">
        <f t="shared" si="41"/>
        <v/>
      </c>
      <c r="CM14" s="386" t="str">
        <f t="shared" si="42"/>
        <v/>
      </c>
      <c r="CN14" s="386" t="str">
        <f t="shared" si="43"/>
        <v>0001-00</v>
      </c>
    </row>
    <row r="15" spans="1:92" ht="15.75" thickBot="1" x14ac:dyDescent="0.3">
      <c r="A15" s="375" t="s">
        <v>161</v>
      </c>
      <c r="B15" s="375" t="s">
        <v>162</v>
      </c>
      <c r="C15" s="375" t="s">
        <v>253</v>
      </c>
      <c r="D15" s="375" t="s">
        <v>208</v>
      </c>
      <c r="E15" s="375" t="s">
        <v>165</v>
      </c>
      <c r="F15" s="376" t="s">
        <v>166</v>
      </c>
      <c r="G15" s="375" t="s">
        <v>167</v>
      </c>
      <c r="H15" s="377"/>
      <c r="I15" s="377"/>
      <c r="J15" s="375" t="s">
        <v>168</v>
      </c>
      <c r="K15" s="375" t="s">
        <v>209</v>
      </c>
      <c r="L15" s="375" t="s">
        <v>210</v>
      </c>
      <c r="M15" s="375" t="s">
        <v>177</v>
      </c>
      <c r="N15" s="375" t="s">
        <v>199</v>
      </c>
      <c r="O15" s="378">
        <v>1</v>
      </c>
      <c r="P15" s="384">
        <v>1</v>
      </c>
      <c r="Q15" s="384">
        <v>1</v>
      </c>
      <c r="R15" s="379">
        <v>80</v>
      </c>
      <c r="S15" s="384">
        <v>1</v>
      </c>
      <c r="T15" s="379">
        <v>32694.58</v>
      </c>
      <c r="U15" s="379">
        <v>0</v>
      </c>
      <c r="V15" s="379">
        <v>18057.849999999999</v>
      </c>
      <c r="W15" s="379">
        <v>36524.800000000003</v>
      </c>
      <c r="X15" s="379">
        <v>19446.91</v>
      </c>
      <c r="Y15" s="379">
        <v>36524.800000000003</v>
      </c>
      <c r="Z15" s="379">
        <v>19271.599999999999</v>
      </c>
      <c r="AA15" s="375" t="s">
        <v>254</v>
      </c>
      <c r="AB15" s="375" t="s">
        <v>255</v>
      </c>
      <c r="AC15" s="375" t="s">
        <v>256</v>
      </c>
      <c r="AD15" s="375" t="s">
        <v>257</v>
      </c>
      <c r="AE15" s="375" t="s">
        <v>209</v>
      </c>
      <c r="AF15" s="375" t="s">
        <v>215</v>
      </c>
      <c r="AG15" s="375" t="s">
        <v>183</v>
      </c>
      <c r="AH15" s="380">
        <v>17.559999999999999</v>
      </c>
      <c r="AI15" s="380">
        <v>4152.8999999999996</v>
      </c>
      <c r="AJ15" s="375" t="s">
        <v>184</v>
      </c>
      <c r="AK15" s="375" t="s">
        <v>185</v>
      </c>
      <c r="AL15" s="375" t="s">
        <v>173</v>
      </c>
      <c r="AM15" s="375" t="s">
        <v>186</v>
      </c>
      <c r="AN15" s="375" t="s">
        <v>68</v>
      </c>
      <c r="AO15" s="378">
        <v>80</v>
      </c>
      <c r="AP15" s="384">
        <v>1</v>
      </c>
      <c r="AQ15" s="384">
        <v>1</v>
      </c>
      <c r="AR15" s="383" t="s">
        <v>187</v>
      </c>
      <c r="AS15" s="386">
        <f t="shared" si="27"/>
        <v>1</v>
      </c>
      <c r="AT15">
        <f t="shared" si="28"/>
        <v>1</v>
      </c>
      <c r="AU15" s="386">
        <f>IF(AT15=0,"",IF(AND(AT15=1,M15="F",SUMIF(C2:C557,C15,AS2:AS557)&lt;=1),SUMIF(C2:C557,C15,AS2:AS557),IF(AND(AT15=1,M15="F",SUMIF(C2:C557,C15,AS2:AS557)&gt;1),1,"")))</f>
        <v>1</v>
      </c>
      <c r="AV15" s="386" t="str">
        <f>IF(AT15=0,"",IF(AND(AT15=3,M15="F",SUMIF(C2:C557,C15,AS2:AS557)&lt;=1),SUMIF(C2:C557,C15,AS2:AS557),IF(AND(AT15=3,M15="F",SUMIF(C2:C557,C15,AS2:AS557)&gt;1),1,"")))</f>
        <v/>
      </c>
      <c r="AW15" s="386">
        <f>SUMIF(C2:C557,C15,O2:O557)</f>
        <v>1</v>
      </c>
      <c r="AX15" s="386">
        <f>IF(AND(M15="F",AS15&lt;&gt;0),SUMIF(C2:C557,C15,W2:W557),0)</f>
        <v>36524.800000000003</v>
      </c>
      <c r="AY15" s="386">
        <f t="shared" si="29"/>
        <v>36524.800000000003</v>
      </c>
      <c r="AZ15" s="386" t="str">
        <f t="shared" si="30"/>
        <v/>
      </c>
      <c r="BA15" s="386">
        <f t="shared" si="31"/>
        <v>0</v>
      </c>
      <c r="BB15" s="386">
        <f t="shared" si="0"/>
        <v>11650</v>
      </c>
      <c r="BC15" s="386">
        <f t="shared" si="1"/>
        <v>0</v>
      </c>
      <c r="BD15" s="386">
        <f t="shared" si="2"/>
        <v>2264.5376000000001</v>
      </c>
      <c r="BE15" s="386">
        <f t="shared" si="3"/>
        <v>529.60960000000011</v>
      </c>
      <c r="BF15" s="386">
        <f t="shared" si="4"/>
        <v>4361.0611200000003</v>
      </c>
      <c r="BG15" s="386">
        <f t="shared" si="5"/>
        <v>263.34380800000002</v>
      </c>
      <c r="BH15" s="386">
        <f t="shared" si="6"/>
        <v>178.97152</v>
      </c>
      <c r="BI15" s="386">
        <f t="shared" si="7"/>
        <v>111.765888</v>
      </c>
      <c r="BJ15" s="386">
        <f t="shared" si="8"/>
        <v>87.659520000000001</v>
      </c>
      <c r="BK15" s="386">
        <f t="shared" si="9"/>
        <v>0</v>
      </c>
      <c r="BL15" s="386">
        <f t="shared" si="32"/>
        <v>7796.9490560000004</v>
      </c>
      <c r="BM15" s="386">
        <f t="shared" si="33"/>
        <v>0</v>
      </c>
      <c r="BN15" s="386">
        <f t="shared" si="10"/>
        <v>11650</v>
      </c>
      <c r="BO15" s="386">
        <f t="shared" si="11"/>
        <v>0</v>
      </c>
      <c r="BP15" s="386">
        <f t="shared" si="12"/>
        <v>2264.5376000000001</v>
      </c>
      <c r="BQ15" s="386">
        <f t="shared" si="13"/>
        <v>529.60960000000011</v>
      </c>
      <c r="BR15" s="386">
        <f t="shared" si="14"/>
        <v>4361.0611200000003</v>
      </c>
      <c r="BS15" s="386">
        <f t="shared" si="15"/>
        <v>263.34380800000002</v>
      </c>
      <c r="BT15" s="386">
        <f t="shared" si="16"/>
        <v>0</v>
      </c>
      <c r="BU15" s="386">
        <f t="shared" si="17"/>
        <v>111.765888</v>
      </c>
      <c r="BV15" s="386">
        <f t="shared" si="18"/>
        <v>91.312000000000012</v>
      </c>
      <c r="BW15" s="386">
        <f t="shared" si="19"/>
        <v>0</v>
      </c>
      <c r="BX15" s="386">
        <f t="shared" si="34"/>
        <v>7621.6300160000001</v>
      </c>
      <c r="BY15" s="386">
        <f t="shared" si="35"/>
        <v>0</v>
      </c>
      <c r="BZ15" s="386">
        <f t="shared" si="36"/>
        <v>0</v>
      </c>
      <c r="CA15" s="386">
        <f t="shared" si="37"/>
        <v>0</v>
      </c>
      <c r="CB15" s="386">
        <f t="shared" si="38"/>
        <v>0</v>
      </c>
      <c r="CC15" s="386">
        <f t="shared" si="20"/>
        <v>0</v>
      </c>
      <c r="CD15" s="386">
        <f t="shared" si="21"/>
        <v>0</v>
      </c>
      <c r="CE15" s="386">
        <f t="shared" si="22"/>
        <v>0</v>
      </c>
      <c r="CF15" s="386">
        <f t="shared" si="23"/>
        <v>-178.97152</v>
      </c>
      <c r="CG15" s="386">
        <f t="shared" si="24"/>
        <v>0</v>
      </c>
      <c r="CH15" s="386">
        <f t="shared" si="25"/>
        <v>3.6524800000000099</v>
      </c>
      <c r="CI15" s="386">
        <f t="shared" si="26"/>
        <v>0</v>
      </c>
      <c r="CJ15" s="386">
        <f t="shared" si="39"/>
        <v>-175.31904</v>
      </c>
      <c r="CK15" s="386" t="str">
        <f t="shared" si="40"/>
        <v/>
      </c>
      <c r="CL15" s="386" t="str">
        <f t="shared" si="41"/>
        <v/>
      </c>
      <c r="CM15" s="386" t="str">
        <f t="shared" si="42"/>
        <v/>
      </c>
      <c r="CN15" s="386" t="str">
        <f t="shared" si="43"/>
        <v>0001-00</v>
      </c>
    </row>
    <row r="16" spans="1:92" ht="15.75" thickBot="1" x14ac:dyDescent="0.3">
      <c r="A16" s="375" t="s">
        <v>161</v>
      </c>
      <c r="B16" s="375" t="s">
        <v>162</v>
      </c>
      <c r="C16" s="375" t="s">
        <v>258</v>
      </c>
      <c r="D16" s="375" t="s">
        <v>259</v>
      </c>
      <c r="E16" s="375" t="s">
        <v>165</v>
      </c>
      <c r="F16" s="376" t="s">
        <v>166</v>
      </c>
      <c r="G16" s="375" t="s">
        <v>167</v>
      </c>
      <c r="H16" s="377"/>
      <c r="I16" s="377"/>
      <c r="J16" s="375" t="s">
        <v>168</v>
      </c>
      <c r="K16" s="375" t="s">
        <v>260</v>
      </c>
      <c r="L16" s="375" t="s">
        <v>261</v>
      </c>
      <c r="M16" s="375" t="s">
        <v>171</v>
      </c>
      <c r="N16" s="375" t="s">
        <v>262</v>
      </c>
      <c r="O16" s="378">
        <v>0</v>
      </c>
      <c r="P16" s="384">
        <v>1</v>
      </c>
      <c r="Q16" s="384">
        <v>0</v>
      </c>
      <c r="R16" s="379">
        <v>0</v>
      </c>
      <c r="S16" s="384">
        <v>0</v>
      </c>
      <c r="T16" s="379">
        <v>0</v>
      </c>
      <c r="U16" s="379">
        <v>0</v>
      </c>
      <c r="V16" s="379">
        <v>0</v>
      </c>
      <c r="W16" s="379">
        <v>0</v>
      </c>
      <c r="X16" s="379">
        <v>0</v>
      </c>
      <c r="Y16" s="379">
        <v>0</v>
      </c>
      <c r="Z16" s="379">
        <v>0</v>
      </c>
      <c r="AA16" s="377"/>
      <c r="AB16" s="375" t="s">
        <v>45</v>
      </c>
      <c r="AC16" s="375" t="s">
        <v>45</v>
      </c>
      <c r="AD16" s="377"/>
      <c r="AE16" s="377"/>
      <c r="AF16" s="377"/>
      <c r="AG16" s="377"/>
      <c r="AH16" s="378">
        <v>0</v>
      </c>
      <c r="AI16" s="378">
        <v>0</v>
      </c>
      <c r="AJ16" s="377"/>
      <c r="AK16" s="377"/>
      <c r="AL16" s="375" t="s">
        <v>173</v>
      </c>
      <c r="AM16" s="377"/>
      <c r="AN16" s="377"/>
      <c r="AO16" s="378">
        <v>0</v>
      </c>
      <c r="AP16" s="384">
        <v>0</v>
      </c>
      <c r="AQ16" s="384">
        <v>0</v>
      </c>
      <c r="AR16" s="382"/>
      <c r="AS16" s="386">
        <f t="shared" si="27"/>
        <v>0</v>
      </c>
      <c r="AT16">
        <f t="shared" si="28"/>
        <v>0</v>
      </c>
      <c r="AU16" s="386" t="str">
        <f>IF(AT16=0,"",IF(AND(AT16=1,M16="F",SUMIF(C2:C557,C16,AS2:AS557)&lt;=1),SUMIF(C2:C557,C16,AS2:AS557),IF(AND(AT16=1,M16="F",SUMIF(C2:C557,C16,AS2:AS557)&gt;1),1,"")))</f>
        <v/>
      </c>
      <c r="AV16" s="386" t="str">
        <f>IF(AT16=0,"",IF(AND(AT16=3,M16="F",SUMIF(C2:C557,C16,AS2:AS557)&lt;=1),SUMIF(C2:C557,C16,AS2:AS557),IF(AND(AT16=3,M16="F",SUMIF(C2:C557,C16,AS2:AS557)&gt;1),1,"")))</f>
        <v/>
      </c>
      <c r="AW16" s="386">
        <f>SUMIF(C2:C557,C16,O2:O557)</f>
        <v>0</v>
      </c>
      <c r="AX16" s="386">
        <f>IF(AND(M16="F",AS16&lt;&gt;0),SUMIF(C2:C557,C16,W2:W557),0)</f>
        <v>0</v>
      </c>
      <c r="AY16" s="386" t="str">
        <f t="shared" si="29"/>
        <v/>
      </c>
      <c r="AZ16" s="386" t="str">
        <f t="shared" si="30"/>
        <v/>
      </c>
      <c r="BA16" s="386">
        <f t="shared" si="31"/>
        <v>0</v>
      </c>
      <c r="BB16" s="386">
        <f t="shared" si="0"/>
        <v>0</v>
      </c>
      <c r="BC16" s="386">
        <f t="shared" si="1"/>
        <v>0</v>
      </c>
      <c r="BD16" s="386">
        <f t="shared" si="2"/>
        <v>0</v>
      </c>
      <c r="BE16" s="386">
        <f t="shared" si="3"/>
        <v>0</v>
      </c>
      <c r="BF16" s="386">
        <f t="shared" si="4"/>
        <v>0</v>
      </c>
      <c r="BG16" s="386">
        <f t="shared" si="5"/>
        <v>0</v>
      </c>
      <c r="BH16" s="386">
        <f t="shared" si="6"/>
        <v>0</v>
      </c>
      <c r="BI16" s="386">
        <f t="shared" si="7"/>
        <v>0</v>
      </c>
      <c r="BJ16" s="386">
        <f t="shared" si="8"/>
        <v>0</v>
      </c>
      <c r="BK16" s="386">
        <f t="shared" si="9"/>
        <v>0</v>
      </c>
      <c r="BL16" s="386">
        <f t="shared" si="32"/>
        <v>0</v>
      </c>
      <c r="BM16" s="386">
        <f t="shared" si="33"/>
        <v>0</v>
      </c>
      <c r="BN16" s="386">
        <f t="shared" si="10"/>
        <v>0</v>
      </c>
      <c r="BO16" s="386">
        <f t="shared" si="11"/>
        <v>0</v>
      </c>
      <c r="BP16" s="386">
        <f t="shared" si="12"/>
        <v>0</v>
      </c>
      <c r="BQ16" s="386">
        <f t="shared" si="13"/>
        <v>0</v>
      </c>
      <c r="BR16" s="386">
        <f t="shared" si="14"/>
        <v>0</v>
      </c>
      <c r="BS16" s="386">
        <f t="shared" si="15"/>
        <v>0</v>
      </c>
      <c r="BT16" s="386">
        <f t="shared" si="16"/>
        <v>0</v>
      </c>
      <c r="BU16" s="386">
        <f t="shared" si="17"/>
        <v>0</v>
      </c>
      <c r="BV16" s="386">
        <f t="shared" si="18"/>
        <v>0</v>
      </c>
      <c r="BW16" s="386">
        <f t="shared" si="19"/>
        <v>0</v>
      </c>
      <c r="BX16" s="386">
        <f t="shared" si="34"/>
        <v>0</v>
      </c>
      <c r="BY16" s="386">
        <f t="shared" si="35"/>
        <v>0</v>
      </c>
      <c r="BZ16" s="386">
        <f t="shared" si="36"/>
        <v>0</v>
      </c>
      <c r="CA16" s="386">
        <f t="shared" si="37"/>
        <v>0</v>
      </c>
      <c r="CB16" s="386">
        <f t="shared" si="38"/>
        <v>0</v>
      </c>
      <c r="CC16" s="386">
        <f t="shared" si="20"/>
        <v>0</v>
      </c>
      <c r="CD16" s="386">
        <f t="shared" si="21"/>
        <v>0</v>
      </c>
      <c r="CE16" s="386">
        <f t="shared" si="22"/>
        <v>0</v>
      </c>
      <c r="CF16" s="386">
        <f t="shared" si="23"/>
        <v>0</v>
      </c>
      <c r="CG16" s="386">
        <f t="shared" si="24"/>
        <v>0</v>
      </c>
      <c r="CH16" s="386">
        <f t="shared" si="25"/>
        <v>0</v>
      </c>
      <c r="CI16" s="386">
        <f t="shared" si="26"/>
        <v>0</v>
      </c>
      <c r="CJ16" s="386">
        <f t="shared" si="39"/>
        <v>0</v>
      </c>
      <c r="CK16" s="386" t="str">
        <f t="shared" si="40"/>
        <v/>
      </c>
      <c r="CL16" s="386">
        <f t="shared" si="41"/>
        <v>0</v>
      </c>
      <c r="CM16" s="386">
        <f t="shared" si="42"/>
        <v>0</v>
      </c>
      <c r="CN16" s="386" t="str">
        <f t="shared" si="43"/>
        <v>0001-00</v>
      </c>
    </row>
    <row r="17" spans="1:92" ht="15.75" thickBot="1" x14ac:dyDescent="0.3">
      <c r="A17" s="375" t="s">
        <v>161</v>
      </c>
      <c r="B17" s="375" t="s">
        <v>162</v>
      </c>
      <c r="C17" s="375" t="s">
        <v>263</v>
      </c>
      <c r="D17" s="375" t="s">
        <v>247</v>
      </c>
      <c r="E17" s="375" t="s">
        <v>165</v>
      </c>
      <c r="F17" s="376" t="s">
        <v>166</v>
      </c>
      <c r="G17" s="375" t="s">
        <v>167</v>
      </c>
      <c r="H17" s="377"/>
      <c r="I17" s="377"/>
      <c r="J17" s="375" t="s">
        <v>168</v>
      </c>
      <c r="K17" s="375" t="s">
        <v>248</v>
      </c>
      <c r="L17" s="375" t="s">
        <v>220</v>
      </c>
      <c r="M17" s="375" t="s">
        <v>177</v>
      </c>
      <c r="N17" s="375" t="s">
        <v>199</v>
      </c>
      <c r="O17" s="378">
        <v>1</v>
      </c>
      <c r="P17" s="384">
        <v>1</v>
      </c>
      <c r="Q17" s="384">
        <v>1</v>
      </c>
      <c r="R17" s="379">
        <v>80</v>
      </c>
      <c r="S17" s="384">
        <v>1</v>
      </c>
      <c r="T17" s="379">
        <v>33912.03</v>
      </c>
      <c r="U17" s="379">
        <v>0</v>
      </c>
      <c r="V17" s="379">
        <v>15271.42</v>
      </c>
      <c r="W17" s="379">
        <v>50668.800000000003</v>
      </c>
      <c r="X17" s="379">
        <v>22466.23</v>
      </c>
      <c r="Y17" s="379">
        <v>50668.800000000003</v>
      </c>
      <c r="Z17" s="379">
        <v>22223.03</v>
      </c>
      <c r="AA17" s="375" t="s">
        <v>264</v>
      </c>
      <c r="AB17" s="375" t="s">
        <v>265</v>
      </c>
      <c r="AC17" s="375" t="s">
        <v>266</v>
      </c>
      <c r="AD17" s="375" t="s">
        <v>267</v>
      </c>
      <c r="AE17" s="375" t="s">
        <v>268</v>
      </c>
      <c r="AF17" s="375" t="s">
        <v>269</v>
      </c>
      <c r="AG17" s="375" t="s">
        <v>183</v>
      </c>
      <c r="AH17" s="380">
        <v>24.36</v>
      </c>
      <c r="AI17" s="378">
        <v>1520</v>
      </c>
      <c r="AJ17" s="375" t="s">
        <v>184</v>
      </c>
      <c r="AK17" s="375" t="s">
        <v>185</v>
      </c>
      <c r="AL17" s="375" t="s">
        <v>173</v>
      </c>
      <c r="AM17" s="375" t="s">
        <v>186</v>
      </c>
      <c r="AN17" s="375" t="s">
        <v>68</v>
      </c>
      <c r="AO17" s="378">
        <v>80</v>
      </c>
      <c r="AP17" s="384">
        <v>1</v>
      </c>
      <c r="AQ17" s="384">
        <v>1</v>
      </c>
      <c r="AR17" s="383">
        <v>3</v>
      </c>
      <c r="AS17" s="386">
        <f t="shared" si="27"/>
        <v>1</v>
      </c>
      <c r="AT17">
        <f t="shared" si="28"/>
        <v>1</v>
      </c>
      <c r="AU17" s="386">
        <f>IF(AT17=0,"",IF(AND(AT17=1,M17="F",SUMIF(C2:C557,C17,AS2:AS557)&lt;=1),SUMIF(C2:C557,C17,AS2:AS557),IF(AND(AT17=1,M17="F",SUMIF(C2:C557,C17,AS2:AS557)&gt;1),1,"")))</f>
        <v>1</v>
      </c>
      <c r="AV17" s="386" t="str">
        <f>IF(AT17=0,"",IF(AND(AT17=3,M17="F",SUMIF(C2:C557,C17,AS2:AS557)&lt;=1),SUMIF(C2:C557,C17,AS2:AS557),IF(AND(AT17=3,M17="F",SUMIF(C2:C557,C17,AS2:AS557)&gt;1),1,"")))</f>
        <v/>
      </c>
      <c r="AW17" s="386">
        <f>SUMIF(C2:C557,C17,O2:O557)</f>
        <v>1</v>
      </c>
      <c r="AX17" s="386">
        <f>IF(AND(M17="F",AS17&lt;&gt;0),SUMIF(C2:C557,C17,W2:W557),0)</f>
        <v>50668.800000000003</v>
      </c>
      <c r="AY17" s="386">
        <f t="shared" si="29"/>
        <v>50668.800000000003</v>
      </c>
      <c r="AZ17" s="386" t="str">
        <f t="shared" si="30"/>
        <v/>
      </c>
      <c r="BA17" s="386">
        <f t="shared" si="31"/>
        <v>0</v>
      </c>
      <c r="BB17" s="386">
        <f t="shared" si="0"/>
        <v>11650</v>
      </c>
      <c r="BC17" s="386">
        <f t="shared" si="1"/>
        <v>0</v>
      </c>
      <c r="BD17" s="386">
        <f t="shared" si="2"/>
        <v>3141.4656</v>
      </c>
      <c r="BE17" s="386">
        <f t="shared" si="3"/>
        <v>734.69760000000008</v>
      </c>
      <c r="BF17" s="386">
        <f t="shared" si="4"/>
        <v>6049.8547200000003</v>
      </c>
      <c r="BG17" s="386">
        <f t="shared" si="5"/>
        <v>365.32204800000005</v>
      </c>
      <c r="BH17" s="386">
        <f t="shared" si="6"/>
        <v>248.27712</v>
      </c>
      <c r="BI17" s="386">
        <f t="shared" si="7"/>
        <v>155.046528</v>
      </c>
      <c r="BJ17" s="386">
        <f t="shared" si="8"/>
        <v>121.60512</v>
      </c>
      <c r="BK17" s="386">
        <f t="shared" si="9"/>
        <v>0</v>
      </c>
      <c r="BL17" s="386">
        <f t="shared" si="32"/>
        <v>10816.268736000002</v>
      </c>
      <c r="BM17" s="386">
        <f t="shared" si="33"/>
        <v>0</v>
      </c>
      <c r="BN17" s="386">
        <f t="shared" si="10"/>
        <v>11650</v>
      </c>
      <c r="BO17" s="386">
        <f t="shared" si="11"/>
        <v>0</v>
      </c>
      <c r="BP17" s="386">
        <f t="shared" si="12"/>
        <v>3141.4656</v>
      </c>
      <c r="BQ17" s="386">
        <f t="shared" si="13"/>
        <v>734.69760000000008</v>
      </c>
      <c r="BR17" s="386">
        <f t="shared" si="14"/>
        <v>6049.8547200000003</v>
      </c>
      <c r="BS17" s="386">
        <f t="shared" si="15"/>
        <v>365.32204800000005</v>
      </c>
      <c r="BT17" s="386">
        <f t="shared" si="16"/>
        <v>0</v>
      </c>
      <c r="BU17" s="386">
        <f t="shared" si="17"/>
        <v>155.046528</v>
      </c>
      <c r="BV17" s="386">
        <f t="shared" si="18"/>
        <v>126.67200000000001</v>
      </c>
      <c r="BW17" s="386">
        <f t="shared" si="19"/>
        <v>0</v>
      </c>
      <c r="BX17" s="386">
        <f t="shared" si="34"/>
        <v>10573.058496000001</v>
      </c>
      <c r="BY17" s="386">
        <f t="shared" si="35"/>
        <v>0</v>
      </c>
      <c r="BZ17" s="386">
        <f t="shared" si="36"/>
        <v>0</v>
      </c>
      <c r="CA17" s="386">
        <f t="shared" si="37"/>
        <v>0</v>
      </c>
      <c r="CB17" s="386">
        <f t="shared" si="38"/>
        <v>0</v>
      </c>
      <c r="CC17" s="386">
        <f t="shared" si="20"/>
        <v>0</v>
      </c>
      <c r="CD17" s="386">
        <f t="shared" si="21"/>
        <v>0</v>
      </c>
      <c r="CE17" s="386">
        <f t="shared" si="22"/>
        <v>0</v>
      </c>
      <c r="CF17" s="386">
        <f t="shared" si="23"/>
        <v>-248.27712</v>
      </c>
      <c r="CG17" s="386">
        <f t="shared" si="24"/>
        <v>0</v>
      </c>
      <c r="CH17" s="386">
        <f t="shared" si="25"/>
        <v>5.0668800000000136</v>
      </c>
      <c r="CI17" s="386">
        <f t="shared" si="26"/>
        <v>0</v>
      </c>
      <c r="CJ17" s="386">
        <f t="shared" si="39"/>
        <v>-243.21023999999997</v>
      </c>
      <c r="CK17" s="386" t="str">
        <f t="shared" si="40"/>
        <v/>
      </c>
      <c r="CL17" s="386" t="str">
        <f t="shared" si="41"/>
        <v/>
      </c>
      <c r="CM17" s="386" t="str">
        <f t="shared" si="42"/>
        <v/>
      </c>
      <c r="CN17" s="386" t="str">
        <f t="shared" si="43"/>
        <v>0001-00</v>
      </c>
    </row>
    <row r="18" spans="1:92" ht="15.75" thickBot="1" x14ac:dyDescent="0.3">
      <c r="A18" s="375" t="s">
        <v>161</v>
      </c>
      <c r="B18" s="375" t="s">
        <v>162</v>
      </c>
      <c r="C18" s="375" t="s">
        <v>270</v>
      </c>
      <c r="D18" s="375" t="s">
        <v>271</v>
      </c>
      <c r="E18" s="375" t="s">
        <v>165</v>
      </c>
      <c r="F18" s="376" t="s">
        <v>166</v>
      </c>
      <c r="G18" s="375" t="s">
        <v>167</v>
      </c>
      <c r="H18" s="377"/>
      <c r="I18" s="377"/>
      <c r="J18" s="375" t="s">
        <v>272</v>
      </c>
      <c r="K18" s="375" t="s">
        <v>273</v>
      </c>
      <c r="L18" s="375" t="s">
        <v>274</v>
      </c>
      <c r="M18" s="375" t="s">
        <v>171</v>
      </c>
      <c r="N18" s="375" t="s">
        <v>199</v>
      </c>
      <c r="O18" s="378">
        <v>0</v>
      </c>
      <c r="P18" s="384">
        <v>0.45</v>
      </c>
      <c r="Q18" s="384">
        <v>0.45</v>
      </c>
      <c r="R18" s="379">
        <v>80</v>
      </c>
      <c r="S18" s="384">
        <v>0.45</v>
      </c>
      <c r="T18" s="379">
        <v>40227.279999999999</v>
      </c>
      <c r="U18" s="379">
        <v>0</v>
      </c>
      <c r="V18" s="379">
        <v>12567.19</v>
      </c>
      <c r="W18" s="379">
        <v>32563.439999999999</v>
      </c>
      <c r="X18" s="379">
        <v>14262.78</v>
      </c>
      <c r="Y18" s="379">
        <v>32563.439999999999</v>
      </c>
      <c r="Z18" s="379">
        <v>14099.96</v>
      </c>
      <c r="AA18" s="377"/>
      <c r="AB18" s="375" t="s">
        <v>45</v>
      </c>
      <c r="AC18" s="375" t="s">
        <v>45</v>
      </c>
      <c r="AD18" s="377"/>
      <c r="AE18" s="377"/>
      <c r="AF18" s="377"/>
      <c r="AG18" s="377"/>
      <c r="AH18" s="378">
        <v>0</v>
      </c>
      <c r="AI18" s="378">
        <v>0</v>
      </c>
      <c r="AJ18" s="377"/>
      <c r="AK18" s="377"/>
      <c r="AL18" s="375" t="s">
        <v>173</v>
      </c>
      <c r="AM18" s="377"/>
      <c r="AN18" s="377"/>
      <c r="AO18" s="378">
        <v>0</v>
      </c>
      <c r="AP18" s="384">
        <v>0</v>
      </c>
      <c r="AQ18" s="384">
        <v>0</v>
      </c>
      <c r="AR18" s="382"/>
      <c r="AS18" s="386">
        <f t="shared" si="27"/>
        <v>0</v>
      </c>
      <c r="AT18">
        <f t="shared" si="28"/>
        <v>0</v>
      </c>
      <c r="AU18" s="386" t="str">
        <f>IF(AT18=0,"",IF(AND(AT18=1,M18="F",SUMIF(C2:C557,C18,AS2:AS557)&lt;=1),SUMIF(C2:C557,C18,AS2:AS557),IF(AND(AT18=1,M18="F",SUMIF(C2:C557,C18,AS2:AS557)&gt;1),1,"")))</f>
        <v/>
      </c>
      <c r="AV18" s="386" t="str">
        <f>IF(AT18=0,"",IF(AND(AT18=3,M18="F",SUMIF(C2:C557,C18,AS2:AS557)&lt;=1),SUMIF(C2:C557,C18,AS2:AS557),IF(AND(AT18=3,M18="F",SUMIF(C2:C557,C18,AS2:AS557)&gt;1),1,"")))</f>
        <v/>
      </c>
      <c r="AW18" s="386">
        <f>SUMIF(C2:C557,C18,O2:O557)</f>
        <v>0</v>
      </c>
      <c r="AX18" s="386">
        <f>IF(AND(M18="F",AS18&lt;&gt;0),SUMIF(C2:C557,C18,W2:W557),0)</f>
        <v>0</v>
      </c>
      <c r="AY18" s="386" t="str">
        <f t="shared" si="29"/>
        <v/>
      </c>
      <c r="AZ18" s="386" t="str">
        <f t="shared" si="30"/>
        <v/>
      </c>
      <c r="BA18" s="386">
        <f t="shared" si="31"/>
        <v>0</v>
      </c>
      <c r="BB18" s="386">
        <f t="shared" si="0"/>
        <v>0</v>
      </c>
      <c r="BC18" s="386">
        <f t="shared" si="1"/>
        <v>0</v>
      </c>
      <c r="BD18" s="386">
        <f t="shared" si="2"/>
        <v>0</v>
      </c>
      <c r="BE18" s="386">
        <f t="shared" si="3"/>
        <v>0</v>
      </c>
      <c r="BF18" s="386">
        <f t="shared" si="4"/>
        <v>0</v>
      </c>
      <c r="BG18" s="386">
        <f t="shared" si="5"/>
        <v>0</v>
      </c>
      <c r="BH18" s="386">
        <f t="shared" si="6"/>
        <v>0</v>
      </c>
      <c r="BI18" s="386">
        <f t="shared" si="7"/>
        <v>0</v>
      </c>
      <c r="BJ18" s="386">
        <f t="shared" si="8"/>
        <v>0</v>
      </c>
      <c r="BK18" s="386">
        <f t="shared" si="9"/>
        <v>0</v>
      </c>
      <c r="BL18" s="386">
        <f t="shared" si="32"/>
        <v>0</v>
      </c>
      <c r="BM18" s="386">
        <f t="shared" si="33"/>
        <v>0</v>
      </c>
      <c r="BN18" s="386">
        <f t="shared" si="10"/>
        <v>0</v>
      </c>
      <c r="BO18" s="386">
        <f t="shared" si="11"/>
        <v>0</v>
      </c>
      <c r="BP18" s="386">
        <f t="shared" si="12"/>
        <v>0</v>
      </c>
      <c r="BQ18" s="386">
        <f t="shared" si="13"/>
        <v>0</v>
      </c>
      <c r="BR18" s="386">
        <f t="shared" si="14"/>
        <v>0</v>
      </c>
      <c r="BS18" s="386">
        <f t="shared" si="15"/>
        <v>0</v>
      </c>
      <c r="BT18" s="386">
        <f t="shared" si="16"/>
        <v>0</v>
      </c>
      <c r="BU18" s="386">
        <f t="shared" si="17"/>
        <v>0</v>
      </c>
      <c r="BV18" s="386">
        <f t="shared" si="18"/>
        <v>0</v>
      </c>
      <c r="BW18" s="386">
        <f t="shared" si="19"/>
        <v>0</v>
      </c>
      <c r="BX18" s="386">
        <f t="shared" si="34"/>
        <v>0</v>
      </c>
      <c r="BY18" s="386">
        <f t="shared" si="35"/>
        <v>0</v>
      </c>
      <c r="BZ18" s="386">
        <f t="shared" si="36"/>
        <v>0</v>
      </c>
      <c r="CA18" s="386">
        <f t="shared" si="37"/>
        <v>0</v>
      </c>
      <c r="CB18" s="386">
        <f t="shared" si="38"/>
        <v>0</v>
      </c>
      <c r="CC18" s="386">
        <f t="shared" si="20"/>
        <v>0</v>
      </c>
      <c r="CD18" s="386">
        <f t="shared" si="21"/>
        <v>0</v>
      </c>
      <c r="CE18" s="386">
        <f t="shared" si="22"/>
        <v>0</v>
      </c>
      <c r="CF18" s="386">
        <f t="shared" si="23"/>
        <v>0</v>
      </c>
      <c r="CG18" s="386">
        <f t="shared" si="24"/>
        <v>0</v>
      </c>
      <c r="CH18" s="386">
        <f t="shared" si="25"/>
        <v>0</v>
      </c>
      <c r="CI18" s="386">
        <f t="shared" si="26"/>
        <v>0</v>
      </c>
      <c r="CJ18" s="386">
        <f t="shared" si="39"/>
        <v>0</v>
      </c>
      <c r="CK18" s="386" t="str">
        <f t="shared" si="40"/>
        <v/>
      </c>
      <c r="CL18" s="386" t="str">
        <f t="shared" si="41"/>
        <v/>
      </c>
      <c r="CM18" s="386" t="str">
        <f t="shared" si="42"/>
        <v/>
      </c>
      <c r="CN18" s="386" t="str">
        <f t="shared" si="43"/>
        <v>0001-00</v>
      </c>
    </row>
    <row r="19" spans="1:92" ht="15.75" thickBot="1" x14ac:dyDescent="0.3">
      <c r="A19" s="375" t="s">
        <v>161</v>
      </c>
      <c r="B19" s="375" t="s">
        <v>162</v>
      </c>
      <c r="C19" s="375" t="s">
        <v>275</v>
      </c>
      <c r="D19" s="375" t="s">
        <v>239</v>
      </c>
      <c r="E19" s="375" t="s">
        <v>165</v>
      </c>
      <c r="F19" s="376" t="s">
        <v>166</v>
      </c>
      <c r="G19" s="375" t="s">
        <v>167</v>
      </c>
      <c r="H19" s="377"/>
      <c r="I19" s="377"/>
      <c r="J19" s="375" t="s">
        <v>168</v>
      </c>
      <c r="K19" s="375" t="s">
        <v>240</v>
      </c>
      <c r="L19" s="375" t="s">
        <v>198</v>
      </c>
      <c r="M19" s="375" t="s">
        <v>177</v>
      </c>
      <c r="N19" s="375" t="s">
        <v>199</v>
      </c>
      <c r="O19" s="378">
        <v>1</v>
      </c>
      <c r="P19" s="384">
        <v>1</v>
      </c>
      <c r="Q19" s="384">
        <v>1</v>
      </c>
      <c r="R19" s="379">
        <v>80</v>
      </c>
      <c r="S19" s="384">
        <v>1</v>
      </c>
      <c r="T19" s="379">
        <v>41929.599999999999</v>
      </c>
      <c r="U19" s="379">
        <v>0</v>
      </c>
      <c r="V19" s="379">
        <v>20317.2</v>
      </c>
      <c r="W19" s="379">
        <v>46716.800000000003</v>
      </c>
      <c r="X19" s="379">
        <v>21622.61</v>
      </c>
      <c r="Y19" s="379">
        <v>46716.800000000003</v>
      </c>
      <c r="Z19" s="379">
        <v>21398.37</v>
      </c>
      <c r="AA19" s="375" t="s">
        <v>276</v>
      </c>
      <c r="AB19" s="375" t="s">
        <v>277</v>
      </c>
      <c r="AC19" s="375" t="s">
        <v>278</v>
      </c>
      <c r="AD19" s="375" t="s">
        <v>233</v>
      </c>
      <c r="AE19" s="375" t="s">
        <v>240</v>
      </c>
      <c r="AF19" s="375" t="s">
        <v>245</v>
      </c>
      <c r="AG19" s="375" t="s">
        <v>183</v>
      </c>
      <c r="AH19" s="380">
        <v>22.46</v>
      </c>
      <c r="AI19" s="378">
        <v>19364</v>
      </c>
      <c r="AJ19" s="375" t="s">
        <v>184</v>
      </c>
      <c r="AK19" s="375" t="s">
        <v>185</v>
      </c>
      <c r="AL19" s="375" t="s">
        <v>173</v>
      </c>
      <c r="AM19" s="375" t="s">
        <v>186</v>
      </c>
      <c r="AN19" s="375" t="s">
        <v>68</v>
      </c>
      <c r="AO19" s="378">
        <v>80</v>
      </c>
      <c r="AP19" s="384">
        <v>1</v>
      </c>
      <c r="AQ19" s="384">
        <v>1</v>
      </c>
      <c r="AR19" s="383" t="s">
        <v>187</v>
      </c>
      <c r="AS19" s="386">
        <f t="shared" si="27"/>
        <v>1</v>
      </c>
      <c r="AT19">
        <f t="shared" si="28"/>
        <v>1</v>
      </c>
      <c r="AU19" s="386">
        <f>IF(AT19=0,"",IF(AND(AT19=1,M19="F",SUMIF(C2:C557,C19,AS2:AS557)&lt;=1),SUMIF(C2:C557,C19,AS2:AS557),IF(AND(AT19=1,M19="F",SUMIF(C2:C557,C19,AS2:AS557)&gt;1),1,"")))</f>
        <v>1</v>
      </c>
      <c r="AV19" s="386" t="str">
        <f>IF(AT19=0,"",IF(AND(AT19=3,M19="F",SUMIF(C2:C557,C19,AS2:AS557)&lt;=1),SUMIF(C2:C557,C19,AS2:AS557),IF(AND(AT19=3,M19="F",SUMIF(C2:C557,C19,AS2:AS557)&gt;1),1,"")))</f>
        <v/>
      </c>
      <c r="AW19" s="386">
        <f>SUMIF(C2:C557,C19,O2:O557)</f>
        <v>1</v>
      </c>
      <c r="AX19" s="386">
        <f>IF(AND(M19="F",AS19&lt;&gt;0),SUMIF(C2:C557,C19,W2:W557),0)</f>
        <v>46716.800000000003</v>
      </c>
      <c r="AY19" s="386">
        <f t="shared" si="29"/>
        <v>46716.800000000003</v>
      </c>
      <c r="AZ19" s="386" t="str">
        <f t="shared" si="30"/>
        <v/>
      </c>
      <c r="BA19" s="386">
        <f t="shared" si="31"/>
        <v>0</v>
      </c>
      <c r="BB19" s="386">
        <f t="shared" si="0"/>
        <v>11650</v>
      </c>
      <c r="BC19" s="386">
        <f t="shared" si="1"/>
        <v>0</v>
      </c>
      <c r="BD19" s="386">
        <f t="shared" si="2"/>
        <v>2896.4416000000001</v>
      </c>
      <c r="BE19" s="386">
        <f t="shared" si="3"/>
        <v>677.39360000000011</v>
      </c>
      <c r="BF19" s="386">
        <f t="shared" si="4"/>
        <v>5577.985920000001</v>
      </c>
      <c r="BG19" s="386">
        <f t="shared" si="5"/>
        <v>336.82812800000005</v>
      </c>
      <c r="BH19" s="386">
        <f t="shared" si="6"/>
        <v>228.91231999999999</v>
      </c>
      <c r="BI19" s="386">
        <f t="shared" si="7"/>
        <v>142.953408</v>
      </c>
      <c r="BJ19" s="386">
        <f t="shared" si="8"/>
        <v>112.12031999999999</v>
      </c>
      <c r="BK19" s="386">
        <f t="shared" si="9"/>
        <v>0</v>
      </c>
      <c r="BL19" s="386">
        <f t="shared" si="32"/>
        <v>9972.6352959999986</v>
      </c>
      <c r="BM19" s="386">
        <f t="shared" si="33"/>
        <v>0</v>
      </c>
      <c r="BN19" s="386">
        <f t="shared" si="10"/>
        <v>11650</v>
      </c>
      <c r="BO19" s="386">
        <f t="shared" si="11"/>
        <v>0</v>
      </c>
      <c r="BP19" s="386">
        <f t="shared" si="12"/>
        <v>2896.4416000000001</v>
      </c>
      <c r="BQ19" s="386">
        <f t="shared" si="13"/>
        <v>677.39360000000011</v>
      </c>
      <c r="BR19" s="386">
        <f t="shared" si="14"/>
        <v>5577.985920000001</v>
      </c>
      <c r="BS19" s="386">
        <f t="shared" si="15"/>
        <v>336.82812800000005</v>
      </c>
      <c r="BT19" s="386">
        <f t="shared" si="16"/>
        <v>0</v>
      </c>
      <c r="BU19" s="386">
        <f t="shared" si="17"/>
        <v>142.953408</v>
      </c>
      <c r="BV19" s="386">
        <f t="shared" si="18"/>
        <v>116.79200000000002</v>
      </c>
      <c r="BW19" s="386">
        <f t="shared" si="19"/>
        <v>0</v>
      </c>
      <c r="BX19" s="386">
        <f t="shared" si="34"/>
        <v>9748.3946559999986</v>
      </c>
      <c r="BY19" s="386">
        <f t="shared" si="35"/>
        <v>0</v>
      </c>
      <c r="BZ19" s="386">
        <f t="shared" si="36"/>
        <v>0</v>
      </c>
      <c r="CA19" s="386">
        <f t="shared" si="37"/>
        <v>0</v>
      </c>
      <c r="CB19" s="386">
        <f t="shared" si="38"/>
        <v>0</v>
      </c>
      <c r="CC19" s="386">
        <f t="shared" si="20"/>
        <v>0</v>
      </c>
      <c r="CD19" s="386">
        <f t="shared" si="21"/>
        <v>0</v>
      </c>
      <c r="CE19" s="386">
        <f t="shared" si="22"/>
        <v>0</v>
      </c>
      <c r="CF19" s="386">
        <f t="shared" si="23"/>
        <v>-228.91231999999999</v>
      </c>
      <c r="CG19" s="386">
        <f t="shared" si="24"/>
        <v>0</v>
      </c>
      <c r="CH19" s="386">
        <f t="shared" si="25"/>
        <v>4.6716800000000127</v>
      </c>
      <c r="CI19" s="386">
        <f t="shared" si="26"/>
        <v>0</v>
      </c>
      <c r="CJ19" s="386">
        <f t="shared" si="39"/>
        <v>-224.24063999999998</v>
      </c>
      <c r="CK19" s="386" t="str">
        <f t="shared" si="40"/>
        <v/>
      </c>
      <c r="CL19" s="386" t="str">
        <f t="shared" si="41"/>
        <v/>
      </c>
      <c r="CM19" s="386" t="str">
        <f t="shared" si="42"/>
        <v/>
      </c>
      <c r="CN19" s="386" t="str">
        <f t="shared" si="43"/>
        <v>0001-00</v>
      </c>
    </row>
    <row r="20" spans="1:92" ht="15.75" thickBot="1" x14ac:dyDescent="0.3">
      <c r="A20" s="375" t="s">
        <v>161</v>
      </c>
      <c r="B20" s="375" t="s">
        <v>162</v>
      </c>
      <c r="C20" s="375" t="s">
        <v>279</v>
      </c>
      <c r="D20" s="375" t="s">
        <v>259</v>
      </c>
      <c r="E20" s="375" t="s">
        <v>165</v>
      </c>
      <c r="F20" s="376" t="s">
        <v>166</v>
      </c>
      <c r="G20" s="375" t="s">
        <v>167</v>
      </c>
      <c r="H20" s="377"/>
      <c r="I20" s="377"/>
      <c r="J20" s="375" t="s">
        <v>168</v>
      </c>
      <c r="K20" s="375" t="s">
        <v>260</v>
      </c>
      <c r="L20" s="375" t="s">
        <v>261</v>
      </c>
      <c r="M20" s="375" t="s">
        <v>171</v>
      </c>
      <c r="N20" s="375" t="s">
        <v>262</v>
      </c>
      <c r="O20" s="378">
        <v>0</v>
      </c>
      <c r="P20" s="384">
        <v>1</v>
      </c>
      <c r="Q20" s="384">
        <v>0</v>
      </c>
      <c r="R20" s="379">
        <v>0</v>
      </c>
      <c r="S20" s="384">
        <v>0</v>
      </c>
      <c r="T20" s="379">
        <v>20377.8</v>
      </c>
      <c r="U20" s="379">
        <v>0</v>
      </c>
      <c r="V20" s="379">
        <v>7076.4</v>
      </c>
      <c r="W20" s="379">
        <v>20377.8</v>
      </c>
      <c r="X20" s="379">
        <v>7076.4</v>
      </c>
      <c r="Y20" s="379">
        <v>20377.8</v>
      </c>
      <c r="Z20" s="379">
        <v>7076.4</v>
      </c>
      <c r="AA20" s="377"/>
      <c r="AB20" s="375" t="s">
        <v>45</v>
      </c>
      <c r="AC20" s="375" t="s">
        <v>45</v>
      </c>
      <c r="AD20" s="377"/>
      <c r="AE20" s="377"/>
      <c r="AF20" s="377"/>
      <c r="AG20" s="377"/>
      <c r="AH20" s="378">
        <v>0</v>
      </c>
      <c r="AI20" s="378">
        <v>0</v>
      </c>
      <c r="AJ20" s="377"/>
      <c r="AK20" s="377"/>
      <c r="AL20" s="375" t="s">
        <v>173</v>
      </c>
      <c r="AM20" s="377"/>
      <c r="AN20" s="377"/>
      <c r="AO20" s="378">
        <v>0</v>
      </c>
      <c r="AP20" s="384">
        <v>0</v>
      </c>
      <c r="AQ20" s="384">
        <v>0</v>
      </c>
      <c r="AR20" s="382"/>
      <c r="AS20" s="386">
        <f t="shared" si="27"/>
        <v>0</v>
      </c>
      <c r="AT20">
        <f t="shared" si="28"/>
        <v>0</v>
      </c>
      <c r="AU20" s="386" t="str">
        <f>IF(AT20=0,"",IF(AND(AT20=1,M20="F",SUMIF(C2:C557,C20,AS2:AS557)&lt;=1),SUMIF(C2:C557,C20,AS2:AS557),IF(AND(AT20=1,M20="F",SUMIF(C2:C557,C20,AS2:AS557)&gt;1),1,"")))</f>
        <v/>
      </c>
      <c r="AV20" s="386" t="str">
        <f>IF(AT20=0,"",IF(AND(AT20=3,M20="F",SUMIF(C2:C557,C20,AS2:AS557)&lt;=1),SUMIF(C2:C557,C20,AS2:AS557),IF(AND(AT20=3,M20="F",SUMIF(C2:C557,C20,AS2:AS557)&gt;1),1,"")))</f>
        <v/>
      </c>
      <c r="AW20" s="386">
        <f>SUMIF(C2:C557,C20,O2:O557)</f>
        <v>0</v>
      </c>
      <c r="AX20" s="386">
        <f>IF(AND(M20="F",AS20&lt;&gt;0),SUMIF(C2:C557,C20,W2:W557),0)</f>
        <v>0</v>
      </c>
      <c r="AY20" s="386" t="str">
        <f t="shared" si="29"/>
        <v/>
      </c>
      <c r="AZ20" s="386" t="str">
        <f t="shared" si="30"/>
        <v/>
      </c>
      <c r="BA20" s="386">
        <f t="shared" si="31"/>
        <v>0</v>
      </c>
      <c r="BB20" s="386">
        <f t="shared" si="0"/>
        <v>0</v>
      </c>
      <c r="BC20" s="386">
        <f t="shared" si="1"/>
        <v>0</v>
      </c>
      <c r="BD20" s="386">
        <f t="shared" si="2"/>
        <v>0</v>
      </c>
      <c r="BE20" s="386">
        <f t="shared" si="3"/>
        <v>0</v>
      </c>
      <c r="BF20" s="386">
        <f t="shared" si="4"/>
        <v>0</v>
      </c>
      <c r="BG20" s="386">
        <f t="shared" si="5"/>
        <v>0</v>
      </c>
      <c r="BH20" s="386">
        <f t="shared" si="6"/>
        <v>0</v>
      </c>
      <c r="BI20" s="386">
        <f t="shared" si="7"/>
        <v>0</v>
      </c>
      <c r="BJ20" s="386">
        <f t="shared" si="8"/>
        <v>0</v>
      </c>
      <c r="BK20" s="386">
        <f t="shared" si="9"/>
        <v>0</v>
      </c>
      <c r="BL20" s="386">
        <f t="shared" si="32"/>
        <v>0</v>
      </c>
      <c r="BM20" s="386">
        <f t="shared" si="33"/>
        <v>0</v>
      </c>
      <c r="BN20" s="386">
        <f t="shared" si="10"/>
        <v>0</v>
      </c>
      <c r="BO20" s="386">
        <f t="shared" si="11"/>
        <v>0</v>
      </c>
      <c r="BP20" s="386">
        <f t="shared" si="12"/>
        <v>0</v>
      </c>
      <c r="BQ20" s="386">
        <f t="shared" si="13"/>
        <v>0</v>
      </c>
      <c r="BR20" s="386">
        <f t="shared" si="14"/>
        <v>0</v>
      </c>
      <c r="BS20" s="386">
        <f t="shared" si="15"/>
        <v>0</v>
      </c>
      <c r="BT20" s="386">
        <f t="shared" si="16"/>
        <v>0</v>
      </c>
      <c r="BU20" s="386">
        <f t="shared" si="17"/>
        <v>0</v>
      </c>
      <c r="BV20" s="386">
        <f t="shared" si="18"/>
        <v>0</v>
      </c>
      <c r="BW20" s="386">
        <f t="shared" si="19"/>
        <v>0</v>
      </c>
      <c r="BX20" s="386">
        <f t="shared" si="34"/>
        <v>0</v>
      </c>
      <c r="BY20" s="386">
        <f t="shared" si="35"/>
        <v>0</v>
      </c>
      <c r="BZ20" s="386">
        <f t="shared" si="36"/>
        <v>0</v>
      </c>
      <c r="CA20" s="386">
        <f t="shared" si="37"/>
        <v>0</v>
      </c>
      <c r="CB20" s="386">
        <f t="shared" si="38"/>
        <v>0</v>
      </c>
      <c r="CC20" s="386">
        <f t="shared" si="20"/>
        <v>0</v>
      </c>
      <c r="CD20" s="386">
        <f t="shared" si="21"/>
        <v>0</v>
      </c>
      <c r="CE20" s="386">
        <f t="shared" si="22"/>
        <v>0</v>
      </c>
      <c r="CF20" s="386">
        <f t="shared" si="23"/>
        <v>0</v>
      </c>
      <c r="CG20" s="386">
        <f t="shared" si="24"/>
        <v>0</v>
      </c>
      <c r="CH20" s="386">
        <f t="shared" si="25"/>
        <v>0</v>
      </c>
      <c r="CI20" s="386">
        <f t="shared" si="26"/>
        <v>0</v>
      </c>
      <c r="CJ20" s="386">
        <f t="shared" si="39"/>
        <v>0</v>
      </c>
      <c r="CK20" s="386" t="str">
        <f t="shared" si="40"/>
        <v/>
      </c>
      <c r="CL20" s="386">
        <f t="shared" si="41"/>
        <v>20377.8</v>
      </c>
      <c r="CM20" s="386">
        <f t="shared" si="42"/>
        <v>7076.4</v>
      </c>
      <c r="CN20" s="386" t="str">
        <f t="shared" si="43"/>
        <v>0001-00</v>
      </c>
    </row>
    <row r="21" spans="1:92" ht="15.75" thickBot="1" x14ac:dyDescent="0.3">
      <c r="A21" s="375" t="s">
        <v>161</v>
      </c>
      <c r="B21" s="375" t="s">
        <v>162</v>
      </c>
      <c r="C21" s="375" t="s">
        <v>280</v>
      </c>
      <c r="D21" s="375" t="s">
        <v>247</v>
      </c>
      <c r="E21" s="375" t="s">
        <v>165</v>
      </c>
      <c r="F21" s="376" t="s">
        <v>166</v>
      </c>
      <c r="G21" s="375" t="s">
        <v>167</v>
      </c>
      <c r="H21" s="377"/>
      <c r="I21" s="377"/>
      <c r="J21" s="375" t="s">
        <v>168</v>
      </c>
      <c r="K21" s="375" t="s">
        <v>268</v>
      </c>
      <c r="L21" s="375" t="s">
        <v>170</v>
      </c>
      <c r="M21" s="375" t="s">
        <v>177</v>
      </c>
      <c r="N21" s="375" t="s">
        <v>199</v>
      </c>
      <c r="O21" s="378">
        <v>1</v>
      </c>
      <c r="P21" s="384">
        <v>1</v>
      </c>
      <c r="Q21" s="384">
        <v>1</v>
      </c>
      <c r="R21" s="379">
        <v>80</v>
      </c>
      <c r="S21" s="384">
        <v>1</v>
      </c>
      <c r="T21" s="379">
        <v>33181.56</v>
      </c>
      <c r="U21" s="379">
        <v>0</v>
      </c>
      <c r="V21" s="379">
        <v>16550.45</v>
      </c>
      <c r="W21" s="379">
        <v>44886.400000000001</v>
      </c>
      <c r="X21" s="379">
        <v>21231.87</v>
      </c>
      <c r="Y21" s="379">
        <v>44886.400000000001</v>
      </c>
      <c r="Z21" s="379">
        <v>21016.42</v>
      </c>
      <c r="AA21" s="375" t="s">
        <v>281</v>
      </c>
      <c r="AB21" s="375" t="s">
        <v>282</v>
      </c>
      <c r="AC21" s="375" t="s">
        <v>283</v>
      </c>
      <c r="AD21" s="375" t="s">
        <v>181</v>
      </c>
      <c r="AE21" s="375" t="s">
        <v>284</v>
      </c>
      <c r="AF21" s="375" t="s">
        <v>245</v>
      </c>
      <c r="AG21" s="375" t="s">
        <v>183</v>
      </c>
      <c r="AH21" s="380">
        <v>21.58</v>
      </c>
      <c r="AI21" s="378">
        <v>1672</v>
      </c>
      <c r="AJ21" s="375" t="s">
        <v>184</v>
      </c>
      <c r="AK21" s="375" t="s">
        <v>185</v>
      </c>
      <c r="AL21" s="375" t="s">
        <v>173</v>
      </c>
      <c r="AM21" s="375" t="s">
        <v>186</v>
      </c>
      <c r="AN21" s="375" t="s">
        <v>68</v>
      </c>
      <c r="AO21" s="378">
        <v>80</v>
      </c>
      <c r="AP21" s="384">
        <v>1</v>
      </c>
      <c r="AQ21" s="384">
        <v>1</v>
      </c>
      <c r="AR21" s="383">
        <v>3</v>
      </c>
      <c r="AS21" s="386">
        <f t="shared" si="27"/>
        <v>1</v>
      </c>
      <c r="AT21">
        <f t="shared" si="28"/>
        <v>1</v>
      </c>
      <c r="AU21" s="386">
        <f>IF(AT21=0,"",IF(AND(AT21=1,M21="F",SUMIF(C2:C557,C21,AS2:AS557)&lt;=1),SUMIF(C2:C557,C21,AS2:AS557),IF(AND(AT21=1,M21="F",SUMIF(C2:C557,C21,AS2:AS557)&gt;1),1,"")))</f>
        <v>1</v>
      </c>
      <c r="AV21" s="386" t="str">
        <f>IF(AT21=0,"",IF(AND(AT21=3,M21="F",SUMIF(C2:C557,C21,AS2:AS557)&lt;=1),SUMIF(C2:C557,C21,AS2:AS557),IF(AND(AT21=3,M21="F",SUMIF(C2:C557,C21,AS2:AS557)&gt;1),1,"")))</f>
        <v/>
      </c>
      <c r="AW21" s="386">
        <f>SUMIF(C2:C557,C21,O2:O557)</f>
        <v>1</v>
      </c>
      <c r="AX21" s="386">
        <f>IF(AND(M21="F",AS21&lt;&gt;0),SUMIF(C2:C557,C21,W2:W557),0)</f>
        <v>44886.400000000001</v>
      </c>
      <c r="AY21" s="386">
        <f t="shared" si="29"/>
        <v>44886.400000000001</v>
      </c>
      <c r="AZ21" s="386" t="str">
        <f t="shared" si="30"/>
        <v/>
      </c>
      <c r="BA21" s="386">
        <f t="shared" si="31"/>
        <v>0</v>
      </c>
      <c r="BB21" s="386">
        <f t="shared" si="0"/>
        <v>11650</v>
      </c>
      <c r="BC21" s="386">
        <f t="shared" si="1"/>
        <v>0</v>
      </c>
      <c r="BD21" s="386">
        <f t="shared" si="2"/>
        <v>2782.9567999999999</v>
      </c>
      <c r="BE21" s="386">
        <f t="shared" si="3"/>
        <v>650.8528</v>
      </c>
      <c r="BF21" s="386">
        <f t="shared" si="4"/>
        <v>5359.4361600000002</v>
      </c>
      <c r="BG21" s="386">
        <f t="shared" si="5"/>
        <v>323.630944</v>
      </c>
      <c r="BH21" s="386">
        <f t="shared" si="6"/>
        <v>219.94336000000001</v>
      </c>
      <c r="BI21" s="386">
        <f t="shared" si="7"/>
        <v>137.352384</v>
      </c>
      <c r="BJ21" s="386">
        <f t="shared" si="8"/>
        <v>107.72735999999999</v>
      </c>
      <c r="BK21" s="386">
        <f t="shared" si="9"/>
        <v>0</v>
      </c>
      <c r="BL21" s="386">
        <f t="shared" si="32"/>
        <v>9581.8998080000001</v>
      </c>
      <c r="BM21" s="386">
        <f t="shared" si="33"/>
        <v>0</v>
      </c>
      <c r="BN21" s="386">
        <f t="shared" si="10"/>
        <v>11650</v>
      </c>
      <c r="BO21" s="386">
        <f t="shared" si="11"/>
        <v>0</v>
      </c>
      <c r="BP21" s="386">
        <f t="shared" si="12"/>
        <v>2782.9567999999999</v>
      </c>
      <c r="BQ21" s="386">
        <f t="shared" si="13"/>
        <v>650.8528</v>
      </c>
      <c r="BR21" s="386">
        <f t="shared" si="14"/>
        <v>5359.4361600000002</v>
      </c>
      <c r="BS21" s="386">
        <f t="shared" si="15"/>
        <v>323.630944</v>
      </c>
      <c r="BT21" s="386">
        <f t="shared" si="16"/>
        <v>0</v>
      </c>
      <c r="BU21" s="386">
        <f t="shared" si="17"/>
        <v>137.352384</v>
      </c>
      <c r="BV21" s="386">
        <f t="shared" si="18"/>
        <v>112.21600000000001</v>
      </c>
      <c r="BW21" s="386">
        <f t="shared" si="19"/>
        <v>0</v>
      </c>
      <c r="BX21" s="386">
        <f t="shared" si="34"/>
        <v>9366.4450880000004</v>
      </c>
      <c r="BY21" s="386">
        <f t="shared" si="35"/>
        <v>0</v>
      </c>
      <c r="BZ21" s="386">
        <f t="shared" si="36"/>
        <v>0</v>
      </c>
      <c r="CA21" s="386">
        <f t="shared" si="37"/>
        <v>0</v>
      </c>
      <c r="CB21" s="386">
        <f t="shared" si="38"/>
        <v>0</v>
      </c>
      <c r="CC21" s="386">
        <f t="shared" si="20"/>
        <v>0</v>
      </c>
      <c r="CD21" s="386">
        <f t="shared" si="21"/>
        <v>0</v>
      </c>
      <c r="CE21" s="386">
        <f t="shared" si="22"/>
        <v>0</v>
      </c>
      <c r="CF21" s="386">
        <f t="shared" si="23"/>
        <v>-219.94336000000001</v>
      </c>
      <c r="CG21" s="386">
        <f t="shared" si="24"/>
        <v>0</v>
      </c>
      <c r="CH21" s="386">
        <f t="shared" si="25"/>
        <v>4.4886400000000117</v>
      </c>
      <c r="CI21" s="386">
        <f t="shared" si="26"/>
        <v>0</v>
      </c>
      <c r="CJ21" s="386">
        <f t="shared" si="39"/>
        <v>-215.45472000000001</v>
      </c>
      <c r="CK21" s="386" t="str">
        <f t="shared" si="40"/>
        <v/>
      </c>
      <c r="CL21" s="386" t="str">
        <f t="shared" si="41"/>
        <v/>
      </c>
      <c r="CM21" s="386" t="str">
        <f t="shared" si="42"/>
        <v/>
      </c>
      <c r="CN21" s="386" t="str">
        <f t="shared" si="43"/>
        <v>0001-00</v>
      </c>
    </row>
    <row r="22" spans="1:92" ht="15.75" thickBot="1" x14ac:dyDescent="0.3">
      <c r="A22" s="375" t="s">
        <v>161</v>
      </c>
      <c r="B22" s="375" t="s">
        <v>162</v>
      </c>
      <c r="C22" s="375" t="s">
        <v>285</v>
      </c>
      <c r="D22" s="375" t="s">
        <v>164</v>
      </c>
      <c r="E22" s="375" t="s">
        <v>165</v>
      </c>
      <c r="F22" s="376" t="s">
        <v>166</v>
      </c>
      <c r="G22" s="375" t="s">
        <v>167</v>
      </c>
      <c r="H22" s="377"/>
      <c r="I22" s="377"/>
      <c r="J22" s="375" t="s">
        <v>168</v>
      </c>
      <c r="K22" s="375" t="s">
        <v>169</v>
      </c>
      <c r="L22" s="375" t="s">
        <v>170</v>
      </c>
      <c r="M22" s="375" t="s">
        <v>177</v>
      </c>
      <c r="N22" s="375" t="s">
        <v>199</v>
      </c>
      <c r="O22" s="378">
        <v>2</v>
      </c>
      <c r="P22" s="384">
        <v>0</v>
      </c>
      <c r="Q22" s="384">
        <v>0</v>
      </c>
      <c r="R22" s="379">
        <v>80</v>
      </c>
      <c r="S22" s="384">
        <v>0</v>
      </c>
      <c r="T22" s="379">
        <v>41895.370000000003</v>
      </c>
      <c r="U22" s="379">
        <v>0</v>
      </c>
      <c r="V22" s="379">
        <v>16653.419999999998</v>
      </c>
      <c r="W22" s="379">
        <v>0</v>
      </c>
      <c r="X22" s="379">
        <v>0</v>
      </c>
      <c r="Y22" s="379">
        <v>0</v>
      </c>
      <c r="Z22" s="379">
        <v>0</v>
      </c>
      <c r="AA22" s="375" t="s">
        <v>286</v>
      </c>
      <c r="AB22" s="375" t="s">
        <v>287</v>
      </c>
      <c r="AC22" s="375" t="s">
        <v>288</v>
      </c>
      <c r="AD22" s="375" t="s">
        <v>170</v>
      </c>
      <c r="AE22" s="375" t="s">
        <v>169</v>
      </c>
      <c r="AF22" s="375" t="s">
        <v>269</v>
      </c>
      <c r="AG22" s="375" t="s">
        <v>183</v>
      </c>
      <c r="AH22" s="380">
        <v>29.12</v>
      </c>
      <c r="AI22" s="378">
        <v>8259</v>
      </c>
      <c r="AJ22" s="375" t="s">
        <v>184</v>
      </c>
      <c r="AK22" s="375" t="s">
        <v>185</v>
      </c>
      <c r="AL22" s="375" t="s">
        <v>173</v>
      </c>
      <c r="AM22" s="375" t="s">
        <v>186</v>
      </c>
      <c r="AN22" s="375" t="s">
        <v>68</v>
      </c>
      <c r="AO22" s="378">
        <v>80</v>
      </c>
      <c r="AP22" s="384">
        <v>1</v>
      </c>
      <c r="AQ22" s="384">
        <v>0</v>
      </c>
      <c r="AR22" s="383" t="s">
        <v>187</v>
      </c>
      <c r="AS22" s="386">
        <f t="shared" si="27"/>
        <v>0</v>
      </c>
      <c r="AT22">
        <f t="shared" si="28"/>
        <v>0</v>
      </c>
      <c r="AU22" s="386" t="str">
        <f>IF(AT22=0,"",IF(AND(AT22=1,M22="F",SUMIF(C2:C557,C22,AS2:AS557)&lt;=1),SUMIF(C2:C557,C22,AS2:AS557),IF(AND(AT22=1,M22="F",SUMIF(C2:C557,C22,AS2:AS557)&gt;1),1,"")))</f>
        <v/>
      </c>
      <c r="AV22" s="386" t="str">
        <f>IF(AT22=0,"",IF(AND(AT22=3,M22="F",SUMIF(C2:C557,C22,AS2:AS557)&lt;=1),SUMIF(C2:C557,C22,AS2:AS557),IF(AND(AT22=3,M22="F",SUMIF(C2:C557,C22,AS2:AS557)&gt;1),1,"")))</f>
        <v/>
      </c>
      <c r="AW22" s="386">
        <f>SUMIF(C2:C557,C22,O2:O557)</f>
        <v>8</v>
      </c>
      <c r="AX22" s="386">
        <f>IF(AND(M22="F",AS22&lt;&gt;0),SUMIF(C2:C557,C22,W2:W557),0)</f>
        <v>0</v>
      </c>
      <c r="AY22" s="386" t="str">
        <f t="shared" si="29"/>
        <v/>
      </c>
      <c r="AZ22" s="386" t="str">
        <f t="shared" si="30"/>
        <v/>
      </c>
      <c r="BA22" s="386">
        <f t="shared" si="31"/>
        <v>0</v>
      </c>
      <c r="BB22" s="386">
        <f t="shared" si="0"/>
        <v>0</v>
      </c>
      <c r="BC22" s="386">
        <f t="shared" si="1"/>
        <v>0</v>
      </c>
      <c r="BD22" s="386">
        <f t="shared" si="2"/>
        <v>0</v>
      </c>
      <c r="BE22" s="386">
        <f t="shared" si="3"/>
        <v>0</v>
      </c>
      <c r="BF22" s="386">
        <f t="shared" si="4"/>
        <v>0</v>
      </c>
      <c r="BG22" s="386">
        <f t="shared" si="5"/>
        <v>0</v>
      </c>
      <c r="BH22" s="386">
        <f t="shared" si="6"/>
        <v>0</v>
      </c>
      <c r="BI22" s="386">
        <f t="shared" si="7"/>
        <v>0</v>
      </c>
      <c r="BJ22" s="386">
        <f t="shared" si="8"/>
        <v>0</v>
      </c>
      <c r="BK22" s="386">
        <f t="shared" si="9"/>
        <v>0</v>
      </c>
      <c r="BL22" s="386">
        <f t="shared" si="32"/>
        <v>0</v>
      </c>
      <c r="BM22" s="386">
        <f t="shared" si="33"/>
        <v>0</v>
      </c>
      <c r="BN22" s="386">
        <f t="shared" si="10"/>
        <v>0</v>
      </c>
      <c r="BO22" s="386">
        <f t="shared" si="11"/>
        <v>0</v>
      </c>
      <c r="BP22" s="386">
        <f t="shared" si="12"/>
        <v>0</v>
      </c>
      <c r="BQ22" s="386">
        <f t="shared" si="13"/>
        <v>0</v>
      </c>
      <c r="BR22" s="386">
        <f t="shared" si="14"/>
        <v>0</v>
      </c>
      <c r="BS22" s="386">
        <f t="shared" si="15"/>
        <v>0</v>
      </c>
      <c r="BT22" s="386">
        <f t="shared" si="16"/>
        <v>0</v>
      </c>
      <c r="BU22" s="386">
        <f t="shared" si="17"/>
        <v>0</v>
      </c>
      <c r="BV22" s="386">
        <f t="shared" si="18"/>
        <v>0</v>
      </c>
      <c r="BW22" s="386">
        <f t="shared" si="19"/>
        <v>0</v>
      </c>
      <c r="BX22" s="386">
        <f t="shared" si="34"/>
        <v>0</v>
      </c>
      <c r="BY22" s="386">
        <f t="shared" si="35"/>
        <v>0</v>
      </c>
      <c r="BZ22" s="386">
        <f t="shared" si="36"/>
        <v>0</v>
      </c>
      <c r="CA22" s="386">
        <f t="shared" si="37"/>
        <v>0</v>
      </c>
      <c r="CB22" s="386">
        <f t="shared" si="38"/>
        <v>0</v>
      </c>
      <c r="CC22" s="386">
        <f t="shared" si="20"/>
        <v>0</v>
      </c>
      <c r="CD22" s="386">
        <f t="shared" si="21"/>
        <v>0</v>
      </c>
      <c r="CE22" s="386">
        <f t="shared" si="22"/>
        <v>0</v>
      </c>
      <c r="CF22" s="386">
        <f t="shared" si="23"/>
        <v>0</v>
      </c>
      <c r="CG22" s="386">
        <f t="shared" si="24"/>
        <v>0</v>
      </c>
      <c r="CH22" s="386">
        <f t="shared" si="25"/>
        <v>0</v>
      </c>
      <c r="CI22" s="386">
        <f t="shared" si="26"/>
        <v>0</v>
      </c>
      <c r="CJ22" s="386">
        <f t="shared" si="39"/>
        <v>0</v>
      </c>
      <c r="CK22" s="386" t="str">
        <f t="shared" si="40"/>
        <v/>
      </c>
      <c r="CL22" s="386" t="str">
        <f t="shared" si="41"/>
        <v/>
      </c>
      <c r="CM22" s="386" t="str">
        <f t="shared" si="42"/>
        <v/>
      </c>
      <c r="CN22" s="386" t="str">
        <f t="shared" si="43"/>
        <v>0001-00</v>
      </c>
    </row>
    <row r="23" spans="1:92" ht="15.75" thickBot="1" x14ac:dyDescent="0.3">
      <c r="A23" s="375" t="s">
        <v>161</v>
      </c>
      <c r="B23" s="375" t="s">
        <v>162</v>
      </c>
      <c r="C23" s="375" t="s">
        <v>289</v>
      </c>
      <c r="D23" s="375" t="s">
        <v>247</v>
      </c>
      <c r="E23" s="375" t="s">
        <v>165</v>
      </c>
      <c r="F23" s="376" t="s">
        <v>166</v>
      </c>
      <c r="G23" s="375" t="s">
        <v>167</v>
      </c>
      <c r="H23" s="377"/>
      <c r="I23" s="377"/>
      <c r="J23" s="375" t="s">
        <v>168</v>
      </c>
      <c r="K23" s="375" t="s">
        <v>248</v>
      </c>
      <c r="L23" s="375" t="s">
        <v>220</v>
      </c>
      <c r="M23" s="375" t="s">
        <v>177</v>
      </c>
      <c r="N23" s="375" t="s">
        <v>199</v>
      </c>
      <c r="O23" s="378">
        <v>1</v>
      </c>
      <c r="P23" s="384">
        <v>1</v>
      </c>
      <c r="Q23" s="384">
        <v>1</v>
      </c>
      <c r="R23" s="379">
        <v>80</v>
      </c>
      <c r="S23" s="384">
        <v>1</v>
      </c>
      <c r="T23" s="379">
        <v>53862.42</v>
      </c>
      <c r="U23" s="379">
        <v>0</v>
      </c>
      <c r="V23" s="379">
        <v>22560.1</v>
      </c>
      <c r="W23" s="379">
        <v>58843.199999999997</v>
      </c>
      <c r="X23" s="379">
        <v>24211.22</v>
      </c>
      <c r="Y23" s="379">
        <v>58843.199999999997</v>
      </c>
      <c r="Z23" s="379">
        <v>23928.77</v>
      </c>
      <c r="AA23" s="375" t="s">
        <v>290</v>
      </c>
      <c r="AB23" s="375" t="s">
        <v>291</v>
      </c>
      <c r="AC23" s="375" t="s">
        <v>292</v>
      </c>
      <c r="AD23" s="375" t="s">
        <v>181</v>
      </c>
      <c r="AE23" s="375" t="s">
        <v>248</v>
      </c>
      <c r="AF23" s="375" t="s">
        <v>252</v>
      </c>
      <c r="AG23" s="375" t="s">
        <v>183</v>
      </c>
      <c r="AH23" s="380">
        <v>28.29</v>
      </c>
      <c r="AI23" s="380">
        <v>3748.1</v>
      </c>
      <c r="AJ23" s="375" t="s">
        <v>184</v>
      </c>
      <c r="AK23" s="375" t="s">
        <v>185</v>
      </c>
      <c r="AL23" s="375" t="s">
        <v>173</v>
      </c>
      <c r="AM23" s="375" t="s">
        <v>186</v>
      </c>
      <c r="AN23" s="375" t="s">
        <v>68</v>
      </c>
      <c r="AO23" s="378">
        <v>80</v>
      </c>
      <c r="AP23" s="384">
        <v>1</v>
      </c>
      <c r="AQ23" s="384">
        <v>1</v>
      </c>
      <c r="AR23" s="383" t="s">
        <v>187</v>
      </c>
      <c r="AS23" s="386">
        <f t="shared" si="27"/>
        <v>1</v>
      </c>
      <c r="AT23">
        <f t="shared" si="28"/>
        <v>1</v>
      </c>
      <c r="AU23" s="386">
        <f>IF(AT23=0,"",IF(AND(AT23=1,M23="F",SUMIF(C2:C557,C23,AS2:AS557)&lt;=1),SUMIF(C2:C557,C23,AS2:AS557),IF(AND(AT23=1,M23="F",SUMIF(C2:C557,C23,AS2:AS557)&gt;1),1,"")))</f>
        <v>1</v>
      </c>
      <c r="AV23" s="386" t="str">
        <f>IF(AT23=0,"",IF(AND(AT23=3,M23="F",SUMIF(C2:C557,C23,AS2:AS557)&lt;=1),SUMIF(C2:C557,C23,AS2:AS557),IF(AND(AT23=3,M23="F",SUMIF(C2:C557,C23,AS2:AS557)&gt;1),1,"")))</f>
        <v/>
      </c>
      <c r="AW23" s="386">
        <f>SUMIF(C2:C557,C23,O2:O557)</f>
        <v>1</v>
      </c>
      <c r="AX23" s="386">
        <f>IF(AND(M23="F",AS23&lt;&gt;0),SUMIF(C2:C557,C23,W2:W557),0)</f>
        <v>58843.199999999997</v>
      </c>
      <c r="AY23" s="386">
        <f t="shared" si="29"/>
        <v>58843.199999999997</v>
      </c>
      <c r="AZ23" s="386" t="str">
        <f t="shared" si="30"/>
        <v/>
      </c>
      <c r="BA23" s="386">
        <f t="shared" si="31"/>
        <v>0</v>
      </c>
      <c r="BB23" s="386">
        <f t="shared" si="0"/>
        <v>11650</v>
      </c>
      <c r="BC23" s="386">
        <f t="shared" si="1"/>
        <v>0</v>
      </c>
      <c r="BD23" s="386">
        <f t="shared" si="2"/>
        <v>3648.2783999999997</v>
      </c>
      <c r="BE23" s="386">
        <f t="shared" si="3"/>
        <v>853.22640000000001</v>
      </c>
      <c r="BF23" s="386">
        <f t="shared" si="4"/>
        <v>7025.8780800000004</v>
      </c>
      <c r="BG23" s="386">
        <f t="shared" si="5"/>
        <v>424.25947200000002</v>
      </c>
      <c r="BH23" s="386">
        <f t="shared" si="6"/>
        <v>288.33167999999995</v>
      </c>
      <c r="BI23" s="386">
        <f t="shared" si="7"/>
        <v>180.06019199999997</v>
      </c>
      <c r="BJ23" s="386">
        <f t="shared" si="8"/>
        <v>141.22367999999997</v>
      </c>
      <c r="BK23" s="386">
        <f t="shared" si="9"/>
        <v>0</v>
      </c>
      <c r="BL23" s="386">
        <f t="shared" si="32"/>
        <v>12561.257904</v>
      </c>
      <c r="BM23" s="386">
        <f t="shared" si="33"/>
        <v>0</v>
      </c>
      <c r="BN23" s="386">
        <f t="shared" si="10"/>
        <v>11650</v>
      </c>
      <c r="BO23" s="386">
        <f t="shared" si="11"/>
        <v>0</v>
      </c>
      <c r="BP23" s="386">
        <f t="shared" si="12"/>
        <v>3648.2783999999997</v>
      </c>
      <c r="BQ23" s="386">
        <f t="shared" si="13"/>
        <v>853.22640000000001</v>
      </c>
      <c r="BR23" s="386">
        <f t="shared" si="14"/>
        <v>7025.8780800000004</v>
      </c>
      <c r="BS23" s="386">
        <f t="shared" si="15"/>
        <v>424.25947200000002</v>
      </c>
      <c r="BT23" s="386">
        <f t="shared" si="16"/>
        <v>0</v>
      </c>
      <c r="BU23" s="386">
        <f t="shared" si="17"/>
        <v>180.06019199999997</v>
      </c>
      <c r="BV23" s="386">
        <f t="shared" si="18"/>
        <v>147.108</v>
      </c>
      <c r="BW23" s="386">
        <f t="shared" si="19"/>
        <v>0</v>
      </c>
      <c r="BX23" s="386">
        <f t="shared" si="34"/>
        <v>12278.810544000002</v>
      </c>
      <c r="BY23" s="386">
        <f t="shared" si="35"/>
        <v>0</v>
      </c>
      <c r="BZ23" s="386">
        <f t="shared" si="36"/>
        <v>0</v>
      </c>
      <c r="CA23" s="386">
        <f t="shared" si="37"/>
        <v>0</v>
      </c>
      <c r="CB23" s="386">
        <f t="shared" si="38"/>
        <v>0</v>
      </c>
      <c r="CC23" s="386">
        <f t="shared" si="20"/>
        <v>0</v>
      </c>
      <c r="CD23" s="386">
        <f t="shared" si="21"/>
        <v>0</v>
      </c>
      <c r="CE23" s="386">
        <f t="shared" si="22"/>
        <v>0</v>
      </c>
      <c r="CF23" s="386">
        <f t="shared" si="23"/>
        <v>-288.33167999999995</v>
      </c>
      <c r="CG23" s="386">
        <f t="shared" si="24"/>
        <v>0</v>
      </c>
      <c r="CH23" s="386">
        <f t="shared" si="25"/>
        <v>5.8843200000000149</v>
      </c>
      <c r="CI23" s="386">
        <f t="shared" si="26"/>
        <v>0</v>
      </c>
      <c r="CJ23" s="386">
        <f t="shared" si="39"/>
        <v>-282.44735999999995</v>
      </c>
      <c r="CK23" s="386" t="str">
        <f t="shared" si="40"/>
        <v/>
      </c>
      <c r="CL23" s="386" t="str">
        <f t="shared" si="41"/>
        <v/>
      </c>
      <c r="CM23" s="386" t="str">
        <f t="shared" si="42"/>
        <v/>
      </c>
      <c r="CN23" s="386" t="str">
        <f t="shared" si="43"/>
        <v>0001-00</v>
      </c>
    </row>
    <row r="24" spans="1:92" ht="15.75" thickBot="1" x14ac:dyDescent="0.3">
      <c r="A24" s="375" t="s">
        <v>161</v>
      </c>
      <c r="B24" s="375" t="s">
        <v>162</v>
      </c>
      <c r="C24" s="375" t="s">
        <v>293</v>
      </c>
      <c r="D24" s="375" t="s">
        <v>294</v>
      </c>
      <c r="E24" s="375" t="s">
        <v>165</v>
      </c>
      <c r="F24" s="376" t="s">
        <v>166</v>
      </c>
      <c r="G24" s="375" t="s">
        <v>167</v>
      </c>
      <c r="H24" s="377"/>
      <c r="I24" s="377"/>
      <c r="J24" s="375" t="s">
        <v>168</v>
      </c>
      <c r="K24" s="375" t="s">
        <v>295</v>
      </c>
      <c r="L24" s="375" t="s">
        <v>173</v>
      </c>
      <c r="M24" s="375" t="s">
        <v>171</v>
      </c>
      <c r="N24" s="375" t="s">
        <v>199</v>
      </c>
      <c r="O24" s="378">
        <v>0</v>
      </c>
      <c r="P24" s="384">
        <v>1</v>
      </c>
      <c r="Q24" s="384">
        <v>1</v>
      </c>
      <c r="R24" s="379">
        <v>80</v>
      </c>
      <c r="S24" s="384">
        <v>1</v>
      </c>
      <c r="T24" s="379">
        <v>36565.199999999997</v>
      </c>
      <c r="U24" s="379">
        <v>0</v>
      </c>
      <c r="V24" s="379">
        <v>13718.85</v>
      </c>
      <c r="W24" s="379">
        <v>66788.800000000003</v>
      </c>
      <c r="X24" s="379">
        <v>29253.49</v>
      </c>
      <c r="Y24" s="379">
        <v>66788.800000000003</v>
      </c>
      <c r="Z24" s="379">
        <v>28919.55</v>
      </c>
      <c r="AA24" s="377"/>
      <c r="AB24" s="375" t="s">
        <v>45</v>
      </c>
      <c r="AC24" s="375" t="s">
        <v>45</v>
      </c>
      <c r="AD24" s="377"/>
      <c r="AE24" s="377"/>
      <c r="AF24" s="377"/>
      <c r="AG24" s="377"/>
      <c r="AH24" s="378">
        <v>0</v>
      </c>
      <c r="AI24" s="378">
        <v>0</v>
      </c>
      <c r="AJ24" s="377"/>
      <c r="AK24" s="377"/>
      <c r="AL24" s="375" t="s">
        <v>173</v>
      </c>
      <c r="AM24" s="377"/>
      <c r="AN24" s="377"/>
      <c r="AO24" s="378">
        <v>0</v>
      </c>
      <c r="AP24" s="384">
        <v>0</v>
      </c>
      <c r="AQ24" s="384">
        <v>0</v>
      </c>
      <c r="AR24" s="382"/>
      <c r="AS24" s="386">
        <f t="shared" si="27"/>
        <v>0</v>
      </c>
      <c r="AT24">
        <f t="shared" si="28"/>
        <v>0</v>
      </c>
      <c r="AU24" s="386" t="str">
        <f>IF(AT24=0,"",IF(AND(AT24=1,M24="F",SUMIF(C2:C557,C24,AS2:AS557)&lt;=1),SUMIF(C2:C557,C24,AS2:AS557),IF(AND(AT24=1,M24="F",SUMIF(C2:C557,C24,AS2:AS557)&gt;1),1,"")))</f>
        <v/>
      </c>
      <c r="AV24" s="386" t="str">
        <f>IF(AT24=0,"",IF(AND(AT24=3,M24="F",SUMIF(C2:C557,C24,AS2:AS557)&lt;=1),SUMIF(C2:C557,C24,AS2:AS557),IF(AND(AT24=3,M24="F",SUMIF(C2:C557,C24,AS2:AS557)&gt;1),1,"")))</f>
        <v/>
      </c>
      <c r="AW24" s="386">
        <f>SUMIF(C2:C557,C24,O2:O557)</f>
        <v>0</v>
      </c>
      <c r="AX24" s="386">
        <f>IF(AND(M24="F",AS24&lt;&gt;0),SUMIF(C2:C557,C24,W2:W557),0)</f>
        <v>0</v>
      </c>
      <c r="AY24" s="386" t="str">
        <f t="shared" si="29"/>
        <v/>
      </c>
      <c r="AZ24" s="386" t="str">
        <f t="shared" si="30"/>
        <v/>
      </c>
      <c r="BA24" s="386">
        <f t="shared" si="31"/>
        <v>0</v>
      </c>
      <c r="BB24" s="386">
        <f t="shared" si="0"/>
        <v>0</v>
      </c>
      <c r="BC24" s="386">
        <f t="shared" si="1"/>
        <v>0</v>
      </c>
      <c r="BD24" s="386">
        <f t="shared" si="2"/>
        <v>0</v>
      </c>
      <c r="BE24" s="386">
        <f t="shared" si="3"/>
        <v>0</v>
      </c>
      <c r="BF24" s="386">
        <f t="shared" si="4"/>
        <v>0</v>
      </c>
      <c r="BG24" s="386">
        <f t="shared" si="5"/>
        <v>0</v>
      </c>
      <c r="BH24" s="386">
        <f t="shared" si="6"/>
        <v>0</v>
      </c>
      <c r="BI24" s="386">
        <f t="shared" si="7"/>
        <v>0</v>
      </c>
      <c r="BJ24" s="386">
        <f t="shared" si="8"/>
        <v>0</v>
      </c>
      <c r="BK24" s="386">
        <f t="shared" si="9"/>
        <v>0</v>
      </c>
      <c r="BL24" s="386">
        <f t="shared" si="32"/>
        <v>0</v>
      </c>
      <c r="BM24" s="386">
        <f t="shared" si="33"/>
        <v>0</v>
      </c>
      <c r="BN24" s="386">
        <f t="shared" si="10"/>
        <v>0</v>
      </c>
      <c r="BO24" s="386">
        <f t="shared" si="11"/>
        <v>0</v>
      </c>
      <c r="BP24" s="386">
        <f t="shared" si="12"/>
        <v>0</v>
      </c>
      <c r="BQ24" s="386">
        <f t="shared" si="13"/>
        <v>0</v>
      </c>
      <c r="BR24" s="386">
        <f t="shared" si="14"/>
        <v>0</v>
      </c>
      <c r="BS24" s="386">
        <f t="shared" si="15"/>
        <v>0</v>
      </c>
      <c r="BT24" s="386">
        <f t="shared" si="16"/>
        <v>0</v>
      </c>
      <c r="BU24" s="386">
        <f t="shared" si="17"/>
        <v>0</v>
      </c>
      <c r="BV24" s="386">
        <f t="shared" si="18"/>
        <v>0</v>
      </c>
      <c r="BW24" s="386">
        <f t="shared" si="19"/>
        <v>0</v>
      </c>
      <c r="BX24" s="386">
        <f t="shared" si="34"/>
        <v>0</v>
      </c>
      <c r="BY24" s="386">
        <f t="shared" si="35"/>
        <v>0</v>
      </c>
      <c r="BZ24" s="386">
        <f t="shared" si="36"/>
        <v>0</v>
      </c>
      <c r="CA24" s="386">
        <f t="shared" si="37"/>
        <v>0</v>
      </c>
      <c r="CB24" s="386">
        <f t="shared" si="38"/>
        <v>0</v>
      </c>
      <c r="CC24" s="386">
        <f t="shared" si="20"/>
        <v>0</v>
      </c>
      <c r="CD24" s="386">
        <f t="shared" si="21"/>
        <v>0</v>
      </c>
      <c r="CE24" s="386">
        <f t="shared" si="22"/>
        <v>0</v>
      </c>
      <c r="CF24" s="386">
        <f t="shared" si="23"/>
        <v>0</v>
      </c>
      <c r="CG24" s="386">
        <f t="shared" si="24"/>
        <v>0</v>
      </c>
      <c r="CH24" s="386">
        <f t="shared" si="25"/>
        <v>0</v>
      </c>
      <c r="CI24" s="386">
        <f t="shared" si="26"/>
        <v>0</v>
      </c>
      <c r="CJ24" s="386">
        <f t="shared" si="39"/>
        <v>0</v>
      </c>
      <c r="CK24" s="386" t="str">
        <f t="shared" si="40"/>
        <v/>
      </c>
      <c r="CL24" s="386" t="str">
        <f t="shared" si="41"/>
        <v/>
      </c>
      <c r="CM24" s="386" t="str">
        <f t="shared" si="42"/>
        <v/>
      </c>
      <c r="CN24" s="386" t="str">
        <f t="shared" si="43"/>
        <v>0001-00</v>
      </c>
    </row>
    <row r="25" spans="1:92" ht="15.75" thickBot="1" x14ac:dyDescent="0.3">
      <c r="A25" s="375" t="s">
        <v>161</v>
      </c>
      <c r="B25" s="375" t="s">
        <v>162</v>
      </c>
      <c r="C25" s="375" t="s">
        <v>285</v>
      </c>
      <c r="D25" s="375" t="s">
        <v>164</v>
      </c>
      <c r="E25" s="375" t="s">
        <v>165</v>
      </c>
      <c r="F25" s="376" t="s">
        <v>166</v>
      </c>
      <c r="G25" s="375" t="s">
        <v>167</v>
      </c>
      <c r="H25" s="377"/>
      <c r="I25" s="377"/>
      <c r="J25" s="375" t="s">
        <v>168</v>
      </c>
      <c r="K25" s="375" t="s">
        <v>169</v>
      </c>
      <c r="L25" s="375" t="s">
        <v>170</v>
      </c>
      <c r="M25" s="375" t="s">
        <v>177</v>
      </c>
      <c r="N25" s="375" t="s">
        <v>199</v>
      </c>
      <c r="O25" s="378">
        <v>2</v>
      </c>
      <c r="P25" s="384">
        <v>0</v>
      </c>
      <c r="Q25" s="384">
        <v>0</v>
      </c>
      <c r="R25" s="379">
        <v>80</v>
      </c>
      <c r="S25" s="384">
        <v>0</v>
      </c>
      <c r="T25" s="379">
        <v>41895.370000000003</v>
      </c>
      <c r="U25" s="379">
        <v>0</v>
      </c>
      <c r="V25" s="379">
        <v>16653.419999999998</v>
      </c>
      <c r="W25" s="379">
        <v>0</v>
      </c>
      <c r="X25" s="379">
        <v>0</v>
      </c>
      <c r="Y25" s="379">
        <v>0</v>
      </c>
      <c r="Z25" s="379">
        <v>0</v>
      </c>
      <c r="AA25" s="375" t="s">
        <v>296</v>
      </c>
      <c r="AB25" s="375" t="s">
        <v>297</v>
      </c>
      <c r="AC25" s="375" t="s">
        <v>298</v>
      </c>
      <c r="AD25" s="375" t="s">
        <v>233</v>
      </c>
      <c r="AE25" s="375" t="s">
        <v>169</v>
      </c>
      <c r="AF25" s="375" t="s">
        <v>269</v>
      </c>
      <c r="AG25" s="375" t="s">
        <v>183</v>
      </c>
      <c r="AH25" s="380">
        <v>25.79</v>
      </c>
      <c r="AI25" s="380">
        <v>21237.5</v>
      </c>
      <c r="AJ25" s="375" t="s">
        <v>184</v>
      </c>
      <c r="AK25" s="375" t="s">
        <v>185</v>
      </c>
      <c r="AL25" s="375" t="s">
        <v>173</v>
      </c>
      <c r="AM25" s="375" t="s">
        <v>186</v>
      </c>
      <c r="AN25" s="375" t="s">
        <v>68</v>
      </c>
      <c r="AO25" s="378">
        <v>80</v>
      </c>
      <c r="AP25" s="384">
        <v>1</v>
      </c>
      <c r="AQ25" s="384">
        <v>0</v>
      </c>
      <c r="AR25" s="383">
        <v>6</v>
      </c>
      <c r="AS25" s="386">
        <f t="shared" si="27"/>
        <v>0</v>
      </c>
      <c r="AT25">
        <f t="shared" si="28"/>
        <v>0</v>
      </c>
      <c r="AU25" s="386" t="str">
        <f>IF(AT25=0,"",IF(AND(AT25=1,M25="F",SUMIF(C2:C557,C25,AS2:AS557)&lt;=1),SUMIF(C2:C557,C25,AS2:AS557),IF(AND(AT25=1,M25="F",SUMIF(C2:C557,C25,AS2:AS557)&gt;1),1,"")))</f>
        <v/>
      </c>
      <c r="AV25" s="386" t="str">
        <f>IF(AT25=0,"",IF(AND(AT25=3,M25="F",SUMIF(C2:C557,C25,AS2:AS557)&lt;=1),SUMIF(C2:C557,C25,AS2:AS557),IF(AND(AT25=3,M25="F",SUMIF(C2:C557,C25,AS2:AS557)&gt;1),1,"")))</f>
        <v/>
      </c>
      <c r="AW25" s="386">
        <f>SUMIF(C2:C557,C25,O2:O557)</f>
        <v>8</v>
      </c>
      <c r="AX25" s="386">
        <f>IF(AND(M25="F",AS25&lt;&gt;0),SUMIF(C2:C557,C25,W2:W557),0)</f>
        <v>0</v>
      </c>
      <c r="AY25" s="386" t="str">
        <f t="shared" si="29"/>
        <v/>
      </c>
      <c r="AZ25" s="386" t="str">
        <f t="shared" si="30"/>
        <v/>
      </c>
      <c r="BA25" s="386">
        <f t="shared" si="31"/>
        <v>0</v>
      </c>
      <c r="BB25" s="386">
        <f t="shared" si="0"/>
        <v>0</v>
      </c>
      <c r="BC25" s="386">
        <f t="shared" si="1"/>
        <v>0</v>
      </c>
      <c r="BD25" s="386">
        <f t="shared" si="2"/>
        <v>0</v>
      </c>
      <c r="BE25" s="386">
        <f t="shared" si="3"/>
        <v>0</v>
      </c>
      <c r="BF25" s="386">
        <f t="shared" si="4"/>
        <v>0</v>
      </c>
      <c r="BG25" s="386">
        <f t="shared" si="5"/>
        <v>0</v>
      </c>
      <c r="BH25" s="386">
        <f t="shared" si="6"/>
        <v>0</v>
      </c>
      <c r="BI25" s="386">
        <f t="shared" si="7"/>
        <v>0</v>
      </c>
      <c r="BJ25" s="386">
        <f t="shared" si="8"/>
        <v>0</v>
      </c>
      <c r="BK25" s="386">
        <f t="shared" si="9"/>
        <v>0</v>
      </c>
      <c r="BL25" s="386">
        <f t="shared" si="32"/>
        <v>0</v>
      </c>
      <c r="BM25" s="386">
        <f t="shared" si="33"/>
        <v>0</v>
      </c>
      <c r="BN25" s="386">
        <f t="shared" si="10"/>
        <v>0</v>
      </c>
      <c r="BO25" s="386">
        <f t="shared" si="11"/>
        <v>0</v>
      </c>
      <c r="BP25" s="386">
        <f t="shared" si="12"/>
        <v>0</v>
      </c>
      <c r="BQ25" s="386">
        <f t="shared" si="13"/>
        <v>0</v>
      </c>
      <c r="BR25" s="386">
        <f t="shared" si="14"/>
        <v>0</v>
      </c>
      <c r="BS25" s="386">
        <f t="shared" si="15"/>
        <v>0</v>
      </c>
      <c r="BT25" s="386">
        <f t="shared" si="16"/>
        <v>0</v>
      </c>
      <c r="BU25" s="386">
        <f t="shared" si="17"/>
        <v>0</v>
      </c>
      <c r="BV25" s="386">
        <f t="shared" si="18"/>
        <v>0</v>
      </c>
      <c r="BW25" s="386">
        <f t="shared" si="19"/>
        <v>0</v>
      </c>
      <c r="BX25" s="386">
        <f t="shared" si="34"/>
        <v>0</v>
      </c>
      <c r="BY25" s="386">
        <f t="shared" si="35"/>
        <v>0</v>
      </c>
      <c r="BZ25" s="386">
        <f t="shared" si="36"/>
        <v>0</v>
      </c>
      <c r="CA25" s="386">
        <f t="shared" si="37"/>
        <v>0</v>
      </c>
      <c r="CB25" s="386">
        <f t="shared" si="38"/>
        <v>0</v>
      </c>
      <c r="CC25" s="386">
        <f t="shared" si="20"/>
        <v>0</v>
      </c>
      <c r="CD25" s="386">
        <f t="shared" si="21"/>
        <v>0</v>
      </c>
      <c r="CE25" s="386">
        <f t="shared" si="22"/>
        <v>0</v>
      </c>
      <c r="CF25" s="386">
        <f t="shared" si="23"/>
        <v>0</v>
      </c>
      <c r="CG25" s="386">
        <f t="shared" si="24"/>
        <v>0</v>
      </c>
      <c r="CH25" s="386">
        <f t="shared" si="25"/>
        <v>0</v>
      </c>
      <c r="CI25" s="386">
        <f t="shared" si="26"/>
        <v>0</v>
      </c>
      <c r="CJ25" s="386">
        <f t="shared" si="39"/>
        <v>0</v>
      </c>
      <c r="CK25" s="386" t="str">
        <f t="shared" si="40"/>
        <v/>
      </c>
      <c r="CL25" s="386" t="str">
        <f t="shared" si="41"/>
        <v/>
      </c>
      <c r="CM25" s="386" t="str">
        <f t="shared" si="42"/>
        <v/>
      </c>
      <c r="CN25" s="386" t="str">
        <f t="shared" si="43"/>
        <v>0001-00</v>
      </c>
    </row>
    <row r="26" spans="1:92" ht="15.75" thickBot="1" x14ac:dyDescent="0.3">
      <c r="A26" s="375" t="s">
        <v>161</v>
      </c>
      <c r="B26" s="375" t="s">
        <v>162</v>
      </c>
      <c r="C26" s="375" t="s">
        <v>299</v>
      </c>
      <c r="D26" s="375" t="s">
        <v>259</v>
      </c>
      <c r="E26" s="375" t="s">
        <v>165</v>
      </c>
      <c r="F26" s="376" t="s">
        <v>166</v>
      </c>
      <c r="G26" s="375" t="s">
        <v>167</v>
      </c>
      <c r="H26" s="377"/>
      <c r="I26" s="377"/>
      <c r="J26" s="375" t="s">
        <v>168</v>
      </c>
      <c r="K26" s="375" t="s">
        <v>260</v>
      </c>
      <c r="L26" s="375" t="s">
        <v>261</v>
      </c>
      <c r="M26" s="375" t="s">
        <v>171</v>
      </c>
      <c r="N26" s="375" t="s">
        <v>262</v>
      </c>
      <c r="O26" s="378">
        <v>0</v>
      </c>
      <c r="P26" s="384">
        <v>1</v>
      </c>
      <c r="Q26" s="384">
        <v>0</v>
      </c>
      <c r="R26" s="379">
        <v>0</v>
      </c>
      <c r="S26" s="384">
        <v>0</v>
      </c>
      <c r="T26" s="379">
        <v>11013.58</v>
      </c>
      <c r="U26" s="379">
        <v>0</v>
      </c>
      <c r="V26" s="379">
        <v>5056.7299999999996</v>
      </c>
      <c r="W26" s="379">
        <v>11013.58</v>
      </c>
      <c r="X26" s="379">
        <v>5056.7299999999996</v>
      </c>
      <c r="Y26" s="379">
        <v>11013.58</v>
      </c>
      <c r="Z26" s="379">
        <v>5056.7299999999996</v>
      </c>
      <c r="AA26" s="377"/>
      <c r="AB26" s="375" t="s">
        <v>45</v>
      </c>
      <c r="AC26" s="375" t="s">
        <v>45</v>
      </c>
      <c r="AD26" s="377"/>
      <c r="AE26" s="377"/>
      <c r="AF26" s="377"/>
      <c r="AG26" s="377"/>
      <c r="AH26" s="378">
        <v>0</v>
      </c>
      <c r="AI26" s="378">
        <v>0</v>
      </c>
      <c r="AJ26" s="377"/>
      <c r="AK26" s="377"/>
      <c r="AL26" s="375" t="s">
        <v>173</v>
      </c>
      <c r="AM26" s="377"/>
      <c r="AN26" s="377"/>
      <c r="AO26" s="378">
        <v>0</v>
      </c>
      <c r="AP26" s="384">
        <v>0</v>
      </c>
      <c r="AQ26" s="384">
        <v>0</v>
      </c>
      <c r="AR26" s="382"/>
      <c r="AS26" s="386">
        <f t="shared" si="27"/>
        <v>0</v>
      </c>
      <c r="AT26">
        <f t="shared" si="28"/>
        <v>0</v>
      </c>
      <c r="AU26" s="386" t="str">
        <f>IF(AT26=0,"",IF(AND(AT26=1,M26="F",SUMIF(C2:C557,C26,AS2:AS557)&lt;=1),SUMIF(C2:C557,C26,AS2:AS557),IF(AND(AT26=1,M26="F",SUMIF(C2:C557,C26,AS2:AS557)&gt;1),1,"")))</f>
        <v/>
      </c>
      <c r="AV26" s="386" t="str">
        <f>IF(AT26=0,"",IF(AND(AT26=3,M26="F",SUMIF(C2:C557,C26,AS2:AS557)&lt;=1),SUMIF(C2:C557,C26,AS2:AS557),IF(AND(AT26=3,M26="F",SUMIF(C2:C557,C26,AS2:AS557)&gt;1),1,"")))</f>
        <v/>
      </c>
      <c r="AW26" s="386">
        <f>SUMIF(C2:C557,C26,O2:O557)</f>
        <v>0</v>
      </c>
      <c r="AX26" s="386">
        <f>IF(AND(M26="F",AS26&lt;&gt;0),SUMIF(C2:C557,C26,W2:W557),0)</f>
        <v>0</v>
      </c>
      <c r="AY26" s="386" t="str">
        <f t="shared" si="29"/>
        <v/>
      </c>
      <c r="AZ26" s="386" t="str">
        <f t="shared" si="30"/>
        <v/>
      </c>
      <c r="BA26" s="386">
        <f t="shared" si="31"/>
        <v>0</v>
      </c>
      <c r="BB26" s="386">
        <f t="shared" si="0"/>
        <v>0</v>
      </c>
      <c r="BC26" s="386">
        <f t="shared" si="1"/>
        <v>0</v>
      </c>
      <c r="BD26" s="386">
        <f t="shared" si="2"/>
        <v>0</v>
      </c>
      <c r="BE26" s="386">
        <f t="shared" si="3"/>
        <v>0</v>
      </c>
      <c r="BF26" s="386">
        <f t="shared" si="4"/>
        <v>0</v>
      </c>
      <c r="BG26" s="386">
        <f t="shared" si="5"/>
        <v>0</v>
      </c>
      <c r="BH26" s="386">
        <f t="shared" si="6"/>
        <v>0</v>
      </c>
      <c r="BI26" s="386">
        <f t="shared" si="7"/>
        <v>0</v>
      </c>
      <c r="BJ26" s="386">
        <f t="shared" si="8"/>
        <v>0</v>
      </c>
      <c r="BK26" s="386">
        <f t="shared" si="9"/>
        <v>0</v>
      </c>
      <c r="BL26" s="386">
        <f t="shared" si="32"/>
        <v>0</v>
      </c>
      <c r="BM26" s="386">
        <f t="shared" si="33"/>
        <v>0</v>
      </c>
      <c r="BN26" s="386">
        <f t="shared" si="10"/>
        <v>0</v>
      </c>
      <c r="BO26" s="386">
        <f t="shared" si="11"/>
        <v>0</v>
      </c>
      <c r="BP26" s="386">
        <f t="shared" si="12"/>
        <v>0</v>
      </c>
      <c r="BQ26" s="386">
        <f t="shared" si="13"/>
        <v>0</v>
      </c>
      <c r="BR26" s="386">
        <f t="shared" si="14"/>
        <v>0</v>
      </c>
      <c r="BS26" s="386">
        <f t="shared" si="15"/>
        <v>0</v>
      </c>
      <c r="BT26" s="386">
        <f t="shared" si="16"/>
        <v>0</v>
      </c>
      <c r="BU26" s="386">
        <f t="shared" si="17"/>
        <v>0</v>
      </c>
      <c r="BV26" s="386">
        <f t="shared" si="18"/>
        <v>0</v>
      </c>
      <c r="BW26" s="386">
        <f t="shared" si="19"/>
        <v>0</v>
      </c>
      <c r="BX26" s="386">
        <f t="shared" si="34"/>
        <v>0</v>
      </c>
      <c r="BY26" s="386">
        <f t="shared" si="35"/>
        <v>0</v>
      </c>
      <c r="BZ26" s="386">
        <f t="shared" si="36"/>
        <v>0</v>
      </c>
      <c r="CA26" s="386">
        <f t="shared" si="37"/>
        <v>0</v>
      </c>
      <c r="CB26" s="386">
        <f t="shared" si="38"/>
        <v>0</v>
      </c>
      <c r="CC26" s="386">
        <f t="shared" si="20"/>
        <v>0</v>
      </c>
      <c r="CD26" s="386">
        <f t="shared" si="21"/>
        <v>0</v>
      </c>
      <c r="CE26" s="386">
        <f t="shared" si="22"/>
        <v>0</v>
      </c>
      <c r="CF26" s="386">
        <f t="shared" si="23"/>
        <v>0</v>
      </c>
      <c r="CG26" s="386">
        <f t="shared" si="24"/>
        <v>0</v>
      </c>
      <c r="CH26" s="386">
        <f t="shared" si="25"/>
        <v>0</v>
      </c>
      <c r="CI26" s="386">
        <f t="shared" si="26"/>
        <v>0</v>
      </c>
      <c r="CJ26" s="386">
        <f t="shared" si="39"/>
        <v>0</v>
      </c>
      <c r="CK26" s="386" t="str">
        <f t="shared" si="40"/>
        <v/>
      </c>
      <c r="CL26" s="386">
        <f t="shared" si="41"/>
        <v>11013.58</v>
      </c>
      <c r="CM26" s="386">
        <f t="shared" si="42"/>
        <v>5056.7299999999996</v>
      </c>
      <c r="CN26" s="386" t="str">
        <f t="shared" si="43"/>
        <v>0001-00</v>
      </c>
    </row>
    <row r="27" spans="1:92" ht="15.75" thickBot="1" x14ac:dyDescent="0.3">
      <c r="A27" s="375" t="s">
        <v>161</v>
      </c>
      <c r="B27" s="375" t="s">
        <v>162</v>
      </c>
      <c r="C27" s="375" t="s">
        <v>300</v>
      </c>
      <c r="D27" s="375" t="s">
        <v>301</v>
      </c>
      <c r="E27" s="375" t="s">
        <v>165</v>
      </c>
      <c r="F27" s="376" t="s">
        <v>166</v>
      </c>
      <c r="G27" s="375" t="s">
        <v>167</v>
      </c>
      <c r="H27" s="377"/>
      <c r="I27" s="377"/>
      <c r="J27" s="375" t="s">
        <v>168</v>
      </c>
      <c r="K27" s="375" t="s">
        <v>302</v>
      </c>
      <c r="L27" s="375" t="s">
        <v>173</v>
      </c>
      <c r="M27" s="375" t="s">
        <v>177</v>
      </c>
      <c r="N27" s="375" t="s">
        <v>199</v>
      </c>
      <c r="O27" s="378">
        <v>1</v>
      </c>
      <c r="P27" s="384">
        <v>1</v>
      </c>
      <c r="Q27" s="384">
        <v>1</v>
      </c>
      <c r="R27" s="379">
        <v>80</v>
      </c>
      <c r="S27" s="384">
        <v>1</v>
      </c>
      <c r="T27" s="379">
        <v>76304</v>
      </c>
      <c r="U27" s="379">
        <v>0</v>
      </c>
      <c r="V27" s="379">
        <v>27207.46</v>
      </c>
      <c r="W27" s="379">
        <v>75462.399999999994</v>
      </c>
      <c r="X27" s="379">
        <v>27758.92</v>
      </c>
      <c r="Y27" s="379">
        <v>75462.399999999994</v>
      </c>
      <c r="Z27" s="379">
        <v>27396.71</v>
      </c>
      <c r="AA27" s="375" t="s">
        <v>303</v>
      </c>
      <c r="AB27" s="375" t="s">
        <v>255</v>
      </c>
      <c r="AC27" s="375" t="s">
        <v>304</v>
      </c>
      <c r="AD27" s="375" t="s">
        <v>195</v>
      </c>
      <c r="AE27" s="375" t="s">
        <v>302</v>
      </c>
      <c r="AF27" s="375" t="s">
        <v>305</v>
      </c>
      <c r="AG27" s="375" t="s">
        <v>183</v>
      </c>
      <c r="AH27" s="380">
        <v>36.28</v>
      </c>
      <c r="AI27" s="378">
        <v>22369</v>
      </c>
      <c r="AJ27" s="375" t="s">
        <v>184</v>
      </c>
      <c r="AK27" s="375" t="s">
        <v>185</v>
      </c>
      <c r="AL27" s="375" t="s">
        <v>173</v>
      </c>
      <c r="AM27" s="375" t="s">
        <v>186</v>
      </c>
      <c r="AN27" s="375" t="s">
        <v>68</v>
      </c>
      <c r="AO27" s="378">
        <v>80</v>
      </c>
      <c r="AP27" s="384">
        <v>1</v>
      </c>
      <c r="AQ27" s="384">
        <v>1</v>
      </c>
      <c r="AR27" s="383" t="s">
        <v>187</v>
      </c>
      <c r="AS27" s="386">
        <f t="shared" si="27"/>
        <v>1</v>
      </c>
      <c r="AT27">
        <f t="shared" si="28"/>
        <v>1</v>
      </c>
      <c r="AU27" s="386">
        <f>IF(AT27=0,"",IF(AND(AT27=1,M27="F",SUMIF(C2:C557,C27,AS2:AS557)&lt;=1),SUMIF(C2:C557,C27,AS2:AS557),IF(AND(AT27=1,M27="F",SUMIF(C2:C557,C27,AS2:AS557)&gt;1),1,"")))</f>
        <v>1</v>
      </c>
      <c r="AV27" s="386" t="str">
        <f>IF(AT27=0,"",IF(AND(AT27=3,M27="F",SUMIF(C2:C557,C27,AS2:AS557)&lt;=1),SUMIF(C2:C557,C27,AS2:AS557),IF(AND(AT27=3,M27="F",SUMIF(C2:C557,C27,AS2:AS557)&gt;1),1,"")))</f>
        <v/>
      </c>
      <c r="AW27" s="386">
        <f>SUMIF(C2:C557,C27,O2:O557)</f>
        <v>1</v>
      </c>
      <c r="AX27" s="386">
        <f>IF(AND(M27="F",AS27&lt;&gt;0),SUMIF(C2:C557,C27,W2:W557),0)</f>
        <v>75462.399999999994</v>
      </c>
      <c r="AY27" s="386">
        <f t="shared" si="29"/>
        <v>75462.399999999994</v>
      </c>
      <c r="AZ27" s="386" t="str">
        <f t="shared" si="30"/>
        <v/>
      </c>
      <c r="BA27" s="386">
        <f t="shared" si="31"/>
        <v>0</v>
      </c>
      <c r="BB27" s="386">
        <f t="shared" si="0"/>
        <v>11650</v>
      </c>
      <c r="BC27" s="386">
        <f t="shared" si="1"/>
        <v>0</v>
      </c>
      <c r="BD27" s="386">
        <f t="shared" si="2"/>
        <v>4678.6687999999995</v>
      </c>
      <c r="BE27" s="386">
        <f t="shared" si="3"/>
        <v>1094.2048</v>
      </c>
      <c r="BF27" s="386">
        <f t="shared" si="4"/>
        <v>9010.2105599999995</v>
      </c>
      <c r="BG27" s="386">
        <f t="shared" si="5"/>
        <v>544.08390399999996</v>
      </c>
      <c r="BH27" s="386">
        <f t="shared" si="6"/>
        <v>369.76575999999994</v>
      </c>
      <c r="BI27" s="386">
        <f t="shared" si="7"/>
        <v>230.91494399999996</v>
      </c>
      <c r="BJ27" s="386">
        <f t="shared" si="8"/>
        <v>181.10975999999997</v>
      </c>
      <c r="BK27" s="386">
        <f t="shared" si="9"/>
        <v>0</v>
      </c>
      <c r="BL27" s="386">
        <f t="shared" si="32"/>
        <v>16108.958527999997</v>
      </c>
      <c r="BM27" s="386">
        <f t="shared" si="33"/>
        <v>0</v>
      </c>
      <c r="BN27" s="386">
        <f t="shared" si="10"/>
        <v>11650</v>
      </c>
      <c r="BO27" s="386">
        <f t="shared" si="11"/>
        <v>0</v>
      </c>
      <c r="BP27" s="386">
        <f t="shared" si="12"/>
        <v>4678.6687999999995</v>
      </c>
      <c r="BQ27" s="386">
        <f t="shared" si="13"/>
        <v>1094.2048</v>
      </c>
      <c r="BR27" s="386">
        <f t="shared" si="14"/>
        <v>9010.2105599999995</v>
      </c>
      <c r="BS27" s="386">
        <f t="shared" si="15"/>
        <v>544.08390399999996</v>
      </c>
      <c r="BT27" s="386">
        <f t="shared" si="16"/>
        <v>0</v>
      </c>
      <c r="BU27" s="386">
        <f t="shared" si="17"/>
        <v>230.91494399999996</v>
      </c>
      <c r="BV27" s="386">
        <f t="shared" si="18"/>
        <v>188.65599999999998</v>
      </c>
      <c r="BW27" s="386">
        <f t="shared" si="19"/>
        <v>0</v>
      </c>
      <c r="BX27" s="386">
        <f t="shared" si="34"/>
        <v>15746.739007999999</v>
      </c>
      <c r="BY27" s="386">
        <f t="shared" si="35"/>
        <v>0</v>
      </c>
      <c r="BZ27" s="386">
        <f t="shared" si="36"/>
        <v>0</v>
      </c>
      <c r="CA27" s="386">
        <f t="shared" si="37"/>
        <v>0</v>
      </c>
      <c r="CB27" s="386">
        <f t="shared" si="38"/>
        <v>0</v>
      </c>
      <c r="CC27" s="386">
        <f t="shared" si="20"/>
        <v>0</v>
      </c>
      <c r="CD27" s="386">
        <f t="shared" si="21"/>
        <v>0</v>
      </c>
      <c r="CE27" s="386">
        <f t="shared" si="22"/>
        <v>0</v>
      </c>
      <c r="CF27" s="386">
        <f t="shared" si="23"/>
        <v>-369.76575999999994</v>
      </c>
      <c r="CG27" s="386">
        <f t="shared" si="24"/>
        <v>0</v>
      </c>
      <c r="CH27" s="386">
        <f t="shared" si="25"/>
        <v>7.5462400000000196</v>
      </c>
      <c r="CI27" s="386">
        <f t="shared" si="26"/>
        <v>0</v>
      </c>
      <c r="CJ27" s="386">
        <f t="shared" si="39"/>
        <v>-362.21951999999993</v>
      </c>
      <c r="CK27" s="386" t="str">
        <f t="shared" si="40"/>
        <v/>
      </c>
      <c r="CL27" s="386" t="str">
        <f t="shared" si="41"/>
        <v/>
      </c>
      <c r="CM27" s="386" t="str">
        <f t="shared" si="42"/>
        <v/>
      </c>
      <c r="CN27" s="386" t="str">
        <f t="shared" si="43"/>
        <v>0001-00</v>
      </c>
    </row>
    <row r="28" spans="1:92" ht="15.75" thickBot="1" x14ac:dyDescent="0.3">
      <c r="A28" s="375" t="s">
        <v>161</v>
      </c>
      <c r="B28" s="375" t="s">
        <v>162</v>
      </c>
      <c r="C28" s="375" t="s">
        <v>306</v>
      </c>
      <c r="D28" s="375" t="s">
        <v>307</v>
      </c>
      <c r="E28" s="375" t="s">
        <v>165</v>
      </c>
      <c r="F28" s="376" t="s">
        <v>166</v>
      </c>
      <c r="G28" s="375" t="s">
        <v>167</v>
      </c>
      <c r="H28" s="377"/>
      <c r="I28" s="377"/>
      <c r="J28" s="375" t="s">
        <v>168</v>
      </c>
      <c r="K28" s="375" t="s">
        <v>308</v>
      </c>
      <c r="L28" s="375" t="s">
        <v>220</v>
      </c>
      <c r="M28" s="375" t="s">
        <v>177</v>
      </c>
      <c r="N28" s="375" t="s">
        <v>199</v>
      </c>
      <c r="O28" s="378">
        <v>1</v>
      </c>
      <c r="P28" s="384">
        <v>1</v>
      </c>
      <c r="Q28" s="384">
        <v>1</v>
      </c>
      <c r="R28" s="379">
        <v>80</v>
      </c>
      <c r="S28" s="384">
        <v>1</v>
      </c>
      <c r="T28" s="379">
        <v>38045.64</v>
      </c>
      <c r="U28" s="379">
        <v>0</v>
      </c>
      <c r="V28" s="379">
        <v>14974.64</v>
      </c>
      <c r="W28" s="379">
        <v>57928</v>
      </c>
      <c r="X28" s="379">
        <v>24015.85</v>
      </c>
      <c r="Y28" s="379">
        <v>57928</v>
      </c>
      <c r="Z28" s="379">
        <v>23737.81</v>
      </c>
      <c r="AA28" s="375" t="s">
        <v>309</v>
      </c>
      <c r="AB28" s="375" t="s">
        <v>310</v>
      </c>
      <c r="AC28" s="375" t="s">
        <v>311</v>
      </c>
      <c r="AD28" s="375" t="s">
        <v>181</v>
      </c>
      <c r="AE28" s="375" t="s">
        <v>308</v>
      </c>
      <c r="AF28" s="375" t="s">
        <v>252</v>
      </c>
      <c r="AG28" s="375" t="s">
        <v>183</v>
      </c>
      <c r="AH28" s="380">
        <v>27.85</v>
      </c>
      <c r="AI28" s="380">
        <v>835.5</v>
      </c>
      <c r="AJ28" s="375" t="s">
        <v>184</v>
      </c>
      <c r="AK28" s="375" t="s">
        <v>185</v>
      </c>
      <c r="AL28" s="375" t="s">
        <v>173</v>
      </c>
      <c r="AM28" s="375" t="s">
        <v>186</v>
      </c>
      <c r="AN28" s="375" t="s">
        <v>68</v>
      </c>
      <c r="AO28" s="378">
        <v>80</v>
      </c>
      <c r="AP28" s="384">
        <v>1</v>
      </c>
      <c r="AQ28" s="384">
        <v>1</v>
      </c>
      <c r="AR28" s="383" t="s">
        <v>187</v>
      </c>
      <c r="AS28" s="386">
        <f t="shared" si="27"/>
        <v>1</v>
      </c>
      <c r="AT28">
        <f t="shared" si="28"/>
        <v>1</v>
      </c>
      <c r="AU28" s="386">
        <f>IF(AT28=0,"",IF(AND(AT28=1,M28="F",SUMIF(C2:C557,C28,AS2:AS557)&lt;=1),SUMIF(C2:C557,C28,AS2:AS557),IF(AND(AT28=1,M28="F",SUMIF(C2:C557,C28,AS2:AS557)&gt;1),1,"")))</f>
        <v>1</v>
      </c>
      <c r="AV28" s="386" t="str">
        <f>IF(AT28=0,"",IF(AND(AT28=3,M28="F",SUMIF(C2:C557,C28,AS2:AS557)&lt;=1),SUMIF(C2:C557,C28,AS2:AS557),IF(AND(AT28=3,M28="F",SUMIF(C2:C557,C28,AS2:AS557)&gt;1),1,"")))</f>
        <v/>
      </c>
      <c r="AW28" s="386">
        <f>SUMIF(C2:C557,C28,O2:O557)</f>
        <v>1</v>
      </c>
      <c r="AX28" s="386">
        <f>IF(AND(M28="F",AS28&lt;&gt;0),SUMIF(C2:C557,C28,W2:W557),0)</f>
        <v>57928</v>
      </c>
      <c r="AY28" s="386">
        <f t="shared" si="29"/>
        <v>57928</v>
      </c>
      <c r="AZ28" s="386" t="str">
        <f t="shared" si="30"/>
        <v/>
      </c>
      <c r="BA28" s="386">
        <f t="shared" si="31"/>
        <v>0</v>
      </c>
      <c r="BB28" s="386">
        <f t="shared" si="0"/>
        <v>11650</v>
      </c>
      <c r="BC28" s="386">
        <f t="shared" si="1"/>
        <v>0</v>
      </c>
      <c r="BD28" s="386">
        <f t="shared" si="2"/>
        <v>3591.5360000000001</v>
      </c>
      <c r="BE28" s="386">
        <f t="shared" si="3"/>
        <v>839.95600000000002</v>
      </c>
      <c r="BF28" s="386">
        <f t="shared" si="4"/>
        <v>6916.6032000000005</v>
      </c>
      <c r="BG28" s="386">
        <f t="shared" si="5"/>
        <v>417.66088000000002</v>
      </c>
      <c r="BH28" s="386">
        <f t="shared" si="6"/>
        <v>283.84719999999999</v>
      </c>
      <c r="BI28" s="386">
        <f t="shared" si="7"/>
        <v>177.25967999999997</v>
      </c>
      <c r="BJ28" s="386">
        <f t="shared" si="8"/>
        <v>139.02719999999999</v>
      </c>
      <c r="BK28" s="386">
        <f t="shared" si="9"/>
        <v>0</v>
      </c>
      <c r="BL28" s="386">
        <f t="shared" si="32"/>
        <v>12365.890159999999</v>
      </c>
      <c r="BM28" s="386">
        <f t="shared" si="33"/>
        <v>0</v>
      </c>
      <c r="BN28" s="386">
        <f t="shared" si="10"/>
        <v>11650</v>
      </c>
      <c r="BO28" s="386">
        <f t="shared" si="11"/>
        <v>0</v>
      </c>
      <c r="BP28" s="386">
        <f t="shared" si="12"/>
        <v>3591.5360000000001</v>
      </c>
      <c r="BQ28" s="386">
        <f t="shared" si="13"/>
        <v>839.95600000000002</v>
      </c>
      <c r="BR28" s="386">
        <f t="shared" si="14"/>
        <v>6916.6032000000005</v>
      </c>
      <c r="BS28" s="386">
        <f t="shared" si="15"/>
        <v>417.66088000000002</v>
      </c>
      <c r="BT28" s="386">
        <f t="shared" si="16"/>
        <v>0</v>
      </c>
      <c r="BU28" s="386">
        <f t="shared" si="17"/>
        <v>177.25967999999997</v>
      </c>
      <c r="BV28" s="386">
        <f t="shared" si="18"/>
        <v>144.82</v>
      </c>
      <c r="BW28" s="386">
        <f t="shared" si="19"/>
        <v>0</v>
      </c>
      <c r="BX28" s="386">
        <f t="shared" si="34"/>
        <v>12087.835759999998</v>
      </c>
      <c r="BY28" s="386">
        <f t="shared" si="35"/>
        <v>0</v>
      </c>
      <c r="BZ28" s="386">
        <f t="shared" si="36"/>
        <v>0</v>
      </c>
      <c r="CA28" s="386">
        <f t="shared" si="37"/>
        <v>0</v>
      </c>
      <c r="CB28" s="386">
        <f t="shared" si="38"/>
        <v>0</v>
      </c>
      <c r="CC28" s="386">
        <f t="shared" si="20"/>
        <v>0</v>
      </c>
      <c r="CD28" s="386">
        <f t="shared" si="21"/>
        <v>0</v>
      </c>
      <c r="CE28" s="386">
        <f t="shared" si="22"/>
        <v>0</v>
      </c>
      <c r="CF28" s="386">
        <f t="shared" si="23"/>
        <v>-283.84719999999999</v>
      </c>
      <c r="CG28" s="386">
        <f t="shared" si="24"/>
        <v>0</v>
      </c>
      <c r="CH28" s="386">
        <f t="shared" si="25"/>
        <v>5.7928000000000148</v>
      </c>
      <c r="CI28" s="386">
        <f t="shared" si="26"/>
        <v>0</v>
      </c>
      <c r="CJ28" s="386">
        <f t="shared" si="39"/>
        <v>-278.05439999999999</v>
      </c>
      <c r="CK28" s="386" t="str">
        <f t="shared" si="40"/>
        <v/>
      </c>
      <c r="CL28" s="386" t="str">
        <f t="shared" si="41"/>
        <v/>
      </c>
      <c r="CM28" s="386" t="str">
        <f t="shared" si="42"/>
        <v/>
      </c>
      <c r="CN28" s="386" t="str">
        <f t="shared" si="43"/>
        <v>0001-00</v>
      </c>
    </row>
    <row r="29" spans="1:92" ht="15.75" thickBot="1" x14ac:dyDescent="0.3">
      <c r="A29" s="375" t="s">
        <v>161</v>
      </c>
      <c r="B29" s="375" t="s">
        <v>162</v>
      </c>
      <c r="C29" s="375" t="s">
        <v>312</v>
      </c>
      <c r="D29" s="375" t="s">
        <v>247</v>
      </c>
      <c r="E29" s="375" t="s">
        <v>165</v>
      </c>
      <c r="F29" s="376" t="s">
        <v>166</v>
      </c>
      <c r="G29" s="375" t="s">
        <v>167</v>
      </c>
      <c r="H29" s="377"/>
      <c r="I29" s="377"/>
      <c r="J29" s="375" t="s">
        <v>218</v>
      </c>
      <c r="K29" s="375" t="s">
        <v>268</v>
      </c>
      <c r="L29" s="375" t="s">
        <v>170</v>
      </c>
      <c r="M29" s="375" t="s">
        <v>177</v>
      </c>
      <c r="N29" s="375" t="s">
        <v>199</v>
      </c>
      <c r="O29" s="378">
        <v>1</v>
      </c>
      <c r="P29" s="384">
        <v>0.8</v>
      </c>
      <c r="Q29" s="384">
        <v>0.8</v>
      </c>
      <c r="R29" s="379">
        <v>80</v>
      </c>
      <c r="S29" s="384">
        <v>0.8</v>
      </c>
      <c r="T29" s="379">
        <v>37188.199999999997</v>
      </c>
      <c r="U29" s="379">
        <v>0</v>
      </c>
      <c r="V29" s="379">
        <v>16424.55</v>
      </c>
      <c r="W29" s="379">
        <v>35909.120000000003</v>
      </c>
      <c r="X29" s="379">
        <v>16985.490000000002</v>
      </c>
      <c r="Y29" s="379">
        <v>35909.120000000003</v>
      </c>
      <c r="Z29" s="379">
        <v>16813.13</v>
      </c>
      <c r="AA29" s="375" t="s">
        <v>313</v>
      </c>
      <c r="AB29" s="375" t="s">
        <v>314</v>
      </c>
      <c r="AC29" s="375" t="s">
        <v>315</v>
      </c>
      <c r="AD29" s="375" t="s">
        <v>316</v>
      </c>
      <c r="AE29" s="375" t="s">
        <v>284</v>
      </c>
      <c r="AF29" s="375" t="s">
        <v>245</v>
      </c>
      <c r="AG29" s="375" t="s">
        <v>183</v>
      </c>
      <c r="AH29" s="380">
        <v>21.58</v>
      </c>
      <c r="AI29" s="380">
        <v>11426.2</v>
      </c>
      <c r="AJ29" s="375" t="s">
        <v>184</v>
      </c>
      <c r="AK29" s="375" t="s">
        <v>185</v>
      </c>
      <c r="AL29" s="375" t="s">
        <v>173</v>
      </c>
      <c r="AM29" s="375" t="s">
        <v>186</v>
      </c>
      <c r="AN29" s="375" t="s">
        <v>68</v>
      </c>
      <c r="AO29" s="378">
        <v>80</v>
      </c>
      <c r="AP29" s="384">
        <v>1</v>
      </c>
      <c r="AQ29" s="384">
        <v>0.8</v>
      </c>
      <c r="AR29" s="383">
        <v>3</v>
      </c>
      <c r="AS29" s="386">
        <f t="shared" si="27"/>
        <v>0.8</v>
      </c>
      <c r="AT29">
        <f t="shared" si="28"/>
        <v>1</v>
      </c>
      <c r="AU29" s="386">
        <f>IF(AT29=0,"",IF(AND(AT29=1,M29="F",SUMIF(C2:C557,C29,AS2:AS557)&lt;=1),SUMIF(C2:C557,C29,AS2:AS557),IF(AND(AT29=1,M29="F",SUMIF(C2:C557,C29,AS2:AS557)&gt;1),1,"")))</f>
        <v>1</v>
      </c>
      <c r="AV29" s="386" t="str">
        <f>IF(AT29=0,"",IF(AND(AT29=3,M29="F",SUMIF(C2:C557,C29,AS2:AS557)&lt;=1),SUMIF(C2:C557,C29,AS2:AS557),IF(AND(AT29=3,M29="F",SUMIF(C2:C557,C29,AS2:AS557)&gt;1),1,"")))</f>
        <v/>
      </c>
      <c r="AW29" s="386">
        <f>SUMIF(C2:C557,C29,O2:O557)</f>
        <v>2</v>
      </c>
      <c r="AX29" s="386">
        <f>IF(AND(M29="F",AS29&lt;&gt;0),SUMIF(C2:C557,C29,W2:W557),0)</f>
        <v>44886.400000000001</v>
      </c>
      <c r="AY29" s="386">
        <f t="shared" si="29"/>
        <v>35909.120000000003</v>
      </c>
      <c r="AZ29" s="386" t="str">
        <f t="shared" si="30"/>
        <v/>
      </c>
      <c r="BA29" s="386">
        <f t="shared" si="31"/>
        <v>0</v>
      </c>
      <c r="BB29" s="386">
        <f t="shared" si="0"/>
        <v>9320</v>
      </c>
      <c r="BC29" s="386">
        <f t="shared" si="1"/>
        <v>0</v>
      </c>
      <c r="BD29" s="386">
        <f t="shared" si="2"/>
        <v>2226.36544</v>
      </c>
      <c r="BE29" s="386">
        <f t="shared" si="3"/>
        <v>520.68224000000009</v>
      </c>
      <c r="BF29" s="386">
        <f t="shared" si="4"/>
        <v>4287.5489280000002</v>
      </c>
      <c r="BG29" s="386">
        <f t="shared" si="5"/>
        <v>258.90475520000001</v>
      </c>
      <c r="BH29" s="386">
        <f t="shared" si="6"/>
        <v>175.954688</v>
      </c>
      <c r="BI29" s="386">
        <f t="shared" si="7"/>
        <v>109.8819072</v>
      </c>
      <c r="BJ29" s="386">
        <f t="shared" si="8"/>
        <v>86.181888000000001</v>
      </c>
      <c r="BK29" s="386">
        <f t="shared" si="9"/>
        <v>0</v>
      </c>
      <c r="BL29" s="386">
        <f t="shared" si="32"/>
        <v>7665.5198463999996</v>
      </c>
      <c r="BM29" s="386">
        <f t="shared" si="33"/>
        <v>0</v>
      </c>
      <c r="BN29" s="386">
        <f t="shared" si="10"/>
        <v>9320</v>
      </c>
      <c r="BO29" s="386">
        <f t="shared" si="11"/>
        <v>0</v>
      </c>
      <c r="BP29" s="386">
        <f t="shared" si="12"/>
        <v>2226.36544</v>
      </c>
      <c r="BQ29" s="386">
        <f t="shared" si="13"/>
        <v>520.68224000000009</v>
      </c>
      <c r="BR29" s="386">
        <f t="shared" si="14"/>
        <v>4287.5489280000002</v>
      </c>
      <c r="BS29" s="386">
        <f t="shared" si="15"/>
        <v>258.90475520000001</v>
      </c>
      <c r="BT29" s="386">
        <f t="shared" si="16"/>
        <v>0</v>
      </c>
      <c r="BU29" s="386">
        <f t="shared" si="17"/>
        <v>109.8819072</v>
      </c>
      <c r="BV29" s="386">
        <f t="shared" si="18"/>
        <v>89.772800000000004</v>
      </c>
      <c r="BW29" s="386">
        <f t="shared" si="19"/>
        <v>0</v>
      </c>
      <c r="BX29" s="386">
        <f t="shared" si="34"/>
        <v>7493.1560703999994</v>
      </c>
      <c r="BY29" s="386">
        <f t="shared" si="35"/>
        <v>0</v>
      </c>
      <c r="BZ29" s="386">
        <f t="shared" si="36"/>
        <v>0</v>
      </c>
      <c r="CA29" s="386">
        <f t="shared" si="37"/>
        <v>0</v>
      </c>
      <c r="CB29" s="386">
        <f t="shared" si="38"/>
        <v>0</v>
      </c>
      <c r="CC29" s="386">
        <f t="shared" si="20"/>
        <v>0</v>
      </c>
      <c r="CD29" s="386">
        <f t="shared" si="21"/>
        <v>0</v>
      </c>
      <c r="CE29" s="386">
        <f t="shared" si="22"/>
        <v>0</v>
      </c>
      <c r="CF29" s="386">
        <f t="shared" si="23"/>
        <v>-175.954688</v>
      </c>
      <c r="CG29" s="386">
        <f t="shared" si="24"/>
        <v>0</v>
      </c>
      <c r="CH29" s="386">
        <f t="shared" si="25"/>
        <v>3.5909120000000097</v>
      </c>
      <c r="CI29" s="386">
        <f t="shared" si="26"/>
        <v>0</v>
      </c>
      <c r="CJ29" s="386">
        <f t="shared" si="39"/>
        <v>-172.363776</v>
      </c>
      <c r="CK29" s="386" t="str">
        <f t="shared" si="40"/>
        <v/>
      </c>
      <c r="CL29" s="386" t="str">
        <f t="shared" si="41"/>
        <v/>
      </c>
      <c r="CM29" s="386" t="str">
        <f t="shared" si="42"/>
        <v/>
      </c>
      <c r="CN29" s="386" t="str">
        <f t="shared" si="43"/>
        <v>0001-00</v>
      </c>
    </row>
    <row r="30" spans="1:92" ht="15.75" thickBot="1" x14ac:dyDescent="0.3">
      <c r="A30" s="375" t="s">
        <v>161</v>
      </c>
      <c r="B30" s="375" t="s">
        <v>162</v>
      </c>
      <c r="C30" s="375" t="s">
        <v>317</v>
      </c>
      <c r="D30" s="375" t="s">
        <v>318</v>
      </c>
      <c r="E30" s="375" t="s">
        <v>165</v>
      </c>
      <c r="F30" s="376" t="s">
        <v>166</v>
      </c>
      <c r="G30" s="375" t="s">
        <v>167</v>
      </c>
      <c r="H30" s="377"/>
      <c r="I30" s="377"/>
      <c r="J30" s="375" t="s">
        <v>168</v>
      </c>
      <c r="K30" s="375" t="s">
        <v>319</v>
      </c>
      <c r="L30" s="375" t="s">
        <v>220</v>
      </c>
      <c r="M30" s="375" t="s">
        <v>177</v>
      </c>
      <c r="N30" s="375" t="s">
        <v>199</v>
      </c>
      <c r="O30" s="378">
        <v>1</v>
      </c>
      <c r="P30" s="384">
        <v>1</v>
      </c>
      <c r="Q30" s="384">
        <v>1</v>
      </c>
      <c r="R30" s="379">
        <v>80</v>
      </c>
      <c r="S30" s="384">
        <v>1</v>
      </c>
      <c r="T30" s="379">
        <v>38734.58</v>
      </c>
      <c r="U30" s="379">
        <v>0</v>
      </c>
      <c r="V30" s="379">
        <v>15731.1</v>
      </c>
      <c r="W30" s="379">
        <v>57408</v>
      </c>
      <c r="X30" s="379">
        <v>23904.84</v>
      </c>
      <c r="Y30" s="379">
        <v>57408</v>
      </c>
      <c r="Z30" s="379">
        <v>23629.3</v>
      </c>
      <c r="AA30" s="375" t="s">
        <v>320</v>
      </c>
      <c r="AB30" s="375" t="s">
        <v>321</v>
      </c>
      <c r="AC30" s="375" t="s">
        <v>322</v>
      </c>
      <c r="AD30" s="375" t="s">
        <v>170</v>
      </c>
      <c r="AE30" s="375" t="s">
        <v>319</v>
      </c>
      <c r="AF30" s="375" t="s">
        <v>252</v>
      </c>
      <c r="AG30" s="375" t="s">
        <v>183</v>
      </c>
      <c r="AH30" s="380">
        <v>27.6</v>
      </c>
      <c r="AI30" s="380">
        <v>10258.200000000001</v>
      </c>
      <c r="AJ30" s="375" t="s">
        <v>184</v>
      </c>
      <c r="AK30" s="375" t="s">
        <v>185</v>
      </c>
      <c r="AL30" s="375" t="s">
        <v>173</v>
      </c>
      <c r="AM30" s="375" t="s">
        <v>186</v>
      </c>
      <c r="AN30" s="375" t="s">
        <v>68</v>
      </c>
      <c r="AO30" s="378">
        <v>80</v>
      </c>
      <c r="AP30" s="384">
        <v>1</v>
      </c>
      <c r="AQ30" s="384">
        <v>1</v>
      </c>
      <c r="AR30" s="383" t="s">
        <v>187</v>
      </c>
      <c r="AS30" s="386">
        <f t="shared" si="27"/>
        <v>1</v>
      </c>
      <c r="AT30">
        <f t="shared" si="28"/>
        <v>1</v>
      </c>
      <c r="AU30" s="386">
        <f>IF(AT30=0,"",IF(AND(AT30=1,M30="F",SUMIF(C2:C557,C30,AS2:AS557)&lt;=1),SUMIF(C2:C557,C30,AS2:AS557),IF(AND(AT30=1,M30="F",SUMIF(C2:C557,C30,AS2:AS557)&gt;1),1,"")))</f>
        <v>1</v>
      </c>
      <c r="AV30" s="386" t="str">
        <f>IF(AT30=0,"",IF(AND(AT30=3,M30="F",SUMIF(C2:C557,C30,AS2:AS557)&lt;=1),SUMIF(C2:C557,C30,AS2:AS557),IF(AND(AT30=3,M30="F",SUMIF(C2:C557,C30,AS2:AS557)&gt;1),1,"")))</f>
        <v/>
      </c>
      <c r="AW30" s="386">
        <f>SUMIF(C2:C557,C30,O2:O557)</f>
        <v>1</v>
      </c>
      <c r="AX30" s="386">
        <f>IF(AND(M30="F",AS30&lt;&gt;0),SUMIF(C2:C557,C30,W2:W557),0)</f>
        <v>57408</v>
      </c>
      <c r="AY30" s="386">
        <f t="shared" si="29"/>
        <v>57408</v>
      </c>
      <c r="AZ30" s="386" t="str">
        <f t="shared" si="30"/>
        <v/>
      </c>
      <c r="BA30" s="386">
        <f t="shared" si="31"/>
        <v>0</v>
      </c>
      <c r="BB30" s="386">
        <f t="shared" si="0"/>
        <v>11650</v>
      </c>
      <c r="BC30" s="386">
        <f t="shared" si="1"/>
        <v>0</v>
      </c>
      <c r="BD30" s="386">
        <f t="shared" si="2"/>
        <v>3559.2959999999998</v>
      </c>
      <c r="BE30" s="386">
        <f t="shared" si="3"/>
        <v>832.41600000000005</v>
      </c>
      <c r="BF30" s="386">
        <f t="shared" si="4"/>
        <v>6854.5152000000007</v>
      </c>
      <c r="BG30" s="386">
        <f t="shared" si="5"/>
        <v>413.91167999999999</v>
      </c>
      <c r="BH30" s="386">
        <f t="shared" si="6"/>
        <v>281.29919999999998</v>
      </c>
      <c r="BI30" s="386">
        <f t="shared" si="7"/>
        <v>175.66847999999999</v>
      </c>
      <c r="BJ30" s="386">
        <f t="shared" si="8"/>
        <v>137.77919999999997</v>
      </c>
      <c r="BK30" s="386">
        <f t="shared" si="9"/>
        <v>0</v>
      </c>
      <c r="BL30" s="386">
        <f t="shared" si="32"/>
        <v>12254.885760000001</v>
      </c>
      <c r="BM30" s="386">
        <f t="shared" si="33"/>
        <v>0</v>
      </c>
      <c r="BN30" s="386">
        <f t="shared" si="10"/>
        <v>11650</v>
      </c>
      <c r="BO30" s="386">
        <f t="shared" si="11"/>
        <v>0</v>
      </c>
      <c r="BP30" s="386">
        <f t="shared" si="12"/>
        <v>3559.2959999999998</v>
      </c>
      <c r="BQ30" s="386">
        <f t="shared" si="13"/>
        <v>832.41600000000005</v>
      </c>
      <c r="BR30" s="386">
        <f t="shared" si="14"/>
        <v>6854.5152000000007</v>
      </c>
      <c r="BS30" s="386">
        <f t="shared" si="15"/>
        <v>413.91167999999999</v>
      </c>
      <c r="BT30" s="386">
        <f t="shared" si="16"/>
        <v>0</v>
      </c>
      <c r="BU30" s="386">
        <f t="shared" si="17"/>
        <v>175.66847999999999</v>
      </c>
      <c r="BV30" s="386">
        <f t="shared" si="18"/>
        <v>143.52000000000001</v>
      </c>
      <c r="BW30" s="386">
        <f t="shared" si="19"/>
        <v>0</v>
      </c>
      <c r="BX30" s="386">
        <f t="shared" si="34"/>
        <v>11979.327360000001</v>
      </c>
      <c r="BY30" s="386">
        <f t="shared" si="35"/>
        <v>0</v>
      </c>
      <c r="BZ30" s="386">
        <f t="shared" si="36"/>
        <v>0</v>
      </c>
      <c r="CA30" s="386">
        <f t="shared" si="37"/>
        <v>0</v>
      </c>
      <c r="CB30" s="386">
        <f t="shared" si="38"/>
        <v>0</v>
      </c>
      <c r="CC30" s="386">
        <f t="shared" si="20"/>
        <v>0</v>
      </c>
      <c r="CD30" s="386">
        <f t="shared" si="21"/>
        <v>0</v>
      </c>
      <c r="CE30" s="386">
        <f t="shared" si="22"/>
        <v>0</v>
      </c>
      <c r="CF30" s="386">
        <f t="shared" si="23"/>
        <v>-281.29919999999998</v>
      </c>
      <c r="CG30" s="386">
        <f t="shared" si="24"/>
        <v>0</v>
      </c>
      <c r="CH30" s="386">
        <f t="shared" si="25"/>
        <v>5.7408000000000152</v>
      </c>
      <c r="CI30" s="386">
        <f t="shared" si="26"/>
        <v>0</v>
      </c>
      <c r="CJ30" s="386">
        <f t="shared" si="39"/>
        <v>-275.55839999999995</v>
      </c>
      <c r="CK30" s="386" t="str">
        <f t="shared" si="40"/>
        <v/>
      </c>
      <c r="CL30" s="386" t="str">
        <f t="shared" si="41"/>
        <v/>
      </c>
      <c r="CM30" s="386" t="str">
        <f t="shared" si="42"/>
        <v/>
      </c>
      <c r="CN30" s="386" t="str">
        <f t="shared" si="43"/>
        <v>0001-00</v>
      </c>
    </row>
    <row r="31" spans="1:92" ht="15.75" thickBot="1" x14ac:dyDescent="0.3">
      <c r="A31" s="375" t="s">
        <v>161</v>
      </c>
      <c r="B31" s="375" t="s">
        <v>162</v>
      </c>
      <c r="C31" s="375" t="s">
        <v>323</v>
      </c>
      <c r="D31" s="375" t="s">
        <v>324</v>
      </c>
      <c r="E31" s="375" t="s">
        <v>165</v>
      </c>
      <c r="F31" s="376" t="s">
        <v>166</v>
      </c>
      <c r="G31" s="375" t="s">
        <v>167</v>
      </c>
      <c r="H31" s="377"/>
      <c r="I31" s="377"/>
      <c r="J31" s="375" t="s">
        <v>218</v>
      </c>
      <c r="K31" s="375" t="s">
        <v>325</v>
      </c>
      <c r="L31" s="375" t="s">
        <v>170</v>
      </c>
      <c r="M31" s="375" t="s">
        <v>177</v>
      </c>
      <c r="N31" s="375" t="s">
        <v>199</v>
      </c>
      <c r="O31" s="378">
        <v>1</v>
      </c>
      <c r="P31" s="384">
        <v>0.9</v>
      </c>
      <c r="Q31" s="384">
        <v>0.9</v>
      </c>
      <c r="R31" s="379">
        <v>80</v>
      </c>
      <c r="S31" s="384">
        <v>0.9</v>
      </c>
      <c r="T31" s="379">
        <v>30236.52</v>
      </c>
      <c r="U31" s="379">
        <v>0</v>
      </c>
      <c r="V31" s="379">
        <v>12764.38</v>
      </c>
      <c r="W31" s="379">
        <v>45021.599999999999</v>
      </c>
      <c r="X31" s="379">
        <v>20095.72</v>
      </c>
      <c r="Y31" s="379">
        <v>45021.599999999999</v>
      </c>
      <c r="Z31" s="379">
        <v>19879.63</v>
      </c>
      <c r="AA31" s="375" t="s">
        <v>326</v>
      </c>
      <c r="AB31" s="375" t="s">
        <v>327</v>
      </c>
      <c r="AC31" s="375" t="s">
        <v>328</v>
      </c>
      <c r="AD31" s="375" t="s">
        <v>195</v>
      </c>
      <c r="AE31" s="375" t="s">
        <v>325</v>
      </c>
      <c r="AF31" s="375" t="s">
        <v>269</v>
      </c>
      <c r="AG31" s="375" t="s">
        <v>183</v>
      </c>
      <c r="AH31" s="380">
        <v>24.05</v>
      </c>
      <c r="AI31" s="380">
        <v>5018.6000000000004</v>
      </c>
      <c r="AJ31" s="375" t="s">
        <v>184</v>
      </c>
      <c r="AK31" s="375" t="s">
        <v>185</v>
      </c>
      <c r="AL31" s="375" t="s">
        <v>173</v>
      </c>
      <c r="AM31" s="375" t="s">
        <v>186</v>
      </c>
      <c r="AN31" s="375" t="s">
        <v>68</v>
      </c>
      <c r="AO31" s="378">
        <v>80</v>
      </c>
      <c r="AP31" s="384">
        <v>1</v>
      </c>
      <c r="AQ31" s="384">
        <v>0.9</v>
      </c>
      <c r="AR31" s="383" t="s">
        <v>187</v>
      </c>
      <c r="AS31" s="386">
        <f t="shared" si="27"/>
        <v>0.9</v>
      </c>
      <c r="AT31">
        <f t="shared" si="28"/>
        <v>1</v>
      </c>
      <c r="AU31" s="386">
        <f>IF(AT31=0,"",IF(AND(AT31=1,M31="F",SUMIF(C2:C557,C31,AS2:AS557)&lt;=1),SUMIF(C2:C557,C31,AS2:AS557),IF(AND(AT31=1,M31="F",SUMIF(C2:C557,C31,AS2:AS557)&gt;1),1,"")))</f>
        <v>1</v>
      </c>
      <c r="AV31" s="386" t="str">
        <f>IF(AT31=0,"",IF(AND(AT31=3,M31="F",SUMIF(C2:C557,C31,AS2:AS557)&lt;=1),SUMIF(C2:C557,C31,AS2:AS557),IF(AND(AT31=3,M31="F",SUMIF(C2:C557,C31,AS2:AS557)&gt;1),1,"")))</f>
        <v/>
      </c>
      <c r="AW31" s="386">
        <f>SUMIF(C2:C557,C31,O2:O557)</f>
        <v>2</v>
      </c>
      <c r="AX31" s="386">
        <f>IF(AND(M31="F",AS31&lt;&gt;0),SUMIF(C2:C557,C31,W2:W557),0)</f>
        <v>50024</v>
      </c>
      <c r="AY31" s="386">
        <f t="shared" si="29"/>
        <v>45021.599999999999</v>
      </c>
      <c r="AZ31" s="386" t="str">
        <f t="shared" si="30"/>
        <v/>
      </c>
      <c r="BA31" s="386">
        <f t="shared" si="31"/>
        <v>0</v>
      </c>
      <c r="BB31" s="386">
        <f t="shared" si="0"/>
        <v>10485</v>
      </c>
      <c r="BC31" s="386">
        <f t="shared" si="1"/>
        <v>0</v>
      </c>
      <c r="BD31" s="386">
        <f t="shared" si="2"/>
        <v>2791.3391999999999</v>
      </c>
      <c r="BE31" s="386">
        <f t="shared" si="3"/>
        <v>652.81320000000005</v>
      </c>
      <c r="BF31" s="386">
        <f t="shared" si="4"/>
        <v>5375.5790400000005</v>
      </c>
      <c r="BG31" s="386">
        <f t="shared" si="5"/>
        <v>324.60573599999998</v>
      </c>
      <c r="BH31" s="386">
        <f t="shared" si="6"/>
        <v>220.60583999999997</v>
      </c>
      <c r="BI31" s="386">
        <f t="shared" si="7"/>
        <v>137.76609599999998</v>
      </c>
      <c r="BJ31" s="386">
        <f t="shared" si="8"/>
        <v>108.05183999999998</v>
      </c>
      <c r="BK31" s="386">
        <f t="shared" si="9"/>
        <v>0</v>
      </c>
      <c r="BL31" s="386">
        <f t="shared" si="32"/>
        <v>9610.7609519999987</v>
      </c>
      <c r="BM31" s="386">
        <f t="shared" si="33"/>
        <v>0</v>
      </c>
      <c r="BN31" s="386">
        <f t="shared" si="10"/>
        <v>10485</v>
      </c>
      <c r="BO31" s="386">
        <f t="shared" si="11"/>
        <v>0</v>
      </c>
      <c r="BP31" s="386">
        <f t="shared" si="12"/>
        <v>2791.3391999999999</v>
      </c>
      <c r="BQ31" s="386">
        <f t="shared" si="13"/>
        <v>652.81320000000005</v>
      </c>
      <c r="BR31" s="386">
        <f t="shared" si="14"/>
        <v>5375.5790400000005</v>
      </c>
      <c r="BS31" s="386">
        <f t="shared" si="15"/>
        <v>324.60573599999998</v>
      </c>
      <c r="BT31" s="386">
        <f t="shared" si="16"/>
        <v>0</v>
      </c>
      <c r="BU31" s="386">
        <f t="shared" si="17"/>
        <v>137.76609599999998</v>
      </c>
      <c r="BV31" s="386">
        <f t="shared" si="18"/>
        <v>112.554</v>
      </c>
      <c r="BW31" s="386">
        <f t="shared" si="19"/>
        <v>0</v>
      </c>
      <c r="BX31" s="386">
        <f t="shared" si="34"/>
        <v>9394.6572719999986</v>
      </c>
      <c r="BY31" s="386">
        <f t="shared" si="35"/>
        <v>0</v>
      </c>
      <c r="BZ31" s="386">
        <f t="shared" si="36"/>
        <v>0</v>
      </c>
      <c r="CA31" s="386">
        <f t="shared" si="37"/>
        <v>0</v>
      </c>
      <c r="CB31" s="386">
        <f t="shared" si="38"/>
        <v>0</v>
      </c>
      <c r="CC31" s="386">
        <f t="shared" si="20"/>
        <v>0</v>
      </c>
      <c r="CD31" s="386">
        <f t="shared" si="21"/>
        <v>0</v>
      </c>
      <c r="CE31" s="386">
        <f t="shared" si="22"/>
        <v>0</v>
      </c>
      <c r="CF31" s="386">
        <f t="shared" si="23"/>
        <v>-220.60583999999997</v>
      </c>
      <c r="CG31" s="386">
        <f t="shared" si="24"/>
        <v>0</v>
      </c>
      <c r="CH31" s="386">
        <f t="shared" si="25"/>
        <v>4.5021600000000115</v>
      </c>
      <c r="CI31" s="386">
        <f t="shared" si="26"/>
        <v>0</v>
      </c>
      <c r="CJ31" s="386">
        <f t="shared" si="39"/>
        <v>-216.10367999999997</v>
      </c>
      <c r="CK31" s="386" t="str">
        <f t="shared" si="40"/>
        <v/>
      </c>
      <c r="CL31" s="386" t="str">
        <f t="shared" si="41"/>
        <v/>
      </c>
      <c r="CM31" s="386" t="str">
        <f t="shared" si="42"/>
        <v/>
      </c>
      <c r="CN31" s="386" t="str">
        <f t="shared" si="43"/>
        <v>0001-00</v>
      </c>
    </row>
    <row r="32" spans="1:92" ht="15.75" thickBot="1" x14ac:dyDescent="0.3">
      <c r="A32" s="375" t="s">
        <v>161</v>
      </c>
      <c r="B32" s="375" t="s">
        <v>162</v>
      </c>
      <c r="C32" s="375" t="s">
        <v>329</v>
      </c>
      <c r="D32" s="375" t="s">
        <v>330</v>
      </c>
      <c r="E32" s="375" t="s">
        <v>165</v>
      </c>
      <c r="F32" s="376" t="s">
        <v>166</v>
      </c>
      <c r="G32" s="375" t="s">
        <v>167</v>
      </c>
      <c r="H32" s="377"/>
      <c r="I32" s="377"/>
      <c r="J32" s="375" t="s">
        <v>218</v>
      </c>
      <c r="K32" s="375" t="s">
        <v>331</v>
      </c>
      <c r="L32" s="375" t="s">
        <v>173</v>
      </c>
      <c r="M32" s="375" t="s">
        <v>177</v>
      </c>
      <c r="N32" s="375" t="s">
        <v>199</v>
      </c>
      <c r="O32" s="378">
        <v>1</v>
      </c>
      <c r="P32" s="384">
        <v>0.9</v>
      </c>
      <c r="Q32" s="384">
        <v>0.9</v>
      </c>
      <c r="R32" s="379">
        <v>80</v>
      </c>
      <c r="S32" s="384">
        <v>0.9</v>
      </c>
      <c r="T32" s="379">
        <v>0</v>
      </c>
      <c r="U32" s="379">
        <v>0</v>
      </c>
      <c r="V32" s="379">
        <v>0</v>
      </c>
      <c r="W32" s="379">
        <v>70106.399999999994</v>
      </c>
      <c r="X32" s="379">
        <v>25450.6</v>
      </c>
      <c r="Y32" s="379">
        <v>70106.399999999994</v>
      </c>
      <c r="Z32" s="379">
        <v>25114.09</v>
      </c>
      <c r="AA32" s="375" t="s">
        <v>332</v>
      </c>
      <c r="AB32" s="375" t="s">
        <v>333</v>
      </c>
      <c r="AC32" s="375" t="s">
        <v>257</v>
      </c>
      <c r="AD32" s="375" t="s">
        <v>195</v>
      </c>
      <c r="AE32" s="375" t="s">
        <v>331</v>
      </c>
      <c r="AF32" s="375" t="s">
        <v>305</v>
      </c>
      <c r="AG32" s="375" t="s">
        <v>183</v>
      </c>
      <c r="AH32" s="380">
        <v>37.450000000000003</v>
      </c>
      <c r="AI32" s="380">
        <v>16447.5</v>
      </c>
      <c r="AJ32" s="375" t="s">
        <v>184</v>
      </c>
      <c r="AK32" s="375" t="s">
        <v>185</v>
      </c>
      <c r="AL32" s="375" t="s">
        <v>173</v>
      </c>
      <c r="AM32" s="375" t="s">
        <v>186</v>
      </c>
      <c r="AN32" s="375" t="s">
        <v>68</v>
      </c>
      <c r="AO32" s="378">
        <v>80</v>
      </c>
      <c r="AP32" s="384">
        <v>1</v>
      </c>
      <c r="AQ32" s="384">
        <v>0.9</v>
      </c>
      <c r="AR32" s="383" t="s">
        <v>187</v>
      </c>
      <c r="AS32" s="386">
        <f t="shared" si="27"/>
        <v>0.9</v>
      </c>
      <c r="AT32">
        <f t="shared" si="28"/>
        <v>1</v>
      </c>
      <c r="AU32" s="386">
        <f>IF(AT32=0,"",IF(AND(AT32=1,M32="F",SUMIF(C2:C557,C32,AS2:AS557)&lt;=1),SUMIF(C2:C557,C32,AS2:AS557),IF(AND(AT32=1,M32="F",SUMIF(C2:C557,C32,AS2:AS557)&gt;1),1,"")))</f>
        <v>1</v>
      </c>
      <c r="AV32" s="386" t="str">
        <f>IF(AT32=0,"",IF(AND(AT32=3,M32="F",SUMIF(C2:C557,C32,AS2:AS557)&lt;=1),SUMIF(C2:C557,C32,AS2:AS557),IF(AND(AT32=3,M32="F",SUMIF(C2:C557,C32,AS2:AS557)&gt;1),1,"")))</f>
        <v/>
      </c>
      <c r="AW32" s="386">
        <f>SUMIF(C2:C557,C32,O2:O557)</f>
        <v>4</v>
      </c>
      <c r="AX32" s="386">
        <f>IF(AND(M32="F",AS32&lt;&gt;0),SUMIF(C2:C557,C32,W2:W557),0)</f>
        <v>77896</v>
      </c>
      <c r="AY32" s="386">
        <f t="shared" si="29"/>
        <v>70106.399999999994</v>
      </c>
      <c r="AZ32" s="386" t="str">
        <f t="shared" si="30"/>
        <v/>
      </c>
      <c r="BA32" s="386">
        <f t="shared" si="31"/>
        <v>0</v>
      </c>
      <c r="BB32" s="386">
        <f t="shared" si="0"/>
        <v>10485</v>
      </c>
      <c r="BC32" s="386">
        <f t="shared" si="1"/>
        <v>0</v>
      </c>
      <c r="BD32" s="386">
        <f t="shared" si="2"/>
        <v>4346.5967999999993</v>
      </c>
      <c r="BE32" s="386">
        <f t="shared" si="3"/>
        <v>1016.5427999999999</v>
      </c>
      <c r="BF32" s="386">
        <f t="shared" si="4"/>
        <v>8370.7041599999993</v>
      </c>
      <c r="BG32" s="386">
        <f t="shared" si="5"/>
        <v>505.46714399999996</v>
      </c>
      <c r="BH32" s="386">
        <f t="shared" si="6"/>
        <v>343.52135999999996</v>
      </c>
      <c r="BI32" s="386">
        <f t="shared" si="7"/>
        <v>214.52558399999998</v>
      </c>
      <c r="BJ32" s="386">
        <f t="shared" si="8"/>
        <v>168.25535999999997</v>
      </c>
      <c r="BK32" s="386">
        <f t="shared" si="9"/>
        <v>0</v>
      </c>
      <c r="BL32" s="386">
        <f t="shared" si="32"/>
        <v>14965.613207999999</v>
      </c>
      <c r="BM32" s="386">
        <f t="shared" si="33"/>
        <v>0</v>
      </c>
      <c r="BN32" s="386">
        <f t="shared" si="10"/>
        <v>10485</v>
      </c>
      <c r="BO32" s="386">
        <f t="shared" si="11"/>
        <v>0</v>
      </c>
      <c r="BP32" s="386">
        <f t="shared" si="12"/>
        <v>4346.5967999999993</v>
      </c>
      <c r="BQ32" s="386">
        <f t="shared" si="13"/>
        <v>1016.5427999999999</v>
      </c>
      <c r="BR32" s="386">
        <f t="shared" si="14"/>
        <v>8370.7041599999993</v>
      </c>
      <c r="BS32" s="386">
        <f t="shared" si="15"/>
        <v>505.46714399999996</v>
      </c>
      <c r="BT32" s="386">
        <f t="shared" si="16"/>
        <v>0</v>
      </c>
      <c r="BU32" s="386">
        <f t="shared" si="17"/>
        <v>214.52558399999998</v>
      </c>
      <c r="BV32" s="386">
        <f t="shared" si="18"/>
        <v>175.26599999999999</v>
      </c>
      <c r="BW32" s="386">
        <f t="shared" si="19"/>
        <v>0</v>
      </c>
      <c r="BX32" s="386">
        <f t="shared" si="34"/>
        <v>14629.102488</v>
      </c>
      <c r="BY32" s="386">
        <f t="shared" si="35"/>
        <v>0</v>
      </c>
      <c r="BZ32" s="386">
        <f t="shared" si="36"/>
        <v>0</v>
      </c>
      <c r="CA32" s="386">
        <f t="shared" si="37"/>
        <v>0</v>
      </c>
      <c r="CB32" s="386">
        <f t="shared" si="38"/>
        <v>0</v>
      </c>
      <c r="CC32" s="386">
        <f t="shared" si="20"/>
        <v>0</v>
      </c>
      <c r="CD32" s="386">
        <f t="shared" si="21"/>
        <v>0</v>
      </c>
      <c r="CE32" s="386">
        <f t="shared" si="22"/>
        <v>0</v>
      </c>
      <c r="CF32" s="386">
        <f t="shared" si="23"/>
        <v>-343.52135999999996</v>
      </c>
      <c r="CG32" s="386">
        <f t="shared" si="24"/>
        <v>0</v>
      </c>
      <c r="CH32" s="386">
        <f t="shared" si="25"/>
        <v>7.0106400000000182</v>
      </c>
      <c r="CI32" s="386">
        <f t="shared" si="26"/>
        <v>0</v>
      </c>
      <c r="CJ32" s="386">
        <f t="shared" si="39"/>
        <v>-336.51071999999994</v>
      </c>
      <c r="CK32" s="386" t="str">
        <f t="shared" si="40"/>
        <v/>
      </c>
      <c r="CL32" s="386" t="str">
        <f t="shared" si="41"/>
        <v/>
      </c>
      <c r="CM32" s="386" t="str">
        <f t="shared" si="42"/>
        <v/>
      </c>
      <c r="CN32" s="386" t="str">
        <f t="shared" si="43"/>
        <v>0001-00</v>
      </c>
    </row>
    <row r="33" spans="1:92" ht="15.75" thickBot="1" x14ac:dyDescent="0.3">
      <c r="A33" s="375" t="s">
        <v>161</v>
      </c>
      <c r="B33" s="375" t="s">
        <v>162</v>
      </c>
      <c r="C33" s="375" t="s">
        <v>334</v>
      </c>
      <c r="D33" s="375" t="s">
        <v>164</v>
      </c>
      <c r="E33" s="375" t="s">
        <v>165</v>
      </c>
      <c r="F33" s="376" t="s">
        <v>166</v>
      </c>
      <c r="G33" s="375" t="s">
        <v>167</v>
      </c>
      <c r="H33" s="377"/>
      <c r="I33" s="377"/>
      <c r="J33" s="375" t="s">
        <v>218</v>
      </c>
      <c r="K33" s="375" t="s">
        <v>335</v>
      </c>
      <c r="L33" s="375" t="s">
        <v>220</v>
      </c>
      <c r="M33" s="375" t="s">
        <v>177</v>
      </c>
      <c r="N33" s="375" t="s">
        <v>199</v>
      </c>
      <c r="O33" s="378">
        <v>1</v>
      </c>
      <c r="P33" s="384">
        <v>0.8</v>
      </c>
      <c r="Q33" s="384">
        <v>0.8</v>
      </c>
      <c r="R33" s="379">
        <v>80</v>
      </c>
      <c r="S33" s="384">
        <v>0.8</v>
      </c>
      <c r="T33" s="379">
        <v>41814.65</v>
      </c>
      <c r="U33" s="379">
        <v>0</v>
      </c>
      <c r="V33" s="379">
        <v>16864.759999999998</v>
      </c>
      <c r="W33" s="379">
        <v>51833.599999999999</v>
      </c>
      <c r="X33" s="379">
        <v>20384.900000000001</v>
      </c>
      <c r="Y33" s="379">
        <v>51833.599999999999</v>
      </c>
      <c r="Z33" s="379">
        <v>20136.099999999999</v>
      </c>
      <c r="AA33" s="375" t="s">
        <v>336</v>
      </c>
      <c r="AB33" s="375" t="s">
        <v>337</v>
      </c>
      <c r="AC33" s="375" t="s">
        <v>338</v>
      </c>
      <c r="AD33" s="375" t="s">
        <v>170</v>
      </c>
      <c r="AE33" s="375" t="s">
        <v>335</v>
      </c>
      <c r="AF33" s="375" t="s">
        <v>252</v>
      </c>
      <c r="AG33" s="375" t="s">
        <v>183</v>
      </c>
      <c r="AH33" s="380">
        <v>31.15</v>
      </c>
      <c r="AI33" s="380">
        <v>19108.2</v>
      </c>
      <c r="AJ33" s="375" t="s">
        <v>184</v>
      </c>
      <c r="AK33" s="375" t="s">
        <v>185</v>
      </c>
      <c r="AL33" s="375" t="s">
        <v>173</v>
      </c>
      <c r="AM33" s="375" t="s">
        <v>186</v>
      </c>
      <c r="AN33" s="375" t="s">
        <v>68</v>
      </c>
      <c r="AO33" s="378">
        <v>80</v>
      </c>
      <c r="AP33" s="384">
        <v>1</v>
      </c>
      <c r="AQ33" s="384">
        <v>0.8</v>
      </c>
      <c r="AR33" s="383" t="s">
        <v>187</v>
      </c>
      <c r="AS33" s="386">
        <f t="shared" si="27"/>
        <v>0.8</v>
      </c>
      <c r="AT33">
        <f t="shared" si="28"/>
        <v>1</v>
      </c>
      <c r="AU33" s="386">
        <f>IF(AT33=0,"",IF(AND(AT33=1,M33="F",SUMIF(C2:C557,C33,AS2:AS557)&lt;=1),SUMIF(C2:C557,C33,AS2:AS557),IF(AND(AT33=1,M33="F",SUMIF(C2:C557,C33,AS2:AS557)&gt;1),1,"")))</f>
        <v>1</v>
      </c>
      <c r="AV33" s="386" t="str">
        <f>IF(AT33=0,"",IF(AND(AT33=3,M33="F",SUMIF(C2:C557,C33,AS2:AS557)&lt;=1),SUMIF(C2:C557,C33,AS2:AS557),IF(AND(AT33=3,M33="F",SUMIF(C2:C557,C33,AS2:AS557)&gt;1),1,"")))</f>
        <v/>
      </c>
      <c r="AW33" s="386">
        <f>SUMIF(C2:C557,C33,O2:O557)</f>
        <v>2</v>
      </c>
      <c r="AX33" s="386">
        <f>IF(AND(M33="F",AS33&lt;&gt;0),SUMIF(C2:C557,C33,W2:W557),0)</f>
        <v>64792</v>
      </c>
      <c r="AY33" s="386">
        <f t="shared" si="29"/>
        <v>51833.599999999999</v>
      </c>
      <c r="AZ33" s="386" t="str">
        <f t="shared" si="30"/>
        <v/>
      </c>
      <c r="BA33" s="386">
        <f t="shared" si="31"/>
        <v>0</v>
      </c>
      <c r="BB33" s="386">
        <f t="shared" si="0"/>
        <v>9320</v>
      </c>
      <c r="BC33" s="386">
        <f t="shared" si="1"/>
        <v>0</v>
      </c>
      <c r="BD33" s="386">
        <f t="shared" si="2"/>
        <v>3213.6831999999999</v>
      </c>
      <c r="BE33" s="386">
        <f t="shared" si="3"/>
        <v>751.58720000000005</v>
      </c>
      <c r="BF33" s="386">
        <f t="shared" si="4"/>
        <v>6188.9318400000002</v>
      </c>
      <c r="BG33" s="386">
        <f t="shared" si="5"/>
        <v>373.72025600000001</v>
      </c>
      <c r="BH33" s="386">
        <f t="shared" si="6"/>
        <v>253.98463999999998</v>
      </c>
      <c r="BI33" s="386">
        <f t="shared" si="7"/>
        <v>158.61081599999997</v>
      </c>
      <c r="BJ33" s="386">
        <f t="shared" si="8"/>
        <v>124.40063999999998</v>
      </c>
      <c r="BK33" s="386">
        <f t="shared" si="9"/>
        <v>0</v>
      </c>
      <c r="BL33" s="386">
        <f t="shared" si="32"/>
        <v>11064.918592000002</v>
      </c>
      <c r="BM33" s="386">
        <f t="shared" si="33"/>
        <v>0</v>
      </c>
      <c r="BN33" s="386">
        <f t="shared" si="10"/>
        <v>9320</v>
      </c>
      <c r="BO33" s="386">
        <f t="shared" si="11"/>
        <v>0</v>
      </c>
      <c r="BP33" s="386">
        <f t="shared" si="12"/>
        <v>3213.6831999999999</v>
      </c>
      <c r="BQ33" s="386">
        <f t="shared" si="13"/>
        <v>751.58720000000005</v>
      </c>
      <c r="BR33" s="386">
        <f t="shared" si="14"/>
        <v>6188.9318400000002</v>
      </c>
      <c r="BS33" s="386">
        <f t="shared" si="15"/>
        <v>373.72025600000001</v>
      </c>
      <c r="BT33" s="386">
        <f t="shared" si="16"/>
        <v>0</v>
      </c>
      <c r="BU33" s="386">
        <f t="shared" si="17"/>
        <v>158.61081599999997</v>
      </c>
      <c r="BV33" s="386">
        <f t="shared" si="18"/>
        <v>129.584</v>
      </c>
      <c r="BW33" s="386">
        <f t="shared" si="19"/>
        <v>0</v>
      </c>
      <c r="BX33" s="386">
        <f t="shared" si="34"/>
        <v>10816.117312000002</v>
      </c>
      <c r="BY33" s="386">
        <f t="shared" si="35"/>
        <v>0</v>
      </c>
      <c r="BZ33" s="386">
        <f t="shared" si="36"/>
        <v>0</v>
      </c>
      <c r="CA33" s="386">
        <f t="shared" si="37"/>
        <v>0</v>
      </c>
      <c r="CB33" s="386">
        <f t="shared" si="38"/>
        <v>0</v>
      </c>
      <c r="CC33" s="386">
        <f t="shared" si="20"/>
        <v>0</v>
      </c>
      <c r="CD33" s="386">
        <f t="shared" si="21"/>
        <v>0</v>
      </c>
      <c r="CE33" s="386">
        <f t="shared" si="22"/>
        <v>0</v>
      </c>
      <c r="CF33" s="386">
        <f t="shared" si="23"/>
        <v>-253.98463999999998</v>
      </c>
      <c r="CG33" s="386">
        <f t="shared" si="24"/>
        <v>0</v>
      </c>
      <c r="CH33" s="386">
        <f t="shared" si="25"/>
        <v>5.1833600000000137</v>
      </c>
      <c r="CI33" s="386">
        <f t="shared" si="26"/>
        <v>0</v>
      </c>
      <c r="CJ33" s="386">
        <f t="shared" si="39"/>
        <v>-248.80127999999996</v>
      </c>
      <c r="CK33" s="386" t="str">
        <f t="shared" si="40"/>
        <v/>
      </c>
      <c r="CL33" s="386" t="str">
        <f t="shared" si="41"/>
        <v/>
      </c>
      <c r="CM33" s="386" t="str">
        <f t="shared" si="42"/>
        <v/>
      </c>
      <c r="CN33" s="386" t="str">
        <f t="shared" si="43"/>
        <v>0001-00</v>
      </c>
    </row>
    <row r="34" spans="1:92" ht="15.75" thickBot="1" x14ac:dyDescent="0.3">
      <c r="A34" s="375" t="s">
        <v>161</v>
      </c>
      <c r="B34" s="375" t="s">
        <v>162</v>
      </c>
      <c r="C34" s="375" t="s">
        <v>339</v>
      </c>
      <c r="D34" s="375" t="s">
        <v>164</v>
      </c>
      <c r="E34" s="375" t="s">
        <v>165</v>
      </c>
      <c r="F34" s="376" t="s">
        <v>166</v>
      </c>
      <c r="G34" s="375" t="s">
        <v>167</v>
      </c>
      <c r="H34" s="377"/>
      <c r="I34" s="377"/>
      <c r="J34" s="375" t="s">
        <v>218</v>
      </c>
      <c r="K34" s="375" t="s">
        <v>335</v>
      </c>
      <c r="L34" s="375" t="s">
        <v>220</v>
      </c>
      <c r="M34" s="375" t="s">
        <v>177</v>
      </c>
      <c r="N34" s="375" t="s">
        <v>199</v>
      </c>
      <c r="O34" s="378">
        <v>1</v>
      </c>
      <c r="P34" s="384">
        <v>0.7</v>
      </c>
      <c r="Q34" s="384">
        <v>0.7</v>
      </c>
      <c r="R34" s="379">
        <v>80</v>
      </c>
      <c r="S34" s="384">
        <v>0.7</v>
      </c>
      <c r="T34" s="379">
        <v>42067.22</v>
      </c>
      <c r="U34" s="379">
        <v>0</v>
      </c>
      <c r="V34" s="379">
        <v>16716.29</v>
      </c>
      <c r="W34" s="379">
        <v>45237.919999999998</v>
      </c>
      <c r="X34" s="379">
        <v>17811.919999999998</v>
      </c>
      <c r="Y34" s="379">
        <v>45237.919999999998</v>
      </c>
      <c r="Z34" s="379">
        <v>17594.78</v>
      </c>
      <c r="AA34" s="375" t="s">
        <v>340</v>
      </c>
      <c r="AB34" s="375" t="s">
        <v>341</v>
      </c>
      <c r="AC34" s="375" t="s">
        <v>342</v>
      </c>
      <c r="AD34" s="375" t="s">
        <v>195</v>
      </c>
      <c r="AE34" s="375" t="s">
        <v>335</v>
      </c>
      <c r="AF34" s="375" t="s">
        <v>252</v>
      </c>
      <c r="AG34" s="375" t="s">
        <v>183</v>
      </c>
      <c r="AH34" s="380">
        <v>31.07</v>
      </c>
      <c r="AI34" s="378">
        <v>9128</v>
      </c>
      <c r="AJ34" s="375" t="s">
        <v>184</v>
      </c>
      <c r="AK34" s="375" t="s">
        <v>185</v>
      </c>
      <c r="AL34" s="375" t="s">
        <v>173</v>
      </c>
      <c r="AM34" s="375" t="s">
        <v>186</v>
      </c>
      <c r="AN34" s="375" t="s">
        <v>68</v>
      </c>
      <c r="AO34" s="378">
        <v>80</v>
      </c>
      <c r="AP34" s="384">
        <v>1</v>
      </c>
      <c r="AQ34" s="384">
        <v>0.7</v>
      </c>
      <c r="AR34" s="383" t="s">
        <v>187</v>
      </c>
      <c r="AS34" s="386">
        <f t="shared" si="27"/>
        <v>0.7</v>
      </c>
      <c r="AT34">
        <f t="shared" si="28"/>
        <v>1</v>
      </c>
      <c r="AU34" s="386">
        <f>IF(AT34=0,"",IF(AND(AT34=1,M34="F",SUMIF(C2:C557,C34,AS2:AS557)&lt;=1),SUMIF(C2:C557,C34,AS2:AS557),IF(AND(AT34=1,M34="F",SUMIF(C2:C557,C34,AS2:AS557)&gt;1),1,"")))</f>
        <v>1</v>
      </c>
      <c r="AV34" s="386" t="str">
        <f>IF(AT34=0,"",IF(AND(AT34=3,M34="F",SUMIF(C2:C557,C34,AS2:AS557)&lt;=1),SUMIF(C2:C557,C34,AS2:AS557),IF(AND(AT34=3,M34="F",SUMIF(C2:C557,C34,AS2:AS557)&gt;1),1,"")))</f>
        <v/>
      </c>
      <c r="AW34" s="386">
        <f>SUMIF(C2:C557,C34,O2:O557)</f>
        <v>2</v>
      </c>
      <c r="AX34" s="386">
        <f>IF(AND(M34="F",AS34&lt;&gt;0),SUMIF(C2:C557,C34,W2:W557),0)</f>
        <v>64625.599999999999</v>
      </c>
      <c r="AY34" s="386">
        <f t="shared" si="29"/>
        <v>45237.919999999998</v>
      </c>
      <c r="AZ34" s="386" t="str">
        <f t="shared" si="30"/>
        <v/>
      </c>
      <c r="BA34" s="386">
        <f t="shared" si="31"/>
        <v>0</v>
      </c>
      <c r="BB34" s="386">
        <f t="shared" si="0"/>
        <v>8154.9999999999991</v>
      </c>
      <c r="BC34" s="386">
        <f t="shared" si="1"/>
        <v>0</v>
      </c>
      <c r="BD34" s="386">
        <f t="shared" si="2"/>
        <v>2804.7510399999996</v>
      </c>
      <c r="BE34" s="386">
        <f t="shared" si="3"/>
        <v>655.94983999999999</v>
      </c>
      <c r="BF34" s="386">
        <f t="shared" si="4"/>
        <v>5401.4076480000003</v>
      </c>
      <c r="BG34" s="386">
        <f t="shared" si="5"/>
        <v>326.16540320000001</v>
      </c>
      <c r="BH34" s="386">
        <f t="shared" si="6"/>
        <v>221.665808</v>
      </c>
      <c r="BI34" s="386">
        <f t="shared" si="7"/>
        <v>138.42803519999998</v>
      </c>
      <c r="BJ34" s="386">
        <f t="shared" si="8"/>
        <v>108.57100799999999</v>
      </c>
      <c r="BK34" s="386">
        <f t="shared" si="9"/>
        <v>0</v>
      </c>
      <c r="BL34" s="386">
        <f t="shared" si="32"/>
        <v>9656.9387824000023</v>
      </c>
      <c r="BM34" s="386">
        <f t="shared" si="33"/>
        <v>0</v>
      </c>
      <c r="BN34" s="386">
        <f t="shared" si="10"/>
        <v>8154.9999999999991</v>
      </c>
      <c r="BO34" s="386">
        <f t="shared" si="11"/>
        <v>0</v>
      </c>
      <c r="BP34" s="386">
        <f t="shared" si="12"/>
        <v>2804.7510399999996</v>
      </c>
      <c r="BQ34" s="386">
        <f t="shared" si="13"/>
        <v>655.94983999999999</v>
      </c>
      <c r="BR34" s="386">
        <f t="shared" si="14"/>
        <v>5401.4076480000003</v>
      </c>
      <c r="BS34" s="386">
        <f t="shared" si="15"/>
        <v>326.16540320000001</v>
      </c>
      <c r="BT34" s="386">
        <f t="shared" si="16"/>
        <v>0</v>
      </c>
      <c r="BU34" s="386">
        <f t="shared" si="17"/>
        <v>138.42803519999998</v>
      </c>
      <c r="BV34" s="386">
        <f t="shared" si="18"/>
        <v>113.09479999999999</v>
      </c>
      <c r="BW34" s="386">
        <f t="shared" si="19"/>
        <v>0</v>
      </c>
      <c r="BX34" s="386">
        <f t="shared" si="34"/>
        <v>9439.7967664000025</v>
      </c>
      <c r="BY34" s="386">
        <f t="shared" si="35"/>
        <v>0</v>
      </c>
      <c r="BZ34" s="386">
        <f t="shared" si="36"/>
        <v>0</v>
      </c>
      <c r="CA34" s="386">
        <f t="shared" si="37"/>
        <v>0</v>
      </c>
      <c r="CB34" s="386">
        <f t="shared" si="38"/>
        <v>0</v>
      </c>
      <c r="CC34" s="386">
        <f t="shared" si="20"/>
        <v>0</v>
      </c>
      <c r="CD34" s="386">
        <f t="shared" si="21"/>
        <v>0</v>
      </c>
      <c r="CE34" s="386">
        <f t="shared" si="22"/>
        <v>0</v>
      </c>
      <c r="CF34" s="386">
        <f t="shared" si="23"/>
        <v>-221.665808</v>
      </c>
      <c r="CG34" s="386">
        <f t="shared" si="24"/>
        <v>0</v>
      </c>
      <c r="CH34" s="386">
        <f t="shared" si="25"/>
        <v>4.5237920000000118</v>
      </c>
      <c r="CI34" s="386">
        <f t="shared" si="26"/>
        <v>0</v>
      </c>
      <c r="CJ34" s="386">
        <f t="shared" si="39"/>
        <v>-217.14201599999998</v>
      </c>
      <c r="CK34" s="386" t="str">
        <f t="shared" si="40"/>
        <v/>
      </c>
      <c r="CL34" s="386" t="str">
        <f t="shared" si="41"/>
        <v/>
      </c>
      <c r="CM34" s="386" t="str">
        <f t="shared" si="42"/>
        <v/>
      </c>
      <c r="CN34" s="386" t="str">
        <f t="shared" si="43"/>
        <v>0001-00</v>
      </c>
    </row>
    <row r="35" spans="1:92" ht="15.75" thickBot="1" x14ac:dyDescent="0.3">
      <c r="A35" s="375" t="s">
        <v>161</v>
      </c>
      <c r="B35" s="375" t="s">
        <v>162</v>
      </c>
      <c r="C35" s="375" t="s">
        <v>343</v>
      </c>
      <c r="D35" s="375" t="s">
        <v>344</v>
      </c>
      <c r="E35" s="375" t="s">
        <v>165</v>
      </c>
      <c r="F35" s="376" t="s">
        <v>166</v>
      </c>
      <c r="G35" s="375" t="s">
        <v>167</v>
      </c>
      <c r="H35" s="377"/>
      <c r="I35" s="377"/>
      <c r="J35" s="375" t="s">
        <v>168</v>
      </c>
      <c r="K35" s="375" t="s">
        <v>345</v>
      </c>
      <c r="L35" s="375" t="s">
        <v>233</v>
      </c>
      <c r="M35" s="375" t="s">
        <v>177</v>
      </c>
      <c r="N35" s="375" t="s">
        <v>199</v>
      </c>
      <c r="O35" s="378">
        <v>1</v>
      </c>
      <c r="P35" s="384">
        <v>1</v>
      </c>
      <c r="Q35" s="384">
        <v>1</v>
      </c>
      <c r="R35" s="379">
        <v>80</v>
      </c>
      <c r="S35" s="384">
        <v>1</v>
      </c>
      <c r="T35" s="379">
        <v>46345.599999999999</v>
      </c>
      <c r="U35" s="379">
        <v>0</v>
      </c>
      <c r="V35" s="379">
        <v>21199.77</v>
      </c>
      <c r="W35" s="379">
        <v>45947.199999999997</v>
      </c>
      <c r="X35" s="379">
        <v>21458.31</v>
      </c>
      <c r="Y35" s="379">
        <v>45947.199999999997</v>
      </c>
      <c r="Z35" s="379">
        <v>21237.759999999998</v>
      </c>
      <c r="AA35" s="375" t="s">
        <v>346</v>
      </c>
      <c r="AB35" s="375" t="s">
        <v>204</v>
      </c>
      <c r="AC35" s="375" t="s">
        <v>347</v>
      </c>
      <c r="AD35" s="375" t="s">
        <v>195</v>
      </c>
      <c r="AE35" s="375" t="s">
        <v>345</v>
      </c>
      <c r="AF35" s="375" t="s">
        <v>237</v>
      </c>
      <c r="AG35" s="375" t="s">
        <v>183</v>
      </c>
      <c r="AH35" s="380">
        <v>22.09</v>
      </c>
      <c r="AI35" s="380">
        <v>65960.800000000003</v>
      </c>
      <c r="AJ35" s="375" t="s">
        <v>184</v>
      </c>
      <c r="AK35" s="375" t="s">
        <v>185</v>
      </c>
      <c r="AL35" s="375" t="s">
        <v>173</v>
      </c>
      <c r="AM35" s="375" t="s">
        <v>186</v>
      </c>
      <c r="AN35" s="375" t="s">
        <v>68</v>
      </c>
      <c r="AO35" s="378">
        <v>80</v>
      </c>
      <c r="AP35" s="384">
        <v>1</v>
      </c>
      <c r="AQ35" s="384">
        <v>1</v>
      </c>
      <c r="AR35" s="383" t="s">
        <v>187</v>
      </c>
      <c r="AS35" s="386">
        <f t="shared" si="27"/>
        <v>1</v>
      </c>
      <c r="AT35">
        <f t="shared" si="28"/>
        <v>1</v>
      </c>
      <c r="AU35" s="386">
        <f>IF(AT35=0,"",IF(AND(AT35=1,M35="F",SUMIF(C2:C557,C35,AS2:AS557)&lt;=1),SUMIF(C2:C557,C35,AS2:AS557),IF(AND(AT35=1,M35="F",SUMIF(C2:C557,C35,AS2:AS557)&gt;1),1,"")))</f>
        <v>1</v>
      </c>
      <c r="AV35" s="386" t="str">
        <f>IF(AT35=0,"",IF(AND(AT35=3,M35="F",SUMIF(C2:C557,C35,AS2:AS557)&lt;=1),SUMIF(C2:C557,C35,AS2:AS557),IF(AND(AT35=3,M35="F",SUMIF(C2:C557,C35,AS2:AS557)&gt;1),1,"")))</f>
        <v/>
      </c>
      <c r="AW35" s="386">
        <f>SUMIF(C2:C557,C35,O2:O557)</f>
        <v>1</v>
      </c>
      <c r="AX35" s="386">
        <f>IF(AND(M35="F",AS35&lt;&gt;0),SUMIF(C2:C557,C35,W2:W557),0)</f>
        <v>45947.199999999997</v>
      </c>
      <c r="AY35" s="386">
        <f t="shared" si="29"/>
        <v>45947.199999999997</v>
      </c>
      <c r="AZ35" s="386" t="str">
        <f t="shared" si="30"/>
        <v/>
      </c>
      <c r="BA35" s="386">
        <f t="shared" si="31"/>
        <v>0</v>
      </c>
      <c r="BB35" s="386">
        <f t="shared" si="0"/>
        <v>11650</v>
      </c>
      <c r="BC35" s="386">
        <f t="shared" si="1"/>
        <v>0</v>
      </c>
      <c r="BD35" s="386">
        <f t="shared" si="2"/>
        <v>2848.7264</v>
      </c>
      <c r="BE35" s="386">
        <f t="shared" si="3"/>
        <v>666.23439999999994</v>
      </c>
      <c r="BF35" s="386">
        <f t="shared" si="4"/>
        <v>5486.0956800000004</v>
      </c>
      <c r="BG35" s="386">
        <f t="shared" si="5"/>
        <v>331.279312</v>
      </c>
      <c r="BH35" s="386">
        <f t="shared" si="6"/>
        <v>225.14127999999997</v>
      </c>
      <c r="BI35" s="386">
        <f t="shared" si="7"/>
        <v>140.59843199999997</v>
      </c>
      <c r="BJ35" s="386">
        <f t="shared" si="8"/>
        <v>110.27327999999999</v>
      </c>
      <c r="BK35" s="386">
        <f t="shared" si="9"/>
        <v>0</v>
      </c>
      <c r="BL35" s="386">
        <f t="shared" si="32"/>
        <v>9808.3487839999998</v>
      </c>
      <c r="BM35" s="386">
        <f t="shared" si="33"/>
        <v>0</v>
      </c>
      <c r="BN35" s="386">
        <f t="shared" si="10"/>
        <v>11650</v>
      </c>
      <c r="BO35" s="386">
        <f t="shared" si="11"/>
        <v>0</v>
      </c>
      <c r="BP35" s="386">
        <f t="shared" si="12"/>
        <v>2848.7264</v>
      </c>
      <c r="BQ35" s="386">
        <f t="shared" si="13"/>
        <v>666.23439999999994</v>
      </c>
      <c r="BR35" s="386">
        <f t="shared" si="14"/>
        <v>5486.0956800000004</v>
      </c>
      <c r="BS35" s="386">
        <f t="shared" si="15"/>
        <v>331.279312</v>
      </c>
      <c r="BT35" s="386">
        <f t="shared" si="16"/>
        <v>0</v>
      </c>
      <c r="BU35" s="386">
        <f t="shared" si="17"/>
        <v>140.59843199999997</v>
      </c>
      <c r="BV35" s="386">
        <f t="shared" si="18"/>
        <v>114.86799999999999</v>
      </c>
      <c r="BW35" s="386">
        <f t="shared" si="19"/>
        <v>0</v>
      </c>
      <c r="BX35" s="386">
        <f t="shared" si="34"/>
        <v>9587.8022240000009</v>
      </c>
      <c r="BY35" s="386">
        <f t="shared" si="35"/>
        <v>0</v>
      </c>
      <c r="BZ35" s="386">
        <f t="shared" si="36"/>
        <v>0</v>
      </c>
      <c r="CA35" s="386">
        <f t="shared" si="37"/>
        <v>0</v>
      </c>
      <c r="CB35" s="386">
        <f t="shared" si="38"/>
        <v>0</v>
      </c>
      <c r="CC35" s="386">
        <f t="shared" si="20"/>
        <v>0</v>
      </c>
      <c r="CD35" s="386">
        <f t="shared" si="21"/>
        <v>0</v>
      </c>
      <c r="CE35" s="386">
        <f t="shared" si="22"/>
        <v>0</v>
      </c>
      <c r="CF35" s="386">
        <f t="shared" si="23"/>
        <v>-225.14127999999997</v>
      </c>
      <c r="CG35" s="386">
        <f t="shared" si="24"/>
        <v>0</v>
      </c>
      <c r="CH35" s="386">
        <f t="shared" si="25"/>
        <v>4.5947200000000121</v>
      </c>
      <c r="CI35" s="386">
        <f t="shared" si="26"/>
        <v>0</v>
      </c>
      <c r="CJ35" s="386">
        <f t="shared" si="39"/>
        <v>-220.54655999999994</v>
      </c>
      <c r="CK35" s="386" t="str">
        <f t="shared" si="40"/>
        <v/>
      </c>
      <c r="CL35" s="386" t="str">
        <f t="shared" si="41"/>
        <v/>
      </c>
      <c r="CM35" s="386" t="str">
        <f t="shared" si="42"/>
        <v/>
      </c>
      <c r="CN35" s="386" t="str">
        <f t="shared" si="43"/>
        <v>0001-00</v>
      </c>
    </row>
    <row r="36" spans="1:92" ht="15.75" thickBot="1" x14ac:dyDescent="0.3">
      <c r="A36" s="375" t="s">
        <v>161</v>
      </c>
      <c r="B36" s="375" t="s">
        <v>162</v>
      </c>
      <c r="C36" s="375" t="s">
        <v>348</v>
      </c>
      <c r="D36" s="375" t="s">
        <v>294</v>
      </c>
      <c r="E36" s="375" t="s">
        <v>165</v>
      </c>
      <c r="F36" s="376" t="s">
        <v>166</v>
      </c>
      <c r="G36" s="375" t="s">
        <v>167</v>
      </c>
      <c r="H36" s="377"/>
      <c r="I36" s="377"/>
      <c r="J36" s="375" t="s">
        <v>168</v>
      </c>
      <c r="K36" s="375" t="s">
        <v>295</v>
      </c>
      <c r="L36" s="375" t="s">
        <v>173</v>
      </c>
      <c r="M36" s="375" t="s">
        <v>177</v>
      </c>
      <c r="N36" s="375" t="s">
        <v>199</v>
      </c>
      <c r="O36" s="378">
        <v>1</v>
      </c>
      <c r="P36" s="384">
        <v>1</v>
      </c>
      <c r="Q36" s="384">
        <v>1</v>
      </c>
      <c r="R36" s="379">
        <v>80</v>
      </c>
      <c r="S36" s="384">
        <v>1</v>
      </c>
      <c r="T36" s="379">
        <v>59582.400000000001</v>
      </c>
      <c r="U36" s="379">
        <v>0</v>
      </c>
      <c r="V36" s="379">
        <v>23910.95</v>
      </c>
      <c r="W36" s="379">
        <v>65020.800000000003</v>
      </c>
      <c r="X36" s="379">
        <v>25529.95</v>
      </c>
      <c r="Y36" s="379">
        <v>65020.800000000003</v>
      </c>
      <c r="Z36" s="379">
        <v>25217.86</v>
      </c>
      <c r="AA36" s="375" t="s">
        <v>349</v>
      </c>
      <c r="AB36" s="375" t="s">
        <v>350</v>
      </c>
      <c r="AC36" s="375" t="s">
        <v>351</v>
      </c>
      <c r="AD36" s="375" t="s">
        <v>352</v>
      </c>
      <c r="AE36" s="375" t="s">
        <v>295</v>
      </c>
      <c r="AF36" s="375" t="s">
        <v>305</v>
      </c>
      <c r="AG36" s="375" t="s">
        <v>183</v>
      </c>
      <c r="AH36" s="380">
        <v>31.26</v>
      </c>
      <c r="AI36" s="380">
        <v>29932.799999999999</v>
      </c>
      <c r="AJ36" s="375" t="s">
        <v>184</v>
      </c>
      <c r="AK36" s="375" t="s">
        <v>185</v>
      </c>
      <c r="AL36" s="375" t="s">
        <v>173</v>
      </c>
      <c r="AM36" s="375" t="s">
        <v>186</v>
      </c>
      <c r="AN36" s="375" t="s">
        <v>68</v>
      </c>
      <c r="AO36" s="378">
        <v>80</v>
      </c>
      <c r="AP36" s="384">
        <v>1</v>
      </c>
      <c r="AQ36" s="384">
        <v>1</v>
      </c>
      <c r="AR36" s="383" t="s">
        <v>187</v>
      </c>
      <c r="AS36" s="386">
        <f t="shared" si="27"/>
        <v>1</v>
      </c>
      <c r="AT36">
        <f t="shared" si="28"/>
        <v>1</v>
      </c>
      <c r="AU36" s="386">
        <f>IF(AT36=0,"",IF(AND(AT36=1,M36="F",SUMIF(C2:C557,C36,AS2:AS557)&lt;=1),SUMIF(C2:C557,C36,AS2:AS557),IF(AND(AT36=1,M36="F",SUMIF(C2:C557,C36,AS2:AS557)&gt;1),1,"")))</f>
        <v>1</v>
      </c>
      <c r="AV36" s="386" t="str">
        <f>IF(AT36=0,"",IF(AND(AT36=3,M36="F",SUMIF(C2:C557,C36,AS2:AS557)&lt;=1),SUMIF(C2:C557,C36,AS2:AS557),IF(AND(AT36=3,M36="F",SUMIF(C2:C557,C36,AS2:AS557)&gt;1),1,"")))</f>
        <v/>
      </c>
      <c r="AW36" s="386">
        <f>SUMIF(C2:C557,C36,O2:O557)</f>
        <v>1</v>
      </c>
      <c r="AX36" s="386">
        <f>IF(AND(M36="F",AS36&lt;&gt;0),SUMIF(C2:C557,C36,W2:W557),0)</f>
        <v>65020.800000000003</v>
      </c>
      <c r="AY36" s="386">
        <f t="shared" si="29"/>
        <v>65020.800000000003</v>
      </c>
      <c r="AZ36" s="386" t="str">
        <f t="shared" si="30"/>
        <v/>
      </c>
      <c r="BA36" s="386">
        <f t="shared" si="31"/>
        <v>0</v>
      </c>
      <c r="BB36" s="386">
        <f t="shared" si="0"/>
        <v>11650</v>
      </c>
      <c r="BC36" s="386">
        <f t="shared" si="1"/>
        <v>0</v>
      </c>
      <c r="BD36" s="386">
        <f t="shared" si="2"/>
        <v>4031.2896000000001</v>
      </c>
      <c r="BE36" s="386">
        <f t="shared" si="3"/>
        <v>942.80160000000012</v>
      </c>
      <c r="BF36" s="386">
        <f t="shared" si="4"/>
        <v>7763.4835200000007</v>
      </c>
      <c r="BG36" s="386">
        <f t="shared" si="5"/>
        <v>468.79996800000004</v>
      </c>
      <c r="BH36" s="386">
        <f t="shared" si="6"/>
        <v>318.60192000000001</v>
      </c>
      <c r="BI36" s="386">
        <f t="shared" si="7"/>
        <v>198.96364800000001</v>
      </c>
      <c r="BJ36" s="386">
        <f t="shared" si="8"/>
        <v>156.04991999999999</v>
      </c>
      <c r="BK36" s="386">
        <f t="shared" si="9"/>
        <v>0</v>
      </c>
      <c r="BL36" s="386">
        <f t="shared" si="32"/>
        <v>13879.990175999999</v>
      </c>
      <c r="BM36" s="386">
        <f t="shared" si="33"/>
        <v>0</v>
      </c>
      <c r="BN36" s="386">
        <f t="shared" si="10"/>
        <v>11650</v>
      </c>
      <c r="BO36" s="386">
        <f t="shared" si="11"/>
        <v>0</v>
      </c>
      <c r="BP36" s="386">
        <f t="shared" si="12"/>
        <v>4031.2896000000001</v>
      </c>
      <c r="BQ36" s="386">
        <f t="shared" si="13"/>
        <v>942.80160000000012</v>
      </c>
      <c r="BR36" s="386">
        <f t="shared" si="14"/>
        <v>7763.4835200000007</v>
      </c>
      <c r="BS36" s="386">
        <f t="shared" si="15"/>
        <v>468.79996800000004</v>
      </c>
      <c r="BT36" s="386">
        <f t="shared" si="16"/>
        <v>0</v>
      </c>
      <c r="BU36" s="386">
        <f t="shared" si="17"/>
        <v>198.96364800000001</v>
      </c>
      <c r="BV36" s="386">
        <f t="shared" si="18"/>
        <v>162.55200000000002</v>
      </c>
      <c r="BW36" s="386">
        <f t="shared" si="19"/>
        <v>0</v>
      </c>
      <c r="BX36" s="386">
        <f t="shared" si="34"/>
        <v>13567.890336</v>
      </c>
      <c r="BY36" s="386">
        <f t="shared" si="35"/>
        <v>0</v>
      </c>
      <c r="BZ36" s="386">
        <f t="shared" si="36"/>
        <v>0</v>
      </c>
      <c r="CA36" s="386">
        <f t="shared" si="37"/>
        <v>0</v>
      </c>
      <c r="CB36" s="386">
        <f t="shared" si="38"/>
        <v>0</v>
      </c>
      <c r="CC36" s="386">
        <f t="shared" si="20"/>
        <v>0</v>
      </c>
      <c r="CD36" s="386">
        <f t="shared" si="21"/>
        <v>0</v>
      </c>
      <c r="CE36" s="386">
        <f t="shared" si="22"/>
        <v>0</v>
      </c>
      <c r="CF36" s="386">
        <f t="shared" si="23"/>
        <v>-318.60192000000001</v>
      </c>
      <c r="CG36" s="386">
        <f t="shared" si="24"/>
        <v>0</v>
      </c>
      <c r="CH36" s="386">
        <f t="shared" si="25"/>
        <v>6.5020800000000172</v>
      </c>
      <c r="CI36" s="386">
        <f t="shared" si="26"/>
        <v>0</v>
      </c>
      <c r="CJ36" s="386">
        <f t="shared" si="39"/>
        <v>-312.09983999999997</v>
      </c>
      <c r="CK36" s="386" t="str">
        <f t="shared" si="40"/>
        <v/>
      </c>
      <c r="CL36" s="386" t="str">
        <f t="shared" si="41"/>
        <v/>
      </c>
      <c r="CM36" s="386" t="str">
        <f t="shared" si="42"/>
        <v/>
      </c>
      <c r="CN36" s="386" t="str">
        <f t="shared" si="43"/>
        <v>0001-00</v>
      </c>
    </row>
    <row r="37" spans="1:92" ht="15.75" thickBot="1" x14ac:dyDescent="0.3">
      <c r="A37" s="375" t="s">
        <v>161</v>
      </c>
      <c r="B37" s="375" t="s">
        <v>162</v>
      </c>
      <c r="C37" s="375" t="s">
        <v>353</v>
      </c>
      <c r="D37" s="375" t="s">
        <v>354</v>
      </c>
      <c r="E37" s="375" t="s">
        <v>165</v>
      </c>
      <c r="F37" s="376" t="s">
        <v>166</v>
      </c>
      <c r="G37" s="375" t="s">
        <v>167</v>
      </c>
      <c r="H37" s="377"/>
      <c r="I37" s="377"/>
      <c r="J37" s="375" t="s">
        <v>168</v>
      </c>
      <c r="K37" s="375" t="s">
        <v>355</v>
      </c>
      <c r="L37" s="375" t="s">
        <v>185</v>
      </c>
      <c r="M37" s="375" t="s">
        <v>177</v>
      </c>
      <c r="N37" s="375" t="s">
        <v>262</v>
      </c>
      <c r="O37" s="378">
        <v>0</v>
      </c>
      <c r="P37" s="384">
        <v>1</v>
      </c>
      <c r="Q37" s="384">
        <v>0</v>
      </c>
      <c r="R37" s="379">
        <v>0</v>
      </c>
      <c r="S37" s="384">
        <v>0</v>
      </c>
      <c r="T37" s="379">
        <v>0</v>
      </c>
      <c r="U37" s="379">
        <v>0</v>
      </c>
      <c r="V37" s="379">
        <v>0</v>
      </c>
      <c r="W37" s="379">
        <v>40190.19</v>
      </c>
      <c r="X37" s="379">
        <v>3231.3</v>
      </c>
      <c r="Y37" s="379">
        <v>40190.19</v>
      </c>
      <c r="Z37" s="379">
        <v>3231.3</v>
      </c>
      <c r="AA37" s="377"/>
      <c r="AB37" s="375" t="s">
        <v>45</v>
      </c>
      <c r="AC37" s="375" t="s">
        <v>45</v>
      </c>
      <c r="AD37" s="377"/>
      <c r="AE37" s="377"/>
      <c r="AF37" s="377"/>
      <c r="AG37" s="377"/>
      <c r="AH37" s="378">
        <v>0</v>
      </c>
      <c r="AI37" s="378">
        <v>0</v>
      </c>
      <c r="AJ37" s="377"/>
      <c r="AK37" s="377"/>
      <c r="AL37" s="375" t="s">
        <v>173</v>
      </c>
      <c r="AM37" s="377"/>
      <c r="AN37" s="377"/>
      <c r="AO37" s="378">
        <v>0</v>
      </c>
      <c r="AP37" s="384">
        <v>0</v>
      </c>
      <c r="AQ37" s="384">
        <v>0</v>
      </c>
      <c r="AR37" s="382"/>
      <c r="AS37" s="386">
        <f t="shared" si="27"/>
        <v>0</v>
      </c>
      <c r="AT37">
        <f t="shared" si="28"/>
        <v>0</v>
      </c>
      <c r="AU37" s="386" t="str">
        <f>IF(AT37=0,"",IF(AND(AT37=1,M37="F",SUMIF(C2:C557,C37,AS2:AS557)&lt;=1),SUMIF(C2:C557,C37,AS2:AS557),IF(AND(AT37=1,M37="F",SUMIF(C2:C557,C37,AS2:AS557)&gt;1),1,"")))</f>
        <v/>
      </c>
      <c r="AV37" s="386" t="str">
        <f>IF(AT37=0,"",IF(AND(AT37=3,M37="F",SUMIF(C2:C557,C37,AS2:AS557)&lt;=1),SUMIF(C2:C557,C37,AS2:AS557),IF(AND(AT37=3,M37="F",SUMIF(C2:C557,C37,AS2:AS557)&gt;1),1,"")))</f>
        <v/>
      </c>
      <c r="AW37" s="386">
        <f>SUMIF(C2:C557,C37,O2:O557)</f>
        <v>0</v>
      </c>
      <c r="AX37" s="386">
        <f>IF(AND(M37="F",AS37&lt;&gt;0),SUMIF(C2:C557,C37,W2:W557),0)</f>
        <v>0</v>
      </c>
      <c r="AY37" s="386" t="str">
        <f t="shared" si="29"/>
        <v/>
      </c>
      <c r="AZ37" s="386" t="str">
        <f t="shared" si="30"/>
        <v/>
      </c>
      <c r="BA37" s="386">
        <f t="shared" si="31"/>
        <v>0</v>
      </c>
      <c r="BB37" s="386">
        <f t="shared" si="0"/>
        <v>0</v>
      </c>
      <c r="BC37" s="386">
        <f t="shared" si="1"/>
        <v>0</v>
      </c>
      <c r="BD37" s="386">
        <f t="shared" si="2"/>
        <v>0</v>
      </c>
      <c r="BE37" s="386">
        <f t="shared" si="3"/>
        <v>0</v>
      </c>
      <c r="BF37" s="386">
        <f t="shared" si="4"/>
        <v>0</v>
      </c>
      <c r="BG37" s="386">
        <f t="shared" si="5"/>
        <v>0</v>
      </c>
      <c r="BH37" s="386">
        <f t="shared" si="6"/>
        <v>0</v>
      </c>
      <c r="BI37" s="386">
        <f t="shared" si="7"/>
        <v>0</v>
      </c>
      <c r="BJ37" s="386">
        <f t="shared" si="8"/>
        <v>0</v>
      </c>
      <c r="BK37" s="386">
        <f t="shared" si="9"/>
        <v>0</v>
      </c>
      <c r="BL37" s="386">
        <f t="shared" si="32"/>
        <v>0</v>
      </c>
      <c r="BM37" s="386">
        <f t="shared" si="33"/>
        <v>0</v>
      </c>
      <c r="BN37" s="386">
        <f t="shared" si="10"/>
        <v>0</v>
      </c>
      <c r="BO37" s="386">
        <f t="shared" si="11"/>
        <v>0</v>
      </c>
      <c r="BP37" s="386">
        <f t="shared" si="12"/>
        <v>0</v>
      </c>
      <c r="BQ37" s="386">
        <f t="shared" si="13"/>
        <v>0</v>
      </c>
      <c r="BR37" s="386">
        <f t="shared" si="14"/>
        <v>0</v>
      </c>
      <c r="BS37" s="386">
        <f t="shared" si="15"/>
        <v>0</v>
      </c>
      <c r="BT37" s="386">
        <f t="shared" si="16"/>
        <v>0</v>
      </c>
      <c r="BU37" s="386">
        <f t="shared" si="17"/>
        <v>0</v>
      </c>
      <c r="BV37" s="386">
        <f t="shared" si="18"/>
        <v>0</v>
      </c>
      <c r="BW37" s="386">
        <f t="shared" si="19"/>
        <v>0</v>
      </c>
      <c r="BX37" s="386">
        <f t="shared" si="34"/>
        <v>0</v>
      </c>
      <c r="BY37" s="386">
        <f t="shared" si="35"/>
        <v>0</v>
      </c>
      <c r="BZ37" s="386">
        <f t="shared" si="36"/>
        <v>0</v>
      </c>
      <c r="CA37" s="386">
        <f t="shared" si="37"/>
        <v>0</v>
      </c>
      <c r="CB37" s="386">
        <f t="shared" si="38"/>
        <v>0</v>
      </c>
      <c r="CC37" s="386">
        <f t="shared" si="20"/>
        <v>0</v>
      </c>
      <c r="CD37" s="386">
        <f t="shared" si="21"/>
        <v>0</v>
      </c>
      <c r="CE37" s="386">
        <f t="shared" si="22"/>
        <v>0</v>
      </c>
      <c r="CF37" s="386">
        <f t="shared" si="23"/>
        <v>0</v>
      </c>
      <c r="CG37" s="386">
        <f t="shared" si="24"/>
        <v>0</v>
      </c>
      <c r="CH37" s="386">
        <f t="shared" si="25"/>
        <v>0</v>
      </c>
      <c r="CI37" s="386">
        <f t="shared" si="26"/>
        <v>0</v>
      </c>
      <c r="CJ37" s="386">
        <f t="shared" si="39"/>
        <v>0</v>
      </c>
      <c r="CK37" s="386" t="str">
        <f t="shared" si="40"/>
        <v/>
      </c>
      <c r="CL37" s="386">
        <f t="shared" si="41"/>
        <v>0</v>
      </c>
      <c r="CM37" s="386">
        <f t="shared" si="42"/>
        <v>0</v>
      </c>
      <c r="CN37" s="386" t="str">
        <f t="shared" si="43"/>
        <v>0001-00</v>
      </c>
    </row>
    <row r="38" spans="1:92" ht="15.75" thickBot="1" x14ac:dyDescent="0.3">
      <c r="A38" s="375" t="s">
        <v>161</v>
      </c>
      <c r="B38" s="375" t="s">
        <v>162</v>
      </c>
      <c r="C38" s="375" t="s">
        <v>356</v>
      </c>
      <c r="D38" s="375" t="s">
        <v>357</v>
      </c>
      <c r="E38" s="375" t="s">
        <v>165</v>
      </c>
      <c r="F38" s="376" t="s">
        <v>166</v>
      </c>
      <c r="G38" s="375" t="s">
        <v>167</v>
      </c>
      <c r="H38" s="377"/>
      <c r="I38" s="377"/>
      <c r="J38" s="375" t="s">
        <v>218</v>
      </c>
      <c r="K38" s="375" t="s">
        <v>358</v>
      </c>
      <c r="L38" s="375" t="s">
        <v>170</v>
      </c>
      <c r="M38" s="375" t="s">
        <v>177</v>
      </c>
      <c r="N38" s="375" t="s">
        <v>199</v>
      </c>
      <c r="O38" s="378">
        <v>1</v>
      </c>
      <c r="P38" s="384">
        <v>0.9</v>
      </c>
      <c r="Q38" s="384">
        <v>0.9</v>
      </c>
      <c r="R38" s="379">
        <v>80</v>
      </c>
      <c r="S38" s="384">
        <v>0.9</v>
      </c>
      <c r="T38" s="379">
        <v>61283.91</v>
      </c>
      <c r="U38" s="379">
        <v>0</v>
      </c>
      <c r="V38" s="379">
        <v>23021.43</v>
      </c>
      <c r="W38" s="379">
        <v>61401.599999999999</v>
      </c>
      <c r="X38" s="379">
        <v>23592.35</v>
      </c>
      <c r="Y38" s="379">
        <v>61401.599999999999</v>
      </c>
      <c r="Z38" s="379">
        <v>23297.64</v>
      </c>
      <c r="AA38" s="375" t="s">
        <v>359</v>
      </c>
      <c r="AB38" s="375" t="s">
        <v>360</v>
      </c>
      <c r="AC38" s="375" t="s">
        <v>361</v>
      </c>
      <c r="AD38" s="375" t="s">
        <v>233</v>
      </c>
      <c r="AE38" s="375" t="s">
        <v>358</v>
      </c>
      <c r="AF38" s="375" t="s">
        <v>269</v>
      </c>
      <c r="AG38" s="375" t="s">
        <v>183</v>
      </c>
      <c r="AH38" s="380">
        <v>32.799999999999997</v>
      </c>
      <c r="AI38" s="378">
        <v>75397</v>
      </c>
      <c r="AJ38" s="375" t="s">
        <v>184</v>
      </c>
      <c r="AK38" s="375" t="s">
        <v>185</v>
      </c>
      <c r="AL38" s="375" t="s">
        <v>173</v>
      </c>
      <c r="AM38" s="375" t="s">
        <v>186</v>
      </c>
      <c r="AN38" s="375" t="s">
        <v>68</v>
      </c>
      <c r="AO38" s="378">
        <v>80</v>
      </c>
      <c r="AP38" s="384">
        <v>1</v>
      </c>
      <c r="AQ38" s="384">
        <v>0.9</v>
      </c>
      <c r="AR38" s="383" t="s">
        <v>187</v>
      </c>
      <c r="AS38" s="386">
        <f t="shared" si="27"/>
        <v>0.9</v>
      </c>
      <c r="AT38">
        <f t="shared" si="28"/>
        <v>1</v>
      </c>
      <c r="AU38" s="386">
        <f>IF(AT38=0,"",IF(AND(AT38=1,M38="F",SUMIF(C2:C557,C38,AS2:AS557)&lt;=1),SUMIF(C2:C557,C38,AS2:AS557),IF(AND(AT38=1,M38="F",SUMIF(C2:C557,C38,AS2:AS557)&gt;1),1,"")))</f>
        <v>1</v>
      </c>
      <c r="AV38" s="386" t="str">
        <f>IF(AT38=0,"",IF(AND(AT38=3,M38="F",SUMIF(C2:C557,C38,AS2:AS557)&lt;=1),SUMIF(C2:C557,C38,AS2:AS557),IF(AND(AT38=3,M38="F",SUMIF(C2:C557,C38,AS2:AS557)&gt;1),1,"")))</f>
        <v/>
      </c>
      <c r="AW38" s="386">
        <f>SUMIF(C2:C557,C38,O2:O557)</f>
        <v>2</v>
      </c>
      <c r="AX38" s="386">
        <f>IF(AND(M38="F",AS38&lt;&gt;0),SUMIF(C2:C557,C38,W2:W557),0)</f>
        <v>68224</v>
      </c>
      <c r="AY38" s="386">
        <f t="shared" si="29"/>
        <v>61401.599999999999</v>
      </c>
      <c r="AZ38" s="386" t="str">
        <f t="shared" si="30"/>
        <v/>
      </c>
      <c r="BA38" s="386">
        <f t="shared" si="31"/>
        <v>0</v>
      </c>
      <c r="BB38" s="386">
        <f t="shared" si="0"/>
        <v>10485</v>
      </c>
      <c r="BC38" s="386">
        <f t="shared" si="1"/>
        <v>0</v>
      </c>
      <c r="BD38" s="386">
        <f t="shared" si="2"/>
        <v>3806.8991999999998</v>
      </c>
      <c r="BE38" s="386">
        <f t="shared" si="3"/>
        <v>890.32320000000004</v>
      </c>
      <c r="BF38" s="386">
        <f t="shared" si="4"/>
        <v>7331.3510400000005</v>
      </c>
      <c r="BG38" s="386">
        <f t="shared" si="5"/>
        <v>442.705536</v>
      </c>
      <c r="BH38" s="386">
        <f t="shared" si="6"/>
        <v>300.86784</v>
      </c>
      <c r="BI38" s="386">
        <f t="shared" si="7"/>
        <v>187.88889599999999</v>
      </c>
      <c r="BJ38" s="386">
        <f t="shared" si="8"/>
        <v>147.36383999999998</v>
      </c>
      <c r="BK38" s="386">
        <f t="shared" si="9"/>
        <v>0</v>
      </c>
      <c r="BL38" s="386">
        <f t="shared" si="32"/>
        <v>13107.399552000001</v>
      </c>
      <c r="BM38" s="386">
        <f t="shared" si="33"/>
        <v>0</v>
      </c>
      <c r="BN38" s="386">
        <f t="shared" si="10"/>
        <v>10485</v>
      </c>
      <c r="BO38" s="386">
        <f t="shared" si="11"/>
        <v>0</v>
      </c>
      <c r="BP38" s="386">
        <f t="shared" si="12"/>
        <v>3806.8991999999998</v>
      </c>
      <c r="BQ38" s="386">
        <f t="shared" si="13"/>
        <v>890.32320000000004</v>
      </c>
      <c r="BR38" s="386">
        <f t="shared" si="14"/>
        <v>7331.3510400000005</v>
      </c>
      <c r="BS38" s="386">
        <f t="shared" si="15"/>
        <v>442.705536</v>
      </c>
      <c r="BT38" s="386">
        <f t="shared" si="16"/>
        <v>0</v>
      </c>
      <c r="BU38" s="386">
        <f t="shared" si="17"/>
        <v>187.88889599999999</v>
      </c>
      <c r="BV38" s="386">
        <f t="shared" si="18"/>
        <v>153.50399999999999</v>
      </c>
      <c r="BW38" s="386">
        <f t="shared" si="19"/>
        <v>0</v>
      </c>
      <c r="BX38" s="386">
        <f t="shared" si="34"/>
        <v>12812.671872000001</v>
      </c>
      <c r="BY38" s="386">
        <f t="shared" si="35"/>
        <v>0</v>
      </c>
      <c r="BZ38" s="386">
        <f t="shared" si="36"/>
        <v>0</v>
      </c>
      <c r="CA38" s="386">
        <f t="shared" si="37"/>
        <v>0</v>
      </c>
      <c r="CB38" s="386">
        <f t="shared" si="38"/>
        <v>0</v>
      </c>
      <c r="CC38" s="386">
        <f t="shared" si="20"/>
        <v>0</v>
      </c>
      <c r="CD38" s="386">
        <f t="shared" si="21"/>
        <v>0</v>
      </c>
      <c r="CE38" s="386">
        <f t="shared" si="22"/>
        <v>0</v>
      </c>
      <c r="CF38" s="386">
        <f t="shared" si="23"/>
        <v>-300.86784</v>
      </c>
      <c r="CG38" s="386">
        <f t="shared" si="24"/>
        <v>0</v>
      </c>
      <c r="CH38" s="386">
        <f t="shared" si="25"/>
        <v>6.1401600000000158</v>
      </c>
      <c r="CI38" s="386">
        <f t="shared" si="26"/>
        <v>0</v>
      </c>
      <c r="CJ38" s="386">
        <f t="shared" si="39"/>
        <v>-294.72767999999996</v>
      </c>
      <c r="CK38" s="386" t="str">
        <f t="shared" si="40"/>
        <v/>
      </c>
      <c r="CL38" s="386" t="str">
        <f t="shared" si="41"/>
        <v/>
      </c>
      <c r="CM38" s="386" t="str">
        <f t="shared" si="42"/>
        <v/>
      </c>
      <c r="CN38" s="386" t="str">
        <f t="shared" si="43"/>
        <v>0001-00</v>
      </c>
    </row>
    <row r="39" spans="1:92" ht="15.75" thickBot="1" x14ac:dyDescent="0.3">
      <c r="A39" s="375" t="s">
        <v>161</v>
      </c>
      <c r="B39" s="375" t="s">
        <v>162</v>
      </c>
      <c r="C39" s="375" t="s">
        <v>362</v>
      </c>
      <c r="D39" s="375" t="s">
        <v>294</v>
      </c>
      <c r="E39" s="375" t="s">
        <v>165</v>
      </c>
      <c r="F39" s="376" t="s">
        <v>166</v>
      </c>
      <c r="G39" s="375" t="s">
        <v>167</v>
      </c>
      <c r="H39" s="377"/>
      <c r="I39" s="377"/>
      <c r="J39" s="375" t="s">
        <v>168</v>
      </c>
      <c r="K39" s="375" t="s">
        <v>295</v>
      </c>
      <c r="L39" s="375" t="s">
        <v>173</v>
      </c>
      <c r="M39" s="375" t="s">
        <v>177</v>
      </c>
      <c r="N39" s="375" t="s">
        <v>199</v>
      </c>
      <c r="O39" s="378">
        <v>1</v>
      </c>
      <c r="P39" s="384">
        <v>1</v>
      </c>
      <c r="Q39" s="384">
        <v>1</v>
      </c>
      <c r="R39" s="379">
        <v>80</v>
      </c>
      <c r="S39" s="384">
        <v>1</v>
      </c>
      <c r="T39" s="379">
        <v>83579.350000000006</v>
      </c>
      <c r="U39" s="379">
        <v>0</v>
      </c>
      <c r="V39" s="379">
        <v>28628.720000000001</v>
      </c>
      <c r="W39" s="379">
        <v>86465.600000000006</v>
      </c>
      <c r="X39" s="379">
        <v>30107.78</v>
      </c>
      <c r="Y39" s="379">
        <v>86465.600000000006</v>
      </c>
      <c r="Z39" s="379">
        <v>29692.75</v>
      </c>
      <c r="AA39" s="375" t="s">
        <v>363</v>
      </c>
      <c r="AB39" s="375" t="s">
        <v>364</v>
      </c>
      <c r="AC39" s="375" t="s">
        <v>365</v>
      </c>
      <c r="AD39" s="375" t="s">
        <v>366</v>
      </c>
      <c r="AE39" s="375" t="s">
        <v>295</v>
      </c>
      <c r="AF39" s="375" t="s">
        <v>305</v>
      </c>
      <c r="AG39" s="375" t="s">
        <v>183</v>
      </c>
      <c r="AH39" s="380">
        <v>41.57</v>
      </c>
      <c r="AI39" s="380">
        <v>77154.100000000006</v>
      </c>
      <c r="AJ39" s="375" t="s">
        <v>184</v>
      </c>
      <c r="AK39" s="375" t="s">
        <v>185</v>
      </c>
      <c r="AL39" s="375" t="s">
        <v>173</v>
      </c>
      <c r="AM39" s="375" t="s">
        <v>186</v>
      </c>
      <c r="AN39" s="375" t="s">
        <v>68</v>
      </c>
      <c r="AO39" s="378">
        <v>80</v>
      </c>
      <c r="AP39" s="384">
        <v>1</v>
      </c>
      <c r="AQ39" s="384">
        <v>1</v>
      </c>
      <c r="AR39" s="383" t="s">
        <v>187</v>
      </c>
      <c r="AS39" s="386">
        <f t="shared" si="27"/>
        <v>1</v>
      </c>
      <c r="AT39">
        <f t="shared" si="28"/>
        <v>1</v>
      </c>
      <c r="AU39" s="386">
        <f>IF(AT39=0,"",IF(AND(AT39=1,M39="F",SUMIF(C2:C557,C39,AS2:AS557)&lt;=1),SUMIF(C2:C557,C39,AS2:AS557),IF(AND(AT39=1,M39="F",SUMIF(C2:C557,C39,AS2:AS557)&gt;1),1,"")))</f>
        <v>1</v>
      </c>
      <c r="AV39" s="386" t="str">
        <f>IF(AT39=0,"",IF(AND(AT39=3,M39="F",SUMIF(C2:C557,C39,AS2:AS557)&lt;=1),SUMIF(C2:C557,C39,AS2:AS557),IF(AND(AT39=3,M39="F",SUMIF(C2:C557,C39,AS2:AS557)&gt;1),1,"")))</f>
        <v/>
      </c>
      <c r="AW39" s="386">
        <f>SUMIF(C2:C557,C39,O2:O557)</f>
        <v>1</v>
      </c>
      <c r="AX39" s="386">
        <f>IF(AND(M39="F",AS39&lt;&gt;0),SUMIF(C2:C557,C39,W2:W557),0)</f>
        <v>86465.600000000006</v>
      </c>
      <c r="AY39" s="386">
        <f t="shared" si="29"/>
        <v>86465.600000000006</v>
      </c>
      <c r="AZ39" s="386" t="str">
        <f t="shared" si="30"/>
        <v/>
      </c>
      <c r="BA39" s="386">
        <f t="shared" si="31"/>
        <v>0</v>
      </c>
      <c r="BB39" s="386">
        <f t="shared" si="0"/>
        <v>11650</v>
      </c>
      <c r="BC39" s="386">
        <f t="shared" si="1"/>
        <v>0</v>
      </c>
      <c r="BD39" s="386">
        <f t="shared" si="2"/>
        <v>5360.8672000000006</v>
      </c>
      <c r="BE39" s="386">
        <f t="shared" si="3"/>
        <v>1253.7512000000002</v>
      </c>
      <c r="BF39" s="386">
        <f t="shared" si="4"/>
        <v>10323.99264</v>
      </c>
      <c r="BG39" s="386">
        <f t="shared" si="5"/>
        <v>623.41697600000009</v>
      </c>
      <c r="BH39" s="386">
        <f t="shared" si="6"/>
        <v>423.68144000000001</v>
      </c>
      <c r="BI39" s="386">
        <f t="shared" si="7"/>
        <v>264.58473600000002</v>
      </c>
      <c r="BJ39" s="386">
        <f t="shared" si="8"/>
        <v>207.51743999999999</v>
      </c>
      <c r="BK39" s="386">
        <f t="shared" si="9"/>
        <v>0</v>
      </c>
      <c r="BL39" s="386">
        <f t="shared" si="32"/>
        <v>18457.811632000004</v>
      </c>
      <c r="BM39" s="386">
        <f t="shared" si="33"/>
        <v>0</v>
      </c>
      <c r="BN39" s="386">
        <f t="shared" si="10"/>
        <v>11650</v>
      </c>
      <c r="BO39" s="386">
        <f t="shared" si="11"/>
        <v>0</v>
      </c>
      <c r="BP39" s="386">
        <f t="shared" si="12"/>
        <v>5360.8672000000006</v>
      </c>
      <c r="BQ39" s="386">
        <f t="shared" si="13"/>
        <v>1253.7512000000002</v>
      </c>
      <c r="BR39" s="386">
        <f t="shared" si="14"/>
        <v>10323.99264</v>
      </c>
      <c r="BS39" s="386">
        <f t="shared" si="15"/>
        <v>623.41697600000009</v>
      </c>
      <c r="BT39" s="386">
        <f t="shared" si="16"/>
        <v>0</v>
      </c>
      <c r="BU39" s="386">
        <f t="shared" si="17"/>
        <v>264.58473600000002</v>
      </c>
      <c r="BV39" s="386">
        <f t="shared" si="18"/>
        <v>216.16400000000002</v>
      </c>
      <c r="BW39" s="386">
        <f t="shared" si="19"/>
        <v>0</v>
      </c>
      <c r="BX39" s="386">
        <f t="shared" si="34"/>
        <v>18042.776752000005</v>
      </c>
      <c r="BY39" s="386">
        <f t="shared" si="35"/>
        <v>0</v>
      </c>
      <c r="BZ39" s="386">
        <f t="shared" si="36"/>
        <v>0</v>
      </c>
      <c r="CA39" s="386">
        <f t="shared" si="37"/>
        <v>0</v>
      </c>
      <c r="CB39" s="386">
        <f t="shared" si="38"/>
        <v>0</v>
      </c>
      <c r="CC39" s="386">
        <f t="shared" si="20"/>
        <v>0</v>
      </c>
      <c r="CD39" s="386">
        <f t="shared" si="21"/>
        <v>0</v>
      </c>
      <c r="CE39" s="386">
        <f t="shared" si="22"/>
        <v>0</v>
      </c>
      <c r="CF39" s="386">
        <f t="shared" si="23"/>
        <v>-423.68144000000001</v>
      </c>
      <c r="CG39" s="386">
        <f t="shared" si="24"/>
        <v>0</v>
      </c>
      <c r="CH39" s="386">
        <f t="shared" si="25"/>
        <v>8.646560000000024</v>
      </c>
      <c r="CI39" s="386">
        <f t="shared" si="26"/>
        <v>0</v>
      </c>
      <c r="CJ39" s="386">
        <f t="shared" si="39"/>
        <v>-415.03487999999999</v>
      </c>
      <c r="CK39" s="386" t="str">
        <f t="shared" si="40"/>
        <v/>
      </c>
      <c r="CL39" s="386" t="str">
        <f t="shared" si="41"/>
        <v/>
      </c>
      <c r="CM39" s="386" t="str">
        <f t="shared" si="42"/>
        <v/>
      </c>
      <c r="CN39" s="386" t="str">
        <f t="shared" si="43"/>
        <v>0001-00</v>
      </c>
    </row>
    <row r="40" spans="1:92" ht="15.75" thickBot="1" x14ac:dyDescent="0.3">
      <c r="A40" s="375" t="s">
        <v>161</v>
      </c>
      <c r="B40" s="375" t="s">
        <v>162</v>
      </c>
      <c r="C40" s="375" t="s">
        <v>367</v>
      </c>
      <c r="D40" s="375" t="s">
        <v>354</v>
      </c>
      <c r="E40" s="375" t="s">
        <v>165</v>
      </c>
      <c r="F40" s="376" t="s">
        <v>166</v>
      </c>
      <c r="G40" s="375" t="s">
        <v>167</v>
      </c>
      <c r="H40" s="377"/>
      <c r="I40" s="377"/>
      <c r="J40" s="375" t="s">
        <v>168</v>
      </c>
      <c r="K40" s="375" t="s">
        <v>355</v>
      </c>
      <c r="L40" s="375" t="s">
        <v>185</v>
      </c>
      <c r="M40" s="375" t="s">
        <v>177</v>
      </c>
      <c r="N40" s="375" t="s">
        <v>262</v>
      </c>
      <c r="O40" s="378">
        <v>0</v>
      </c>
      <c r="P40" s="384">
        <v>1</v>
      </c>
      <c r="Q40" s="384">
        <v>0</v>
      </c>
      <c r="R40" s="379">
        <v>0</v>
      </c>
      <c r="S40" s="384">
        <v>0</v>
      </c>
      <c r="T40" s="379">
        <v>73027.88</v>
      </c>
      <c r="U40" s="379">
        <v>0</v>
      </c>
      <c r="V40" s="379">
        <v>5986.91</v>
      </c>
      <c r="W40" s="379">
        <v>73027.88</v>
      </c>
      <c r="X40" s="379">
        <v>5986.91</v>
      </c>
      <c r="Y40" s="379">
        <v>73027.88</v>
      </c>
      <c r="Z40" s="379">
        <v>5986.91</v>
      </c>
      <c r="AA40" s="377"/>
      <c r="AB40" s="375" t="s">
        <v>45</v>
      </c>
      <c r="AC40" s="375" t="s">
        <v>45</v>
      </c>
      <c r="AD40" s="377"/>
      <c r="AE40" s="377"/>
      <c r="AF40" s="377"/>
      <c r="AG40" s="377"/>
      <c r="AH40" s="378">
        <v>0</v>
      </c>
      <c r="AI40" s="378">
        <v>0</v>
      </c>
      <c r="AJ40" s="377"/>
      <c r="AK40" s="377"/>
      <c r="AL40" s="375" t="s">
        <v>173</v>
      </c>
      <c r="AM40" s="377"/>
      <c r="AN40" s="377"/>
      <c r="AO40" s="378">
        <v>0</v>
      </c>
      <c r="AP40" s="384">
        <v>0</v>
      </c>
      <c r="AQ40" s="384">
        <v>0</v>
      </c>
      <c r="AR40" s="382"/>
      <c r="AS40" s="386">
        <f t="shared" si="27"/>
        <v>0</v>
      </c>
      <c r="AT40">
        <f t="shared" si="28"/>
        <v>0</v>
      </c>
      <c r="AU40" s="386" t="str">
        <f>IF(AT40=0,"",IF(AND(AT40=1,M40="F",SUMIF(C2:C557,C40,AS2:AS557)&lt;=1),SUMIF(C2:C557,C40,AS2:AS557),IF(AND(AT40=1,M40="F",SUMIF(C2:C557,C40,AS2:AS557)&gt;1),1,"")))</f>
        <v/>
      </c>
      <c r="AV40" s="386" t="str">
        <f>IF(AT40=0,"",IF(AND(AT40=3,M40="F",SUMIF(C2:C557,C40,AS2:AS557)&lt;=1),SUMIF(C2:C557,C40,AS2:AS557),IF(AND(AT40=3,M40="F",SUMIF(C2:C557,C40,AS2:AS557)&gt;1),1,"")))</f>
        <v/>
      </c>
      <c r="AW40" s="386">
        <f>SUMIF(C2:C557,C40,O2:O557)</f>
        <v>0</v>
      </c>
      <c r="AX40" s="386">
        <f>IF(AND(M40="F",AS40&lt;&gt;0),SUMIF(C2:C557,C40,W2:W557),0)</f>
        <v>0</v>
      </c>
      <c r="AY40" s="386" t="str">
        <f t="shared" si="29"/>
        <v/>
      </c>
      <c r="AZ40" s="386" t="str">
        <f t="shared" si="30"/>
        <v/>
      </c>
      <c r="BA40" s="386">
        <f t="shared" si="31"/>
        <v>0</v>
      </c>
      <c r="BB40" s="386">
        <f t="shared" si="0"/>
        <v>0</v>
      </c>
      <c r="BC40" s="386">
        <f t="shared" si="1"/>
        <v>0</v>
      </c>
      <c r="BD40" s="386">
        <f t="shared" si="2"/>
        <v>0</v>
      </c>
      <c r="BE40" s="386">
        <f t="shared" si="3"/>
        <v>0</v>
      </c>
      <c r="BF40" s="386">
        <f t="shared" si="4"/>
        <v>0</v>
      </c>
      <c r="BG40" s="386">
        <f t="shared" si="5"/>
        <v>0</v>
      </c>
      <c r="BH40" s="386">
        <f t="shared" si="6"/>
        <v>0</v>
      </c>
      <c r="BI40" s="386">
        <f t="shared" si="7"/>
        <v>0</v>
      </c>
      <c r="BJ40" s="386">
        <f t="shared" si="8"/>
        <v>0</v>
      </c>
      <c r="BK40" s="386">
        <f t="shared" si="9"/>
        <v>0</v>
      </c>
      <c r="BL40" s="386">
        <f t="shared" si="32"/>
        <v>0</v>
      </c>
      <c r="BM40" s="386">
        <f t="shared" si="33"/>
        <v>0</v>
      </c>
      <c r="BN40" s="386">
        <f t="shared" si="10"/>
        <v>0</v>
      </c>
      <c r="BO40" s="386">
        <f t="shared" si="11"/>
        <v>0</v>
      </c>
      <c r="BP40" s="386">
        <f t="shared" si="12"/>
        <v>0</v>
      </c>
      <c r="BQ40" s="386">
        <f t="shared" si="13"/>
        <v>0</v>
      </c>
      <c r="BR40" s="386">
        <f t="shared" si="14"/>
        <v>0</v>
      </c>
      <c r="BS40" s="386">
        <f t="shared" si="15"/>
        <v>0</v>
      </c>
      <c r="BT40" s="386">
        <f t="shared" si="16"/>
        <v>0</v>
      </c>
      <c r="BU40" s="386">
        <f t="shared" si="17"/>
        <v>0</v>
      </c>
      <c r="BV40" s="386">
        <f t="shared" si="18"/>
        <v>0</v>
      </c>
      <c r="BW40" s="386">
        <f t="shared" si="19"/>
        <v>0</v>
      </c>
      <c r="BX40" s="386">
        <f t="shared" si="34"/>
        <v>0</v>
      </c>
      <c r="BY40" s="386">
        <f t="shared" si="35"/>
        <v>0</v>
      </c>
      <c r="BZ40" s="386">
        <f t="shared" si="36"/>
        <v>0</v>
      </c>
      <c r="CA40" s="386">
        <f t="shared" si="37"/>
        <v>0</v>
      </c>
      <c r="CB40" s="386">
        <f t="shared" si="38"/>
        <v>0</v>
      </c>
      <c r="CC40" s="386">
        <f t="shared" si="20"/>
        <v>0</v>
      </c>
      <c r="CD40" s="386">
        <f t="shared" si="21"/>
        <v>0</v>
      </c>
      <c r="CE40" s="386">
        <f t="shared" si="22"/>
        <v>0</v>
      </c>
      <c r="CF40" s="386">
        <f t="shared" si="23"/>
        <v>0</v>
      </c>
      <c r="CG40" s="386">
        <f t="shared" si="24"/>
        <v>0</v>
      </c>
      <c r="CH40" s="386">
        <f t="shared" si="25"/>
        <v>0</v>
      </c>
      <c r="CI40" s="386">
        <f t="shared" si="26"/>
        <v>0</v>
      </c>
      <c r="CJ40" s="386">
        <f t="shared" si="39"/>
        <v>0</v>
      </c>
      <c r="CK40" s="386" t="str">
        <f t="shared" si="40"/>
        <v/>
      </c>
      <c r="CL40" s="386">
        <f t="shared" si="41"/>
        <v>73027.88</v>
      </c>
      <c r="CM40" s="386">
        <f t="shared" si="42"/>
        <v>5986.91</v>
      </c>
      <c r="CN40" s="386" t="str">
        <f t="shared" si="43"/>
        <v>0001-00</v>
      </c>
    </row>
    <row r="41" spans="1:92" ht="15.75" thickBot="1" x14ac:dyDescent="0.3">
      <c r="A41" s="375" t="s">
        <v>161</v>
      </c>
      <c r="B41" s="375" t="s">
        <v>162</v>
      </c>
      <c r="C41" s="375" t="s">
        <v>368</v>
      </c>
      <c r="D41" s="375" t="s">
        <v>369</v>
      </c>
      <c r="E41" s="375" t="s">
        <v>165</v>
      </c>
      <c r="F41" s="376" t="s">
        <v>166</v>
      </c>
      <c r="G41" s="375" t="s">
        <v>167</v>
      </c>
      <c r="H41" s="377"/>
      <c r="I41" s="377"/>
      <c r="J41" s="375" t="s">
        <v>272</v>
      </c>
      <c r="K41" s="375" t="s">
        <v>370</v>
      </c>
      <c r="L41" s="375" t="s">
        <v>316</v>
      </c>
      <c r="M41" s="375" t="s">
        <v>177</v>
      </c>
      <c r="N41" s="375" t="s">
        <v>199</v>
      </c>
      <c r="O41" s="378">
        <v>1</v>
      </c>
      <c r="P41" s="384">
        <v>0.5</v>
      </c>
      <c r="Q41" s="384">
        <v>0.5</v>
      </c>
      <c r="R41" s="379">
        <v>80</v>
      </c>
      <c r="S41" s="384">
        <v>0.5</v>
      </c>
      <c r="T41" s="379">
        <v>46392.01</v>
      </c>
      <c r="U41" s="379">
        <v>0</v>
      </c>
      <c r="V41" s="379">
        <v>15188.67</v>
      </c>
      <c r="W41" s="379">
        <v>49150.400000000001</v>
      </c>
      <c r="X41" s="379">
        <v>16317.12</v>
      </c>
      <c r="Y41" s="379">
        <v>49150.400000000001</v>
      </c>
      <c r="Z41" s="379">
        <v>16081.2</v>
      </c>
      <c r="AA41" s="375" t="s">
        <v>371</v>
      </c>
      <c r="AB41" s="375" t="s">
        <v>372</v>
      </c>
      <c r="AC41" s="375" t="s">
        <v>373</v>
      </c>
      <c r="AD41" s="375" t="s">
        <v>233</v>
      </c>
      <c r="AE41" s="375" t="s">
        <v>370</v>
      </c>
      <c r="AF41" s="375" t="s">
        <v>374</v>
      </c>
      <c r="AG41" s="375" t="s">
        <v>183</v>
      </c>
      <c r="AH41" s="380">
        <v>47.26</v>
      </c>
      <c r="AI41" s="378">
        <v>15107</v>
      </c>
      <c r="AJ41" s="375" t="s">
        <v>184</v>
      </c>
      <c r="AK41" s="375" t="s">
        <v>185</v>
      </c>
      <c r="AL41" s="375" t="s">
        <v>173</v>
      </c>
      <c r="AM41" s="375" t="s">
        <v>186</v>
      </c>
      <c r="AN41" s="375" t="s">
        <v>68</v>
      </c>
      <c r="AO41" s="378">
        <v>80</v>
      </c>
      <c r="AP41" s="384">
        <v>1</v>
      </c>
      <c r="AQ41" s="384">
        <v>0.5</v>
      </c>
      <c r="AR41" s="383" t="s">
        <v>187</v>
      </c>
      <c r="AS41" s="386">
        <f t="shared" si="27"/>
        <v>0.5</v>
      </c>
      <c r="AT41">
        <f t="shared" si="28"/>
        <v>1</v>
      </c>
      <c r="AU41" s="386">
        <f>IF(AT41=0,"",IF(AND(AT41=1,M41="F",SUMIF(C2:C557,C41,AS2:AS557)&lt;=1),SUMIF(C2:C557,C41,AS2:AS557),IF(AND(AT41=1,M41="F",SUMIF(C2:C557,C41,AS2:AS557)&gt;1),1,"")))</f>
        <v>1</v>
      </c>
      <c r="AV41" s="386" t="str">
        <f>IF(AT41=0,"",IF(AND(AT41=3,M41="F",SUMIF(C2:C557,C41,AS2:AS557)&lt;=1),SUMIF(C2:C557,C41,AS2:AS557),IF(AND(AT41=3,M41="F",SUMIF(C2:C557,C41,AS2:AS557)&gt;1),1,"")))</f>
        <v/>
      </c>
      <c r="AW41" s="386">
        <f>SUMIF(C2:C557,C41,O2:O557)</f>
        <v>3</v>
      </c>
      <c r="AX41" s="386">
        <f>IF(AND(M41="F",AS41&lt;&gt;0),SUMIF(C2:C557,C41,W2:W557),0)</f>
        <v>98300.800000000003</v>
      </c>
      <c r="AY41" s="386">
        <f t="shared" si="29"/>
        <v>49150.400000000001</v>
      </c>
      <c r="AZ41" s="386" t="str">
        <f t="shared" si="30"/>
        <v/>
      </c>
      <c r="BA41" s="386">
        <f t="shared" si="31"/>
        <v>0</v>
      </c>
      <c r="BB41" s="386">
        <f t="shared" si="0"/>
        <v>5825</v>
      </c>
      <c r="BC41" s="386">
        <f t="shared" si="1"/>
        <v>0</v>
      </c>
      <c r="BD41" s="386">
        <f t="shared" si="2"/>
        <v>3047.3247999999999</v>
      </c>
      <c r="BE41" s="386">
        <f t="shared" si="3"/>
        <v>712.68080000000009</v>
      </c>
      <c r="BF41" s="386">
        <f t="shared" si="4"/>
        <v>5868.5577600000006</v>
      </c>
      <c r="BG41" s="386">
        <f t="shared" si="5"/>
        <v>354.37438400000002</v>
      </c>
      <c r="BH41" s="386">
        <f t="shared" si="6"/>
        <v>240.83696</v>
      </c>
      <c r="BI41" s="386">
        <f t="shared" si="7"/>
        <v>150.40022399999998</v>
      </c>
      <c r="BJ41" s="386">
        <f t="shared" si="8"/>
        <v>117.96096</v>
      </c>
      <c r="BK41" s="386">
        <f t="shared" si="9"/>
        <v>0</v>
      </c>
      <c r="BL41" s="386">
        <f t="shared" si="32"/>
        <v>10492.135888000001</v>
      </c>
      <c r="BM41" s="386">
        <f t="shared" si="33"/>
        <v>0</v>
      </c>
      <c r="BN41" s="386">
        <f t="shared" si="10"/>
        <v>5825</v>
      </c>
      <c r="BO41" s="386">
        <f t="shared" si="11"/>
        <v>0</v>
      </c>
      <c r="BP41" s="386">
        <f t="shared" si="12"/>
        <v>3047.3247999999999</v>
      </c>
      <c r="BQ41" s="386">
        <f t="shared" si="13"/>
        <v>712.68080000000009</v>
      </c>
      <c r="BR41" s="386">
        <f t="shared" si="14"/>
        <v>5868.5577600000006</v>
      </c>
      <c r="BS41" s="386">
        <f t="shared" si="15"/>
        <v>354.37438400000002</v>
      </c>
      <c r="BT41" s="386">
        <f t="shared" si="16"/>
        <v>0</v>
      </c>
      <c r="BU41" s="386">
        <f t="shared" si="17"/>
        <v>150.40022399999998</v>
      </c>
      <c r="BV41" s="386">
        <f t="shared" si="18"/>
        <v>122.876</v>
      </c>
      <c r="BW41" s="386">
        <f t="shared" si="19"/>
        <v>0</v>
      </c>
      <c r="BX41" s="386">
        <f t="shared" si="34"/>
        <v>10256.213968</v>
      </c>
      <c r="BY41" s="386">
        <f t="shared" si="35"/>
        <v>0</v>
      </c>
      <c r="BZ41" s="386">
        <f t="shared" si="36"/>
        <v>0</v>
      </c>
      <c r="CA41" s="386">
        <f t="shared" si="37"/>
        <v>0</v>
      </c>
      <c r="CB41" s="386">
        <f t="shared" si="38"/>
        <v>0</v>
      </c>
      <c r="CC41" s="386">
        <f t="shared" si="20"/>
        <v>0</v>
      </c>
      <c r="CD41" s="386">
        <f t="shared" si="21"/>
        <v>0</v>
      </c>
      <c r="CE41" s="386">
        <f t="shared" si="22"/>
        <v>0</v>
      </c>
      <c r="CF41" s="386">
        <f t="shared" si="23"/>
        <v>-240.83696</v>
      </c>
      <c r="CG41" s="386">
        <f t="shared" si="24"/>
        <v>0</v>
      </c>
      <c r="CH41" s="386">
        <f t="shared" si="25"/>
        <v>4.9150400000000127</v>
      </c>
      <c r="CI41" s="386">
        <f t="shared" si="26"/>
        <v>0</v>
      </c>
      <c r="CJ41" s="386">
        <f t="shared" si="39"/>
        <v>-235.92192</v>
      </c>
      <c r="CK41" s="386" t="str">
        <f t="shared" si="40"/>
        <v/>
      </c>
      <c r="CL41" s="386" t="str">
        <f t="shared" si="41"/>
        <v/>
      </c>
      <c r="CM41" s="386" t="str">
        <f t="shared" si="42"/>
        <v/>
      </c>
      <c r="CN41" s="386" t="str">
        <f t="shared" si="43"/>
        <v>0001-00</v>
      </c>
    </row>
    <row r="42" spans="1:92" ht="15.75" thickBot="1" x14ac:dyDescent="0.3">
      <c r="A42" s="375" t="s">
        <v>161</v>
      </c>
      <c r="B42" s="375" t="s">
        <v>162</v>
      </c>
      <c r="C42" s="375" t="s">
        <v>375</v>
      </c>
      <c r="D42" s="375" t="s">
        <v>294</v>
      </c>
      <c r="E42" s="375" t="s">
        <v>165</v>
      </c>
      <c r="F42" s="376" t="s">
        <v>166</v>
      </c>
      <c r="G42" s="375" t="s">
        <v>167</v>
      </c>
      <c r="H42" s="377"/>
      <c r="I42" s="377"/>
      <c r="J42" s="375" t="s">
        <v>168</v>
      </c>
      <c r="K42" s="375" t="s">
        <v>295</v>
      </c>
      <c r="L42" s="375" t="s">
        <v>173</v>
      </c>
      <c r="M42" s="375" t="s">
        <v>171</v>
      </c>
      <c r="N42" s="375" t="s">
        <v>199</v>
      </c>
      <c r="O42" s="378">
        <v>0</v>
      </c>
      <c r="P42" s="384">
        <v>1</v>
      </c>
      <c r="Q42" s="384">
        <v>1</v>
      </c>
      <c r="R42" s="379">
        <v>80</v>
      </c>
      <c r="S42" s="384">
        <v>1</v>
      </c>
      <c r="T42" s="379">
        <v>0</v>
      </c>
      <c r="U42" s="379">
        <v>0</v>
      </c>
      <c r="V42" s="379">
        <v>-485.42</v>
      </c>
      <c r="W42" s="379">
        <v>66788.800000000003</v>
      </c>
      <c r="X42" s="379">
        <v>29253.49</v>
      </c>
      <c r="Y42" s="379">
        <v>66788.800000000003</v>
      </c>
      <c r="Z42" s="379">
        <v>28919.55</v>
      </c>
      <c r="AA42" s="377"/>
      <c r="AB42" s="375" t="s">
        <v>45</v>
      </c>
      <c r="AC42" s="375" t="s">
        <v>45</v>
      </c>
      <c r="AD42" s="377"/>
      <c r="AE42" s="377"/>
      <c r="AF42" s="377"/>
      <c r="AG42" s="377"/>
      <c r="AH42" s="378">
        <v>0</v>
      </c>
      <c r="AI42" s="378">
        <v>0</v>
      </c>
      <c r="AJ42" s="377"/>
      <c r="AK42" s="377"/>
      <c r="AL42" s="375" t="s">
        <v>173</v>
      </c>
      <c r="AM42" s="377"/>
      <c r="AN42" s="377"/>
      <c r="AO42" s="378">
        <v>0</v>
      </c>
      <c r="AP42" s="384">
        <v>0</v>
      </c>
      <c r="AQ42" s="384">
        <v>0</v>
      </c>
      <c r="AR42" s="382"/>
      <c r="AS42" s="386">
        <f t="shared" si="27"/>
        <v>0</v>
      </c>
      <c r="AT42">
        <f t="shared" si="28"/>
        <v>0</v>
      </c>
      <c r="AU42" s="386" t="str">
        <f>IF(AT42=0,"",IF(AND(AT42=1,M42="F",SUMIF(C2:C557,C42,AS2:AS557)&lt;=1),SUMIF(C2:C557,C42,AS2:AS557),IF(AND(AT42=1,M42="F",SUMIF(C2:C557,C42,AS2:AS557)&gt;1),1,"")))</f>
        <v/>
      </c>
      <c r="AV42" s="386" t="str">
        <f>IF(AT42=0,"",IF(AND(AT42=3,M42="F",SUMIF(C2:C557,C42,AS2:AS557)&lt;=1),SUMIF(C2:C557,C42,AS2:AS557),IF(AND(AT42=3,M42="F",SUMIF(C2:C557,C42,AS2:AS557)&gt;1),1,"")))</f>
        <v/>
      </c>
      <c r="AW42" s="386">
        <f>SUMIF(C2:C557,C42,O2:O557)</f>
        <v>0</v>
      </c>
      <c r="AX42" s="386">
        <f>IF(AND(M42="F",AS42&lt;&gt;0),SUMIF(C2:C557,C42,W2:W557),0)</f>
        <v>0</v>
      </c>
      <c r="AY42" s="386" t="str">
        <f t="shared" si="29"/>
        <v/>
      </c>
      <c r="AZ42" s="386" t="str">
        <f t="shared" si="30"/>
        <v/>
      </c>
      <c r="BA42" s="386">
        <f t="shared" si="31"/>
        <v>0</v>
      </c>
      <c r="BB42" s="386">
        <f t="shared" si="0"/>
        <v>0</v>
      </c>
      <c r="BC42" s="386">
        <f t="shared" si="1"/>
        <v>0</v>
      </c>
      <c r="BD42" s="386">
        <f t="shared" si="2"/>
        <v>0</v>
      </c>
      <c r="BE42" s="386">
        <f t="shared" si="3"/>
        <v>0</v>
      </c>
      <c r="BF42" s="386">
        <f t="shared" si="4"/>
        <v>0</v>
      </c>
      <c r="BG42" s="386">
        <f t="shared" si="5"/>
        <v>0</v>
      </c>
      <c r="BH42" s="386">
        <f t="shared" si="6"/>
        <v>0</v>
      </c>
      <c r="BI42" s="386">
        <f t="shared" si="7"/>
        <v>0</v>
      </c>
      <c r="BJ42" s="386">
        <f t="shared" si="8"/>
        <v>0</v>
      </c>
      <c r="BK42" s="386">
        <f t="shared" si="9"/>
        <v>0</v>
      </c>
      <c r="BL42" s="386">
        <f t="shared" si="32"/>
        <v>0</v>
      </c>
      <c r="BM42" s="386">
        <f t="shared" si="33"/>
        <v>0</v>
      </c>
      <c r="BN42" s="386">
        <f t="shared" si="10"/>
        <v>0</v>
      </c>
      <c r="BO42" s="386">
        <f t="shared" si="11"/>
        <v>0</v>
      </c>
      <c r="BP42" s="386">
        <f t="shared" si="12"/>
        <v>0</v>
      </c>
      <c r="BQ42" s="386">
        <f t="shared" si="13"/>
        <v>0</v>
      </c>
      <c r="BR42" s="386">
        <f t="shared" si="14"/>
        <v>0</v>
      </c>
      <c r="BS42" s="386">
        <f t="shared" si="15"/>
        <v>0</v>
      </c>
      <c r="BT42" s="386">
        <f t="shared" si="16"/>
        <v>0</v>
      </c>
      <c r="BU42" s="386">
        <f t="shared" si="17"/>
        <v>0</v>
      </c>
      <c r="BV42" s="386">
        <f t="shared" si="18"/>
        <v>0</v>
      </c>
      <c r="BW42" s="386">
        <f t="shared" si="19"/>
        <v>0</v>
      </c>
      <c r="BX42" s="386">
        <f t="shared" si="34"/>
        <v>0</v>
      </c>
      <c r="BY42" s="386">
        <f t="shared" si="35"/>
        <v>0</v>
      </c>
      <c r="BZ42" s="386">
        <f t="shared" si="36"/>
        <v>0</v>
      </c>
      <c r="CA42" s="386">
        <f t="shared" si="37"/>
        <v>0</v>
      </c>
      <c r="CB42" s="386">
        <f t="shared" si="38"/>
        <v>0</v>
      </c>
      <c r="CC42" s="386">
        <f t="shared" si="20"/>
        <v>0</v>
      </c>
      <c r="CD42" s="386">
        <f t="shared" si="21"/>
        <v>0</v>
      </c>
      <c r="CE42" s="386">
        <f t="shared" si="22"/>
        <v>0</v>
      </c>
      <c r="CF42" s="386">
        <f t="shared" si="23"/>
        <v>0</v>
      </c>
      <c r="CG42" s="386">
        <f t="shared" si="24"/>
        <v>0</v>
      </c>
      <c r="CH42" s="386">
        <f t="shared" si="25"/>
        <v>0</v>
      </c>
      <c r="CI42" s="386">
        <f t="shared" si="26"/>
        <v>0</v>
      </c>
      <c r="CJ42" s="386">
        <f t="shared" si="39"/>
        <v>0</v>
      </c>
      <c r="CK42" s="386" t="str">
        <f t="shared" si="40"/>
        <v/>
      </c>
      <c r="CL42" s="386" t="str">
        <f t="shared" si="41"/>
        <v/>
      </c>
      <c r="CM42" s="386" t="str">
        <f t="shared" si="42"/>
        <v/>
      </c>
      <c r="CN42" s="386" t="str">
        <f t="shared" si="43"/>
        <v>0001-00</v>
      </c>
    </row>
    <row r="43" spans="1:92" ht="15.75" thickBot="1" x14ac:dyDescent="0.3">
      <c r="A43" s="375" t="s">
        <v>161</v>
      </c>
      <c r="B43" s="375" t="s">
        <v>162</v>
      </c>
      <c r="C43" s="375" t="s">
        <v>376</v>
      </c>
      <c r="D43" s="375" t="s">
        <v>294</v>
      </c>
      <c r="E43" s="375" t="s">
        <v>165</v>
      </c>
      <c r="F43" s="376" t="s">
        <v>166</v>
      </c>
      <c r="G43" s="375" t="s">
        <v>167</v>
      </c>
      <c r="H43" s="377"/>
      <c r="I43" s="377"/>
      <c r="J43" s="375" t="s">
        <v>168</v>
      </c>
      <c r="K43" s="375" t="s">
        <v>295</v>
      </c>
      <c r="L43" s="375" t="s">
        <v>173</v>
      </c>
      <c r="M43" s="375" t="s">
        <v>177</v>
      </c>
      <c r="N43" s="375" t="s">
        <v>199</v>
      </c>
      <c r="O43" s="378">
        <v>1</v>
      </c>
      <c r="P43" s="384">
        <v>1</v>
      </c>
      <c r="Q43" s="384">
        <v>1</v>
      </c>
      <c r="R43" s="379">
        <v>80</v>
      </c>
      <c r="S43" s="384">
        <v>1</v>
      </c>
      <c r="T43" s="379">
        <v>46294.41</v>
      </c>
      <c r="U43" s="379">
        <v>0</v>
      </c>
      <c r="V43" s="379">
        <v>18168.759999999998</v>
      </c>
      <c r="W43" s="379">
        <v>63294.400000000001</v>
      </c>
      <c r="X43" s="379">
        <v>25161.43</v>
      </c>
      <c r="Y43" s="379">
        <v>63294.400000000001</v>
      </c>
      <c r="Z43" s="379">
        <v>24857.62</v>
      </c>
      <c r="AA43" s="375" t="s">
        <v>377</v>
      </c>
      <c r="AB43" s="375" t="s">
        <v>378</v>
      </c>
      <c r="AC43" s="375" t="s">
        <v>379</v>
      </c>
      <c r="AD43" s="375" t="s">
        <v>244</v>
      </c>
      <c r="AE43" s="375" t="s">
        <v>295</v>
      </c>
      <c r="AF43" s="375" t="s">
        <v>305</v>
      </c>
      <c r="AG43" s="375" t="s">
        <v>183</v>
      </c>
      <c r="AH43" s="380">
        <v>30.43</v>
      </c>
      <c r="AI43" s="378">
        <v>16640</v>
      </c>
      <c r="AJ43" s="375" t="s">
        <v>184</v>
      </c>
      <c r="AK43" s="375" t="s">
        <v>185</v>
      </c>
      <c r="AL43" s="375" t="s">
        <v>173</v>
      </c>
      <c r="AM43" s="375" t="s">
        <v>186</v>
      </c>
      <c r="AN43" s="375" t="s">
        <v>68</v>
      </c>
      <c r="AO43" s="378">
        <v>80</v>
      </c>
      <c r="AP43" s="384">
        <v>1</v>
      </c>
      <c r="AQ43" s="384">
        <v>1</v>
      </c>
      <c r="AR43" s="383" t="s">
        <v>187</v>
      </c>
      <c r="AS43" s="386">
        <f t="shared" si="27"/>
        <v>1</v>
      </c>
      <c r="AT43">
        <f t="shared" si="28"/>
        <v>1</v>
      </c>
      <c r="AU43" s="386">
        <f>IF(AT43=0,"",IF(AND(AT43=1,M43="F",SUMIF(C2:C557,C43,AS2:AS557)&lt;=1),SUMIF(C2:C557,C43,AS2:AS557),IF(AND(AT43=1,M43="F",SUMIF(C2:C557,C43,AS2:AS557)&gt;1),1,"")))</f>
        <v>1</v>
      </c>
      <c r="AV43" s="386" t="str">
        <f>IF(AT43=0,"",IF(AND(AT43=3,M43="F",SUMIF(C2:C557,C43,AS2:AS557)&lt;=1),SUMIF(C2:C557,C43,AS2:AS557),IF(AND(AT43=3,M43="F",SUMIF(C2:C557,C43,AS2:AS557)&gt;1),1,"")))</f>
        <v/>
      </c>
      <c r="AW43" s="386">
        <f>SUMIF(C2:C557,C43,O2:O557)</f>
        <v>1</v>
      </c>
      <c r="AX43" s="386">
        <f>IF(AND(M43="F",AS43&lt;&gt;0),SUMIF(C2:C557,C43,W2:W557),0)</f>
        <v>63294.400000000001</v>
      </c>
      <c r="AY43" s="386">
        <f t="shared" si="29"/>
        <v>63294.400000000001</v>
      </c>
      <c r="AZ43" s="386" t="str">
        <f t="shared" si="30"/>
        <v/>
      </c>
      <c r="BA43" s="386">
        <f t="shared" si="31"/>
        <v>0</v>
      </c>
      <c r="BB43" s="386">
        <f t="shared" si="0"/>
        <v>11650</v>
      </c>
      <c r="BC43" s="386">
        <f t="shared" si="1"/>
        <v>0</v>
      </c>
      <c r="BD43" s="386">
        <f t="shared" si="2"/>
        <v>3924.2528000000002</v>
      </c>
      <c r="BE43" s="386">
        <f t="shared" si="3"/>
        <v>917.76880000000006</v>
      </c>
      <c r="BF43" s="386">
        <f t="shared" si="4"/>
        <v>7557.3513600000006</v>
      </c>
      <c r="BG43" s="386">
        <f t="shared" si="5"/>
        <v>456.35262400000005</v>
      </c>
      <c r="BH43" s="386">
        <f t="shared" si="6"/>
        <v>310.14256</v>
      </c>
      <c r="BI43" s="386">
        <f t="shared" si="7"/>
        <v>193.68086399999999</v>
      </c>
      <c r="BJ43" s="386">
        <f t="shared" si="8"/>
        <v>151.90655999999998</v>
      </c>
      <c r="BK43" s="386">
        <f t="shared" si="9"/>
        <v>0</v>
      </c>
      <c r="BL43" s="386">
        <f t="shared" si="32"/>
        <v>13511.455567999999</v>
      </c>
      <c r="BM43" s="386">
        <f t="shared" si="33"/>
        <v>0</v>
      </c>
      <c r="BN43" s="386">
        <f t="shared" si="10"/>
        <v>11650</v>
      </c>
      <c r="BO43" s="386">
        <f t="shared" si="11"/>
        <v>0</v>
      </c>
      <c r="BP43" s="386">
        <f t="shared" si="12"/>
        <v>3924.2528000000002</v>
      </c>
      <c r="BQ43" s="386">
        <f t="shared" si="13"/>
        <v>917.76880000000006</v>
      </c>
      <c r="BR43" s="386">
        <f t="shared" si="14"/>
        <v>7557.3513600000006</v>
      </c>
      <c r="BS43" s="386">
        <f t="shared" si="15"/>
        <v>456.35262400000005</v>
      </c>
      <c r="BT43" s="386">
        <f t="shared" si="16"/>
        <v>0</v>
      </c>
      <c r="BU43" s="386">
        <f t="shared" si="17"/>
        <v>193.68086399999999</v>
      </c>
      <c r="BV43" s="386">
        <f t="shared" si="18"/>
        <v>158.23600000000002</v>
      </c>
      <c r="BW43" s="386">
        <f t="shared" si="19"/>
        <v>0</v>
      </c>
      <c r="BX43" s="386">
        <f t="shared" si="34"/>
        <v>13207.642448000001</v>
      </c>
      <c r="BY43" s="386">
        <f t="shared" si="35"/>
        <v>0</v>
      </c>
      <c r="BZ43" s="386">
        <f t="shared" si="36"/>
        <v>0</v>
      </c>
      <c r="CA43" s="386">
        <f t="shared" si="37"/>
        <v>0</v>
      </c>
      <c r="CB43" s="386">
        <f t="shared" si="38"/>
        <v>0</v>
      </c>
      <c r="CC43" s="386">
        <f t="shared" si="20"/>
        <v>0</v>
      </c>
      <c r="CD43" s="386">
        <f t="shared" si="21"/>
        <v>0</v>
      </c>
      <c r="CE43" s="386">
        <f t="shared" si="22"/>
        <v>0</v>
      </c>
      <c r="CF43" s="386">
        <f t="shared" si="23"/>
        <v>-310.14256</v>
      </c>
      <c r="CG43" s="386">
        <f t="shared" si="24"/>
        <v>0</v>
      </c>
      <c r="CH43" s="386">
        <f t="shared" si="25"/>
        <v>6.3294400000000168</v>
      </c>
      <c r="CI43" s="386">
        <f t="shared" si="26"/>
        <v>0</v>
      </c>
      <c r="CJ43" s="386">
        <f t="shared" si="39"/>
        <v>-303.81311999999997</v>
      </c>
      <c r="CK43" s="386" t="str">
        <f t="shared" si="40"/>
        <v/>
      </c>
      <c r="CL43" s="386" t="str">
        <f t="shared" si="41"/>
        <v/>
      </c>
      <c r="CM43" s="386" t="str">
        <f t="shared" si="42"/>
        <v/>
      </c>
      <c r="CN43" s="386" t="str">
        <f t="shared" si="43"/>
        <v>0001-00</v>
      </c>
    </row>
    <row r="44" spans="1:92" ht="15.75" thickBot="1" x14ac:dyDescent="0.3">
      <c r="A44" s="375" t="s">
        <v>161</v>
      </c>
      <c r="B44" s="375" t="s">
        <v>162</v>
      </c>
      <c r="C44" s="375" t="s">
        <v>380</v>
      </c>
      <c r="D44" s="375" t="s">
        <v>247</v>
      </c>
      <c r="E44" s="375" t="s">
        <v>165</v>
      </c>
      <c r="F44" s="376" t="s">
        <v>166</v>
      </c>
      <c r="G44" s="375" t="s">
        <v>167</v>
      </c>
      <c r="H44" s="377"/>
      <c r="I44" s="377"/>
      <c r="J44" s="375" t="s">
        <v>218</v>
      </c>
      <c r="K44" s="375" t="s">
        <v>268</v>
      </c>
      <c r="L44" s="375" t="s">
        <v>170</v>
      </c>
      <c r="M44" s="375" t="s">
        <v>177</v>
      </c>
      <c r="N44" s="375" t="s">
        <v>199</v>
      </c>
      <c r="O44" s="378">
        <v>1</v>
      </c>
      <c r="P44" s="384">
        <v>0.6</v>
      </c>
      <c r="Q44" s="384">
        <v>0.6</v>
      </c>
      <c r="R44" s="379">
        <v>80</v>
      </c>
      <c r="S44" s="384">
        <v>0.6</v>
      </c>
      <c r="T44" s="379">
        <v>0</v>
      </c>
      <c r="U44" s="379">
        <v>0</v>
      </c>
      <c r="V44" s="379">
        <v>0</v>
      </c>
      <c r="W44" s="379">
        <v>26931.84</v>
      </c>
      <c r="X44" s="379">
        <v>12739.12</v>
      </c>
      <c r="Y44" s="379">
        <v>26931.84</v>
      </c>
      <c r="Z44" s="379">
        <v>12609.85</v>
      </c>
      <c r="AA44" s="375" t="s">
        <v>381</v>
      </c>
      <c r="AB44" s="375" t="s">
        <v>382</v>
      </c>
      <c r="AC44" s="375" t="s">
        <v>383</v>
      </c>
      <c r="AD44" s="375" t="s">
        <v>181</v>
      </c>
      <c r="AE44" s="375" t="s">
        <v>284</v>
      </c>
      <c r="AF44" s="375" t="s">
        <v>245</v>
      </c>
      <c r="AG44" s="375" t="s">
        <v>183</v>
      </c>
      <c r="AH44" s="380">
        <v>21.58</v>
      </c>
      <c r="AI44" s="378">
        <v>1600</v>
      </c>
      <c r="AJ44" s="375" t="s">
        <v>184</v>
      </c>
      <c r="AK44" s="375" t="s">
        <v>185</v>
      </c>
      <c r="AL44" s="375" t="s">
        <v>173</v>
      </c>
      <c r="AM44" s="375" t="s">
        <v>186</v>
      </c>
      <c r="AN44" s="375" t="s">
        <v>68</v>
      </c>
      <c r="AO44" s="378">
        <v>80</v>
      </c>
      <c r="AP44" s="384">
        <v>1</v>
      </c>
      <c r="AQ44" s="384">
        <v>0.6</v>
      </c>
      <c r="AR44" s="383">
        <v>3</v>
      </c>
      <c r="AS44" s="386">
        <f t="shared" si="27"/>
        <v>0.6</v>
      </c>
      <c r="AT44">
        <f t="shared" si="28"/>
        <v>1</v>
      </c>
      <c r="AU44" s="386">
        <f>IF(AT44=0,"",IF(AND(AT44=1,M44="F",SUMIF(C2:C557,C44,AS2:AS557)&lt;=1),SUMIF(C2:C557,C44,AS2:AS557),IF(AND(AT44=1,M44="F",SUMIF(C2:C557,C44,AS2:AS557)&gt;1),1,"")))</f>
        <v>1</v>
      </c>
      <c r="AV44" s="386" t="str">
        <f>IF(AT44=0,"",IF(AND(AT44=3,M44="F",SUMIF(C2:C557,C44,AS2:AS557)&lt;=1),SUMIF(C2:C557,C44,AS2:AS557),IF(AND(AT44=3,M44="F",SUMIF(C2:C557,C44,AS2:AS557)&gt;1),1,"")))</f>
        <v/>
      </c>
      <c r="AW44" s="386">
        <f>SUMIF(C2:C557,C44,O2:O557)</f>
        <v>4</v>
      </c>
      <c r="AX44" s="386">
        <f>IF(AND(M44="F",AS44&lt;&gt;0),SUMIF(C2:C557,C44,W2:W557),0)</f>
        <v>44886.400000000001</v>
      </c>
      <c r="AY44" s="386">
        <f t="shared" si="29"/>
        <v>26931.84</v>
      </c>
      <c r="AZ44" s="386" t="str">
        <f t="shared" si="30"/>
        <v/>
      </c>
      <c r="BA44" s="386">
        <f t="shared" si="31"/>
        <v>0</v>
      </c>
      <c r="BB44" s="386">
        <f t="shared" si="0"/>
        <v>6990</v>
      </c>
      <c r="BC44" s="386">
        <f t="shared" si="1"/>
        <v>0</v>
      </c>
      <c r="BD44" s="386">
        <f t="shared" si="2"/>
        <v>1669.7740799999999</v>
      </c>
      <c r="BE44" s="386">
        <f t="shared" si="3"/>
        <v>390.51168000000001</v>
      </c>
      <c r="BF44" s="386">
        <f t="shared" si="4"/>
        <v>3215.6616960000001</v>
      </c>
      <c r="BG44" s="386">
        <f t="shared" si="5"/>
        <v>194.17856639999999</v>
      </c>
      <c r="BH44" s="386">
        <f t="shared" si="6"/>
        <v>131.966016</v>
      </c>
      <c r="BI44" s="386">
        <f t="shared" si="7"/>
        <v>82.4114304</v>
      </c>
      <c r="BJ44" s="386">
        <f t="shared" si="8"/>
        <v>64.636415999999997</v>
      </c>
      <c r="BK44" s="386">
        <f t="shared" si="9"/>
        <v>0</v>
      </c>
      <c r="BL44" s="386">
        <f t="shared" si="32"/>
        <v>5749.1398848000008</v>
      </c>
      <c r="BM44" s="386">
        <f t="shared" si="33"/>
        <v>0</v>
      </c>
      <c r="BN44" s="386">
        <f t="shared" si="10"/>
        <v>6990</v>
      </c>
      <c r="BO44" s="386">
        <f t="shared" si="11"/>
        <v>0</v>
      </c>
      <c r="BP44" s="386">
        <f t="shared" si="12"/>
        <v>1669.7740799999999</v>
      </c>
      <c r="BQ44" s="386">
        <f t="shared" si="13"/>
        <v>390.51168000000001</v>
      </c>
      <c r="BR44" s="386">
        <f t="shared" si="14"/>
        <v>3215.6616960000001</v>
      </c>
      <c r="BS44" s="386">
        <f t="shared" si="15"/>
        <v>194.17856639999999</v>
      </c>
      <c r="BT44" s="386">
        <f t="shared" si="16"/>
        <v>0</v>
      </c>
      <c r="BU44" s="386">
        <f t="shared" si="17"/>
        <v>82.4114304</v>
      </c>
      <c r="BV44" s="386">
        <f t="shared" si="18"/>
        <v>67.329599999999999</v>
      </c>
      <c r="BW44" s="386">
        <f t="shared" si="19"/>
        <v>0</v>
      </c>
      <c r="BX44" s="386">
        <f t="shared" si="34"/>
        <v>5619.8670528000002</v>
      </c>
      <c r="BY44" s="386">
        <f t="shared" si="35"/>
        <v>0</v>
      </c>
      <c r="BZ44" s="386">
        <f t="shared" si="36"/>
        <v>0</v>
      </c>
      <c r="CA44" s="386">
        <f t="shared" si="37"/>
        <v>0</v>
      </c>
      <c r="CB44" s="386">
        <f t="shared" si="38"/>
        <v>0</v>
      </c>
      <c r="CC44" s="386">
        <f t="shared" si="20"/>
        <v>0</v>
      </c>
      <c r="CD44" s="386">
        <f t="shared" si="21"/>
        <v>0</v>
      </c>
      <c r="CE44" s="386">
        <f t="shared" si="22"/>
        <v>0</v>
      </c>
      <c r="CF44" s="386">
        <f t="shared" si="23"/>
        <v>-131.966016</v>
      </c>
      <c r="CG44" s="386">
        <f t="shared" si="24"/>
        <v>0</v>
      </c>
      <c r="CH44" s="386">
        <f t="shared" si="25"/>
        <v>2.6931840000000071</v>
      </c>
      <c r="CI44" s="386">
        <f t="shared" si="26"/>
        <v>0</v>
      </c>
      <c r="CJ44" s="386">
        <f t="shared" si="39"/>
        <v>-129.27283199999999</v>
      </c>
      <c r="CK44" s="386" t="str">
        <f t="shared" si="40"/>
        <v/>
      </c>
      <c r="CL44" s="386" t="str">
        <f t="shared" si="41"/>
        <v/>
      </c>
      <c r="CM44" s="386" t="str">
        <f t="shared" si="42"/>
        <v/>
      </c>
      <c r="CN44" s="386" t="str">
        <f t="shared" si="43"/>
        <v>0001-00</v>
      </c>
    </row>
    <row r="45" spans="1:92" ht="15.75" thickBot="1" x14ac:dyDescent="0.3">
      <c r="A45" s="375" t="s">
        <v>161</v>
      </c>
      <c r="B45" s="375" t="s">
        <v>162</v>
      </c>
      <c r="C45" s="375" t="s">
        <v>384</v>
      </c>
      <c r="D45" s="375" t="s">
        <v>271</v>
      </c>
      <c r="E45" s="375" t="s">
        <v>165</v>
      </c>
      <c r="F45" s="376" t="s">
        <v>166</v>
      </c>
      <c r="G45" s="375" t="s">
        <v>167</v>
      </c>
      <c r="H45" s="377"/>
      <c r="I45" s="377"/>
      <c r="J45" s="375" t="s">
        <v>168</v>
      </c>
      <c r="K45" s="375" t="s">
        <v>273</v>
      </c>
      <c r="L45" s="375" t="s">
        <v>274</v>
      </c>
      <c r="M45" s="375" t="s">
        <v>177</v>
      </c>
      <c r="N45" s="375" t="s">
        <v>199</v>
      </c>
      <c r="O45" s="378">
        <v>1</v>
      </c>
      <c r="P45" s="384">
        <v>1</v>
      </c>
      <c r="Q45" s="384">
        <v>1</v>
      </c>
      <c r="R45" s="379">
        <v>80</v>
      </c>
      <c r="S45" s="384">
        <v>1</v>
      </c>
      <c r="T45" s="379">
        <v>77531.25</v>
      </c>
      <c r="U45" s="379">
        <v>0</v>
      </c>
      <c r="V45" s="379">
        <v>27362.080000000002</v>
      </c>
      <c r="W45" s="379">
        <v>80329.600000000006</v>
      </c>
      <c r="X45" s="379">
        <v>28797.919999999998</v>
      </c>
      <c r="Y45" s="379">
        <v>80329.600000000006</v>
      </c>
      <c r="Z45" s="379">
        <v>28412.34</v>
      </c>
      <c r="AA45" s="375" t="s">
        <v>385</v>
      </c>
      <c r="AB45" s="375" t="s">
        <v>386</v>
      </c>
      <c r="AC45" s="375" t="s">
        <v>387</v>
      </c>
      <c r="AD45" s="375" t="s">
        <v>352</v>
      </c>
      <c r="AE45" s="375" t="s">
        <v>273</v>
      </c>
      <c r="AF45" s="375" t="s">
        <v>388</v>
      </c>
      <c r="AG45" s="375" t="s">
        <v>183</v>
      </c>
      <c r="AH45" s="380">
        <v>38.619999999999997</v>
      </c>
      <c r="AI45" s="380">
        <v>30922.5</v>
      </c>
      <c r="AJ45" s="375" t="s">
        <v>184</v>
      </c>
      <c r="AK45" s="375" t="s">
        <v>185</v>
      </c>
      <c r="AL45" s="375" t="s">
        <v>173</v>
      </c>
      <c r="AM45" s="375" t="s">
        <v>186</v>
      </c>
      <c r="AN45" s="375" t="s">
        <v>68</v>
      </c>
      <c r="AO45" s="378">
        <v>80</v>
      </c>
      <c r="AP45" s="384">
        <v>1</v>
      </c>
      <c r="AQ45" s="384">
        <v>1</v>
      </c>
      <c r="AR45" s="383" t="s">
        <v>187</v>
      </c>
      <c r="AS45" s="386">
        <f t="shared" si="27"/>
        <v>1</v>
      </c>
      <c r="AT45">
        <f t="shared" si="28"/>
        <v>1</v>
      </c>
      <c r="AU45" s="386">
        <f>IF(AT45=0,"",IF(AND(AT45=1,M45="F",SUMIF(C2:C557,C45,AS2:AS557)&lt;=1),SUMIF(C2:C557,C45,AS2:AS557),IF(AND(AT45=1,M45="F",SUMIF(C2:C557,C45,AS2:AS557)&gt;1),1,"")))</f>
        <v>1</v>
      </c>
      <c r="AV45" s="386" t="str">
        <f>IF(AT45=0,"",IF(AND(AT45=3,M45="F",SUMIF(C2:C557,C45,AS2:AS557)&lt;=1),SUMIF(C2:C557,C45,AS2:AS557),IF(AND(AT45=3,M45="F",SUMIF(C2:C557,C45,AS2:AS557)&gt;1),1,"")))</f>
        <v/>
      </c>
      <c r="AW45" s="386">
        <f>SUMIF(C2:C557,C45,O2:O557)</f>
        <v>1</v>
      </c>
      <c r="AX45" s="386">
        <f>IF(AND(M45="F",AS45&lt;&gt;0),SUMIF(C2:C557,C45,W2:W557),0)</f>
        <v>80329.600000000006</v>
      </c>
      <c r="AY45" s="386">
        <f t="shared" si="29"/>
        <v>80329.600000000006</v>
      </c>
      <c r="AZ45" s="386" t="str">
        <f t="shared" si="30"/>
        <v/>
      </c>
      <c r="BA45" s="386">
        <f t="shared" si="31"/>
        <v>0</v>
      </c>
      <c r="BB45" s="386">
        <f t="shared" si="0"/>
        <v>11650</v>
      </c>
      <c r="BC45" s="386">
        <f t="shared" si="1"/>
        <v>0</v>
      </c>
      <c r="BD45" s="386">
        <f t="shared" si="2"/>
        <v>4980.4351999999999</v>
      </c>
      <c r="BE45" s="386">
        <f t="shared" si="3"/>
        <v>1164.7792000000002</v>
      </c>
      <c r="BF45" s="386">
        <f t="shared" si="4"/>
        <v>9591.3542400000006</v>
      </c>
      <c r="BG45" s="386">
        <f t="shared" si="5"/>
        <v>579.17641600000002</v>
      </c>
      <c r="BH45" s="386">
        <f t="shared" si="6"/>
        <v>393.61504000000002</v>
      </c>
      <c r="BI45" s="386">
        <f t="shared" si="7"/>
        <v>245.80857599999999</v>
      </c>
      <c r="BJ45" s="386">
        <f t="shared" si="8"/>
        <v>192.79104000000001</v>
      </c>
      <c r="BK45" s="386">
        <f t="shared" si="9"/>
        <v>0</v>
      </c>
      <c r="BL45" s="386">
        <f t="shared" si="32"/>
        <v>17147.959712</v>
      </c>
      <c r="BM45" s="386">
        <f t="shared" si="33"/>
        <v>0</v>
      </c>
      <c r="BN45" s="386">
        <f t="shared" si="10"/>
        <v>11650</v>
      </c>
      <c r="BO45" s="386">
        <f t="shared" si="11"/>
        <v>0</v>
      </c>
      <c r="BP45" s="386">
        <f t="shared" si="12"/>
        <v>4980.4351999999999</v>
      </c>
      <c r="BQ45" s="386">
        <f t="shared" si="13"/>
        <v>1164.7792000000002</v>
      </c>
      <c r="BR45" s="386">
        <f t="shared" si="14"/>
        <v>9591.3542400000006</v>
      </c>
      <c r="BS45" s="386">
        <f t="shared" si="15"/>
        <v>579.17641600000002</v>
      </c>
      <c r="BT45" s="386">
        <f t="shared" si="16"/>
        <v>0</v>
      </c>
      <c r="BU45" s="386">
        <f t="shared" si="17"/>
        <v>245.80857599999999</v>
      </c>
      <c r="BV45" s="386">
        <f t="shared" si="18"/>
        <v>200.82400000000001</v>
      </c>
      <c r="BW45" s="386">
        <f t="shared" si="19"/>
        <v>0</v>
      </c>
      <c r="BX45" s="386">
        <f t="shared" si="34"/>
        <v>16762.377632000003</v>
      </c>
      <c r="BY45" s="386">
        <f t="shared" si="35"/>
        <v>0</v>
      </c>
      <c r="BZ45" s="386">
        <f t="shared" si="36"/>
        <v>0</v>
      </c>
      <c r="CA45" s="386">
        <f t="shared" si="37"/>
        <v>0</v>
      </c>
      <c r="CB45" s="386">
        <f t="shared" si="38"/>
        <v>0</v>
      </c>
      <c r="CC45" s="386">
        <f t="shared" si="20"/>
        <v>0</v>
      </c>
      <c r="CD45" s="386">
        <f t="shared" si="21"/>
        <v>0</v>
      </c>
      <c r="CE45" s="386">
        <f t="shared" si="22"/>
        <v>0</v>
      </c>
      <c r="CF45" s="386">
        <f t="shared" si="23"/>
        <v>-393.61504000000002</v>
      </c>
      <c r="CG45" s="386">
        <f t="shared" si="24"/>
        <v>0</v>
      </c>
      <c r="CH45" s="386">
        <f t="shared" si="25"/>
        <v>8.0329600000000223</v>
      </c>
      <c r="CI45" s="386">
        <f t="shared" si="26"/>
        <v>0</v>
      </c>
      <c r="CJ45" s="386">
        <f t="shared" si="39"/>
        <v>-385.58208000000002</v>
      </c>
      <c r="CK45" s="386" t="str">
        <f t="shared" si="40"/>
        <v/>
      </c>
      <c r="CL45" s="386" t="str">
        <f t="shared" si="41"/>
        <v/>
      </c>
      <c r="CM45" s="386" t="str">
        <f t="shared" si="42"/>
        <v/>
      </c>
      <c r="CN45" s="386" t="str">
        <f t="shared" si="43"/>
        <v>0001-00</v>
      </c>
    </row>
    <row r="46" spans="1:92" ht="15.75" thickBot="1" x14ac:dyDescent="0.3">
      <c r="A46" s="375" t="s">
        <v>161</v>
      </c>
      <c r="B46" s="375" t="s">
        <v>162</v>
      </c>
      <c r="C46" s="375" t="s">
        <v>389</v>
      </c>
      <c r="D46" s="375" t="s">
        <v>390</v>
      </c>
      <c r="E46" s="375" t="s">
        <v>165</v>
      </c>
      <c r="F46" s="376" t="s">
        <v>166</v>
      </c>
      <c r="G46" s="375" t="s">
        <v>167</v>
      </c>
      <c r="H46" s="377"/>
      <c r="I46" s="377"/>
      <c r="J46" s="375" t="s">
        <v>218</v>
      </c>
      <c r="K46" s="375" t="s">
        <v>391</v>
      </c>
      <c r="L46" s="375" t="s">
        <v>173</v>
      </c>
      <c r="M46" s="375" t="s">
        <v>177</v>
      </c>
      <c r="N46" s="375" t="s">
        <v>199</v>
      </c>
      <c r="O46" s="378">
        <v>1</v>
      </c>
      <c r="P46" s="384">
        <v>0.85</v>
      </c>
      <c r="Q46" s="384">
        <v>0.85</v>
      </c>
      <c r="R46" s="379">
        <v>80</v>
      </c>
      <c r="S46" s="384">
        <v>0.85</v>
      </c>
      <c r="T46" s="379">
        <v>0</v>
      </c>
      <c r="U46" s="379">
        <v>0</v>
      </c>
      <c r="V46" s="379">
        <v>0</v>
      </c>
      <c r="W46" s="379">
        <v>69818.320000000007</v>
      </c>
      <c r="X46" s="379">
        <v>24806.59</v>
      </c>
      <c r="Y46" s="379">
        <v>69818.320000000007</v>
      </c>
      <c r="Z46" s="379">
        <v>24471.46</v>
      </c>
      <c r="AA46" s="375" t="s">
        <v>392</v>
      </c>
      <c r="AB46" s="375" t="s">
        <v>393</v>
      </c>
      <c r="AC46" s="375" t="s">
        <v>394</v>
      </c>
      <c r="AD46" s="375" t="s">
        <v>194</v>
      </c>
      <c r="AE46" s="375" t="s">
        <v>391</v>
      </c>
      <c r="AF46" s="375" t="s">
        <v>305</v>
      </c>
      <c r="AG46" s="375" t="s">
        <v>183</v>
      </c>
      <c r="AH46" s="380">
        <v>39.49</v>
      </c>
      <c r="AI46" s="380">
        <v>55690.3</v>
      </c>
      <c r="AJ46" s="375" t="s">
        <v>184</v>
      </c>
      <c r="AK46" s="375" t="s">
        <v>185</v>
      </c>
      <c r="AL46" s="375" t="s">
        <v>173</v>
      </c>
      <c r="AM46" s="375" t="s">
        <v>186</v>
      </c>
      <c r="AN46" s="375" t="s">
        <v>68</v>
      </c>
      <c r="AO46" s="378">
        <v>80</v>
      </c>
      <c r="AP46" s="384">
        <v>1</v>
      </c>
      <c r="AQ46" s="384">
        <v>0.85</v>
      </c>
      <c r="AR46" s="383" t="s">
        <v>187</v>
      </c>
      <c r="AS46" s="386">
        <f t="shared" si="27"/>
        <v>0.85</v>
      </c>
      <c r="AT46">
        <f t="shared" si="28"/>
        <v>1</v>
      </c>
      <c r="AU46" s="386">
        <f>IF(AT46=0,"",IF(AND(AT46=1,M46="F",SUMIF(C2:C557,C46,AS2:AS557)&lt;=1),SUMIF(C2:C557,C46,AS2:AS557),IF(AND(AT46=1,M46="F",SUMIF(C2:C557,C46,AS2:AS557)&gt;1),1,"")))</f>
        <v>1</v>
      </c>
      <c r="AV46" s="386" t="str">
        <f>IF(AT46=0,"",IF(AND(AT46=3,M46="F",SUMIF(C2:C557,C46,AS2:AS557)&lt;=1),SUMIF(C2:C557,C46,AS2:AS557),IF(AND(AT46=3,M46="F",SUMIF(C2:C557,C46,AS2:AS557)&gt;1),1,"")))</f>
        <v/>
      </c>
      <c r="AW46" s="386">
        <f>SUMIF(C2:C557,C46,O2:O557)</f>
        <v>4</v>
      </c>
      <c r="AX46" s="386">
        <f>IF(AND(M46="F",AS46&lt;&gt;0),SUMIF(C2:C557,C46,W2:W557),0)</f>
        <v>82139.200000000012</v>
      </c>
      <c r="AY46" s="386">
        <f t="shared" si="29"/>
        <v>69818.320000000007</v>
      </c>
      <c r="AZ46" s="386" t="str">
        <f t="shared" si="30"/>
        <v/>
      </c>
      <c r="BA46" s="386">
        <f t="shared" si="31"/>
        <v>0</v>
      </c>
      <c r="BB46" s="386">
        <f t="shared" si="0"/>
        <v>9902.5</v>
      </c>
      <c r="BC46" s="386">
        <f t="shared" si="1"/>
        <v>0</v>
      </c>
      <c r="BD46" s="386">
        <f t="shared" si="2"/>
        <v>4328.7358400000003</v>
      </c>
      <c r="BE46" s="386">
        <f t="shared" si="3"/>
        <v>1012.3656400000001</v>
      </c>
      <c r="BF46" s="386">
        <f t="shared" si="4"/>
        <v>8336.3074080000006</v>
      </c>
      <c r="BG46" s="386">
        <f t="shared" si="5"/>
        <v>503.3900872000001</v>
      </c>
      <c r="BH46" s="386">
        <f t="shared" si="6"/>
        <v>342.10976800000003</v>
      </c>
      <c r="BI46" s="386">
        <f t="shared" si="7"/>
        <v>213.64405920000002</v>
      </c>
      <c r="BJ46" s="386">
        <f t="shared" si="8"/>
        <v>167.56396799999999</v>
      </c>
      <c r="BK46" s="386">
        <f t="shared" si="9"/>
        <v>0</v>
      </c>
      <c r="BL46" s="386">
        <f t="shared" si="32"/>
        <v>14904.116770400002</v>
      </c>
      <c r="BM46" s="386">
        <f t="shared" si="33"/>
        <v>0</v>
      </c>
      <c r="BN46" s="386">
        <f t="shared" si="10"/>
        <v>9902.5</v>
      </c>
      <c r="BO46" s="386">
        <f t="shared" si="11"/>
        <v>0</v>
      </c>
      <c r="BP46" s="386">
        <f t="shared" si="12"/>
        <v>4328.7358400000003</v>
      </c>
      <c r="BQ46" s="386">
        <f t="shared" si="13"/>
        <v>1012.3656400000001</v>
      </c>
      <c r="BR46" s="386">
        <f t="shared" si="14"/>
        <v>8336.3074080000006</v>
      </c>
      <c r="BS46" s="386">
        <f t="shared" si="15"/>
        <v>503.3900872000001</v>
      </c>
      <c r="BT46" s="386">
        <f t="shared" si="16"/>
        <v>0</v>
      </c>
      <c r="BU46" s="386">
        <f t="shared" si="17"/>
        <v>213.64405920000002</v>
      </c>
      <c r="BV46" s="386">
        <f t="shared" si="18"/>
        <v>174.54580000000001</v>
      </c>
      <c r="BW46" s="386">
        <f t="shared" si="19"/>
        <v>0</v>
      </c>
      <c r="BX46" s="386">
        <f t="shared" si="34"/>
        <v>14568.988834400001</v>
      </c>
      <c r="BY46" s="386">
        <f t="shared" si="35"/>
        <v>0</v>
      </c>
      <c r="BZ46" s="386">
        <f t="shared" si="36"/>
        <v>0</v>
      </c>
      <c r="CA46" s="386">
        <f t="shared" si="37"/>
        <v>0</v>
      </c>
      <c r="CB46" s="386">
        <f t="shared" si="38"/>
        <v>0</v>
      </c>
      <c r="CC46" s="386">
        <f t="shared" si="20"/>
        <v>0</v>
      </c>
      <c r="CD46" s="386">
        <f t="shared" si="21"/>
        <v>0</v>
      </c>
      <c r="CE46" s="386">
        <f t="shared" si="22"/>
        <v>0</v>
      </c>
      <c r="CF46" s="386">
        <f t="shared" si="23"/>
        <v>-342.10976800000003</v>
      </c>
      <c r="CG46" s="386">
        <f t="shared" si="24"/>
        <v>0</v>
      </c>
      <c r="CH46" s="386">
        <f t="shared" si="25"/>
        <v>6.9818320000000194</v>
      </c>
      <c r="CI46" s="386">
        <f t="shared" si="26"/>
        <v>0</v>
      </c>
      <c r="CJ46" s="386">
        <f t="shared" si="39"/>
        <v>-335.12793600000003</v>
      </c>
      <c r="CK46" s="386" t="str">
        <f t="shared" si="40"/>
        <v/>
      </c>
      <c r="CL46" s="386" t="str">
        <f t="shared" si="41"/>
        <v/>
      </c>
      <c r="CM46" s="386" t="str">
        <f t="shared" si="42"/>
        <v/>
      </c>
      <c r="CN46" s="386" t="str">
        <f t="shared" si="43"/>
        <v>0001-00</v>
      </c>
    </row>
    <row r="47" spans="1:92" ht="15.75" thickBot="1" x14ac:dyDescent="0.3">
      <c r="A47" s="375" t="s">
        <v>161</v>
      </c>
      <c r="B47" s="375" t="s">
        <v>162</v>
      </c>
      <c r="C47" s="375" t="s">
        <v>395</v>
      </c>
      <c r="D47" s="375" t="s">
        <v>208</v>
      </c>
      <c r="E47" s="375" t="s">
        <v>165</v>
      </c>
      <c r="F47" s="376" t="s">
        <v>166</v>
      </c>
      <c r="G47" s="375" t="s">
        <v>167</v>
      </c>
      <c r="H47" s="377"/>
      <c r="I47" s="377"/>
      <c r="J47" s="375" t="s">
        <v>168</v>
      </c>
      <c r="K47" s="375" t="s">
        <v>209</v>
      </c>
      <c r="L47" s="375" t="s">
        <v>210</v>
      </c>
      <c r="M47" s="375" t="s">
        <v>171</v>
      </c>
      <c r="N47" s="375" t="s">
        <v>199</v>
      </c>
      <c r="O47" s="378">
        <v>0</v>
      </c>
      <c r="P47" s="384">
        <v>1</v>
      </c>
      <c r="Q47" s="384">
        <v>1</v>
      </c>
      <c r="R47" s="379">
        <v>80</v>
      </c>
      <c r="S47" s="384">
        <v>1</v>
      </c>
      <c r="T47" s="379">
        <v>32294.06</v>
      </c>
      <c r="U47" s="379">
        <v>0</v>
      </c>
      <c r="V47" s="379">
        <v>19289.29</v>
      </c>
      <c r="W47" s="379">
        <v>37502.400000000001</v>
      </c>
      <c r="X47" s="379">
        <v>16426.05</v>
      </c>
      <c r="Y47" s="379">
        <v>37502.400000000001</v>
      </c>
      <c r="Z47" s="379">
        <v>16238.53</v>
      </c>
      <c r="AA47" s="377"/>
      <c r="AB47" s="375" t="s">
        <v>45</v>
      </c>
      <c r="AC47" s="375" t="s">
        <v>45</v>
      </c>
      <c r="AD47" s="377"/>
      <c r="AE47" s="377"/>
      <c r="AF47" s="377"/>
      <c r="AG47" s="377"/>
      <c r="AH47" s="378">
        <v>0</v>
      </c>
      <c r="AI47" s="378">
        <v>0</v>
      </c>
      <c r="AJ47" s="377"/>
      <c r="AK47" s="377"/>
      <c r="AL47" s="375" t="s">
        <v>173</v>
      </c>
      <c r="AM47" s="377"/>
      <c r="AN47" s="377"/>
      <c r="AO47" s="378">
        <v>0</v>
      </c>
      <c r="AP47" s="384">
        <v>0</v>
      </c>
      <c r="AQ47" s="384">
        <v>0</v>
      </c>
      <c r="AR47" s="382"/>
      <c r="AS47" s="386">
        <f t="shared" si="27"/>
        <v>0</v>
      </c>
      <c r="AT47">
        <f t="shared" si="28"/>
        <v>0</v>
      </c>
      <c r="AU47" s="386" t="str">
        <f>IF(AT47=0,"",IF(AND(AT47=1,M47="F",SUMIF(C2:C557,C47,AS2:AS557)&lt;=1),SUMIF(C2:C557,C47,AS2:AS557),IF(AND(AT47=1,M47="F",SUMIF(C2:C557,C47,AS2:AS557)&gt;1),1,"")))</f>
        <v/>
      </c>
      <c r="AV47" s="386" t="str">
        <f>IF(AT47=0,"",IF(AND(AT47=3,M47="F",SUMIF(C2:C557,C47,AS2:AS557)&lt;=1),SUMIF(C2:C557,C47,AS2:AS557),IF(AND(AT47=3,M47="F",SUMIF(C2:C557,C47,AS2:AS557)&gt;1),1,"")))</f>
        <v/>
      </c>
      <c r="AW47" s="386">
        <f>SUMIF(C2:C557,C47,O2:O557)</f>
        <v>0</v>
      </c>
      <c r="AX47" s="386">
        <f>IF(AND(M47="F",AS47&lt;&gt;0),SUMIF(C2:C557,C47,W2:W557),0)</f>
        <v>0</v>
      </c>
      <c r="AY47" s="386" t="str">
        <f t="shared" si="29"/>
        <v/>
      </c>
      <c r="AZ47" s="386" t="str">
        <f t="shared" si="30"/>
        <v/>
      </c>
      <c r="BA47" s="386">
        <f t="shared" si="31"/>
        <v>0</v>
      </c>
      <c r="BB47" s="386">
        <f t="shared" si="0"/>
        <v>0</v>
      </c>
      <c r="BC47" s="386">
        <f t="shared" si="1"/>
        <v>0</v>
      </c>
      <c r="BD47" s="386">
        <f t="shared" si="2"/>
        <v>0</v>
      </c>
      <c r="BE47" s="386">
        <f t="shared" si="3"/>
        <v>0</v>
      </c>
      <c r="BF47" s="386">
        <f t="shared" si="4"/>
        <v>0</v>
      </c>
      <c r="BG47" s="386">
        <f t="shared" si="5"/>
        <v>0</v>
      </c>
      <c r="BH47" s="386">
        <f t="shared" si="6"/>
        <v>0</v>
      </c>
      <c r="BI47" s="386">
        <f t="shared" si="7"/>
        <v>0</v>
      </c>
      <c r="BJ47" s="386">
        <f t="shared" si="8"/>
        <v>0</v>
      </c>
      <c r="BK47" s="386">
        <f t="shared" si="9"/>
        <v>0</v>
      </c>
      <c r="BL47" s="386">
        <f t="shared" si="32"/>
        <v>0</v>
      </c>
      <c r="BM47" s="386">
        <f t="shared" si="33"/>
        <v>0</v>
      </c>
      <c r="BN47" s="386">
        <f t="shared" si="10"/>
        <v>0</v>
      </c>
      <c r="BO47" s="386">
        <f t="shared" si="11"/>
        <v>0</v>
      </c>
      <c r="BP47" s="386">
        <f t="shared" si="12"/>
        <v>0</v>
      </c>
      <c r="BQ47" s="386">
        <f t="shared" si="13"/>
        <v>0</v>
      </c>
      <c r="BR47" s="386">
        <f t="shared" si="14"/>
        <v>0</v>
      </c>
      <c r="BS47" s="386">
        <f t="shared" si="15"/>
        <v>0</v>
      </c>
      <c r="BT47" s="386">
        <f t="shared" si="16"/>
        <v>0</v>
      </c>
      <c r="BU47" s="386">
        <f t="shared" si="17"/>
        <v>0</v>
      </c>
      <c r="BV47" s="386">
        <f t="shared" si="18"/>
        <v>0</v>
      </c>
      <c r="BW47" s="386">
        <f t="shared" si="19"/>
        <v>0</v>
      </c>
      <c r="BX47" s="386">
        <f t="shared" si="34"/>
        <v>0</v>
      </c>
      <c r="BY47" s="386">
        <f t="shared" si="35"/>
        <v>0</v>
      </c>
      <c r="BZ47" s="386">
        <f t="shared" si="36"/>
        <v>0</v>
      </c>
      <c r="CA47" s="386">
        <f t="shared" si="37"/>
        <v>0</v>
      </c>
      <c r="CB47" s="386">
        <f t="shared" si="38"/>
        <v>0</v>
      </c>
      <c r="CC47" s="386">
        <f t="shared" si="20"/>
        <v>0</v>
      </c>
      <c r="CD47" s="386">
        <f t="shared" si="21"/>
        <v>0</v>
      </c>
      <c r="CE47" s="386">
        <f t="shared" si="22"/>
        <v>0</v>
      </c>
      <c r="CF47" s="386">
        <f t="shared" si="23"/>
        <v>0</v>
      </c>
      <c r="CG47" s="386">
        <f t="shared" si="24"/>
        <v>0</v>
      </c>
      <c r="CH47" s="386">
        <f t="shared" si="25"/>
        <v>0</v>
      </c>
      <c r="CI47" s="386">
        <f t="shared" si="26"/>
        <v>0</v>
      </c>
      <c r="CJ47" s="386">
        <f t="shared" si="39"/>
        <v>0</v>
      </c>
      <c r="CK47" s="386" t="str">
        <f t="shared" si="40"/>
        <v/>
      </c>
      <c r="CL47" s="386" t="str">
        <f t="shared" si="41"/>
        <v/>
      </c>
      <c r="CM47" s="386" t="str">
        <f t="shared" si="42"/>
        <v/>
      </c>
      <c r="CN47" s="386" t="str">
        <f t="shared" si="43"/>
        <v>0001-00</v>
      </c>
    </row>
    <row r="48" spans="1:92" ht="15.75" thickBot="1" x14ac:dyDescent="0.3">
      <c r="A48" s="375" t="s">
        <v>161</v>
      </c>
      <c r="B48" s="375" t="s">
        <v>162</v>
      </c>
      <c r="C48" s="375" t="s">
        <v>396</v>
      </c>
      <c r="D48" s="375" t="s">
        <v>294</v>
      </c>
      <c r="E48" s="375" t="s">
        <v>165</v>
      </c>
      <c r="F48" s="376" t="s">
        <v>166</v>
      </c>
      <c r="G48" s="375" t="s">
        <v>167</v>
      </c>
      <c r="H48" s="377"/>
      <c r="I48" s="377"/>
      <c r="J48" s="375" t="s">
        <v>168</v>
      </c>
      <c r="K48" s="375" t="s">
        <v>295</v>
      </c>
      <c r="L48" s="375" t="s">
        <v>173</v>
      </c>
      <c r="M48" s="375" t="s">
        <v>177</v>
      </c>
      <c r="N48" s="375" t="s">
        <v>199</v>
      </c>
      <c r="O48" s="378">
        <v>1</v>
      </c>
      <c r="P48" s="384">
        <v>1</v>
      </c>
      <c r="Q48" s="384">
        <v>1</v>
      </c>
      <c r="R48" s="379">
        <v>80</v>
      </c>
      <c r="S48" s="384">
        <v>1</v>
      </c>
      <c r="T48" s="379">
        <v>83547.259999999995</v>
      </c>
      <c r="U48" s="379">
        <v>0</v>
      </c>
      <c r="V48" s="379">
        <v>28821.98</v>
      </c>
      <c r="W48" s="379">
        <v>86257.600000000006</v>
      </c>
      <c r="X48" s="379">
        <v>30063.37</v>
      </c>
      <c r="Y48" s="379">
        <v>86257.600000000006</v>
      </c>
      <c r="Z48" s="379">
        <v>29649.34</v>
      </c>
      <c r="AA48" s="375" t="s">
        <v>397</v>
      </c>
      <c r="AB48" s="375" t="s">
        <v>398</v>
      </c>
      <c r="AC48" s="375" t="s">
        <v>399</v>
      </c>
      <c r="AD48" s="375" t="s">
        <v>214</v>
      </c>
      <c r="AE48" s="375" t="s">
        <v>295</v>
      </c>
      <c r="AF48" s="375" t="s">
        <v>305</v>
      </c>
      <c r="AG48" s="375" t="s">
        <v>183</v>
      </c>
      <c r="AH48" s="380">
        <v>41.47</v>
      </c>
      <c r="AI48" s="380">
        <v>86264.6</v>
      </c>
      <c r="AJ48" s="375" t="s">
        <v>184</v>
      </c>
      <c r="AK48" s="375" t="s">
        <v>185</v>
      </c>
      <c r="AL48" s="375" t="s">
        <v>173</v>
      </c>
      <c r="AM48" s="375" t="s">
        <v>186</v>
      </c>
      <c r="AN48" s="375" t="s">
        <v>68</v>
      </c>
      <c r="AO48" s="378">
        <v>80</v>
      </c>
      <c r="AP48" s="384">
        <v>1</v>
      </c>
      <c r="AQ48" s="384">
        <v>1</v>
      </c>
      <c r="AR48" s="383" t="s">
        <v>187</v>
      </c>
      <c r="AS48" s="386">
        <f t="shared" si="27"/>
        <v>1</v>
      </c>
      <c r="AT48">
        <f t="shared" si="28"/>
        <v>1</v>
      </c>
      <c r="AU48" s="386">
        <f>IF(AT48=0,"",IF(AND(AT48=1,M48="F",SUMIF(C2:C557,C48,AS2:AS557)&lt;=1),SUMIF(C2:C557,C48,AS2:AS557),IF(AND(AT48=1,M48="F",SUMIF(C2:C557,C48,AS2:AS557)&gt;1),1,"")))</f>
        <v>1</v>
      </c>
      <c r="AV48" s="386" t="str">
        <f>IF(AT48=0,"",IF(AND(AT48=3,M48="F",SUMIF(C2:C557,C48,AS2:AS557)&lt;=1),SUMIF(C2:C557,C48,AS2:AS557),IF(AND(AT48=3,M48="F",SUMIF(C2:C557,C48,AS2:AS557)&gt;1),1,"")))</f>
        <v/>
      </c>
      <c r="AW48" s="386">
        <f>SUMIF(C2:C557,C48,O2:O557)</f>
        <v>1</v>
      </c>
      <c r="AX48" s="386">
        <f>IF(AND(M48="F",AS48&lt;&gt;0),SUMIF(C2:C557,C48,W2:W557),0)</f>
        <v>86257.600000000006</v>
      </c>
      <c r="AY48" s="386">
        <f t="shared" si="29"/>
        <v>86257.600000000006</v>
      </c>
      <c r="AZ48" s="386" t="str">
        <f t="shared" si="30"/>
        <v/>
      </c>
      <c r="BA48" s="386">
        <f t="shared" si="31"/>
        <v>0</v>
      </c>
      <c r="BB48" s="386">
        <f t="shared" si="0"/>
        <v>11650</v>
      </c>
      <c r="BC48" s="386">
        <f t="shared" si="1"/>
        <v>0</v>
      </c>
      <c r="BD48" s="386">
        <f t="shared" si="2"/>
        <v>5347.9712</v>
      </c>
      <c r="BE48" s="386">
        <f t="shared" si="3"/>
        <v>1250.7352000000001</v>
      </c>
      <c r="BF48" s="386">
        <f t="shared" si="4"/>
        <v>10299.157440000001</v>
      </c>
      <c r="BG48" s="386">
        <f t="shared" si="5"/>
        <v>621.91729600000008</v>
      </c>
      <c r="BH48" s="386">
        <f t="shared" si="6"/>
        <v>422.66224</v>
      </c>
      <c r="BI48" s="386">
        <f t="shared" si="7"/>
        <v>263.94825600000001</v>
      </c>
      <c r="BJ48" s="386">
        <f t="shared" si="8"/>
        <v>207.01823999999999</v>
      </c>
      <c r="BK48" s="386">
        <f t="shared" si="9"/>
        <v>0</v>
      </c>
      <c r="BL48" s="386">
        <f t="shared" si="32"/>
        <v>18413.409872000004</v>
      </c>
      <c r="BM48" s="386">
        <f t="shared" si="33"/>
        <v>0</v>
      </c>
      <c r="BN48" s="386">
        <f t="shared" si="10"/>
        <v>11650</v>
      </c>
      <c r="BO48" s="386">
        <f t="shared" si="11"/>
        <v>0</v>
      </c>
      <c r="BP48" s="386">
        <f t="shared" si="12"/>
        <v>5347.9712</v>
      </c>
      <c r="BQ48" s="386">
        <f t="shared" si="13"/>
        <v>1250.7352000000001</v>
      </c>
      <c r="BR48" s="386">
        <f t="shared" si="14"/>
        <v>10299.157440000001</v>
      </c>
      <c r="BS48" s="386">
        <f t="shared" si="15"/>
        <v>621.91729600000008</v>
      </c>
      <c r="BT48" s="386">
        <f t="shared" si="16"/>
        <v>0</v>
      </c>
      <c r="BU48" s="386">
        <f t="shared" si="17"/>
        <v>263.94825600000001</v>
      </c>
      <c r="BV48" s="386">
        <f t="shared" si="18"/>
        <v>215.64400000000001</v>
      </c>
      <c r="BW48" s="386">
        <f t="shared" si="19"/>
        <v>0</v>
      </c>
      <c r="BX48" s="386">
        <f t="shared" si="34"/>
        <v>17999.373392000001</v>
      </c>
      <c r="BY48" s="386">
        <f t="shared" si="35"/>
        <v>0</v>
      </c>
      <c r="BZ48" s="386">
        <f t="shared" si="36"/>
        <v>0</v>
      </c>
      <c r="CA48" s="386">
        <f t="shared" si="37"/>
        <v>0</v>
      </c>
      <c r="CB48" s="386">
        <f t="shared" si="38"/>
        <v>0</v>
      </c>
      <c r="CC48" s="386">
        <f t="shared" si="20"/>
        <v>0</v>
      </c>
      <c r="CD48" s="386">
        <f t="shared" si="21"/>
        <v>0</v>
      </c>
      <c r="CE48" s="386">
        <f t="shared" si="22"/>
        <v>0</v>
      </c>
      <c r="CF48" s="386">
        <f t="shared" si="23"/>
        <v>-422.66224</v>
      </c>
      <c r="CG48" s="386">
        <f t="shared" si="24"/>
        <v>0</v>
      </c>
      <c r="CH48" s="386">
        <f t="shared" si="25"/>
        <v>8.6257600000000227</v>
      </c>
      <c r="CI48" s="386">
        <f t="shared" si="26"/>
        <v>0</v>
      </c>
      <c r="CJ48" s="386">
        <f t="shared" si="39"/>
        <v>-414.03647999999998</v>
      </c>
      <c r="CK48" s="386" t="str">
        <f t="shared" si="40"/>
        <v/>
      </c>
      <c r="CL48" s="386" t="str">
        <f t="shared" si="41"/>
        <v/>
      </c>
      <c r="CM48" s="386" t="str">
        <f t="shared" si="42"/>
        <v/>
      </c>
      <c r="CN48" s="386" t="str">
        <f t="shared" si="43"/>
        <v>0001-00</v>
      </c>
    </row>
    <row r="49" spans="1:92" ht="15.75" thickBot="1" x14ac:dyDescent="0.3">
      <c r="A49" s="375" t="s">
        <v>161</v>
      </c>
      <c r="B49" s="375" t="s">
        <v>162</v>
      </c>
      <c r="C49" s="375" t="s">
        <v>400</v>
      </c>
      <c r="D49" s="375" t="s">
        <v>318</v>
      </c>
      <c r="E49" s="375" t="s">
        <v>165</v>
      </c>
      <c r="F49" s="376" t="s">
        <v>166</v>
      </c>
      <c r="G49" s="375" t="s">
        <v>167</v>
      </c>
      <c r="H49" s="377"/>
      <c r="I49" s="377"/>
      <c r="J49" s="375" t="s">
        <v>168</v>
      </c>
      <c r="K49" s="375" t="s">
        <v>319</v>
      </c>
      <c r="L49" s="375" t="s">
        <v>220</v>
      </c>
      <c r="M49" s="375" t="s">
        <v>177</v>
      </c>
      <c r="N49" s="375" t="s">
        <v>199</v>
      </c>
      <c r="O49" s="378">
        <v>1</v>
      </c>
      <c r="P49" s="384">
        <v>1</v>
      </c>
      <c r="Q49" s="384">
        <v>1</v>
      </c>
      <c r="R49" s="379">
        <v>80</v>
      </c>
      <c r="S49" s="384">
        <v>1</v>
      </c>
      <c r="T49" s="379">
        <v>0</v>
      </c>
      <c r="U49" s="379">
        <v>0</v>
      </c>
      <c r="V49" s="379">
        <v>0</v>
      </c>
      <c r="W49" s="379">
        <v>58968</v>
      </c>
      <c r="X49" s="379">
        <v>24237.86</v>
      </c>
      <c r="Y49" s="379">
        <v>58968</v>
      </c>
      <c r="Z49" s="379">
        <v>23954.82</v>
      </c>
      <c r="AA49" s="375" t="s">
        <v>401</v>
      </c>
      <c r="AB49" s="375" t="s">
        <v>402</v>
      </c>
      <c r="AC49" s="375" t="s">
        <v>403</v>
      </c>
      <c r="AD49" s="375" t="s">
        <v>267</v>
      </c>
      <c r="AE49" s="375" t="s">
        <v>319</v>
      </c>
      <c r="AF49" s="375" t="s">
        <v>252</v>
      </c>
      <c r="AG49" s="375" t="s">
        <v>183</v>
      </c>
      <c r="AH49" s="380">
        <v>28.35</v>
      </c>
      <c r="AI49" s="380">
        <v>14119.7</v>
      </c>
      <c r="AJ49" s="375" t="s">
        <v>184</v>
      </c>
      <c r="AK49" s="375" t="s">
        <v>185</v>
      </c>
      <c r="AL49" s="375" t="s">
        <v>173</v>
      </c>
      <c r="AM49" s="375" t="s">
        <v>186</v>
      </c>
      <c r="AN49" s="375" t="s">
        <v>68</v>
      </c>
      <c r="AO49" s="378">
        <v>80</v>
      </c>
      <c r="AP49" s="384">
        <v>1</v>
      </c>
      <c r="AQ49" s="384">
        <v>1</v>
      </c>
      <c r="AR49" s="383" t="s">
        <v>187</v>
      </c>
      <c r="AS49" s="386">
        <f t="shared" si="27"/>
        <v>1</v>
      </c>
      <c r="AT49">
        <f t="shared" si="28"/>
        <v>1</v>
      </c>
      <c r="AU49" s="386">
        <f>IF(AT49=0,"",IF(AND(AT49=1,M49="F",SUMIF(C2:C557,C49,AS2:AS557)&lt;=1),SUMIF(C2:C557,C49,AS2:AS557),IF(AND(AT49=1,M49="F",SUMIF(C2:C557,C49,AS2:AS557)&gt;1),1,"")))</f>
        <v>1</v>
      </c>
      <c r="AV49" s="386" t="str">
        <f>IF(AT49=0,"",IF(AND(AT49=3,M49="F",SUMIF(C2:C557,C49,AS2:AS557)&lt;=1),SUMIF(C2:C557,C49,AS2:AS557),IF(AND(AT49=3,M49="F",SUMIF(C2:C557,C49,AS2:AS557)&gt;1),1,"")))</f>
        <v/>
      </c>
      <c r="AW49" s="386">
        <f>SUMIF(C2:C557,C49,O2:O557)</f>
        <v>4</v>
      </c>
      <c r="AX49" s="386">
        <f>IF(AND(M49="F",AS49&lt;&gt;0),SUMIF(C2:C557,C49,W2:W557),0)</f>
        <v>58968</v>
      </c>
      <c r="AY49" s="386">
        <f t="shared" si="29"/>
        <v>58968</v>
      </c>
      <c r="AZ49" s="386" t="str">
        <f t="shared" si="30"/>
        <v/>
      </c>
      <c r="BA49" s="386">
        <f t="shared" si="31"/>
        <v>0</v>
      </c>
      <c r="BB49" s="386">
        <f t="shared" si="0"/>
        <v>11650</v>
      </c>
      <c r="BC49" s="386">
        <f t="shared" si="1"/>
        <v>0</v>
      </c>
      <c r="BD49" s="386">
        <f t="shared" si="2"/>
        <v>3656.0160000000001</v>
      </c>
      <c r="BE49" s="386">
        <f t="shared" si="3"/>
        <v>855.03600000000006</v>
      </c>
      <c r="BF49" s="386">
        <f t="shared" si="4"/>
        <v>7040.7791999999999</v>
      </c>
      <c r="BG49" s="386">
        <f t="shared" si="5"/>
        <v>425.15928000000002</v>
      </c>
      <c r="BH49" s="386">
        <f t="shared" si="6"/>
        <v>288.94319999999999</v>
      </c>
      <c r="BI49" s="386">
        <f t="shared" si="7"/>
        <v>180.44207999999998</v>
      </c>
      <c r="BJ49" s="386">
        <f t="shared" si="8"/>
        <v>141.52319999999997</v>
      </c>
      <c r="BK49" s="386">
        <f t="shared" si="9"/>
        <v>0</v>
      </c>
      <c r="BL49" s="386">
        <f t="shared" si="32"/>
        <v>12587.89896</v>
      </c>
      <c r="BM49" s="386">
        <f t="shared" si="33"/>
        <v>0</v>
      </c>
      <c r="BN49" s="386">
        <f t="shared" si="10"/>
        <v>11650</v>
      </c>
      <c r="BO49" s="386">
        <f t="shared" si="11"/>
        <v>0</v>
      </c>
      <c r="BP49" s="386">
        <f t="shared" si="12"/>
        <v>3656.0160000000001</v>
      </c>
      <c r="BQ49" s="386">
        <f t="shared" si="13"/>
        <v>855.03600000000006</v>
      </c>
      <c r="BR49" s="386">
        <f t="shared" si="14"/>
        <v>7040.7791999999999</v>
      </c>
      <c r="BS49" s="386">
        <f t="shared" si="15"/>
        <v>425.15928000000002</v>
      </c>
      <c r="BT49" s="386">
        <f t="shared" si="16"/>
        <v>0</v>
      </c>
      <c r="BU49" s="386">
        <f t="shared" si="17"/>
        <v>180.44207999999998</v>
      </c>
      <c r="BV49" s="386">
        <f t="shared" si="18"/>
        <v>147.42000000000002</v>
      </c>
      <c r="BW49" s="386">
        <f t="shared" si="19"/>
        <v>0</v>
      </c>
      <c r="BX49" s="386">
        <f t="shared" si="34"/>
        <v>12304.852560000001</v>
      </c>
      <c r="BY49" s="386">
        <f t="shared" si="35"/>
        <v>0</v>
      </c>
      <c r="BZ49" s="386">
        <f t="shared" si="36"/>
        <v>0</v>
      </c>
      <c r="CA49" s="386">
        <f t="shared" si="37"/>
        <v>0</v>
      </c>
      <c r="CB49" s="386">
        <f t="shared" si="38"/>
        <v>0</v>
      </c>
      <c r="CC49" s="386">
        <f t="shared" si="20"/>
        <v>0</v>
      </c>
      <c r="CD49" s="386">
        <f t="shared" si="21"/>
        <v>0</v>
      </c>
      <c r="CE49" s="386">
        <f t="shared" si="22"/>
        <v>0</v>
      </c>
      <c r="CF49" s="386">
        <f t="shared" si="23"/>
        <v>-288.94319999999999</v>
      </c>
      <c r="CG49" s="386">
        <f t="shared" si="24"/>
        <v>0</v>
      </c>
      <c r="CH49" s="386">
        <f t="shared" si="25"/>
        <v>5.8968000000000158</v>
      </c>
      <c r="CI49" s="386">
        <f t="shared" si="26"/>
        <v>0</v>
      </c>
      <c r="CJ49" s="386">
        <f t="shared" si="39"/>
        <v>-283.04639999999995</v>
      </c>
      <c r="CK49" s="386" t="str">
        <f t="shared" si="40"/>
        <v/>
      </c>
      <c r="CL49" s="386" t="str">
        <f t="shared" si="41"/>
        <v/>
      </c>
      <c r="CM49" s="386" t="str">
        <f t="shared" si="42"/>
        <v/>
      </c>
      <c r="CN49" s="386" t="str">
        <f t="shared" si="43"/>
        <v>0001-00</v>
      </c>
    </row>
    <row r="50" spans="1:92" ht="15.75" thickBot="1" x14ac:dyDescent="0.3">
      <c r="A50" s="375" t="s">
        <v>161</v>
      </c>
      <c r="B50" s="375" t="s">
        <v>162</v>
      </c>
      <c r="C50" s="375" t="s">
        <v>404</v>
      </c>
      <c r="D50" s="375" t="s">
        <v>405</v>
      </c>
      <c r="E50" s="375" t="s">
        <v>165</v>
      </c>
      <c r="F50" s="376" t="s">
        <v>166</v>
      </c>
      <c r="G50" s="375" t="s">
        <v>167</v>
      </c>
      <c r="H50" s="377"/>
      <c r="I50" s="377"/>
      <c r="J50" s="375" t="s">
        <v>272</v>
      </c>
      <c r="K50" s="375" t="s">
        <v>406</v>
      </c>
      <c r="L50" s="375" t="s">
        <v>166</v>
      </c>
      <c r="M50" s="375" t="s">
        <v>171</v>
      </c>
      <c r="N50" s="375" t="s">
        <v>172</v>
      </c>
      <c r="O50" s="378">
        <v>0</v>
      </c>
      <c r="P50" s="384">
        <v>0.5</v>
      </c>
      <c r="Q50" s="384">
        <v>0.5</v>
      </c>
      <c r="R50" s="379">
        <v>80</v>
      </c>
      <c r="S50" s="384">
        <v>0.5</v>
      </c>
      <c r="T50" s="379">
        <v>48344.03</v>
      </c>
      <c r="U50" s="379">
        <v>0</v>
      </c>
      <c r="V50" s="379">
        <v>15574.98</v>
      </c>
      <c r="W50" s="379">
        <v>48048</v>
      </c>
      <c r="X50" s="379">
        <v>21045.02</v>
      </c>
      <c r="Y50" s="379">
        <v>48048</v>
      </c>
      <c r="Z50" s="379">
        <v>20804.78</v>
      </c>
      <c r="AA50" s="377"/>
      <c r="AB50" s="375" t="s">
        <v>45</v>
      </c>
      <c r="AC50" s="375" t="s">
        <v>45</v>
      </c>
      <c r="AD50" s="377"/>
      <c r="AE50" s="377"/>
      <c r="AF50" s="377"/>
      <c r="AG50" s="377"/>
      <c r="AH50" s="378">
        <v>0</v>
      </c>
      <c r="AI50" s="378">
        <v>0</v>
      </c>
      <c r="AJ50" s="377"/>
      <c r="AK50" s="377"/>
      <c r="AL50" s="375" t="s">
        <v>173</v>
      </c>
      <c r="AM50" s="377"/>
      <c r="AN50" s="377"/>
      <c r="AO50" s="378">
        <v>0</v>
      </c>
      <c r="AP50" s="384">
        <v>0</v>
      </c>
      <c r="AQ50" s="384">
        <v>0</v>
      </c>
      <c r="AR50" s="382"/>
      <c r="AS50" s="386">
        <f t="shared" si="27"/>
        <v>0</v>
      </c>
      <c r="AT50">
        <f t="shared" si="28"/>
        <v>0</v>
      </c>
      <c r="AU50" s="386" t="str">
        <f>IF(AT50=0,"",IF(AND(AT50=1,M50="F",SUMIF(C2:C557,C50,AS2:AS557)&lt;=1),SUMIF(C2:C557,C50,AS2:AS557),IF(AND(AT50=1,M50="F",SUMIF(C2:C557,C50,AS2:AS557)&gt;1),1,"")))</f>
        <v/>
      </c>
      <c r="AV50" s="386" t="str">
        <f>IF(AT50=0,"",IF(AND(AT50=3,M50="F",SUMIF(C2:C557,C50,AS2:AS557)&lt;=1),SUMIF(C2:C557,C50,AS2:AS557),IF(AND(AT50=3,M50="F",SUMIF(C2:C557,C50,AS2:AS557)&gt;1),1,"")))</f>
        <v/>
      </c>
      <c r="AW50" s="386">
        <f>SUMIF(C2:C557,C50,O2:O557)</f>
        <v>0</v>
      </c>
      <c r="AX50" s="386">
        <f>IF(AND(M50="F",AS50&lt;&gt;0),SUMIF(C2:C557,C50,W2:W557),0)</f>
        <v>0</v>
      </c>
      <c r="AY50" s="386" t="str">
        <f t="shared" si="29"/>
        <v/>
      </c>
      <c r="AZ50" s="386" t="str">
        <f t="shared" si="30"/>
        <v/>
      </c>
      <c r="BA50" s="386">
        <f t="shared" si="31"/>
        <v>0</v>
      </c>
      <c r="BB50" s="386">
        <f t="shared" si="0"/>
        <v>0</v>
      </c>
      <c r="BC50" s="386">
        <f t="shared" si="1"/>
        <v>0</v>
      </c>
      <c r="BD50" s="386">
        <f t="shared" si="2"/>
        <v>0</v>
      </c>
      <c r="BE50" s="386">
        <f t="shared" si="3"/>
        <v>0</v>
      </c>
      <c r="BF50" s="386">
        <f t="shared" si="4"/>
        <v>0</v>
      </c>
      <c r="BG50" s="386">
        <f t="shared" si="5"/>
        <v>0</v>
      </c>
      <c r="BH50" s="386">
        <f t="shared" si="6"/>
        <v>0</v>
      </c>
      <c r="BI50" s="386">
        <f t="shared" si="7"/>
        <v>0</v>
      </c>
      <c r="BJ50" s="386">
        <f t="shared" si="8"/>
        <v>0</v>
      </c>
      <c r="BK50" s="386">
        <f t="shared" si="9"/>
        <v>0</v>
      </c>
      <c r="BL50" s="386">
        <f t="shared" si="32"/>
        <v>0</v>
      </c>
      <c r="BM50" s="386">
        <f t="shared" si="33"/>
        <v>0</v>
      </c>
      <c r="BN50" s="386">
        <f t="shared" si="10"/>
        <v>0</v>
      </c>
      <c r="BO50" s="386">
        <f t="shared" si="11"/>
        <v>0</v>
      </c>
      <c r="BP50" s="386">
        <f t="shared" si="12"/>
        <v>0</v>
      </c>
      <c r="BQ50" s="386">
        <f t="shared" si="13"/>
        <v>0</v>
      </c>
      <c r="BR50" s="386">
        <f t="shared" si="14"/>
        <v>0</v>
      </c>
      <c r="BS50" s="386">
        <f t="shared" si="15"/>
        <v>0</v>
      </c>
      <c r="BT50" s="386">
        <f t="shared" si="16"/>
        <v>0</v>
      </c>
      <c r="BU50" s="386">
        <f t="shared" si="17"/>
        <v>0</v>
      </c>
      <c r="BV50" s="386">
        <f t="shared" si="18"/>
        <v>0</v>
      </c>
      <c r="BW50" s="386">
        <f t="shared" si="19"/>
        <v>0</v>
      </c>
      <c r="BX50" s="386">
        <f t="shared" si="34"/>
        <v>0</v>
      </c>
      <c r="BY50" s="386">
        <f t="shared" si="35"/>
        <v>0</v>
      </c>
      <c r="BZ50" s="386">
        <f t="shared" si="36"/>
        <v>0</v>
      </c>
      <c r="CA50" s="386">
        <f t="shared" si="37"/>
        <v>0</v>
      </c>
      <c r="CB50" s="386">
        <f t="shared" si="38"/>
        <v>0</v>
      </c>
      <c r="CC50" s="386">
        <f t="shared" si="20"/>
        <v>0</v>
      </c>
      <c r="CD50" s="386">
        <f t="shared" si="21"/>
        <v>0</v>
      </c>
      <c r="CE50" s="386">
        <f t="shared" si="22"/>
        <v>0</v>
      </c>
      <c r="CF50" s="386">
        <f t="shared" si="23"/>
        <v>0</v>
      </c>
      <c r="CG50" s="386">
        <f t="shared" si="24"/>
        <v>0</v>
      </c>
      <c r="CH50" s="386">
        <f t="shared" si="25"/>
        <v>0</v>
      </c>
      <c r="CI50" s="386">
        <f t="shared" si="26"/>
        <v>0</v>
      </c>
      <c r="CJ50" s="386">
        <f t="shared" si="39"/>
        <v>0</v>
      </c>
      <c r="CK50" s="386" t="str">
        <f t="shared" si="40"/>
        <v/>
      </c>
      <c r="CL50" s="386" t="str">
        <f t="shared" si="41"/>
        <v/>
      </c>
      <c r="CM50" s="386" t="str">
        <f t="shared" si="42"/>
        <v/>
      </c>
      <c r="CN50" s="386" t="str">
        <f t="shared" si="43"/>
        <v>0001-00</v>
      </c>
    </row>
    <row r="51" spans="1:92" ht="15.75" thickBot="1" x14ac:dyDescent="0.3">
      <c r="A51" s="375" t="s">
        <v>161</v>
      </c>
      <c r="B51" s="375" t="s">
        <v>162</v>
      </c>
      <c r="C51" s="375" t="s">
        <v>407</v>
      </c>
      <c r="D51" s="375" t="s">
        <v>307</v>
      </c>
      <c r="E51" s="375" t="s">
        <v>165</v>
      </c>
      <c r="F51" s="376" t="s">
        <v>166</v>
      </c>
      <c r="G51" s="375" t="s">
        <v>167</v>
      </c>
      <c r="H51" s="377"/>
      <c r="I51" s="377"/>
      <c r="J51" s="375" t="s">
        <v>168</v>
      </c>
      <c r="K51" s="375" t="s">
        <v>308</v>
      </c>
      <c r="L51" s="375" t="s">
        <v>220</v>
      </c>
      <c r="M51" s="375" t="s">
        <v>177</v>
      </c>
      <c r="N51" s="375" t="s">
        <v>199</v>
      </c>
      <c r="O51" s="378">
        <v>1</v>
      </c>
      <c r="P51" s="384">
        <v>1</v>
      </c>
      <c r="Q51" s="384">
        <v>1</v>
      </c>
      <c r="R51" s="379">
        <v>80</v>
      </c>
      <c r="S51" s="384">
        <v>1</v>
      </c>
      <c r="T51" s="379">
        <v>71474.62</v>
      </c>
      <c r="U51" s="379">
        <v>0</v>
      </c>
      <c r="V51" s="379">
        <v>26306.26</v>
      </c>
      <c r="W51" s="379">
        <v>71968</v>
      </c>
      <c r="X51" s="379">
        <v>27012.97</v>
      </c>
      <c r="Y51" s="379">
        <v>71968</v>
      </c>
      <c r="Z51" s="379">
        <v>26667.53</v>
      </c>
      <c r="AA51" s="375" t="s">
        <v>408</v>
      </c>
      <c r="AB51" s="375" t="s">
        <v>409</v>
      </c>
      <c r="AC51" s="375" t="s">
        <v>410</v>
      </c>
      <c r="AD51" s="375" t="s">
        <v>411</v>
      </c>
      <c r="AE51" s="375" t="s">
        <v>308</v>
      </c>
      <c r="AF51" s="375" t="s">
        <v>252</v>
      </c>
      <c r="AG51" s="375" t="s">
        <v>183</v>
      </c>
      <c r="AH51" s="380">
        <v>34.6</v>
      </c>
      <c r="AI51" s="380">
        <v>74365.2</v>
      </c>
      <c r="AJ51" s="375" t="s">
        <v>184</v>
      </c>
      <c r="AK51" s="375" t="s">
        <v>185</v>
      </c>
      <c r="AL51" s="375" t="s">
        <v>173</v>
      </c>
      <c r="AM51" s="375" t="s">
        <v>186</v>
      </c>
      <c r="AN51" s="375" t="s">
        <v>68</v>
      </c>
      <c r="AO51" s="378">
        <v>80</v>
      </c>
      <c r="AP51" s="384">
        <v>1</v>
      </c>
      <c r="AQ51" s="384">
        <v>1</v>
      </c>
      <c r="AR51" s="383" t="s">
        <v>187</v>
      </c>
      <c r="AS51" s="386">
        <f t="shared" si="27"/>
        <v>1</v>
      </c>
      <c r="AT51">
        <f t="shared" si="28"/>
        <v>1</v>
      </c>
      <c r="AU51" s="386">
        <f>IF(AT51=0,"",IF(AND(AT51=1,M51="F",SUMIF(C2:C557,C51,AS2:AS557)&lt;=1),SUMIF(C2:C557,C51,AS2:AS557),IF(AND(AT51=1,M51="F",SUMIF(C2:C557,C51,AS2:AS557)&gt;1),1,"")))</f>
        <v>1</v>
      </c>
      <c r="AV51" s="386" t="str">
        <f>IF(AT51=0,"",IF(AND(AT51=3,M51="F",SUMIF(C2:C557,C51,AS2:AS557)&lt;=1),SUMIF(C2:C557,C51,AS2:AS557),IF(AND(AT51=3,M51="F",SUMIF(C2:C557,C51,AS2:AS557)&gt;1),1,"")))</f>
        <v/>
      </c>
      <c r="AW51" s="386">
        <f>SUMIF(C2:C557,C51,O2:O557)</f>
        <v>1</v>
      </c>
      <c r="AX51" s="386">
        <f>IF(AND(M51="F",AS51&lt;&gt;0),SUMIF(C2:C557,C51,W2:W557),0)</f>
        <v>71968</v>
      </c>
      <c r="AY51" s="386">
        <f t="shared" si="29"/>
        <v>71968</v>
      </c>
      <c r="AZ51" s="386" t="str">
        <f t="shared" si="30"/>
        <v/>
      </c>
      <c r="BA51" s="386">
        <f t="shared" si="31"/>
        <v>0</v>
      </c>
      <c r="BB51" s="386">
        <f t="shared" si="0"/>
        <v>11650</v>
      </c>
      <c r="BC51" s="386">
        <f t="shared" si="1"/>
        <v>0</v>
      </c>
      <c r="BD51" s="386">
        <f t="shared" si="2"/>
        <v>4462.0159999999996</v>
      </c>
      <c r="BE51" s="386">
        <f t="shared" si="3"/>
        <v>1043.5360000000001</v>
      </c>
      <c r="BF51" s="386">
        <f t="shared" si="4"/>
        <v>8592.9791999999998</v>
      </c>
      <c r="BG51" s="386">
        <f t="shared" si="5"/>
        <v>518.88927999999999</v>
      </c>
      <c r="BH51" s="386">
        <f t="shared" si="6"/>
        <v>352.64319999999998</v>
      </c>
      <c r="BI51" s="386">
        <f t="shared" si="7"/>
        <v>220.22207999999998</v>
      </c>
      <c r="BJ51" s="386">
        <f t="shared" si="8"/>
        <v>172.72319999999999</v>
      </c>
      <c r="BK51" s="386">
        <f t="shared" si="9"/>
        <v>0</v>
      </c>
      <c r="BL51" s="386">
        <f t="shared" si="32"/>
        <v>15363.008959999999</v>
      </c>
      <c r="BM51" s="386">
        <f t="shared" si="33"/>
        <v>0</v>
      </c>
      <c r="BN51" s="386">
        <f t="shared" si="10"/>
        <v>11650</v>
      </c>
      <c r="BO51" s="386">
        <f t="shared" si="11"/>
        <v>0</v>
      </c>
      <c r="BP51" s="386">
        <f t="shared" si="12"/>
        <v>4462.0159999999996</v>
      </c>
      <c r="BQ51" s="386">
        <f t="shared" si="13"/>
        <v>1043.5360000000001</v>
      </c>
      <c r="BR51" s="386">
        <f t="shared" si="14"/>
        <v>8592.9791999999998</v>
      </c>
      <c r="BS51" s="386">
        <f t="shared" si="15"/>
        <v>518.88927999999999</v>
      </c>
      <c r="BT51" s="386">
        <f t="shared" si="16"/>
        <v>0</v>
      </c>
      <c r="BU51" s="386">
        <f t="shared" si="17"/>
        <v>220.22207999999998</v>
      </c>
      <c r="BV51" s="386">
        <f t="shared" si="18"/>
        <v>179.92000000000002</v>
      </c>
      <c r="BW51" s="386">
        <f t="shared" si="19"/>
        <v>0</v>
      </c>
      <c r="BX51" s="386">
        <f t="shared" si="34"/>
        <v>15017.562559999998</v>
      </c>
      <c r="BY51" s="386">
        <f t="shared" si="35"/>
        <v>0</v>
      </c>
      <c r="BZ51" s="386">
        <f t="shared" si="36"/>
        <v>0</v>
      </c>
      <c r="CA51" s="386">
        <f t="shared" si="37"/>
        <v>0</v>
      </c>
      <c r="CB51" s="386">
        <f t="shared" si="38"/>
        <v>0</v>
      </c>
      <c r="CC51" s="386">
        <f t="shared" si="20"/>
        <v>0</v>
      </c>
      <c r="CD51" s="386">
        <f t="shared" si="21"/>
        <v>0</v>
      </c>
      <c r="CE51" s="386">
        <f t="shared" si="22"/>
        <v>0</v>
      </c>
      <c r="CF51" s="386">
        <f t="shared" si="23"/>
        <v>-352.64319999999998</v>
      </c>
      <c r="CG51" s="386">
        <f t="shared" si="24"/>
        <v>0</v>
      </c>
      <c r="CH51" s="386">
        <f t="shared" si="25"/>
        <v>7.1968000000000192</v>
      </c>
      <c r="CI51" s="386">
        <f t="shared" si="26"/>
        <v>0</v>
      </c>
      <c r="CJ51" s="386">
        <f t="shared" si="39"/>
        <v>-345.44639999999998</v>
      </c>
      <c r="CK51" s="386" t="str">
        <f t="shared" si="40"/>
        <v/>
      </c>
      <c r="CL51" s="386" t="str">
        <f t="shared" si="41"/>
        <v/>
      </c>
      <c r="CM51" s="386" t="str">
        <f t="shared" si="42"/>
        <v/>
      </c>
      <c r="CN51" s="386" t="str">
        <f t="shared" si="43"/>
        <v>0001-00</v>
      </c>
    </row>
    <row r="52" spans="1:92" ht="15.75" thickBot="1" x14ac:dyDescent="0.3">
      <c r="A52" s="375" t="s">
        <v>161</v>
      </c>
      <c r="B52" s="375" t="s">
        <v>162</v>
      </c>
      <c r="C52" s="375" t="s">
        <v>412</v>
      </c>
      <c r="D52" s="375" t="s">
        <v>301</v>
      </c>
      <c r="E52" s="375" t="s">
        <v>165</v>
      </c>
      <c r="F52" s="376" t="s">
        <v>166</v>
      </c>
      <c r="G52" s="375" t="s">
        <v>167</v>
      </c>
      <c r="H52" s="377"/>
      <c r="I52" s="377"/>
      <c r="J52" s="375" t="s">
        <v>168</v>
      </c>
      <c r="K52" s="375" t="s">
        <v>302</v>
      </c>
      <c r="L52" s="375" t="s">
        <v>173</v>
      </c>
      <c r="M52" s="375" t="s">
        <v>177</v>
      </c>
      <c r="N52" s="375" t="s">
        <v>199</v>
      </c>
      <c r="O52" s="378">
        <v>1</v>
      </c>
      <c r="P52" s="384">
        <v>1</v>
      </c>
      <c r="Q52" s="384">
        <v>1</v>
      </c>
      <c r="R52" s="379">
        <v>80</v>
      </c>
      <c r="S52" s="384">
        <v>1</v>
      </c>
      <c r="T52" s="379">
        <v>0</v>
      </c>
      <c r="U52" s="379">
        <v>0</v>
      </c>
      <c r="V52" s="379">
        <v>0</v>
      </c>
      <c r="W52" s="379">
        <v>76336</v>
      </c>
      <c r="X52" s="379">
        <v>27945.41</v>
      </c>
      <c r="Y52" s="379">
        <v>76336</v>
      </c>
      <c r="Z52" s="379">
        <v>27579.01</v>
      </c>
      <c r="AA52" s="375" t="s">
        <v>413</v>
      </c>
      <c r="AB52" s="375" t="s">
        <v>414</v>
      </c>
      <c r="AC52" s="375" t="s">
        <v>415</v>
      </c>
      <c r="AD52" s="375" t="s">
        <v>220</v>
      </c>
      <c r="AE52" s="375" t="s">
        <v>302</v>
      </c>
      <c r="AF52" s="375" t="s">
        <v>305</v>
      </c>
      <c r="AG52" s="375" t="s">
        <v>183</v>
      </c>
      <c r="AH52" s="380">
        <v>36.700000000000003</v>
      </c>
      <c r="AI52" s="380">
        <v>63958.5</v>
      </c>
      <c r="AJ52" s="375" t="s">
        <v>184</v>
      </c>
      <c r="AK52" s="375" t="s">
        <v>185</v>
      </c>
      <c r="AL52" s="375" t="s">
        <v>173</v>
      </c>
      <c r="AM52" s="375" t="s">
        <v>186</v>
      </c>
      <c r="AN52" s="375" t="s">
        <v>68</v>
      </c>
      <c r="AO52" s="378">
        <v>80</v>
      </c>
      <c r="AP52" s="384">
        <v>1</v>
      </c>
      <c r="AQ52" s="384">
        <v>1</v>
      </c>
      <c r="AR52" s="383" t="s">
        <v>187</v>
      </c>
      <c r="AS52" s="386">
        <f t="shared" si="27"/>
        <v>1</v>
      </c>
      <c r="AT52">
        <f t="shared" si="28"/>
        <v>1</v>
      </c>
      <c r="AU52" s="386">
        <f>IF(AT52=0,"",IF(AND(AT52=1,M52="F",SUMIF(C2:C557,C52,AS2:AS557)&lt;=1),SUMIF(C2:C557,C52,AS2:AS557),IF(AND(AT52=1,M52="F",SUMIF(C2:C557,C52,AS2:AS557)&gt;1),1,"")))</f>
        <v>1</v>
      </c>
      <c r="AV52" s="386" t="str">
        <f>IF(AT52=0,"",IF(AND(AT52=3,M52="F",SUMIF(C2:C557,C52,AS2:AS557)&lt;=1),SUMIF(C2:C557,C52,AS2:AS557),IF(AND(AT52=3,M52="F",SUMIF(C2:C557,C52,AS2:AS557)&gt;1),1,"")))</f>
        <v/>
      </c>
      <c r="AW52" s="386">
        <f>SUMIF(C2:C557,C52,O2:O557)</f>
        <v>2</v>
      </c>
      <c r="AX52" s="386">
        <f>IF(AND(M52="F",AS52&lt;&gt;0),SUMIF(C2:C557,C52,W2:W557),0)</f>
        <v>76336</v>
      </c>
      <c r="AY52" s="386">
        <f t="shared" si="29"/>
        <v>76336</v>
      </c>
      <c r="AZ52" s="386" t="str">
        <f t="shared" si="30"/>
        <v/>
      </c>
      <c r="BA52" s="386">
        <f t="shared" si="31"/>
        <v>0</v>
      </c>
      <c r="BB52" s="386">
        <f t="shared" si="0"/>
        <v>11650</v>
      </c>
      <c r="BC52" s="386">
        <f t="shared" si="1"/>
        <v>0</v>
      </c>
      <c r="BD52" s="386">
        <f t="shared" si="2"/>
        <v>4732.8320000000003</v>
      </c>
      <c r="BE52" s="386">
        <f t="shared" si="3"/>
        <v>1106.8720000000001</v>
      </c>
      <c r="BF52" s="386">
        <f t="shared" si="4"/>
        <v>9114.5184000000008</v>
      </c>
      <c r="BG52" s="386">
        <f t="shared" si="5"/>
        <v>550.38256000000001</v>
      </c>
      <c r="BH52" s="386">
        <f t="shared" si="6"/>
        <v>374.04640000000001</v>
      </c>
      <c r="BI52" s="386">
        <f t="shared" si="7"/>
        <v>233.58815999999999</v>
      </c>
      <c r="BJ52" s="386">
        <f t="shared" si="8"/>
        <v>183.20639999999997</v>
      </c>
      <c r="BK52" s="386">
        <f t="shared" si="9"/>
        <v>0</v>
      </c>
      <c r="BL52" s="386">
        <f t="shared" si="32"/>
        <v>16295.44592</v>
      </c>
      <c r="BM52" s="386">
        <f t="shared" si="33"/>
        <v>0</v>
      </c>
      <c r="BN52" s="386">
        <f t="shared" si="10"/>
        <v>11650</v>
      </c>
      <c r="BO52" s="386">
        <f t="shared" si="11"/>
        <v>0</v>
      </c>
      <c r="BP52" s="386">
        <f t="shared" si="12"/>
        <v>4732.8320000000003</v>
      </c>
      <c r="BQ52" s="386">
        <f t="shared" si="13"/>
        <v>1106.8720000000001</v>
      </c>
      <c r="BR52" s="386">
        <f t="shared" si="14"/>
        <v>9114.5184000000008</v>
      </c>
      <c r="BS52" s="386">
        <f t="shared" si="15"/>
        <v>550.38256000000001</v>
      </c>
      <c r="BT52" s="386">
        <f t="shared" si="16"/>
        <v>0</v>
      </c>
      <c r="BU52" s="386">
        <f t="shared" si="17"/>
        <v>233.58815999999999</v>
      </c>
      <c r="BV52" s="386">
        <f t="shared" si="18"/>
        <v>190.84</v>
      </c>
      <c r="BW52" s="386">
        <f t="shared" si="19"/>
        <v>0</v>
      </c>
      <c r="BX52" s="386">
        <f t="shared" si="34"/>
        <v>15929.033120000002</v>
      </c>
      <c r="BY52" s="386">
        <f t="shared" si="35"/>
        <v>0</v>
      </c>
      <c r="BZ52" s="386">
        <f t="shared" si="36"/>
        <v>0</v>
      </c>
      <c r="CA52" s="386">
        <f t="shared" si="37"/>
        <v>0</v>
      </c>
      <c r="CB52" s="386">
        <f t="shared" si="38"/>
        <v>0</v>
      </c>
      <c r="CC52" s="386">
        <f t="shared" si="20"/>
        <v>0</v>
      </c>
      <c r="CD52" s="386">
        <f t="shared" si="21"/>
        <v>0</v>
      </c>
      <c r="CE52" s="386">
        <f t="shared" si="22"/>
        <v>0</v>
      </c>
      <c r="CF52" s="386">
        <f t="shared" si="23"/>
        <v>-374.04640000000001</v>
      </c>
      <c r="CG52" s="386">
        <f t="shared" si="24"/>
        <v>0</v>
      </c>
      <c r="CH52" s="386">
        <f t="shared" si="25"/>
        <v>7.6336000000000199</v>
      </c>
      <c r="CI52" s="386">
        <f t="shared" si="26"/>
        <v>0</v>
      </c>
      <c r="CJ52" s="386">
        <f t="shared" si="39"/>
        <v>-366.4128</v>
      </c>
      <c r="CK52" s="386" t="str">
        <f t="shared" si="40"/>
        <v/>
      </c>
      <c r="CL52" s="386" t="str">
        <f t="shared" si="41"/>
        <v/>
      </c>
      <c r="CM52" s="386" t="str">
        <f t="shared" si="42"/>
        <v/>
      </c>
      <c r="CN52" s="386" t="str">
        <f t="shared" si="43"/>
        <v>0001-00</v>
      </c>
    </row>
    <row r="53" spans="1:92" ht="15.75" thickBot="1" x14ac:dyDescent="0.3">
      <c r="A53" s="375" t="s">
        <v>161</v>
      </c>
      <c r="B53" s="375" t="s">
        <v>162</v>
      </c>
      <c r="C53" s="375" t="s">
        <v>416</v>
      </c>
      <c r="D53" s="375" t="s">
        <v>417</v>
      </c>
      <c r="E53" s="375" t="s">
        <v>165</v>
      </c>
      <c r="F53" s="376" t="s">
        <v>166</v>
      </c>
      <c r="G53" s="375" t="s">
        <v>167</v>
      </c>
      <c r="H53" s="377"/>
      <c r="I53" s="377"/>
      <c r="J53" s="375" t="s">
        <v>168</v>
      </c>
      <c r="K53" s="375" t="s">
        <v>418</v>
      </c>
      <c r="L53" s="375" t="s">
        <v>198</v>
      </c>
      <c r="M53" s="375" t="s">
        <v>177</v>
      </c>
      <c r="N53" s="375" t="s">
        <v>199</v>
      </c>
      <c r="O53" s="378">
        <v>1</v>
      </c>
      <c r="P53" s="384">
        <v>1</v>
      </c>
      <c r="Q53" s="384">
        <v>1</v>
      </c>
      <c r="R53" s="379">
        <v>80</v>
      </c>
      <c r="S53" s="384">
        <v>1</v>
      </c>
      <c r="T53" s="379">
        <v>44233.9</v>
      </c>
      <c r="U53" s="379">
        <v>0</v>
      </c>
      <c r="V53" s="379">
        <v>21146.46</v>
      </c>
      <c r="W53" s="379">
        <v>42952</v>
      </c>
      <c r="X53" s="379">
        <v>20818.93</v>
      </c>
      <c r="Y53" s="379">
        <v>42952</v>
      </c>
      <c r="Z53" s="379">
        <v>20612.77</v>
      </c>
      <c r="AA53" s="375" t="s">
        <v>419</v>
      </c>
      <c r="AB53" s="375" t="s">
        <v>420</v>
      </c>
      <c r="AC53" s="375" t="s">
        <v>421</v>
      </c>
      <c r="AD53" s="375" t="s">
        <v>181</v>
      </c>
      <c r="AE53" s="375" t="s">
        <v>418</v>
      </c>
      <c r="AF53" s="375" t="s">
        <v>245</v>
      </c>
      <c r="AG53" s="375" t="s">
        <v>183</v>
      </c>
      <c r="AH53" s="380">
        <v>20.65</v>
      </c>
      <c r="AI53" s="378">
        <v>198</v>
      </c>
      <c r="AJ53" s="375" t="s">
        <v>184</v>
      </c>
      <c r="AK53" s="375" t="s">
        <v>185</v>
      </c>
      <c r="AL53" s="375" t="s">
        <v>173</v>
      </c>
      <c r="AM53" s="375" t="s">
        <v>186</v>
      </c>
      <c r="AN53" s="375" t="s">
        <v>68</v>
      </c>
      <c r="AO53" s="378">
        <v>80</v>
      </c>
      <c r="AP53" s="384">
        <v>1</v>
      </c>
      <c r="AQ53" s="384">
        <v>1</v>
      </c>
      <c r="AR53" s="383" t="s">
        <v>187</v>
      </c>
      <c r="AS53" s="386">
        <f t="shared" si="27"/>
        <v>1</v>
      </c>
      <c r="AT53">
        <f t="shared" si="28"/>
        <v>1</v>
      </c>
      <c r="AU53" s="386">
        <f>IF(AT53=0,"",IF(AND(AT53=1,M53="F",SUMIF(C2:C557,C53,AS2:AS557)&lt;=1),SUMIF(C2:C557,C53,AS2:AS557),IF(AND(AT53=1,M53="F",SUMIF(C2:C557,C53,AS2:AS557)&gt;1),1,"")))</f>
        <v>1</v>
      </c>
      <c r="AV53" s="386" t="str">
        <f>IF(AT53=0,"",IF(AND(AT53=3,M53="F",SUMIF(C2:C557,C53,AS2:AS557)&lt;=1),SUMIF(C2:C557,C53,AS2:AS557),IF(AND(AT53=3,M53="F",SUMIF(C2:C557,C53,AS2:AS557)&gt;1),1,"")))</f>
        <v/>
      </c>
      <c r="AW53" s="386">
        <f>SUMIF(C2:C557,C53,O2:O557)</f>
        <v>1</v>
      </c>
      <c r="AX53" s="386">
        <f>IF(AND(M53="F",AS53&lt;&gt;0),SUMIF(C2:C557,C53,W2:W557),0)</f>
        <v>42952</v>
      </c>
      <c r="AY53" s="386">
        <f t="shared" si="29"/>
        <v>42952</v>
      </c>
      <c r="AZ53" s="386" t="str">
        <f t="shared" si="30"/>
        <v/>
      </c>
      <c r="BA53" s="386">
        <f t="shared" si="31"/>
        <v>0</v>
      </c>
      <c r="BB53" s="386">
        <f t="shared" si="0"/>
        <v>11650</v>
      </c>
      <c r="BC53" s="386">
        <f t="shared" si="1"/>
        <v>0</v>
      </c>
      <c r="BD53" s="386">
        <f t="shared" si="2"/>
        <v>2663.0239999999999</v>
      </c>
      <c r="BE53" s="386">
        <f t="shared" si="3"/>
        <v>622.80400000000009</v>
      </c>
      <c r="BF53" s="386">
        <f t="shared" si="4"/>
        <v>5128.4688000000006</v>
      </c>
      <c r="BG53" s="386">
        <f t="shared" si="5"/>
        <v>309.68392</v>
      </c>
      <c r="BH53" s="386">
        <f t="shared" si="6"/>
        <v>210.4648</v>
      </c>
      <c r="BI53" s="386">
        <f t="shared" si="7"/>
        <v>131.43312</v>
      </c>
      <c r="BJ53" s="386">
        <f t="shared" si="8"/>
        <v>103.08479999999999</v>
      </c>
      <c r="BK53" s="386">
        <f t="shared" si="9"/>
        <v>0</v>
      </c>
      <c r="BL53" s="386">
        <f t="shared" si="32"/>
        <v>9168.9634399999995</v>
      </c>
      <c r="BM53" s="386">
        <f t="shared" si="33"/>
        <v>0</v>
      </c>
      <c r="BN53" s="386">
        <f t="shared" si="10"/>
        <v>11650</v>
      </c>
      <c r="BO53" s="386">
        <f t="shared" si="11"/>
        <v>0</v>
      </c>
      <c r="BP53" s="386">
        <f t="shared" si="12"/>
        <v>2663.0239999999999</v>
      </c>
      <c r="BQ53" s="386">
        <f t="shared" si="13"/>
        <v>622.80400000000009</v>
      </c>
      <c r="BR53" s="386">
        <f t="shared" si="14"/>
        <v>5128.4688000000006</v>
      </c>
      <c r="BS53" s="386">
        <f t="shared" si="15"/>
        <v>309.68392</v>
      </c>
      <c r="BT53" s="386">
        <f t="shared" si="16"/>
        <v>0</v>
      </c>
      <c r="BU53" s="386">
        <f t="shared" si="17"/>
        <v>131.43312</v>
      </c>
      <c r="BV53" s="386">
        <f t="shared" si="18"/>
        <v>107.38</v>
      </c>
      <c r="BW53" s="386">
        <f t="shared" si="19"/>
        <v>0</v>
      </c>
      <c r="BX53" s="386">
        <f t="shared" si="34"/>
        <v>8962.7938399999985</v>
      </c>
      <c r="BY53" s="386">
        <f t="shared" si="35"/>
        <v>0</v>
      </c>
      <c r="BZ53" s="386">
        <f t="shared" si="36"/>
        <v>0</v>
      </c>
      <c r="CA53" s="386">
        <f t="shared" si="37"/>
        <v>0</v>
      </c>
      <c r="CB53" s="386">
        <f t="shared" si="38"/>
        <v>0</v>
      </c>
      <c r="CC53" s="386">
        <f t="shared" si="20"/>
        <v>0</v>
      </c>
      <c r="CD53" s="386">
        <f t="shared" si="21"/>
        <v>0</v>
      </c>
      <c r="CE53" s="386">
        <f t="shared" si="22"/>
        <v>0</v>
      </c>
      <c r="CF53" s="386">
        <f t="shared" si="23"/>
        <v>-210.4648</v>
      </c>
      <c r="CG53" s="386">
        <f t="shared" si="24"/>
        <v>0</v>
      </c>
      <c r="CH53" s="386">
        <f t="shared" si="25"/>
        <v>4.295200000000011</v>
      </c>
      <c r="CI53" s="386">
        <f t="shared" si="26"/>
        <v>0</v>
      </c>
      <c r="CJ53" s="386">
        <f t="shared" si="39"/>
        <v>-206.16959999999997</v>
      </c>
      <c r="CK53" s="386" t="str">
        <f t="shared" si="40"/>
        <v/>
      </c>
      <c r="CL53" s="386" t="str">
        <f t="shared" si="41"/>
        <v/>
      </c>
      <c r="CM53" s="386" t="str">
        <f t="shared" si="42"/>
        <v/>
      </c>
      <c r="CN53" s="386" t="str">
        <f t="shared" si="43"/>
        <v>0001-00</v>
      </c>
    </row>
    <row r="54" spans="1:92" ht="15.75" thickBot="1" x14ac:dyDescent="0.3">
      <c r="A54" s="375" t="s">
        <v>161</v>
      </c>
      <c r="B54" s="375" t="s">
        <v>162</v>
      </c>
      <c r="C54" s="375" t="s">
        <v>422</v>
      </c>
      <c r="D54" s="375" t="s">
        <v>164</v>
      </c>
      <c r="E54" s="375" t="s">
        <v>165</v>
      </c>
      <c r="F54" s="376" t="s">
        <v>166</v>
      </c>
      <c r="G54" s="375" t="s">
        <v>167</v>
      </c>
      <c r="H54" s="377"/>
      <c r="I54" s="377"/>
      <c r="J54" s="375" t="s">
        <v>218</v>
      </c>
      <c r="K54" s="375" t="s">
        <v>169</v>
      </c>
      <c r="L54" s="375" t="s">
        <v>170</v>
      </c>
      <c r="M54" s="375" t="s">
        <v>177</v>
      </c>
      <c r="N54" s="375" t="s">
        <v>199</v>
      </c>
      <c r="O54" s="378">
        <v>1</v>
      </c>
      <c r="P54" s="384">
        <v>0.7</v>
      </c>
      <c r="Q54" s="384">
        <v>0.7</v>
      </c>
      <c r="R54" s="379">
        <v>80</v>
      </c>
      <c r="S54" s="384">
        <v>0.7</v>
      </c>
      <c r="T54" s="379">
        <v>35834.699999999997</v>
      </c>
      <c r="U54" s="379">
        <v>0</v>
      </c>
      <c r="V54" s="379">
        <v>13416.26</v>
      </c>
      <c r="W54" s="379">
        <v>35468.160000000003</v>
      </c>
      <c r="X54" s="379">
        <v>15726.36</v>
      </c>
      <c r="Y54" s="379">
        <v>35468.160000000003</v>
      </c>
      <c r="Z54" s="379">
        <v>15556.12</v>
      </c>
      <c r="AA54" s="375" t="s">
        <v>423</v>
      </c>
      <c r="AB54" s="375" t="s">
        <v>424</v>
      </c>
      <c r="AC54" s="375" t="s">
        <v>425</v>
      </c>
      <c r="AD54" s="375" t="s">
        <v>181</v>
      </c>
      <c r="AE54" s="375" t="s">
        <v>169</v>
      </c>
      <c r="AF54" s="375" t="s">
        <v>269</v>
      </c>
      <c r="AG54" s="375" t="s">
        <v>183</v>
      </c>
      <c r="AH54" s="380">
        <v>24.36</v>
      </c>
      <c r="AI54" s="380">
        <v>11994.8</v>
      </c>
      <c r="AJ54" s="375" t="s">
        <v>184</v>
      </c>
      <c r="AK54" s="375" t="s">
        <v>185</v>
      </c>
      <c r="AL54" s="375" t="s">
        <v>173</v>
      </c>
      <c r="AM54" s="375" t="s">
        <v>186</v>
      </c>
      <c r="AN54" s="375" t="s">
        <v>68</v>
      </c>
      <c r="AO54" s="378">
        <v>80</v>
      </c>
      <c r="AP54" s="384">
        <v>1</v>
      </c>
      <c r="AQ54" s="384">
        <v>0.7</v>
      </c>
      <c r="AR54" s="383" t="s">
        <v>187</v>
      </c>
      <c r="AS54" s="386">
        <f t="shared" si="27"/>
        <v>0.7</v>
      </c>
      <c r="AT54">
        <f t="shared" si="28"/>
        <v>1</v>
      </c>
      <c r="AU54" s="386">
        <f>IF(AT54=0,"",IF(AND(AT54=1,M54="F",SUMIF(C2:C557,C54,AS2:AS557)&lt;=1),SUMIF(C2:C557,C54,AS2:AS557),IF(AND(AT54=1,M54="F",SUMIF(C2:C557,C54,AS2:AS557)&gt;1),1,"")))</f>
        <v>1</v>
      </c>
      <c r="AV54" s="386" t="str">
        <f>IF(AT54=0,"",IF(AND(AT54=3,M54="F",SUMIF(C2:C557,C54,AS2:AS557)&lt;=1),SUMIF(C2:C557,C54,AS2:AS557),IF(AND(AT54=3,M54="F",SUMIF(C2:C557,C54,AS2:AS557)&gt;1),1,"")))</f>
        <v/>
      </c>
      <c r="AW54" s="386">
        <f>SUMIF(C2:C557,C54,O2:O557)</f>
        <v>2</v>
      </c>
      <c r="AX54" s="386">
        <f>IF(AND(M54="F",AS54&lt;&gt;0),SUMIF(C2:C557,C54,W2:W557),0)</f>
        <v>50668.800000000003</v>
      </c>
      <c r="AY54" s="386">
        <f t="shared" si="29"/>
        <v>35468.160000000003</v>
      </c>
      <c r="AZ54" s="386" t="str">
        <f t="shared" si="30"/>
        <v/>
      </c>
      <c r="BA54" s="386">
        <f t="shared" si="31"/>
        <v>0</v>
      </c>
      <c r="BB54" s="386">
        <f t="shared" si="0"/>
        <v>8154.9999999999991</v>
      </c>
      <c r="BC54" s="386">
        <f t="shared" si="1"/>
        <v>0</v>
      </c>
      <c r="BD54" s="386">
        <f t="shared" si="2"/>
        <v>2199.02592</v>
      </c>
      <c r="BE54" s="386">
        <f t="shared" si="3"/>
        <v>514.28832000000011</v>
      </c>
      <c r="BF54" s="386">
        <f t="shared" si="4"/>
        <v>4234.8983040000003</v>
      </c>
      <c r="BG54" s="386">
        <f t="shared" si="5"/>
        <v>255.72543360000003</v>
      </c>
      <c r="BH54" s="386">
        <f t="shared" si="6"/>
        <v>173.79398400000002</v>
      </c>
      <c r="BI54" s="386">
        <f t="shared" si="7"/>
        <v>108.5325696</v>
      </c>
      <c r="BJ54" s="386">
        <f t="shared" si="8"/>
        <v>85.123583999999994</v>
      </c>
      <c r="BK54" s="386">
        <f t="shared" si="9"/>
        <v>0</v>
      </c>
      <c r="BL54" s="386">
        <f t="shared" si="32"/>
        <v>7571.3881151999994</v>
      </c>
      <c r="BM54" s="386">
        <f t="shared" si="33"/>
        <v>0</v>
      </c>
      <c r="BN54" s="386">
        <f t="shared" si="10"/>
        <v>8154.9999999999991</v>
      </c>
      <c r="BO54" s="386">
        <f t="shared" si="11"/>
        <v>0</v>
      </c>
      <c r="BP54" s="386">
        <f t="shared" si="12"/>
        <v>2199.02592</v>
      </c>
      <c r="BQ54" s="386">
        <f t="shared" si="13"/>
        <v>514.28832000000011</v>
      </c>
      <c r="BR54" s="386">
        <f t="shared" si="14"/>
        <v>4234.8983040000003</v>
      </c>
      <c r="BS54" s="386">
        <f t="shared" si="15"/>
        <v>255.72543360000003</v>
      </c>
      <c r="BT54" s="386">
        <f t="shared" si="16"/>
        <v>0</v>
      </c>
      <c r="BU54" s="386">
        <f t="shared" si="17"/>
        <v>108.5325696</v>
      </c>
      <c r="BV54" s="386">
        <f t="shared" si="18"/>
        <v>88.670400000000015</v>
      </c>
      <c r="BW54" s="386">
        <f t="shared" si="19"/>
        <v>0</v>
      </c>
      <c r="BX54" s="386">
        <f t="shared" si="34"/>
        <v>7401.1409471999996</v>
      </c>
      <c r="BY54" s="386">
        <f t="shared" si="35"/>
        <v>0</v>
      </c>
      <c r="BZ54" s="386">
        <f t="shared" si="36"/>
        <v>0</v>
      </c>
      <c r="CA54" s="386">
        <f t="shared" si="37"/>
        <v>0</v>
      </c>
      <c r="CB54" s="386">
        <f t="shared" si="38"/>
        <v>0</v>
      </c>
      <c r="CC54" s="386">
        <f t="shared" si="20"/>
        <v>0</v>
      </c>
      <c r="CD54" s="386">
        <f t="shared" si="21"/>
        <v>0</v>
      </c>
      <c r="CE54" s="386">
        <f t="shared" si="22"/>
        <v>0</v>
      </c>
      <c r="CF54" s="386">
        <f t="shared" si="23"/>
        <v>-173.79398400000002</v>
      </c>
      <c r="CG54" s="386">
        <f t="shared" si="24"/>
        <v>0</v>
      </c>
      <c r="CH54" s="386">
        <f t="shared" si="25"/>
        <v>3.5468160000000095</v>
      </c>
      <c r="CI54" s="386">
        <f t="shared" si="26"/>
        <v>0</v>
      </c>
      <c r="CJ54" s="386">
        <f t="shared" si="39"/>
        <v>-170.24716800000002</v>
      </c>
      <c r="CK54" s="386" t="str">
        <f t="shared" si="40"/>
        <v/>
      </c>
      <c r="CL54" s="386" t="str">
        <f t="shared" si="41"/>
        <v/>
      </c>
      <c r="CM54" s="386" t="str">
        <f t="shared" si="42"/>
        <v/>
      </c>
      <c r="CN54" s="386" t="str">
        <f t="shared" si="43"/>
        <v>0001-00</v>
      </c>
    </row>
    <row r="55" spans="1:92" ht="15.75" thickBot="1" x14ac:dyDescent="0.3">
      <c r="A55" s="375" t="s">
        <v>161</v>
      </c>
      <c r="B55" s="375" t="s">
        <v>162</v>
      </c>
      <c r="C55" s="375" t="s">
        <v>426</v>
      </c>
      <c r="D55" s="375" t="s">
        <v>427</v>
      </c>
      <c r="E55" s="375" t="s">
        <v>165</v>
      </c>
      <c r="F55" s="376" t="s">
        <v>166</v>
      </c>
      <c r="G55" s="375" t="s">
        <v>167</v>
      </c>
      <c r="H55" s="377"/>
      <c r="I55" s="377"/>
      <c r="J55" s="375" t="s">
        <v>218</v>
      </c>
      <c r="K55" s="375" t="s">
        <v>428</v>
      </c>
      <c r="L55" s="375" t="s">
        <v>274</v>
      </c>
      <c r="M55" s="375" t="s">
        <v>177</v>
      </c>
      <c r="N55" s="375" t="s">
        <v>199</v>
      </c>
      <c r="O55" s="378">
        <v>1</v>
      </c>
      <c r="P55" s="384">
        <v>0.5</v>
      </c>
      <c r="Q55" s="384">
        <v>0.5</v>
      </c>
      <c r="R55" s="379">
        <v>80</v>
      </c>
      <c r="S55" s="384">
        <v>0.5</v>
      </c>
      <c r="T55" s="379">
        <v>45177.37</v>
      </c>
      <c r="U55" s="379">
        <v>0</v>
      </c>
      <c r="V55" s="379">
        <v>15086.89</v>
      </c>
      <c r="W55" s="379">
        <v>45500</v>
      </c>
      <c r="X55" s="379">
        <v>15537.88</v>
      </c>
      <c r="Y55" s="379">
        <v>45500</v>
      </c>
      <c r="Z55" s="379">
        <v>15319.48</v>
      </c>
      <c r="AA55" s="375" t="s">
        <v>429</v>
      </c>
      <c r="AB55" s="375" t="s">
        <v>430</v>
      </c>
      <c r="AC55" s="375" t="s">
        <v>431</v>
      </c>
      <c r="AD55" s="375" t="s">
        <v>220</v>
      </c>
      <c r="AE55" s="375" t="s">
        <v>428</v>
      </c>
      <c r="AF55" s="375" t="s">
        <v>388</v>
      </c>
      <c r="AG55" s="375" t="s">
        <v>183</v>
      </c>
      <c r="AH55" s="380">
        <v>43.75</v>
      </c>
      <c r="AI55" s="380">
        <v>3212.8</v>
      </c>
      <c r="AJ55" s="375" t="s">
        <v>184</v>
      </c>
      <c r="AK55" s="375" t="s">
        <v>185</v>
      </c>
      <c r="AL55" s="375" t="s">
        <v>173</v>
      </c>
      <c r="AM55" s="375" t="s">
        <v>186</v>
      </c>
      <c r="AN55" s="375" t="s">
        <v>68</v>
      </c>
      <c r="AO55" s="378">
        <v>80</v>
      </c>
      <c r="AP55" s="384">
        <v>1</v>
      </c>
      <c r="AQ55" s="384">
        <v>0.5</v>
      </c>
      <c r="AR55" s="383" t="s">
        <v>187</v>
      </c>
      <c r="AS55" s="386">
        <f t="shared" si="27"/>
        <v>0.5</v>
      </c>
      <c r="AT55">
        <f t="shared" si="28"/>
        <v>1</v>
      </c>
      <c r="AU55" s="386">
        <f>IF(AT55=0,"",IF(AND(AT55=1,M55="F",SUMIF(C2:C557,C55,AS2:AS557)&lt;=1),SUMIF(C2:C557,C55,AS2:AS557),IF(AND(AT55=1,M55="F",SUMIF(C2:C557,C55,AS2:AS557)&gt;1),1,"")))</f>
        <v>1</v>
      </c>
      <c r="AV55" s="386" t="str">
        <f>IF(AT55=0,"",IF(AND(AT55=3,M55="F",SUMIF(C2:C557,C55,AS2:AS557)&lt;=1),SUMIF(C2:C557,C55,AS2:AS557),IF(AND(AT55=3,M55="F",SUMIF(C2:C557,C55,AS2:AS557)&gt;1),1,"")))</f>
        <v/>
      </c>
      <c r="AW55" s="386">
        <f>SUMIF(C2:C557,C55,O2:O557)</f>
        <v>2</v>
      </c>
      <c r="AX55" s="386">
        <f>IF(AND(M55="F",AS55&lt;&gt;0),SUMIF(C2:C557,C55,W2:W557),0)</f>
        <v>91000</v>
      </c>
      <c r="AY55" s="386">
        <f t="shared" si="29"/>
        <v>45500</v>
      </c>
      <c r="AZ55" s="386" t="str">
        <f t="shared" si="30"/>
        <v/>
      </c>
      <c r="BA55" s="386">
        <f t="shared" si="31"/>
        <v>0</v>
      </c>
      <c r="BB55" s="386">
        <f t="shared" si="0"/>
        <v>5825</v>
      </c>
      <c r="BC55" s="386">
        <f t="shared" si="1"/>
        <v>0</v>
      </c>
      <c r="BD55" s="386">
        <f t="shared" si="2"/>
        <v>2821</v>
      </c>
      <c r="BE55" s="386">
        <f t="shared" si="3"/>
        <v>659.75</v>
      </c>
      <c r="BF55" s="386">
        <f t="shared" si="4"/>
        <v>5432.7000000000007</v>
      </c>
      <c r="BG55" s="386">
        <f t="shared" si="5"/>
        <v>328.05500000000001</v>
      </c>
      <c r="BH55" s="386">
        <f t="shared" si="6"/>
        <v>222.95</v>
      </c>
      <c r="BI55" s="386">
        <f t="shared" si="7"/>
        <v>139.22999999999999</v>
      </c>
      <c r="BJ55" s="386">
        <f t="shared" si="8"/>
        <v>109.19999999999999</v>
      </c>
      <c r="BK55" s="386">
        <f t="shared" si="9"/>
        <v>0</v>
      </c>
      <c r="BL55" s="386">
        <f t="shared" si="32"/>
        <v>9712.885000000002</v>
      </c>
      <c r="BM55" s="386">
        <f t="shared" si="33"/>
        <v>0</v>
      </c>
      <c r="BN55" s="386">
        <f t="shared" si="10"/>
        <v>5825</v>
      </c>
      <c r="BO55" s="386">
        <f t="shared" si="11"/>
        <v>0</v>
      </c>
      <c r="BP55" s="386">
        <f t="shared" si="12"/>
        <v>2821</v>
      </c>
      <c r="BQ55" s="386">
        <f t="shared" si="13"/>
        <v>659.75</v>
      </c>
      <c r="BR55" s="386">
        <f t="shared" si="14"/>
        <v>5432.7000000000007</v>
      </c>
      <c r="BS55" s="386">
        <f t="shared" si="15"/>
        <v>328.05500000000001</v>
      </c>
      <c r="BT55" s="386">
        <f t="shared" si="16"/>
        <v>0</v>
      </c>
      <c r="BU55" s="386">
        <f t="shared" si="17"/>
        <v>139.22999999999999</v>
      </c>
      <c r="BV55" s="386">
        <f t="shared" si="18"/>
        <v>113.75</v>
      </c>
      <c r="BW55" s="386">
        <f t="shared" si="19"/>
        <v>0</v>
      </c>
      <c r="BX55" s="386">
        <f t="shared" si="34"/>
        <v>9494.4850000000006</v>
      </c>
      <c r="BY55" s="386">
        <f t="shared" si="35"/>
        <v>0</v>
      </c>
      <c r="BZ55" s="386">
        <f t="shared" si="36"/>
        <v>0</v>
      </c>
      <c r="CA55" s="386">
        <f t="shared" si="37"/>
        <v>0</v>
      </c>
      <c r="CB55" s="386">
        <f t="shared" si="38"/>
        <v>0</v>
      </c>
      <c r="CC55" s="386">
        <f t="shared" si="20"/>
        <v>0</v>
      </c>
      <c r="CD55" s="386">
        <f t="shared" si="21"/>
        <v>0</v>
      </c>
      <c r="CE55" s="386">
        <f t="shared" si="22"/>
        <v>0</v>
      </c>
      <c r="CF55" s="386">
        <f t="shared" si="23"/>
        <v>-222.95</v>
      </c>
      <c r="CG55" s="386">
        <f t="shared" si="24"/>
        <v>0</v>
      </c>
      <c r="CH55" s="386">
        <f t="shared" si="25"/>
        <v>4.5500000000000123</v>
      </c>
      <c r="CI55" s="386">
        <f t="shared" si="26"/>
        <v>0</v>
      </c>
      <c r="CJ55" s="386">
        <f t="shared" si="39"/>
        <v>-218.39999999999998</v>
      </c>
      <c r="CK55" s="386" t="str">
        <f t="shared" si="40"/>
        <v/>
      </c>
      <c r="CL55" s="386" t="str">
        <f t="shared" si="41"/>
        <v/>
      </c>
      <c r="CM55" s="386" t="str">
        <f t="shared" si="42"/>
        <v/>
      </c>
      <c r="CN55" s="386" t="str">
        <f t="shared" si="43"/>
        <v>0001-00</v>
      </c>
    </row>
    <row r="56" spans="1:92" ht="15.75" thickBot="1" x14ac:dyDescent="0.3">
      <c r="A56" s="375" t="s">
        <v>161</v>
      </c>
      <c r="B56" s="375" t="s">
        <v>162</v>
      </c>
      <c r="C56" s="375" t="s">
        <v>432</v>
      </c>
      <c r="D56" s="375" t="s">
        <v>433</v>
      </c>
      <c r="E56" s="375" t="s">
        <v>165</v>
      </c>
      <c r="F56" s="376" t="s">
        <v>166</v>
      </c>
      <c r="G56" s="375" t="s">
        <v>167</v>
      </c>
      <c r="H56" s="377"/>
      <c r="I56" s="377"/>
      <c r="J56" s="375" t="s">
        <v>168</v>
      </c>
      <c r="K56" s="375" t="s">
        <v>434</v>
      </c>
      <c r="L56" s="375" t="s">
        <v>233</v>
      </c>
      <c r="M56" s="375" t="s">
        <v>177</v>
      </c>
      <c r="N56" s="375" t="s">
        <v>199</v>
      </c>
      <c r="O56" s="378">
        <v>1</v>
      </c>
      <c r="P56" s="384">
        <v>1</v>
      </c>
      <c r="Q56" s="384">
        <v>1</v>
      </c>
      <c r="R56" s="379">
        <v>80</v>
      </c>
      <c r="S56" s="384">
        <v>1</v>
      </c>
      <c r="T56" s="379">
        <v>42614.400000000001</v>
      </c>
      <c r="U56" s="379">
        <v>0</v>
      </c>
      <c r="V56" s="379">
        <v>20521.57</v>
      </c>
      <c r="W56" s="379">
        <v>44304</v>
      </c>
      <c r="X56" s="379">
        <v>21107.53</v>
      </c>
      <c r="Y56" s="379">
        <v>44304</v>
      </c>
      <c r="Z56" s="379">
        <v>20894.89</v>
      </c>
      <c r="AA56" s="375" t="s">
        <v>435</v>
      </c>
      <c r="AB56" s="375" t="s">
        <v>436</v>
      </c>
      <c r="AC56" s="375" t="s">
        <v>437</v>
      </c>
      <c r="AD56" s="375" t="s">
        <v>438</v>
      </c>
      <c r="AE56" s="375" t="s">
        <v>434</v>
      </c>
      <c r="AF56" s="375" t="s">
        <v>237</v>
      </c>
      <c r="AG56" s="375" t="s">
        <v>183</v>
      </c>
      <c r="AH56" s="380">
        <v>21.3</v>
      </c>
      <c r="AI56" s="380">
        <v>46138.400000000001</v>
      </c>
      <c r="AJ56" s="375" t="s">
        <v>184</v>
      </c>
      <c r="AK56" s="375" t="s">
        <v>185</v>
      </c>
      <c r="AL56" s="375" t="s">
        <v>173</v>
      </c>
      <c r="AM56" s="375" t="s">
        <v>186</v>
      </c>
      <c r="AN56" s="375" t="s">
        <v>68</v>
      </c>
      <c r="AO56" s="378">
        <v>80</v>
      </c>
      <c r="AP56" s="384">
        <v>1</v>
      </c>
      <c r="AQ56" s="384">
        <v>1</v>
      </c>
      <c r="AR56" s="383" t="s">
        <v>187</v>
      </c>
      <c r="AS56" s="386">
        <f t="shared" si="27"/>
        <v>1</v>
      </c>
      <c r="AT56">
        <f t="shared" si="28"/>
        <v>1</v>
      </c>
      <c r="AU56" s="386">
        <f>IF(AT56=0,"",IF(AND(AT56=1,M56="F",SUMIF(C2:C557,C56,AS2:AS557)&lt;=1),SUMIF(C2:C557,C56,AS2:AS557),IF(AND(AT56=1,M56="F",SUMIF(C2:C557,C56,AS2:AS557)&gt;1),1,"")))</f>
        <v>1</v>
      </c>
      <c r="AV56" s="386" t="str">
        <f>IF(AT56=0,"",IF(AND(AT56=3,M56="F",SUMIF(C2:C557,C56,AS2:AS557)&lt;=1),SUMIF(C2:C557,C56,AS2:AS557),IF(AND(AT56=3,M56="F",SUMIF(C2:C557,C56,AS2:AS557)&gt;1),1,"")))</f>
        <v/>
      </c>
      <c r="AW56" s="386">
        <f>SUMIF(C2:C557,C56,O2:O557)</f>
        <v>1</v>
      </c>
      <c r="AX56" s="386">
        <f>IF(AND(M56="F",AS56&lt;&gt;0),SUMIF(C2:C557,C56,W2:W557),0)</f>
        <v>44304</v>
      </c>
      <c r="AY56" s="386">
        <f t="shared" si="29"/>
        <v>44304</v>
      </c>
      <c r="AZ56" s="386" t="str">
        <f t="shared" si="30"/>
        <v/>
      </c>
      <c r="BA56" s="386">
        <f t="shared" si="31"/>
        <v>0</v>
      </c>
      <c r="BB56" s="386">
        <f t="shared" si="0"/>
        <v>11650</v>
      </c>
      <c r="BC56" s="386">
        <f t="shared" si="1"/>
        <v>0</v>
      </c>
      <c r="BD56" s="386">
        <f t="shared" si="2"/>
        <v>2746.848</v>
      </c>
      <c r="BE56" s="386">
        <f t="shared" si="3"/>
        <v>642.40800000000002</v>
      </c>
      <c r="BF56" s="386">
        <f t="shared" si="4"/>
        <v>5289.8976000000002</v>
      </c>
      <c r="BG56" s="386">
        <f t="shared" si="5"/>
        <v>319.43184000000002</v>
      </c>
      <c r="BH56" s="386">
        <f t="shared" si="6"/>
        <v>217.08959999999999</v>
      </c>
      <c r="BI56" s="386">
        <f t="shared" si="7"/>
        <v>135.57023999999998</v>
      </c>
      <c r="BJ56" s="386">
        <f t="shared" si="8"/>
        <v>106.32959999999999</v>
      </c>
      <c r="BK56" s="386">
        <f t="shared" si="9"/>
        <v>0</v>
      </c>
      <c r="BL56" s="386">
        <f t="shared" si="32"/>
        <v>9457.5748799999965</v>
      </c>
      <c r="BM56" s="386">
        <f t="shared" si="33"/>
        <v>0</v>
      </c>
      <c r="BN56" s="386">
        <f t="shared" si="10"/>
        <v>11650</v>
      </c>
      <c r="BO56" s="386">
        <f t="shared" si="11"/>
        <v>0</v>
      </c>
      <c r="BP56" s="386">
        <f t="shared" si="12"/>
        <v>2746.848</v>
      </c>
      <c r="BQ56" s="386">
        <f t="shared" si="13"/>
        <v>642.40800000000002</v>
      </c>
      <c r="BR56" s="386">
        <f t="shared" si="14"/>
        <v>5289.8976000000002</v>
      </c>
      <c r="BS56" s="386">
        <f t="shared" si="15"/>
        <v>319.43184000000002</v>
      </c>
      <c r="BT56" s="386">
        <f t="shared" si="16"/>
        <v>0</v>
      </c>
      <c r="BU56" s="386">
        <f t="shared" si="17"/>
        <v>135.57023999999998</v>
      </c>
      <c r="BV56" s="386">
        <f t="shared" si="18"/>
        <v>110.76</v>
      </c>
      <c r="BW56" s="386">
        <f t="shared" si="19"/>
        <v>0</v>
      </c>
      <c r="BX56" s="386">
        <f t="shared" si="34"/>
        <v>9244.9156799999982</v>
      </c>
      <c r="BY56" s="386">
        <f t="shared" si="35"/>
        <v>0</v>
      </c>
      <c r="BZ56" s="386">
        <f t="shared" si="36"/>
        <v>0</v>
      </c>
      <c r="CA56" s="386">
        <f t="shared" si="37"/>
        <v>0</v>
      </c>
      <c r="CB56" s="386">
        <f t="shared" si="38"/>
        <v>0</v>
      </c>
      <c r="CC56" s="386">
        <f t="shared" si="20"/>
        <v>0</v>
      </c>
      <c r="CD56" s="386">
        <f t="shared" si="21"/>
        <v>0</v>
      </c>
      <c r="CE56" s="386">
        <f t="shared" si="22"/>
        <v>0</v>
      </c>
      <c r="CF56" s="386">
        <f t="shared" si="23"/>
        <v>-217.08959999999999</v>
      </c>
      <c r="CG56" s="386">
        <f t="shared" si="24"/>
        <v>0</v>
      </c>
      <c r="CH56" s="386">
        <f t="shared" si="25"/>
        <v>4.4304000000000112</v>
      </c>
      <c r="CI56" s="386">
        <f t="shared" si="26"/>
        <v>0</v>
      </c>
      <c r="CJ56" s="386">
        <f t="shared" si="39"/>
        <v>-212.65919999999997</v>
      </c>
      <c r="CK56" s="386" t="str">
        <f t="shared" si="40"/>
        <v/>
      </c>
      <c r="CL56" s="386" t="str">
        <f t="shared" si="41"/>
        <v/>
      </c>
      <c r="CM56" s="386" t="str">
        <f t="shared" si="42"/>
        <v/>
      </c>
      <c r="CN56" s="386" t="str">
        <f t="shared" si="43"/>
        <v>0001-00</v>
      </c>
    </row>
    <row r="57" spans="1:92" ht="15.75" thickBot="1" x14ac:dyDescent="0.3">
      <c r="A57" s="375" t="s">
        <v>161</v>
      </c>
      <c r="B57" s="375" t="s">
        <v>162</v>
      </c>
      <c r="C57" s="375" t="s">
        <v>439</v>
      </c>
      <c r="D57" s="375" t="s">
        <v>417</v>
      </c>
      <c r="E57" s="375" t="s">
        <v>165</v>
      </c>
      <c r="F57" s="376" t="s">
        <v>166</v>
      </c>
      <c r="G57" s="375" t="s">
        <v>167</v>
      </c>
      <c r="H57" s="377"/>
      <c r="I57" s="377"/>
      <c r="J57" s="375" t="s">
        <v>168</v>
      </c>
      <c r="K57" s="375" t="s">
        <v>418</v>
      </c>
      <c r="L57" s="375" t="s">
        <v>198</v>
      </c>
      <c r="M57" s="375" t="s">
        <v>177</v>
      </c>
      <c r="N57" s="375" t="s">
        <v>199</v>
      </c>
      <c r="O57" s="378">
        <v>1</v>
      </c>
      <c r="P57" s="384">
        <v>1</v>
      </c>
      <c r="Q57" s="384">
        <v>1</v>
      </c>
      <c r="R57" s="379">
        <v>80</v>
      </c>
      <c r="S57" s="384">
        <v>1</v>
      </c>
      <c r="T57" s="379">
        <v>45009.66</v>
      </c>
      <c r="U57" s="379">
        <v>0</v>
      </c>
      <c r="V57" s="379">
        <v>20928.439999999999</v>
      </c>
      <c r="W57" s="379">
        <v>46404.800000000003</v>
      </c>
      <c r="X57" s="379">
        <v>21555.99</v>
      </c>
      <c r="Y57" s="379">
        <v>46404.800000000003</v>
      </c>
      <c r="Z57" s="379">
        <v>21333.25</v>
      </c>
      <c r="AA57" s="375" t="s">
        <v>440</v>
      </c>
      <c r="AB57" s="375" t="s">
        <v>441</v>
      </c>
      <c r="AC57" s="375" t="s">
        <v>442</v>
      </c>
      <c r="AD57" s="375" t="s">
        <v>352</v>
      </c>
      <c r="AE57" s="375" t="s">
        <v>418</v>
      </c>
      <c r="AF57" s="375" t="s">
        <v>245</v>
      </c>
      <c r="AG57" s="375" t="s">
        <v>183</v>
      </c>
      <c r="AH57" s="380">
        <v>22.31</v>
      </c>
      <c r="AI57" s="380">
        <v>19755.8</v>
      </c>
      <c r="AJ57" s="375" t="s">
        <v>184</v>
      </c>
      <c r="AK57" s="375" t="s">
        <v>185</v>
      </c>
      <c r="AL57" s="375" t="s">
        <v>173</v>
      </c>
      <c r="AM57" s="375" t="s">
        <v>186</v>
      </c>
      <c r="AN57" s="375" t="s">
        <v>68</v>
      </c>
      <c r="AO57" s="378">
        <v>80</v>
      </c>
      <c r="AP57" s="384">
        <v>1</v>
      </c>
      <c r="AQ57" s="384">
        <v>1</v>
      </c>
      <c r="AR57" s="383" t="s">
        <v>187</v>
      </c>
      <c r="AS57" s="386">
        <f t="shared" si="27"/>
        <v>1</v>
      </c>
      <c r="AT57">
        <f t="shared" si="28"/>
        <v>1</v>
      </c>
      <c r="AU57" s="386">
        <f>IF(AT57=0,"",IF(AND(AT57=1,M57="F",SUMIF(C2:C557,C57,AS2:AS557)&lt;=1),SUMIF(C2:C557,C57,AS2:AS557),IF(AND(AT57=1,M57="F",SUMIF(C2:C557,C57,AS2:AS557)&gt;1),1,"")))</f>
        <v>1</v>
      </c>
      <c r="AV57" s="386" t="str">
        <f>IF(AT57=0,"",IF(AND(AT57=3,M57="F",SUMIF(C2:C557,C57,AS2:AS557)&lt;=1),SUMIF(C2:C557,C57,AS2:AS557),IF(AND(AT57=3,M57="F",SUMIF(C2:C557,C57,AS2:AS557)&gt;1),1,"")))</f>
        <v/>
      </c>
      <c r="AW57" s="386">
        <f>SUMIF(C2:C557,C57,O2:O557)</f>
        <v>1</v>
      </c>
      <c r="AX57" s="386">
        <f>IF(AND(M57="F",AS57&lt;&gt;0),SUMIF(C2:C557,C57,W2:W557),0)</f>
        <v>46404.800000000003</v>
      </c>
      <c r="AY57" s="386">
        <f t="shared" si="29"/>
        <v>46404.800000000003</v>
      </c>
      <c r="AZ57" s="386" t="str">
        <f t="shared" si="30"/>
        <v/>
      </c>
      <c r="BA57" s="386">
        <f t="shared" si="31"/>
        <v>0</v>
      </c>
      <c r="BB57" s="386">
        <f t="shared" si="0"/>
        <v>11650</v>
      </c>
      <c r="BC57" s="386">
        <f t="shared" si="1"/>
        <v>0</v>
      </c>
      <c r="BD57" s="386">
        <f t="shared" si="2"/>
        <v>2877.0976000000001</v>
      </c>
      <c r="BE57" s="386">
        <f t="shared" si="3"/>
        <v>672.8696000000001</v>
      </c>
      <c r="BF57" s="386">
        <f t="shared" si="4"/>
        <v>5540.7331200000008</v>
      </c>
      <c r="BG57" s="386">
        <f t="shared" si="5"/>
        <v>334.57860800000003</v>
      </c>
      <c r="BH57" s="386">
        <f t="shared" si="6"/>
        <v>227.38352</v>
      </c>
      <c r="BI57" s="386">
        <f t="shared" si="7"/>
        <v>141.99868799999999</v>
      </c>
      <c r="BJ57" s="386">
        <f t="shared" si="8"/>
        <v>111.37152</v>
      </c>
      <c r="BK57" s="386">
        <f t="shared" si="9"/>
        <v>0</v>
      </c>
      <c r="BL57" s="386">
        <f t="shared" si="32"/>
        <v>9906.0326559999994</v>
      </c>
      <c r="BM57" s="386">
        <f t="shared" si="33"/>
        <v>0</v>
      </c>
      <c r="BN57" s="386">
        <f t="shared" si="10"/>
        <v>11650</v>
      </c>
      <c r="BO57" s="386">
        <f t="shared" si="11"/>
        <v>0</v>
      </c>
      <c r="BP57" s="386">
        <f t="shared" si="12"/>
        <v>2877.0976000000001</v>
      </c>
      <c r="BQ57" s="386">
        <f t="shared" si="13"/>
        <v>672.8696000000001</v>
      </c>
      <c r="BR57" s="386">
        <f t="shared" si="14"/>
        <v>5540.7331200000008</v>
      </c>
      <c r="BS57" s="386">
        <f t="shared" si="15"/>
        <v>334.57860800000003</v>
      </c>
      <c r="BT57" s="386">
        <f t="shared" si="16"/>
        <v>0</v>
      </c>
      <c r="BU57" s="386">
        <f t="shared" si="17"/>
        <v>141.99868799999999</v>
      </c>
      <c r="BV57" s="386">
        <f t="shared" si="18"/>
        <v>116.01200000000001</v>
      </c>
      <c r="BW57" s="386">
        <f t="shared" si="19"/>
        <v>0</v>
      </c>
      <c r="BX57" s="386">
        <f t="shared" si="34"/>
        <v>9683.289616</v>
      </c>
      <c r="BY57" s="386">
        <f t="shared" si="35"/>
        <v>0</v>
      </c>
      <c r="BZ57" s="386">
        <f t="shared" si="36"/>
        <v>0</v>
      </c>
      <c r="CA57" s="386">
        <f t="shared" si="37"/>
        <v>0</v>
      </c>
      <c r="CB57" s="386">
        <f t="shared" si="38"/>
        <v>0</v>
      </c>
      <c r="CC57" s="386">
        <f t="shared" si="20"/>
        <v>0</v>
      </c>
      <c r="CD57" s="386">
        <f t="shared" si="21"/>
        <v>0</v>
      </c>
      <c r="CE57" s="386">
        <f t="shared" si="22"/>
        <v>0</v>
      </c>
      <c r="CF57" s="386">
        <f t="shared" si="23"/>
        <v>-227.38352</v>
      </c>
      <c r="CG57" s="386">
        <f t="shared" si="24"/>
        <v>0</v>
      </c>
      <c r="CH57" s="386">
        <f t="shared" si="25"/>
        <v>4.6404800000000126</v>
      </c>
      <c r="CI57" s="386">
        <f t="shared" si="26"/>
        <v>0</v>
      </c>
      <c r="CJ57" s="386">
        <f t="shared" si="39"/>
        <v>-222.74303999999998</v>
      </c>
      <c r="CK57" s="386" t="str">
        <f t="shared" si="40"/>
        <v/>
      </c>
      <c r="CL57" s="386" t="str">
        <f t="shared" si="41"/>
        <v/>
      </c>
      <c r="CM57" s="386" t="str">
        <f t="shared" si="42"/>
        <v/>
      </c>
      <c r="CN57" s="386" t="str">
        <f t="shared" si="43"/>
        <v>0001-00</v>
      </c>
    </row>
    <row r="58" spans="1:92" ht="15.75" thickBot="1" x14ac:dyDescent="0.3">
      <c r="A58" s="375" t="s">
        <v>161</v>
      </c>
      <c r="B58" s="375" t="s">
        <v>162</v>
      </c>
      <c r="C58" s="375" t="s">
        <v>443</v>
      </c>
      <c r="D58" s="375" t="s">
        <v>444</v>
      </c>
      <c r="E58" s="375" t="s">
        <v>165</v>
      </c>
      <c r="F58" s="376" t="s">
        <v>166</v>
      </c>
      <c r="G58" s="375" t="s">
        <v>167</v>
      </c>
      <c r="H58" s="377"/>
      <c r="I58" s="377"/>
      <c r="J58" s="375" t="s">
        <v>168</v>
      </c>
      <c r="K58" s="375" t="s">
        <v>445</v>
      </c>
      <c r="L58" s="375" t="s">
        <v>210</v>
      </c>
      <c r="M58" s="375" t="s">
        <v>177</v>
      </c>
      <c r="N58" s="375" t="s">
        <v>199</v>
      </c>
      <c r="O58" s="378">
        <v>1</v>
      </c>
      <c r="P58" s="384">
        <v>1</v>
      </c>
      <c r="Q58" s="384">
        <v>1</v>
      </c>
      <c r="R58" s="379">
        <v>80</v>
      </c>
      <c r="S58" s="384">
        <v>1</v>
      </c>
      <c r="T58" s="379">
        <v>44576.01</v>
      </c>
      <c r="U58" s="379">
        <v>0</v>
      </c>
      <c r="V58" s="379">
        <v>20862.400000000001</v>
      </c>
      <c r="W58" s="379">
        <v>46072</v>
      </c>
      <c r="X58" s="379">
        <v>21484.959999999999</v>
      </c>
      <c r="Y58" s="379">
        <v>46072</v>
      </c>
      <c r="Z58" s="379">
        <v>21263.82</v>
      </c>
      <c r="AA58" s="375" t="s">
        <v>446</v>
      </c>
      <c r="AB58" s="375" t="s">
        <v>447</v>
      </c>
      <c r="AC58" s="375" t="s">
        <v>351</v>
      </c>
      <c r="AD58" s="375" t="s">
        <v>220</v>
      </c>
      <c r="AE58" s="375" t="s">
        <v>445</v>
      </c>
      <c r="AF58" s="375" t="s">
        <v>215</v>
      </c>
      <c r="AG58" s="375" t="s">
        <v>183</v>
      </c>
      <c r="AH58" s="380">
        <v>22.15</v>
      </c>
      <c r="AI58" s="380">
        <v>61339.5</v>
      </c>
      <c r="AJ58" s="375" t="s">
        <v>184</v>
      </c>
      <c r="AK58" s="375" t="s">
        <v>185</v>
      </c>
      <c r="AL58" s="375" t="s">
        <v>173</v>
      </c>
      <c r="AM58" s="375" t="s">
        <v>186</v>
      </c>
      <c r="AN58" s="375" t="s">
        <v>68</v>
      </c>
      <c r="AO58" s="378">
        <v>80</v>
      </c>
      <c r="AP58" s="384">
        <v>1</v>
      </c>
      <c r="AQ58" s="384">
        <v>1</v>
      </c>
      <c r="AR58" s="383" t="s">
        <v>187</v>
      </c>
      <c r="AS58" s="386">
        <f t="shared" si="27"/>
        <v>1</v>
      </c>
      <c r="AT58">
        <f t="shared" si="28"/>
        <v>1</v>
      </c>
      <c r="AU58" s="386">
        <f>IF(AT58=0,"",IF(AND(AT58=1,M58="F",SUMIF(C2:C557,C58,AS2:AS557)&lt;=1),SUMIF(C2:C557,C58,AS2:AS557),IF(AND(AT58=1,M58="F",SUMIF(C2:C557,C58,AS2:AS557)&gt;1),1,"")))</f>
        <v>1</v>
      </c>
      <c r="AV58" s="386" t="str">
        <f>IF(AT58=0,"",IF(AND(AT58=3,M58="F",SUMIF(C2:C557,C58,AS2:AS557)&lt;=1),SUMIF(C2:C557,C58,AS2:AS557),IF(AND(AT58=3,M58="F",SUMIF(C2:C557,C58,AS2:AS557)&gt;1),1,"")))</f>
        <v/>
      </c>
      <c r="AW58" s="386">
        <f>SUMIF(C2:C557,C58,O2:O557)</f>
        <v>1</v>
      </c>
      <c r="AX58" s="386">
        <f>IF(AND(M58="F",AS58&lt;&gt;0),SUMIF(C2:C557,C58,W2:W557),0)</f>
        <v>46072</v>
      </c>
      <c r="AY58" s="386">
        <f t="shared" si="29"/>
        <v>46072</v>
      </c>
      <c r="AZ58" s="386" t="str">
        <f t="shared" si="30"/>
        <v/>
      </c>
      <c r="BA58" s="386">
        <f t="shared" si="31"/>
        <v>0</v>
      </c>
      <c r="BB58" s="386">
        <f t="shared" si="0"/>
        <v>11650</v>
      </c>
      <c r="BC58" s="386">
        <f t="shared" si="1"/>
        <v>0</v>
      </c>
      <c r="BD58" s="386">
        <f t="shared" si="2"/>
        <v>2856.4639999999999</v>
      </c>
      <c r="BE58" s="386">
        <f t="shared" si="3"/>
        <v>668.04399999999998</v>
      </c>
      <c r="BF58" s="386">
        <f t="shared" si="4"/>
        <v>5500.9967999999999</v>
      </c>
      <c r="BG58" s="386">
        <f t="shared" si="5"/>
        <v>332.17912000000001</v>
      </c>
      <c r="BH58" s="386">
        <f t="shared" si="6"/>
        <v>225.75279999999998</v>
      </c>
      <c r="BI58" s="386">
        <f t="shared" si="7"/>
        <v>140.98031999999998</v>
      </c>
      <c r="BJ58" s="386">
        <f t="shared" si="8"/>
        <v>110.57279999999999</v>
      </c>
      <c r="BK58" s="386">
        <f t="shared" si="9"/>
        <v>0</v>
      </c>
      <c r="BL58" s="386">
        <f t="shared" si="32"/>
        <v>9834.9898400000002</v>
      </c>
      <c r="BM58" s="386">
        <f t="shared" si="33"/>
        <v>0</v>
      </c>
      <c r="BN58" s="386">
        <f t="shared" si="10"/>
        <v>11650</v>
      </c>
      <c r="BO58" s="386">
        <f t="shared" si="11"/>
        <v>0</v>
      </c>
      <c r="BP58" s="386">
        <f t="shared" si="12"/>
        <v>2856.4639999999999</v>
      </c>
      <c r="BQ58" s="386">
        <f t="shared" si="13"/>
        <v>668.04399999999998</v>
      </c>
      <c r="BR58" s="386">
        <f t="shared" si="14"/>
        <v>5500.9967999999999</v>
      </c>
      <c r="BS58" s="386">
        <f t="shared" si="15"/>
        <v>332.17912000000001</v>
      </c>
      <c r="BT58" s="386">
        <f t="shared" si="16"/>
        <v>0</v>
      </c>
      <c r="BU58" s="386">
        <f t="shared" si="17"/>
        <v>140.98031999999998</v>
      </c>
      <c r="BV58" s="386">
        <f t="shared" si="18"/>
        <v>115.18</v>
      </c>
      <c r="BW58" s="386">
        <f t="shared" si="19"/>
        <v>0</v>
      </c>
      <c r="BX58" s="386">
        <f t="shared" si="34"/>
        <v>9613.8442400000004</v>
      </c>
      <c r="BY58" s="386">
        <f t="shared" si="35"/>
        <v>0</v>
      </c>
      <c r="BZ58" s="386">
        <f t="shared" si="36"/>
        <v>0</v>
      </c>
      <c r="CA58" s="386">
        <f t="shared" si="37"/>
        <v>0</v>
      </c>
      <c r="CB58" s="386">
        <f t="shared" si="38"/>
        <v>0</v>
      </c>
      <c r="CC58" s="386">
        <f t="shared" si="20"/>
        <v>0</v>
      </c>
      <c r="CD58" s="386">
        <f t="shared" si="21"/>
        <v>0</v>
      </c>
      <c r="CE58" s="386">
        <f t="shared" si="22"/>
        <v>0</v>
      </c>
      <c r="CF58" s="386">
        <f t="shared" si="23"/>
        <v>-225.75279999999998</v>
      </c>
      <c r="CG58" s="386">
        <f t="shared" si="24"/>
        <v>0</v>
      </c>
      <c r="CH58" s="386">
        <f t="shared" si="25"/>
        <v>4.6072000000000122</v>
      </c>
      <c r="CI58" s="386">
        <f t="shared" si="26"/>
        <v>0</v>
      </c>
      <c r="CJ58" s="386">
        <f t="shared" si="39"/>
        <v>-221.14559999999997</v>
      </c>
      <c r="CK58" s="386" t="str">
        <f t="shared" si="40"/>
        <v/>
      </c>
      <c r="CL58" s="386" t="str">
        <f t="shared" si="41"/>
        <v/>
      </c>
      <c r="CM58" s="386" t="str">
        <f t="shared" si="42"/>
        <v/>
      </c>
      <c r="CN58" s="386" t="str">
        <f t="shared" si="43"/>
        <v>0001-00</v>
      </c>
    </row>
    <row r="59" spans="1:92" ht="15.75" thickBot="1" x14ac:dyDescent="0.3">
      <c r="A59" s="375" t="s">
        <v>161</v>
      </c>
      <c r="B59" s="375" t="s">
        <v>162</v>
      </c>
      <c r="C59" s="375" t="s">
        <v>448</v>
      </c>
      <c r="D59" s="375" t="s">
        <v>449</v>
      </c>
      <c r="E59" s="375" t="s">
        <v>165</v>
      </c>
      <c r="F59" s="376" t="s">
        <v>166</v>
      </c>
      <c r="G59" s="375" t="s">
        <v>167</v>
      </c>
      <c r="H59" s="377"/>
      <c r="I59" s="377"/>
      <c r="J59" s="375" t="s">
        <v>168</v>
      </c>
      <c r="K59" s="375" t="s">
        <v>450</v>
      </c>
      <c r="L59" s="375" t="s">
        <v>316</v>
      </c>
      <c r="M59" s="375" t="s">
        <v>171</v>
      </c>
      <c r="N59" s="375" t="s">
        <v>262</v>
      </c>
      <c r="O59" s="378">
        <v>0</v>
      </c>
      <c r="P59" s="384">
        <v>1</v>
      </c>
      <c r="Q59" s="384">
        <v>0</v>
      </c>
      <c r="R59" s="379">
        <v>0</v>
      </c>
      <c r="S59" s="384">
        <v>0</v>
      </c>
      <c r="T59" s="379">
        <v>0</v>
      </c>
      <c r="U59" s="379">
        <v>0</v>
      </c>
      <c r="V59" s="379">
        <v>0</v>
      </c>
      <c r="W59" s="379">
        <v>0</v>
      </c>
      <c r="X59" s="379">
        <v>0</v>
      </c>
      <c r="Y59" s="379">
        <v>0</v>
      </c>
      <c r="Z59" s="379">
        <v>0</v>
      </c>
      <c r="AA59" s="377"/>
      <c r="AB59" s="375" t="s">
        <v>45</v>
      </c>
      <c r="AC59" s="375" t="s">
        <v>45</v>
      </c>
      <c r="AD59" s="377"/>
      <c r="AE59" s="377"/>
      <c r="AF59" s="377"/>
      <c r="AG59" s="377"/>
      <c r="AH59" s="378">
        <v>0</v>
      </c>
      <c r="AI59" s="378">
        <v>0</v>
      </c>
      <c r="AJ59" s="377"/>
      <c r="AK59" s="377"/>
      <c r="AL59" s="375" t="s">
        <v>173</v>
      </c>
      <c r="AM59" s="377"/>
      <c r="AN59" s="377"/>
      <c r="AO59" s="378">
        <v>0</v>
      </c>
      <c r="AP59" s="384">
        <v>0</v>
      </c>
      <c r="AQ59" s="384">
        <v>0</v>
      </c>
      <c r="AR59" s="382"/>
      <c r="AS59" s="386">
        <f t="shared" si="27"/>
        <v>0</v>
      </c>
      <c r="AT59">
        <f t="shared" si="28"/>
        <v>0</v>
      </c>
      <c r="AU59" s="386" t="str">
        <f>IF(AT59=0,"",IF(AND(AT59=1,M59="F",SUMIF(C2:C557,C59,AS2:AS557)&lt;=1),SUMIF(C2:C557,C59,AS2:AS557),IF(AND(AT59=1,M59="F",SUMIF(C2:C557,C59,AS2:AS557)&gt;1),1,"")))</f>
        <v/>
      </c>
      <c r="AV59" s="386" t="str">
        <f>IF(AT59=0,"",IF(AND(AT59=3,M59="F",SUMIF(C2:C557,C59,AS2:AS557)&lt;=1),SUMIF(C2:C557,C59,AS2:AS557),IF(AND(AT59=3,M59="F",SUMIF(C2:C557,C59,AS2:AS557)&gt;1),1,"")))</f>
        <v/>
      </c>
      <c r="AW59" s="386">
        <f>SUMIF(C2:C557,C59,O2:O557)</f>
        <v>0</v>
      </c>
      <c r="AX59" s="386">
        <f>IF(AND(M59="F",AS59&lt;&gt;0),SUMIF(C2:C557,C59,W2:W557),0)</f>
        <v>0</v>
      </c>
      <c r="AY59" s="386" t="str">
        <f t="shared" si="29"/>
        <v/>
      </c>
      <c r="AZ59" s="386" t="str">
        <f t="shared" si="30"/>
        <v/>
      </c>
      <c r="BA59" s="386">
        <f t="shared" si="31"/>
        <v>0</v>
      </c>
      <c r="BB59" s="386">
        <f t="shared" si="0"/>
        <v>0</v>
      </c>
      <c r="BC59" s="386">
        <f t="shared" si="1"/>
        <v>0</v>
      </c>
      <c r="BD59" s="386">
        <f t="shared" si="2"/>
        <v>0</v>
      </c>
      <c r="BE59" s="386">
        <f t="shared" si="3"/>
        <v>0</v>
      </c>
      <c r="BF59" s="386">
        <f t="shared" si="4"/>
        <v>0</v>
      </c>
      <c r="BG59" s="386">
        <f t="shared" si="5"/>
        <v>0</v>
      </c>
      <c r="BH59" s="386">
        <f t="shared" si="6"/>
        <v>0</v>
      </c>
      <c r="BI59" s="386">
        <f t="shared" si="7"/>
        <v>0</v>
      </c>
      <c r="BJ59" s="386">
        <f t="shared" si="8"/>
        <v>0</v>
      </c>
      <c r="BK59" s="386">
        <f t="shared" si="9"/>
        <v>0</v>
      </c>
      <c r="BL59" s="386">
        <f t="shared" si="32"/>
        <v>0</v>
      </c>
      <c r="BM59" s="386">
        <f t="shared" si="33"/>
        <v>0</v>
      </c>
      <c r="BN59" s="386">
        <f t="shared" si="10"/>
        <v>0</v>
      </c>
      <c r="BO59" s="386">
        <f t="shared" si="11"/>
        <v>0</v>
      </c>
      <c r="BP59" s="386">
        <f t="shared" si="12"/>
        <v>0</v>
      </c>
      <c r="BQ59" s="386">
        <f t="shared" si="13"/>
        <v>0</v>
      </c>
      <c r="BR59" s="386">
        <f t="shared" si="14"/>
        <v>0</v>
      </c>
      <c r="BS59" s="386">
        <f t="shared" si="15"/>
        <v>0</v>
      </c>
      <c r="BT59" s="386">
        <f t="shared" si="16"/>
        <v>0</v>
      </c>
      <c r="BU59" s="386">
        <f t="shared" si="17"/>
        <v>0</v>
      </c>
      <c r="BV59" s="386">
        <f t="shared" si="18"/>
        <v>0</v>
      </c>
      <c r="BW59" s="386">
        <f t="shared" si="19"/>
        <v>0</v>
      </c>
      <c r="BX59" s="386">
        <f t="shared" si="34"/>
        <v>0</v>
      </c>
      <c r="BY59" s="386">
        <f t="shared" si="35"/>
        <v>0</v>
      </c>
      <c r="BZ59" s="386">
        <f t="shared" si="36"/>
        <v>0</v>
      </c>
      <c r="CA59" s="386">
        <f t="shared" si="37"/>
        <v>0</v>
      </c>
      <c r="CB59" s="386">
        <f t="shared" si="38"/>
        <v>0</v>
      </c>
      <c r="CC59" s="386">
        <f t="shared" si="20"/>
        <v>0</v>
      </c>
      <c r="CD59" s="386">
        <f t="shared" si="21"/>
        <v>0</v>
      </c>
      <c r="CE59" s="386">
        <f t="shared" si="22"/>
        <v>0</v>
      </c>
      <c r="CF59" s="386">
        <f t="shared" si="23"/>
        <v>0</v>
      </c>
      <c r="CG59" s="386">
        <f t="shared" si="24"/>
        <v>0</v>
      </c>
      <c r="CH59" s="386">
        <f t="shared" si="25"/>
        <v>0</v>
      </c>
      <c r="CI59" s="386">
        <f t="shared" si="26"/>
        <v>0</v>
      </c>
      <c r="CJ59" s="386">
        <f t="shared" si="39"/>
        <v>0</v>
      </c>
      <c r="CK59" s="386" t="str">
        <f t="shared" si="40"/>
        <v/>
      </c>
      <c r="CL59" s="386">
        <f t="shared" si="41"/>
        <v>0</v>
      </c>
      <c r="CM59" s="386">
        <f t="shared" si="42"/>
        <v>0</v>
      </c>
      <c r="CN59" s="386" t="str">
        <f t="shared" si="43"/>
        <v>0001-00</v>
      </c>
    </row>
    <row r="60" spans="1:92" ht="15.75" thickBot="1" x14ac:dyDescent="0.3">
      <c r="A60" s="375" t="s">
        <v>161</v>
      </c>
      <c r="B60" s="375" t="s">
        <v>162</v>
      </c>
      <c r="C60" s="375" t="s">
        <v>451</v>
      </c>
      <c r="D60" s="375" t="s">
        <v>452</v>
      </c>
      <c r="E60" s="375" t="s">
        <v>165</v>
      </c>
      <c r="F60" s="376" t="s">
        <v>166</v>
      </c>
      <c r="G60" s="375" t="s">
        <v>167</v>
      </c>
      <c r="H60" s="377"/>
      <c r="I60" s="377"/>
      <c r="J60" s="375" t="s">
        <v>168</v>
      </c>
      <c r="K60" s="375" t="s">
        <v>453</v>
      </c>
      <c r="L60" s="375" t="s">
        <v>210</v>
      </c>
      <c r="M60" s="375" t="s">
        <v>177</v>
      </c>
      <c r="N60" s="375" t="s">
        <v>199</v>
      </c>
      <c r="O60" s="378">
        <v>1</v>
      </c>
      <c r="P60" s="384">
        <v>1</v>
      </c>
      <c r="Q60" s="384">
        <v>1</v>
      </c>
      <c r="R60" s="379">
        <v>80</v>
      </c>
      <c r="S60" s="384">
        <v>1</v>
      </c>
      <c r="T60" s="379">
        <v>32618.37</v>
      </c>
      <c r="U60" s="379">
        <v>0</v>
      </c>
      <c r="V60" s="379">
        <v>17348.849999999999</v>
      </c>
      <c r="W60" s="379">
        <v>35547.199999999997</v>
      </c>
      <c r="X60" s="379">
        <v>19238.23</v>
      </c>
      <c r="Y60" s="379">
        <v>35547.199999999997</v>
      </c>
      <c r="Z60" s="379">
        <v>19067.599999999999</v>
      </c>
      <c r="AA60" s="375" t="s">
        <v>454</v>
      </c>
      <c r="AB60" s="375" t="s">
        <v>455</v>
      </c>
      <c r="AC60" s="375" t="s">
        <v>456</v>
      </c>
      <c r="AD60" s="375" t="s">
        <v>181</v>
      </c>
      <c r="AE60" s="375" t="s">
        <v>453</v>
      </c>
      <c r="AF60" s="375" t="s">
        <v>215</v>
      </c>
      <c r="AG60" s="375" t="s">
        <v>183</v>
      </c>
      <c r="AH60" s="380">
        <v>17.09</v>
      </c>
      <c r="AI60" s="380">
        <v>3059.1</v>
      </c>
      <c r="AJ60" s="375" t="s">
        <v>184</v>
      </c>
      <c r="AK60" s="375" t="s">
        <v>185</v>
      </c>
      <c r="AL60" s="375" t="s">
        <v>173</v>
      </c>
      <c r="AM60" s="375" t="s">
        <v>186</v>
      </c>
      <c r="AN60" s="375" t="s">
        <v>68</v>
      </c>
      <c r="AO60" s="378">
        <v>80</v>
      </c>
      <c r="AP60" s="384">
        <v>1</v>
      </c>
      <c r="AQ60" s="384">
        <v>1</v>
      </c>
      <c r="AR60" s="383" t="s">
        <v>187</v>
      </c>
      <c r="AS60" s="386">
        <f t="shared" si="27"/>
        <v>1</v>
      </c>
      <c r="AT60">
        <f t="shared" si="28"/>
        <v>1</v>
      </c>
      <c r="AU60" s="386">
        <f>IF(AT60=0,"",IF(AND(AT60=1,M60="F",SUMIF(C2:C557,C60,AS2:AS557)&lt;=1),SUMIF(C2:C557,C60,AS2:AS557),IF(AND(AT60=1,M60="F",SUMIF(C2:C557,C60,AS2:AS557)&gt;1),1,"")))</f>
        <v>1</v>
      </c>
      <c r="AV60" s="386" t="str">
        <f>IF(AT60=0,"",IF(AND(AT60=3,M60="F",SUMIF(C2:C557,C60,AS2:AS557)&lt;=1),SUMIF(C2:C557,C60,AS2:AS557),IF(AND(AT60=3,M60="F",SUMIF(C2:C557,C60,AS2:AS557)&gt;1),1,"")))</f>
        <v/>
      </c>
      <c r="AW60" s="386">
        <f>SUMIF(C2:C557,C60,O2:O557)</f>
        <v>1</v>
      </c>
      <c r="AX60" s="386">
        <f>IF(AND(M60="F",AS60&lt;&gt;0),SUMIF(C2:C557,C60,W2:W557),0)</f>
        <v>35547.199999999997</v>
      </c>
      <c r="AY60" s="386">
        <f t="shared" si="29"/>
        <v>35547.199999999997</v>
      </c>
      <c r="AZ60" s="386" t="str">
        <f t="shared" si="30"/>
        <v/>
      </c>
      <c r="BA60" s="386">
        <f t="shared" si="31"/>
        <v>0</v>
      </c>
      <c r="BB60" s="386">
        <f t="shared" si="0"/>
        <v>11650</v>
      </c>
      <c r="BC60" s="386">
        <f t="shared" si="1"/>
        <v>0</v>
      </c>
      <c r="BD60" s="386">
        <f t="shared" si="2"/>
        <v>2203.9263999999998</v>
      </c>
      <c r="BE60" s="386">
        <f t="shared" si="3"/>
        <v>515.43439999999998</v>
      </c>
      <c r="BF60" s="386">
        <f t="shared" si="4"/>
        <v>4244.3356800000001</v>
      </c>
      <c r="BG60" s="386">
        <f t="shared" si="5"/>
        <v>256.29531199999997</v>
      </c>
      <c r="BH60" s="386">
        <f t="shared" si="6"/>
        <v>174.18127999999999</v>
      </c>
      <c r="BI60" s="386">
        <f t="shared" si="7"/>
        <v>108.77443199999999</v>
      </c>
      <c r="BJ60" s="386">
        <f t="shared" si="8"/>
        <v>85.313279999999992</v>
      </c>
      <c r="BK60" s="386">
        <f t="shared" si="9"/>
        <v>0</v>
      </c>
      <c r="BL60" s="386">
        <f t="shared" si="32"/>
        <v>7588.260784000001</v>
      </c>
      <c r="BM60" s="386">
        <f t="shared" si="33"/>
        <v>0</v>
      </c>
      <c r="BN60" s="386">
        <f t="shared" si="10"/>
        <v>11650</v>
      </c>
      <c r="BO60" s="386">
        <f t="shared" si="11"/>
        <v>0</v>
      </c>
      <c r="BP60" s="386">
        <f t="shared" si="12"/>
        <v>2203.9263999999998</v>
      </c>
      <c r="BQ60" s="386">
        <f t="shared" si="13"/>
        <v>515.43439999999998</v>
      </c>
      <c r="BR60" s="386">
        <f t="shared" si="14"/>
        <v>4244.3356800000001</v>
      </c>
      <c r="BS60" s="386">
        <f t="shared" si="15"/>
        <v>256.29531199999997</v>
      </c>
      <c r="BT60" s="386">
        <f t="shared" si="16"/>
        <v>0</v>
      </c>
      <c r="BU60" s="386">
        <f t="shared" si="17"/>
        <v>108.77443199999999</v>
      </c>
      <c r="BV60" s="386">
        <f t="shared" si="18"/>
        <v>88.867999999999995</v>
      </c>
      <c r="BW60" s="386">
        <f t="shared" si="19"/>
        <v>0</v>
      </c>
      <c r="BX60" s="386">
        <f t="shared" si="34"/>
        <v>7417.6342240000013</v>
      </c>
      <c r="BY60" s="386">
        <f t="shared" si="35"/>
        <v>0</v>
      </c>
      <c r="BZ60" s="386">
        <f t="shared" si="36"/>
        <v>0</v>
      </c>
      <c r="CA60" s="386">
        <f t="shared" si="37"/>
        <v>0</v>
      </c>
      <c r="CB60" s="386">
        <f t="shared" si="38"/>
        <v>0</v>
      </c>
      <c r="CC60" s="386">
        <f t="shared" si="20"/>
        <v>0</v>
      </c>
      <c r="CD60" s="386">
        <f t="shared" si="21"/>
        <v>0</v>
      </c>
      <c r="CE60" s="386">
        <f t="shared" si="22"/>
        <v>0</v>
      </c>
      <c r="CF60" s="386">
        <f t="shared" si="23"/>
        <v>-174.18127999999999</v>
      </c>
      <c r="CG60" s="386">
        <f t="shared" si="24"/>
        <v>0</v>
      </c>
      <c r="CH60" s="386">
        <f t="shared" si="25"/>
        <v>3.554720000000009</v>
      </c>
      <c r="CI60" s="386">
        <f t="shared" si="26"/>
        <v>0</v>
      </c>
      <c r="CJ60" s="386">
        <f t="shared" si="39"/>
        <v>-170.62655999999998</v>
      </c>
      <c r="CK60" s="386" t="str">
        <f t="shared" si="40"/>
        <v/>
      </c>
      <c r="CL60" s="386" t="str">
        <f t="shared" si="41"/>
        <v/>
      </c>
      <c r="CM60" s="386" t="str">
        <f t="shared" si="42"/>
        <v/>
      </c>
      <c r="CN60" s="386" t="str">
        <f t="shared" si="43"/>
        <v>0001-00</v>
      </c>
    </row>
    <row r="61" spans="1:92" ht="15.75" thickBot="1" x14ac:dyDescent="0.3">
      <c r="A61" s="375" t="s">
        <v>161</v>
      </c>
      <c r="B61" s="375" t="s">
        <v>162</v>
      </c>
      <c r="C61" s="375" t="s">
        <v>457</v>
      </c>
      <c r="D61" s="375" t="s">
        <v>458</v>
      </c>
      <c r="E61" s="375" t="s">
        <v>165</v>
      </c>
      <c r="F61" s="376" t="s">
        <v>166</v>
      </c>
      <c r="G61" s="375" t="s">
        <v>167</v>
      </c>
      <c r="H61" s="377"/>
      <c r="I61" s="377"/>
      <c r="J61" s="375" t="s">
        <v>218</v>
      </c>
      <c r="K61" s="375" t="s">
        <v>459</v>
      </c>
      <c r="L61" s="375" t="s">
        <v>183</v>
      </c>
      <c r="M61" s="375" t="s">
        <v>177</v>
      </c>
      <c r="N61" s="375" t="s">
        <v>199</v>
      </c>
      <c r="O61" s="378">
        <v>1</v>
      </c>
      <c r="P61" s="384">
        <v>0.9</v>
      </c>
      <c r="Q61" s="384">
        <v>0.9</v>
      </c>
      <c r="R61" s="379">
        <v>80</v>
      </c>
      <c r="S61" s="384">
        <v>0.9</v>
      </c>
      <c r="T61" s="379">
        <v>26571.99</v>
      </c>
      <c r="U61" s="379">
        <v>0</v>
      </c>
      <c r="V61" s="379">
        <v>16242.35</v>
      </c>
      <c r="W61" s="379">
        <v>28679.040000000001</v>
      </c>
      <c r="X61" s="379">
        <v>16607.080000000002</v>
      </c>
      <c r="Y61" s="379">
        <v>28679.040000000001</v>
      </c>
      <c r="Z61" s="379">
        <v>16469.43</v>
      </c>
      <c r="AA61" s="375" t="s">
        <v>460</v>
      </c>
      <c r="AB61" s="375" t="s">
        <v>461</v>
      </c>
      <c r="AC61" s="375" t="s">
        <v>462</v>
      </c>
      <c r="AD61" s="375" t="s">
        <v>195</v>
      </c>
      <c r="AE61" s="375" t="s">
        <v>459</v>
      </c>
      <c r="AF61" s="375" t="s">
        <v>206</v>
      </c>
      <c r="AG61" s="375" t="s">
        <v>183</v>
      </c>
      <c r="AH61" s="380">
        <v>15.32</v>
      </c>
      <c r="AI61" s="380">
        <v>3081.9</v>
      </c>
      <c r="AJ61" s="375" t="s">
        <v>184</v>
      </c>
      <c r="AK61" s="375" t="s">
        <v>185</v>
      </c>
      <c r="AL61" s="375" t="s">
        <v>173</v>
      </c>
      <c r="AM61" s="375" t="s">
        <v>186</v>
      </c>
      <c r="AN61" s="375" t="s">
        <v>68</v>
      </c>
      <c r="AO61" s="378">
        <v>80</v>
      </c>
      <c r="AP61" s="384">
        <v>1</v>
      </c>
      <c r="AQ61" s="384">
        <v>0.9</v>
      </c>
      <c r="AR61" s="383" t="s">
        <v>187</v>
      </c>
      <c r="AS61" s="386">
        <f t="shared" si="27"/>
        <v>0.9</v>
      </c>
      <c r="AT61">
        <f t="shared" si="28"/>
        <v>1</v>
      </c>
      <c r="AU61" s="386">
        <f>IF(AT61=0,"",IF(AND(AT61=1,M61="F",SUMIF(C2:C557,C61,AS2:AS557)&lt;=1),SUMIF(C2:C557,C61,AS2:AS557),IF(AND(AT61=1,M61="F",SUMIF(C2:C557,C61,AS2:AS557)&gt;1),1,"")))</f>
        <v>1</v>
      </c>
      <c r="AV61" s="386" t="str">
        <f>IF(AT61=0,"",IF(AND(AT61=3,M61="F",SUMIF(C2:C557,C61,AS2:AS557)&lt;=1),SUMIF(C2:C557,C61,AS2:AS557),IF(AND(AT61=3,M61="F",SUMIF(C2:C557,C61,AS2:AS557)&gt;1),1,"")))</f>
        <v/>
      </c>
      <c r="AW61" s="386">
        <f>SUMIF(C2:C557,C61,O2:O557)</f>
        <v>3</v>
      </c>
      <c r="AX61" s="386">
        <f>IF(AND(M61="F",AS61&lt;&gt;0),SUMIF(C2:C557,C61,W2:W557),0)</f>
        <v>31865.600000000002</v>
      </c>
      <c r="AY61" s="386">
        <f t="shared" si="29"/>
        <v>28679.040000000001</v>
      </c>
      <c r="AZ61" s="386" t="str">
        <f t="shared" si="30"/>
        <v/>
      </c>
      <c r="BA61" s="386">
        <f t="shared" si="31"/>
        <v>0</v>
      </c>
      <c r="BB61" s="386">
        <f t="shared" si="0"/>
        <v>10485</v>
      </c>
      <c r="BC61" s="386">
        <f t="shared" si="1"/>
        <v>0</v>
      </c>
      <c r="BD61" s="386">
        <f t="shared" si="2"/>
        <v>1778.1004800000001</v>
      </c>
      <c r="BE61" s="386">
        <f t="shared" si="3"/>
        <v>415.84608000000003</v>
      </c>
      <c r="BF61" s="386">
        <f t="shared" si="4"/>
        <v>3424.2773760000005</v>
      </c>
      <c r="BG61" s="386">
        <f t="shared" si="5"/>
        <v>206.77587840000001</v>
      </c>
      <c r="BH61" s="386">
        <f t="shared" si="6"/>
        <v>140.52729600000001</v>
      </c>
      <c r="BI61" s="386">
        <f t="shared" si="7"/>
        <v>87.757862399999993</v>
      </c>
      <c r="BJ61" s="386">
        <f t="shared" si="8"/>
        <v>68.829695999999998</v>
      </c>
      <c r="BK61" s="386">
        <f t="shared" si="9"/>
        <v>0</v>
      </c>
      <c r="BL61" s="386">
        <f t="shared" si="32"/>
        <v>6122.1146687999999</v>
      </c>
      <c r="BM61" s="386">
        <f t="shared" si="33"/>
        <v>0</v>
      </c>
      <c r="BN61" s="386">
        <f t="shared" si="10"/>
        <v>10485</v>
      </c>
      <c r="BO61" s="386">
        <f t="shared" si="11"/>
        <v>0</v>
      </c>
      <c r="BP61" s="386">
        <f t="shared" si="12"/>
        <v>1778.1004800000001</v>
      </c>
      <c r="BQ61" s="386">
        <f t="shared" si="13"/>
        <v>415.84608000000003</v>
      </c>
      <c r="BR61" s="386">
        <f t="shared" si="14"/>
        <v>3424.2773760000005</v>
      </c>
      <c r="BS61" s="386">
        <f t="shared" si="15"/>
        <v>206.77587840000001</v>
      </c>
      <c r="BT61" s="386">
        <f t="shared" si="16"/>
        <v>0</v>
      </c>
      <c r="BU61" s="386">
        <f t="shared" si="17"/>
        <v>87.757862399999993</v>
      </c>
      <c r="BV61" s="386">
        <f t="shared" si="18"/>
        <v>71.697600000000008</v>
      </c>
      <c r="BW61" s="386">
        <f t="shared" si="19"/>
        <v>0</v>
      </c>
      <c r="BX61" s="386">
        <f t="shared" si="34"/>
        <v>5984.4552768000003</v>
      </c>
      <c r="BY61" s="386">
        <f t="shared" si="35"/>
        <v>0</v>
      </c>
      <c r="BZ61" s="386">
        <f t="shared" si="36"/>
        <v>0</v>
      </c>
      <c r="CA61" s="386">
        <f t="shared" si="37"/>
        <v>0</v>
      </c>
      <c r="CB61" s="386">
        <f t="shared" si="38"/>
        <v>0</v>
      </c>
      <c r="CC61" s="386">
        <f t="shared" si="20"/>
        <v>0</v>
      </c>
      <c r="CD61" s="386">
        <f t="shared" si="21"/>
        <v>0</v>
      </c>
      <c r="CE61" s="386">
        <f t="shared" si="22"/>
        <v>0</v>
      </c>
      <c r="CF61" s="386">
        <f t="shared" si="23"/>
        <v>-140.52729600000001</v>
      </c>
      <c r="CG61" s="386">
        <f t="shared" si="24"/>
        <v>0</v>
      </c>
      <c r="CH61" s="386">
        <f t="shared" si="25"/>
        <v>2.8679040000000078</v>
      </c>
      <c r="CI61" s="386">
        <f t="shared" si="26"/>
        <v>0</v>
      </c>
      <c r="CJ61" s="386">
        <f t="shared" si="39"/>
        <v>-137.659392</v>
      </c>
      <c r="CK61" s="386" t="str">
        <f t="shared" si="40"/>
        <v/>
      </c>
      <c r="CL61" s="386" t="str">
        <f t="shared" si="41"/>
        <v/>
      </c>
      <c r="CM61" s="386" t="str">
        <f t="shared" si="42"/>
        <v/>
      </c>
      <c r="CN61" s="386" t="str">
        <f t="shared" si="43"/>
        <v>0001-00</v>
      </c>
    </row>
    <row r="62" spans="1:92" ht="15.75" thickBot="1" x14ac:dyDescent="0.3">
      <c r="A62" s="375" t="s">
        <v>161</v>
      </c>
      <c r="B62" s="375" t="s">
        <v>162</v>
      </c>
      <c r="C62" s="375" t="s">
        <v>463</v>
      </c>
      <c r="D62" s="375" t="s">
        <v>464</v>
      </c>
      <c r="E62" s="375" t="s">
        <v>165</v>
      </c>
      <c r="F62" s="376" t="s">
        <v>166</v>
      </c>
      <c r="G62" s="375" t="s">
        <v>167</v>
      </c>
      <c r="H62" s="377"/>
      <c r="I62" s="377"/>
      <c r="J62" s="375" t="s">
        <v>168</v>
      </c>
      <c r="K62" s="375" t="s">
        <v>465</v>
      </c>
      <c r="L62" s="375" t="s">
        <v>166</v>
      </c>
      <c r="M62" s="375" t="s">
        <v>171</v>
      </c>
      <c r="N62" s="375" t="s">
        <v>262</v>
      </c>
      <c r="O62" s="378">
        <v>0</v>
      </c>
      <c r="P62" s="384">
        <v>1</v>
      </c>
      <c r="Q62" s="384">
        <v>0</v>
      </c>
      <c r="R62" s="379">
        <v>0</v>
      </c>
      <c r="S62" s="384">
        <v>0</v>
      </c>
      <c r="T62" s="379">
        <v>0</v>
      </c>
      <c r="U62" s="379">
        <v>0</v>
      </c>
      <c r="V62" s="379">
        <v>0</v>
      </c>
      <c r="W62" s="379">
        <v>0</v>
      </c>
      <c r="X62" s="379">
        <v>0</v>
      </c>
      <c r="Y62" s="379">
        <v>0</v>
      </c>
      <c r="Z62" s="379">
        <v>0</v>
      </c>
      <c r="AA62" s="377"/>
      <c r="AB62" s="375" t="s">
        <v>45</v>
      </c>
      <c r="AC62" s="375" t="s">
        <v>45</v>
      </c>
      <c r="AD62" s="377"/>
      <c r="AE62" s="377"/>
      <c r="AF62" s="377"/>
      <c r="AG62" s="377"/>
      <c r="AH62" s="378">
        <v>0</v>
      </c>
      <c r="AI62" s="378">
        <v>0</v>
      </c>
      <c r="AJ62" s="377"/>
      <c r="AK62" s="377"/>
      <c r="AL62" s="375" t="s">
        <v>173</v>
      </c>
      <c r="AM62" s="377"/>
      <c r="AN62" s="377"/>
      <c r="AO62" s="378">
        <v>0</v>
      </c>
      <c r="AP62" s="384">
        <v>0</v>
      </c>
      <c r="AQ62" s="384">
        <v>0</v>
      </c>
      <c r="AR62" s="382"/>
      <c r="AS62" s="386">
        <f t="shared" si="27"/>
        <v>0</v>
      </c>
      <c r="AT62">
        <f t="shared" si="28"/>
        <v>0</v>
      </c>
      <c r="AU62" s="386" t="str">
        <f>IF(AT62=0,"",IF(AND(AT62=1,M62="F",SUMIF(C2:C557,C62,AS2:AS557)&lt;=1),SUMIF(C2:C557,C62,AS2:AS557),IF(AND(AT62=1,M62="F",SUMIF(C2:C557,C62,AS2:AS557)&gt;1),1,"")))</f>
        <v/>
      </c>
      <c r="AV62" s="386" t="str">
        <f>IF(AT62=0,"",IF(AND(AT62=3,M62="F",SUMIF(C2:C557,C62,AS2:AS557)&lt;=1),SUMIF(C2:C557,C62,AS2:AS557),IF(AND(AT62=3,M62="F",SUMIF(C2:C557,C62,AS2:AS557)&gt;1),1,"")))</f>
        <v/>
      </c>
      <c r="AW62" s="386">
        <f>SUMIF(C2:C557,C62,O2:O557)</f>
        <v>0</v>
      </c>
      <c r="AX62" s="386">
        <f>IF(AND(M62="F",AS62&lt;&gt;0),SUMIF(C2:C557,C62,W2:W557),0)</f>
        <v>0</v>
      </c>
      <c r="AY62" s="386" t="str">
        <f t="shared" si="29"/>
        <v/>
      </c>
      <c r="AZ62" s="386" t="str">
        <f t="shared" si="30"/>
        <v/>
      </c>
      <c r="BA62" s="386">
        <f t="shared" si="31"/>
        <v>0</v>
      </c>
      <c r="BB62" s="386">
        <f t="shared" si="0"/>
        <v>0</v>
      </c>
      <c r="BC62" s="386">
        <f t="shared" si="1"/>
        <v>0</v>
      </c>
      <c r="BD62" s="386">
        <f t="shared" si="2"/>
        <v>0</v>
      </c>
      <c r="BE62" s="386">
        <f t="shared" si="3"/>
        <v>0</v>
      </c>
      <c r="BF62" s="386">
        <f t="shared" si="4"/>
        <v>0</v>
      </c>
      <c r="BG62" s="386">
        <f t="shared" si="5"/>
        <v>0</v>
      </c>
      <c r="BH62" s="386">
        <f t="shared" si="6"/>
        <v>0</v>
      </c>
      <c r="BI62" s="386">
        <f t="shared" si="7"/>
        <v>0</v>
      </c>
      <c r="BJ62" s="386">
        <f t="shared" si="8"/>
        <v>0</v>
      </c>
      <c r="BK62" s="386">
        <f t="shared" si="9"/>
        <v>0</v>
      </c>
      <c r="BL62" s="386">
        <f t="shared" si="32"/>
        <v>0</v>
      </c>
      <c r="BM62" s="386">
        <f t="shared" si="33"/>
        <v>0</v>
      </c>
      <c r="BN62" s="386">
        <f t="shared" si="10"/>
        <v>0</v>
      </c>
      <c r="BO62" s="386">
        <f t="shared" si="11"/>
        <v>0</v>
      </c>
      <c r="BP62" s="386">
        <f t="shared" si="12"/>
        <v>0</v>
      </c>
      <c r="BQ62" s="386">
        <f t="shared" si="13"/>
        <v>0</v>
      </c>
      <c r="BR62" s="386">
        <f t="shared" si="14"/>
        <v>0</v>
      </c>
      <c r="BS62" s="386">
        <f t="shared" si="15"/>
        <v>0</v>
      </c>
      <c r="BT62" s="386">
        <f t="shared" si="16"/>
        <v>0</v>
      </c>
      <c r="BU62" s="386">
        <f t="shared" si="17"/>
        <v>0</v>
      </c>
      <c r="BV62" s="386">
        <f t="shared" si="18"/>
        <v>0</v>
      </c>
      <c r="BW62" s="386">
        <f t="shared" si="19"/>
        <v>0</v>
      </c>
      <c r="BX62" s="386">
        <f t="shared" si="34"/>
        <v>0</v>
      </c>
      <c r="BY62" s="386">
        <f t="shared" si="35"/>
        <v>0</v>
      </c>
      <c r="BZ62" s="386">
        <f t="shared" si="36"/>
        <v>0</v>
      </c>
      <c r="CA62" s="386">
        <f t="shared" si="37"/>
        <v>0</v>
      </c>
      <c r="CB62" s="386">
        <f t="shared" si="38"/>
        <v>0</v>
      </c>
      <c r="CC62" s="386">
        <f t="shared" si="20"/>
        <v>0</v>
      </c>
      <c r="CD62" s="386">
        <f t="shared" si="21"/>
        <v>0</v>
      </c>
      <c r="CE62" s="386">
        <f t="shared" si="22"/>
        <v>0</v>
      </c>
      <c r="CF62" s="386">
        <f t="shared" si="23"/>
        <v>0</v>
      </c>
      <c r="CG62" s="386">
        <f t="shared" si="24"/>
        <v>0</v>
      </c>
      <c r="CH62" s="386">
        <f t="shared" si="25"/>
        <v>0</v>
      </c>
      <c r="CI62" s="386">
        <f t="shared" si="26"/>
        <v>0</v>
      </c>
      <c r="CJ62" s="386">
        <f t="shared" si="39"/>
        <v>0</v>
      </c>
      <c r="CK62" s="386" t="str">
        <f t="shared" si="40"/>
        <v/>
      </c>
      <c r="CL62" s="386">
        <f t="shared" si="41"/>
        <v>0</v>
      </c>
      <c r="CM62" s="386">
        <f t="shared" si="42"/>
        <v>0</v>
      </c>
      <c r="CN62" s="386" t="str">
        <f t="shared" si="43"/>
        <v>0001-00</v>
      </c>
    </row>
    <row r="63" spans="1:92" ht="15.75" thickBot="1" x14ac:dyDescent="0.3">
      <c r="A63" s="375" t="s">
        <v>161</v>
      </c>
      <c r="B63" s="375" t="s">
        <v>162</v>
      </c>
      <c r="C63" s="375" t="s">
        <v>466</v>
      </c>
      <c r="D63" s="375" t="s">
        <v>208</v>
      </c>
      <c r="E63" s="375" t="s">
        <v>165</v>
      </c>
      <c r="F63" s="376" t="s">
        <v>166</v>
      </c>
      <c r="G63" s="375" t="s">
        <v>167</v>
      </c>
      <c r="H63" s="377"/>
      <c r="I63" s="377"/>
      <c r="J63" s="375" t="s">
        <v>168</v>
      </c>
      <c r="K63" s="375" t="s">
        <v>209</v>
      </c>
      <c r="L63" s="375" t="s">
        <v>210</v>
      </c>
      <c r="M63" s="375" t="s">
        <v>177</v>
      </c>
      <c r="N63" s="375" t="s">
        <v>199</v>
      </c>
      <c r="O63" s="378">
        <v>1</v>
      </c>
      <c r="P63" s="384">
        <v>1</v>
      </c>
      <c r="Q63" s="384">
        <v>1</v>
      </c>
      <c r="R63" s="379">
        <v>80</v>
      </c>
      <c r="S63" s="384">
        <v>1</v>
      </c>
      <c r="T63" s="379">
        <v>33131.18</v>
      </c>
      <c r="U63" s="379">
        <v>0</v>
      </c>
      <c r="V63" s="379">
        <v>18502.97</v>
      </c>
      <c r="W63" s="379">
        <v>37003.199999999997</v>
      </c>
      <c r="X63" s="379">
        <v>19549.03</v>
      </c>
      <c r="Y63" s="379">
        <v>37003.199999999997</v>
      </c>
      <c r="Z63" s="379">
        <v>19371.419999999998</v>
      </c>
      <c r="AA63" s="375" t="s">
        <v>467</v>
      </c>
      <c r="AB63" s="375" t="s">
        <v>468</v>
      </c>
      <c r="AC63" s="375" t="s">
        <v>351</v>
      </c>
      <c r="AD63" s="375" t="s">
        <v>316</v>
      </c>
      <c r="AE63" s="375" t="s">
        <v>209</v>
      </c>
      <c r="AF63" s="375" t="s">
        <v>215</v>
      </c>
      <c r="AG63" s="375" t="s">
        <v>183</v>
      </c>
      <c r="AH63" s="380">
        <v>17.79</v>
      </c>
      <c r="AI63" s="380">
        <v>7091.2</v>
      </c>
      <c r="AJ63" s="375" t="s">
        <v>184</v>
      </c>
      <c r="AK63" s="375" t="s">
        <v>185</v>
      </c>
      <c r="AL63" s="375" t="s">
        <v>173</v>
      </c>
      <c r="AM63" s="375" t="s">
        <v>186</v>
      </c>
      <c r="AN63" s="375" t="s">
        <v>68</v>
      </c>
      <c r="AO63" s="378">
        <v>80</v>
      </c>
      <c r="AP63" s="384">
        <v>1</v>
      </c>
      <c r="AQ63" s="384">
        <v>1</v>
      </c>
      <c r="AR63" s="383" t="s">
        <v>187</v>
      </c>
      <c r="AS63" s="386">
        <f t="shared" si="27"/>
        <v>1</v>
      </c>
      <c r="AT63">
        <f t="shared" si="28"/>
        <v>1</v>
      </c>
      <c r="AU63" s="386">
        <f>IF(AT63=0,"",IF(AND(AT63=1,M63="F",SUMIF(C2:C557,C63,AS2:AS557)&lt;=1),SUMIF(C2:C557,C63,AS2:AS557),IF(AND(AT63=1,M63="F",SUMIF(C2:C557,C63,AS2:AS557)&gt;1),1,"")))</f>
        <v>1</v>
      </c>
      <c r="AV63" s="386" t="str">
        <f>IF(AT63=0,"",IF(AND(AT63=3,M63="F",SUMIF(C2:C557,C63,AS2:AS557)&lt;=1),SUMIF(C2:C557,C63,AS2:AS557),IF(AND(AT63=3,M63="F",SUMIF(C2:C557,C63,AS2:AS557)&gt;1),1,"")))</f>
        <v/>
      </c>
      <c r="AW63" s="386">
        <f>SUMIF(C2:C557,C63,O2:O557)</f>
        <v>1</v>
      </c>
      <c r="AX63" s="386">
        <f>IF(AND(M63="F",AS63&lt;&gt;0),SUMIF(C2:C557,C63,W2:W557),0)</f>
        <v>37003.199999999997</v>
      </c>
      <c r="AY63" s="386">
        <f t="shared" si="29"/>
        <v>37003.199999999997</v>
      </c>
      <c r="AZ63" s="386" t="str">
        <f t="shared" si="30"/>
        <v/>
      </c>
      <c r="BA63" s="386">
        <f t="shared" si="31"/>
        <v>0</v>
      </c>
      <c r="BB63" s="386">
        <f t="shared" si="0"/>
        <v>11650</v>
      </c>
      <c r="BC63" s="386">
        <f t="shared" si="1"/>
        <v>0</v>
      </c>
      <c r="BD63" s="386">
        <f t="shared" si="2"/>
        <v>2294.1983999999998</v>
      </c>
      <c r="BE63" s="386">
        <f t="shared" si="3"/>
        <v>536.54639999999995</v>
      </c>
      <c r="BF63" s="386">
        <f t="shared" si="4"/>
        <v>4418.1820799999996</v>
      </c>
      <c r="BG63" s="386">
        <f t="shared" si="5"/>
        <v>266.793072</v>
      </c>
      <c r="BH63" s="386">
        <f t="shared" si="6"/>
        <v>181.31567999999999</v>
      </c>
      <c r="BI63" s="386">
        <f t="shared" si="7"/>
        <v>113.22979199999999</v>
      </c>
      <c r="BJ63" s="386">
        <f t="shared" si="8"/>
        <v>88.807679999999991</v>
      </c>
      <c r="BK63" s="386">
        <f t="shared" si="9"/>
        <v>0</v>
      </c>
      <c r="BL63" s="386">
        <f t="shared" si="32"/>
        <v>7899.0731039999991</v>
      </c>
      <c r="BM63" s="386">
        <f t="shared" si="33"/>
        <v>0</v>
      </c>
      <c r="BN63" s="386">
        <f t="shared" si="10"/>
        <v>11650</v>
      </c>
      <c r="BO63" s="386">
        <f t="shared" si="11"/>
        <v>0</v>
      </c>
      <c r="BP63" s="386">
        <f t="shared" si="12"/>
        <v>2294.1983999999998</v>
      </c>
      <c r="BQ63" s="386">
        <f t="shared" si="13"/>
        <v>536.54639999999995</v>
      </c>
      <c r="BR63" s="386">
        <f t="shared" si="14"/>
        <v>4418.1820799999996</v>
      </c>
      <c r="BS63" s="386">
        <f t="shared" si="15"/>
        <v>266.793072</v>
      </c>
      <c r="BT63" s="386">
        <f t="shared" si="16"/>
        <v>0</v>
      </c>
      <c r="BU63" s="386">
        <f t="shared" si="17"/>
        <v>113.22979199999999</v>
      </c>
      <c r="BV63" s="386">
        <f t="shared" si="18"/>
        <v>92.507999999999996</v>
      </c>
      <c r="BW63" s="386">
        <f t="shared" si="19"/>
        <v>0</v>
      </c>
      <c r="BX63" s="386">
        <f t="shared" si="34"/>
        <v>7721.4577439999994</v>
      </c>
      <c r="BY63" s="386">
        <f t="shared" si="35"/>
        <v>0</v>
      </c>
      <c r="BZ63" s="386">
        <f t="shared" si="36"/>
        <v>0</v>
      </c>
      <c r="CA63" s="386">
        <f t="shared" si="37"/>
        <v>0</v>
      </c>
      <c r="CB63" s="386">
        <f t="shared" si="38"/>
        <v>0</v>
      </c>
      <c r="CC63" s="386">
        <f t="shared" si="20"/>
        <v>0</v>
      </c>
      <c r="CD63" s="386">
        <f t="shared" si="21"/>
        <v>0</v>
      </c>
      <c r="CE63" s="386">
        <f t="shared" si="22"/>
        <v>0</v>
      </c>
      <c r="CF63" s="386">
        <f t="shared" si="23"/>
        <v>-181.31567999999999</v>
      </c>
      <c r="CG63" s="386">
        <f t="shared" si="24"/>
        <v>0</v>
      </c>
      <c r="CH63" s="386">
        <f t="shared" si="25"/>
        <v>3.7003200000000094</v>
      </c>
      <c r="CI63" s="386">
        <f t="shared" si="26"/>
        <v>0</v>
      </c>
      <c r="CJ63" s="386">
        <f t="shared" si="39"/>
        <v>-177.61535999999998</v>
      </c>
      <c r="CK63" s="386" t="str">
        <f t="shared" si="40"/>
        <v/>
      </c>
      <c r="CL63" s="386" t="str">
        <f t="shared" si="41"/>
        <v/>
      </c>
      <c r="CM63" s="386" t="str">
        <f t="shared" si="42"/>
        <v/>
      </c>
      <c r="CN63" s="386" t="str">
        <f t="shared" si="43"/>
        <v>0001-00</v>
      </c>
    </row>
    <row r="64" spans="1:92" ht="15.75" thickBot="1" x14ac:dyDescent="0.3">
      <c r="A64" s="375" t="s">
        <v>161</v>
      </c>
      <c r="B64" s="375" t="s">
        <v>162</v>
      </c>
      <c r="C64" s="375" t="s">
        <v>469</v>
      </c>
      <c r="D64" s="375" t="s">
        <v>294</v>
      </c>
      <c r="E64" s="375" t="s">
        <v>165</v>
      </c>
      <c r="F64" s="376" t="s">
        <v>166</v>
      </c>
      <c r="G64" s="375" t="s">
        <v>167</v>
      </c>
      <c r="H64" s="377"/>
      <c r="I64" s="377"/>
      <c r="J64" s="375" t="s">
        <v>168</v>
      </c>
      <c r="K64" s="375" t="s">
        <v>295</v>
      </c>
      <c r="L64" s="375" t="s">
        <v>173</v>
      </c>
      <c r="M64" s="375" t="s">
        <v>177</v>
      </c>
      <c r="N64" s="375" t="s">
        <v>199</v>
      </c>
      <c r="O64" s="378">
        <v>1</v>
      </c>
      <c r="P64" s="384">
        <v>1</v>
      </c>
      <c r="Q64" s="384">
        <v>1</v>
      </c>
      <c r="R64" s="379">
        <v>80</v>
      </c>
      <c r="S64" s="384">
        <v>1</v>
      </c>
      <c r="T64" s="379">
        <v>76345.69</v>
      </c>
      <c r="U64" s="379">
        <v>0</v>
      </c>
      <c r="V64" s="379">
        <v>27444.61</v>
      </c>
      <c r="W64" s="379">
        <v>81452.800000000003</v>
      </c>
      <c r="X64" s="379">
        <v>29037.69</v>
      </c>
      <c r="Y64" s="379">
        <v>81452.800000000003</v>
      </c>
      <c r="Z64" s="379">
        <v>28646.73</v>
      </c>
      <c r="AA64" s="375" t="s">
        <v>470</v>
      </c>
      <c r="AB64" s="375" t="s">
        <v>471</v>
      </c>
      <c r="AC64" s="375" t="s">
        <v>342</v>
      </c>
      <c r="AD64" s="375" t="s">
        <v>233</v>
      </c>
      <c r="AE64" s="375" t="s">
        <v>295</v>
      </c>
      <c r="AF64" s="375" t="s">
        <v>305</v>
      </c>
      <c r="AG64" s="375" t="s">
        <v>183</v>
      </c>
      <c r="AH64" s="380">
        <v>39.159999999999997</v>
      </c>
      <c r="AI64" s="378">
        <v>31784</v>
      </c>
      <c r="AJ64" s="375" t="s">
        <v>184</v>
      </c>
      <c r="AK64" s="375" t="s">
        <v>185</v>
      </c>
      <c r="AL64" s="375" t="s">
        <v>173</v>
      </c>
      <c r="AM64" s="375" t="s">
        <v>186</v>
      </c>
      <c r="AN64" s="375" t="s">
        <v>68</v>
      </c>
      <c r="AO64" s="378">
        <v>80</v>
      </c>
      <c r="AP64" s="384">
        <v>1</v>
      </c>
      <c r="AQ64" s="384">
        <v>1</v>
      </c>
      <c r="AR64" s="383" t="s">
        <v>187</v>
      </c>
      <c r="AS64" s="386">
        <f t="shared" si="27"/>
        <v>1</v>
      </c>
      <c r="AT64">
        <f t="shared" si="28"/>
        <v>1</v>
      </c>
      <c r="AU64" s="386">
        <f>IF(AT64=0,"",IF(AND(AT64=1,M64="F",SUMIF(C2:C557,C64,AS2:AS557)&lt;=1),SUMIF(C2:C557,C64,AS2:AS557),IF(AND(AT64=1,M64="F",SUMIF(C2:C557,C64,AS2:AS557)&gt;1),1,"")))</f>
        <v>1</v>
      </c>
      <c r="AV64" s="386" t="str">
        <f>IF(AT64=0,"",IF(AND(AT64=3,M64="F",SUMIF(C2:C557,C64,AS2:AS557)&lt;=1),SUMIF(C2:C557,C64,AS2:AS557),IF(AND(AT64=3,M64="F",SUMIF(C2:C557,C64,AS2:AS557)&gt;1),1,"")))</f>
        <v/>
      </c>
      <c r="AW64" s="386">
        <f>SUMIF(C2:C557,C64,O2:O557)</f>
        <v>1</v>
      </c>
      <c r="AX64" s="386">
        <f>IF(AND(M64="F",AS64&lt;&gt;0),SUMIF(C2:C557,C64,W2:W557),0)</f>
        <v>81452.800000000003</v>
      </c>
      <c r="AY64" s="386">
        <f t="shared" si="29"/>
        <v>81452.800000000003</v>
      </c>
      <c r="AZ64" s="386" t="str">
        <f t="shared" si="30"/>
        <v/>
      </c>
      <c r="BA64" s="386">
        <f t="shared" si="31"/>
        <v>0</v>
      </c>
      <c r="BB64" s="386">
        <f t="shared" si="0"/>
        <v>11650</v>
      </c>
      <c r="BC64" s="386">
        <f t="shared" si="1"/>
        <v>0</v>
      </c>
      <c r="BD64" s="386">
        <f t="shared" si="2"/>
        <v>5050.0735999999997</v>
      </c>
      <c r="BE64" s="386">
        <f t="shared" si="3"/>
        <v>1181.0656000000001</v>
      </c>
      <c r="BF64" s="386">
        <f t="shared" si="4"/>
        <v>9725.464320000001</v>
      </c>
      <c r="BG64" s="386">
        <f t="shared" si="5"/>
        <v>587.27468800000008</v>
      </c>
      <c r="BH64" s="386">
        <f t="shared" si="6"/>
        <v>399.11872</v>
      </c>
      <c r="BI64" s="386">
        <f t="shared" si="7"/>
        <v>249.24556799999999</v>
      </c>
      <c r="BJ64" s="386">
        <f t="shared" si="8"/>
        <v>195.48671999999999</v>
      </c>
      <c r="BK64" s="386">
        <f t="shared" si="9"/>
        <v>0</v>
      </c>
      <c r="BL64" s="386">
        <f t="shared" si="32"/>
        <v>17387.729216</v>
      </c>
      <c r="BM64" s="386">
        <f t="shared" si="33"/>
        <v>0</v>
      </c>
      <c r="BN64" s="386">
        <f t="shared" si="10"/>
        <v>11650</v>
      </c>
      <c r="BO64" s="386">
        <f t="shared" si="11"/>
        <v>0</v>
      </c>
      <c r="BP64" s="386">
        <f t="shared" si="12"/>
        <v>5050.0735999999997</v>
      </c>
      <c r="BQ64" s="386">
        <f t="shared" si="13"/>
        <v>1181.0656000000001</v>
      </c>
      <c r="BR64" s="386">
        <f t="shared" si="14"/>
        <v>9725.464320000001</v>
      </c>
      <c r="BS64" s="386">
        <f t="shared" si="15"/>
        <v>587.27468800000008</v>
      </c>
      <c r="BT64" s="386">
        <f t="shared" si="16"/>
        <v>0</v>
      </c>
      <c r="BU64" s="386">
        <f t="shared" si="17"/>
        <v>249.24556799999999</v>
      </c>
      <c r="BV64" s="386">
        <f t="shared" si="18"/>
        <v>203.63200000000001</v>
      </c>
      <c r="BW64" s="386">
        <f t="shared" si="19"/>
        <v>0</v>
      </c>
      <c r="BX64" s="386">
        <f t="shared" si="34"/>
        <v>16996.755776000002</v>
      </c>
      <c r="BY64" s="386">
        <f t="shared" si="35"/>
        <v>0</v>
      </c>
      <c r="BZ64" s="386">
        <f t="shared" si="36"/>
        <v>0</v>
      </c>
      <c r="CA64" s="386">
        <f t="shared" si="37"/>
        <v>0</v>
      </c>
      <c r="CB64" s="386">
        <f t="shared" si="38"/>
        <v>0</v>
      </c>
      <c r="CC64" s="386">
        <f t="shared" si="20"/>
        <v>0</v>
      </c>
      <c r="CD64" s="386">
        <f t="shared" si="21"/>
        <v>0</v>
      </c>
      <c r="CE64" s="386">
        <f t="shared" si="22"/>
        <v>0</v>
      </c>
      <c r="CF64" s="386">
        <f t="shared" si="23"/>
        <v>-399.11872</v>
      </c>
      <c r="CG64" s="386">
        <f t="shared" si="24"/>
        <v>0</v>
      </c>
      <c r="CH64" s="386">
        <f t="shared" si="25"/>
        <v>8.1452800000000209</v>
      </c>
      <c r="CI64" s="386">
        <f t="shared" si="26"/>
        <v>0</v>
      </c>
      <c r="CJ64" s="386">
        <f t="shared" si="39"/>
        <v>-390.97343999999998</v>
      </c>
      <c r="CK64" s="386" t="str">
        <f t="shared" si="40"/>
        <v/>
      </c>
      <c r="CL64" s="386" t="str">
        <f t="shared" si="41"/>
        <v/>
      </c>
      <c r="CM64" s="386" t="str">
        <f t="shared" si="42"/>
        <v/>
      </c>
      <c r="CN64" s="386" t="str">
        <f t="shared" si="43"/>
        <v>0001-00</v>
      </c>
    </row>
    <row r="65" spans="1:92" ht="15.75" thickBot="1" x14ac:dyDescent="0.3">
      <c r="A65" s="375" t="s">
        <v>161</v>
      </c>
      <c r="B65" s="375" t="s">
        <v>162</v>
      </c>
      <c r="C65" s="375" t="s">
        <v>472</v>
      </c>
      <c r="D65" s="375" t="s">
        <v>231</v>
      </c>
      <c r="E65" s="375" t="s">
        <v>165</v>
      </c>
      <c r="F65" s="376" t="s">
        <v>166</v>
      </c>
      <c r="G65" s="375" t="s">
        <v>167</v>
      </c>
      <c r="H65" s="377"/>
      <c r="I65" s="377"/>
      <c r="J65" s="375" t="s">
        <v>168</v>
      </c>
      <c r="K65" s="375" t="s">
        <v>232</v>
      </c>
      <c r="L65" s="375" t="s">
        <v>233</v>
      </c>
      <c r="M65" s="375" t="s">
        <v>177</v>
      </c>
      <c r="N65" s="375" t="s">
        <v>199</v>
      </c>
      <c r="O65" s="378">
        <v>1</v>
      </c>
      <c r="P65" s="384">
        <v>1</v>
      </c>
      <c r="Q65" s="384">
        <v>1</v>
      </c>
      <c r="R65" s="379">
        <v>80</v>
      </c>
      <c r="S65" s="384">
        <v>1</v>
      </c>
      <c r="T65" s="379">
        <v>37494.410000000003</v>
      </c>
      <c r="U65" s="379">
        <v>0</v>
      </c>
      <c r="V65" s="379">
        <v>19283.419999999998</v>
      </c>
      <c r="W65" s="379">
        <v>40081.599999999999</v>
      </c>
      <c r="X65" s="379">
        <v>20206.169999999998</v>
      </c>
      <c r="Y65" s="379">
        <v>40081.599999999999</v>
      </c>
      <c r="Z65" s="379">
        <v>20013.79</v>
      </c>
      <c r="AA65" s="375" t="s">
        <v>473</v>
      </c>
      <c r="AB65" s="375" t="s">
        <v>474</v>
      </c>
      <c r="AC65" s="375" t="s">
        <v>475</v>
      </c>
      <c r="AD65" s="375" t="s">
        <v>233</v>
      </c>
      <c r="AE65" s="375" t="s">
        <v>232</v>
      </c>
      <c r="AF65" s="375" t="s">
        <v>237</v>
      </c>
      <c r="AG65" s="375" t="s">
        <v>183</v>
      </c>
      <c r="AH65" s="380">
        <v>19.27</v>
      </c>
      <c r="AI65" s="380">
        <v>17757.400000000001</v>
      </c>
      <c r="AJ65" s="375" t="s">
        <v>184</v>
      </c>
      <c r="AK65" s="375" t="s">
        <v>185</v>
      </c>
      <c r="AL65" s="375" t="s">
        <v>173</v>
      </c>
      <c r="AM65" s="375" t="s">
        <v>186</v>
      </c>
      <c r="AN65" s="375" t="s">
        <v>68</v>
      </c>
      <c r="AO65" s="378">
        <v>80</v>
      </c>
      <c r="AP65" s="384">
        <v>1</v>
      </c>
      <c r="AQ65" s="384">
        <v>1</v>
      </c>
      <c r="AR65" s="383" t="s">
        <v>187</v>
      </c>
      <c r="AS65" s="386">
        <f t="shared" si="27"/>
        <v>1</v>
      </c>
      <c r="AT65">
        <f t="shared" si="28"/>
        <v>1</v>
      </c>
      <c r="AU65" s="386">
        <f>IF(AT65=0,"",IF(AND(AT65=1,M65="F",SUMIF(C2:C557,C65,AS2:AS557)&lt;=1),SUMIF(C2:C557,C65,AS2:AS557),IF(AND(AT65=1,M65="F",SUMIF(C2:C557,C65,AS2:AS557)&gt;1),1,"")))</f>
        <v>1</v>
      </c>
      <c r="AV65" s="386" t="str">
        <f>IF(AT65=0,"",IF(AND(AT65=3,M65="F",SUMIF(C2:C557,C65,AS2:AS557)&lt;=1),SUMIF(C2:C557,C65,AS2:AS557),IF(AND(AT65=3,M65="F",SUMIF(C2:C557,C65,AS2:AS557)&gt;1),1,"")))</f>
        <v/>
      </c>
      <c r="AW65" s="386">
        <f>SUMIF(C2:C557,C65,O2:O557)</f>
        <v>1</v>
      </c>
      <c r="AX65" s="386">
        <f>IF(AND(M65="F",AS65&lt;&gt;0),SUMIF(C2:C557,C65,W2:W557),0)</f>
        <v>40081.599999999999</v>
      </c>
      <c r="AY65" s="386">
        <f t="shared" si="29"/>
        <v>40081.599999999999</v>
      </c>
      <c r="AZ65" s="386" t="str">
        <f t="shared" si="30"/>
        <v/>
      </c>
      <c r="BA65" s="386">
        <f t="shared" si="31"/>
        <v>0</v>
      </c>
      <c r="BB65" s="386">
        <f t="shared" si="0"/>
        <v>11650</v>
      </c>
      <c r="BC65" s="386">
        <f t="shared" si="1"/>
        <v>0</v>
      </c>
      <c r="BD65" s="386">
        <f t="shared" si="2"/>
        <v>2485.0591999999997</v>
      </c>
      <c r="BE65" s="386">
        <f t="shared" si="3"/>
        <v>581.18320000000006</v>
      </c>
      <c r="BF65" s="386">
        <f t="shared" si="4"/>
        <v>4785.7430400000003</v>
      </c>
      <c r="BG65" s="386">
        <f t="shared" si="5"/>
        <v>288.988336</v>
      </c>
      <c r="BH65" s="386">
        <f t="shared" si="6"/>
        <v>196.39983999999998</v>
      </c>
      <c r="BI65" s="386">
        <f t="shared" si="7"/>
        <v>122.64969599999999</v>
      </c>
      <c r="BJ65" s="386">
        <f t="shared" si="8"/>
        <v>96.19583999999999</v>
      </c>
      <c r="BK65" s="386">
        <f t="shared" si="9"/>
        <v>0</v>
      </c>
      <c r="BL65" s="386">
        <f t="shared" si="32"/>
        <v>8556.2191520000015</v>
      </c>
      <c r="BM65" s="386">
        <f t="shared" si="33"/>
        <v>0</v>
      </c>
      <c r="BN65" s="386">
        <f t="shared" si="10"/>
        <v>11650</v>
      </c>
      <c r="BO65" s="386">
        <f t="shared" si="11"/>
        <v>0</v>
      </c>
      <c r="BP65" s="386">
        <f t="shared" si="12"/>
        <v>2485.0591999999997</v>
      </c>
      <c r="BQ65" s="386">
        <f t="shared" si="13"/>
        <v>581.18320000000006</v>
      </c>
      <c r="BR65" s="386">
        <f t="shared" si="14"/>
        <v>4785.7430400000003</v>
      </c>
      <c r="BS65" s="386">
        <f t="shared" si="15"/>
        <v>288.988336</v>
      </c>
      <c r="BT65" s="386">
        <f t="shared" si="16"/>
        <v>0</v>
      </c>
      <c r="BU65" s="386">
        <f t="shared" si="17"/>
        <v>122.64969599999999</v>
      </c>
      <c r="BV65" s="386">
        <f t="shared" si="18"/>
        <v>100.20399999999999</v>
      </c>
      <c r="BW65" s="386">
        <f t="shared" si="19"/>
        <v>0</v>
      </c>
      <c r="BX65" s="386">
        <f t="shared" si="34"/>
        <v>8363.8274720000009</v>
      </c>
      <c r="BY65" s="386">
        <f t="shared" si="35"/>
        <v>0</v>
      </c>
      <c r="BZ65" s="386">
        <f t="shared" si="36"/>
        <v>0</v>
      </c>
      <c r="CA65" s="386">
        <f t="shared" si="37"/>
        <v>0</v>
      </c>
      <c r="CB65" s="386">
        <f t="shared" si="38"/>
        <v>0</v>
      </c>
      <c r="CC65" s="386">
        <f t="shared" si="20"/>
        <v>0</v>
      </c>
      <c r="CD65" s="386">
        <f t="shared" si="21"/>
        <v>0</v>
      </c>
      <c r="CE65" s="386">
        <f t="shared" si="22"/>
        <v>0</v>
      </c>
      <c r="CF65" s="386">
        <f t="shared" si="23"/>
        <v>-196.39983999999998</v>
      </c>
      <c r="CG65" s="386">
        <f t="shared" si="24"/>
        <v>0</v>
      </c>
      <c r="CH65" s="386">
        <f t="shared" si="25"/>
        <v>4.0081600000000099</v>
      </c>
      <c r="CI65" s="386">
        <f t="shared" si="26"/>
        <v>0</v>
      </c>
      <c r="CJ65" s="386">
        <f t="shared" si="39"/>
        <v>-192.39167999999998</v>
      </c>
      <c r="CK65" s="386" t="str">
        <f t="shared" si="40"/>
        <v/>
      </c>
      <c r="CL65" s="386" t="str">
        <f t="shared" si="41"/>
        <v/>
      </c>
      <c r="CM65" s="386" t="str">
        <f t="shared" si="42"/>
        <v/>
      </c>
      <c r="CN65" s="386" t="str">
        <f t="shared" si="43"/>
        <v>0001-00</v>
      </c>
    </row>
    <row r="66" spans="1:92" ht="15.75" thickBot="1" x14ac:dyDescent="0.3">
      <c r="A66" s="375" t="s">
        <v>161</v>
      </c>
      <c r="B66" s="375" t="s">
        <v>162</v>
      </c>
      <c r="C66" s="375" t="s">
        <v>476</v>
      </c>
      <c r="D66" s="375" t="s">
        <v>294</v>
      </c>
      <c r="E66" s="375" t="s">
        <v>165</v>
      </c>
      <c r="F66" s="376" t="s">
        <v>166</v>
      </c>
      <c r="G66" s="375" t="s">
        <v>167</v>
      </c>
      <c r="H66" s="377"/>
      <c r="I66" s="377"/>
      <c r="J66" s="375" t="s">
        <v>168</v>
      </c>
      <c r="K66" s="375" t="s">
        <v>295</v>
      </c>
      <c r="L66" s="375" t="s">
        <v>173</v>
      </c>
      <c r="M66" s="375" t="s">
        <v>177</v>
      </c>
      <c r="N66" s="375" t="s">
        <v>199</v>
      </c>
      <c r="O66" s="378">
        <v>1</v>
      </c>
      <c r="P66" s="384">
        <v>1</v>
      </c>
      <c r="Q66" s="384">
        <v>1</v>
      </c>
      <c r="R66" s="379">
        <v>80</v>
      </c>
      <c r="S66" s="384">
        <v>1</v>
      </c>
      <c r="T66" s="379">
        <v>40274.42</v>
      </c>
      <c r="U66" s="379">
        <v>0</v>
      </c>
      <c r="V66" s="379">
        <v>13909.33</v>
      </c>
      <c r="W66" s="379">
        <v>68806.399999999994</v>
      </c>
      <c r="X66" s="379">
        <v>26338.07</v>
      </c>
      <c r="Y66" s="379">
        <v>68806.399999999994</v>
      </c>
      <c r="Z66" s="379">
        <v>26007.8</v>
      </c>
      <c r="AA66" s="375" t="s">
        <v>477</v>
      </c>
      <c r="AB66" s="375" t="s">
        <v>478</v>
      </c>
      <c r="AC66" s="375" t="s">
        <v>479</v>
      </c>
      <c r="AD66" s="375" t="s">
        <v>183</v>
      </c>
      <c r="AE66" s="375" t="s">
        <v>295</v>
      </c>
      <c r="AF66" s="375" t="s">
        <v>305</v>
      </c>
      <c r="AG66" s="375" t="s">
        <v>183</v>
      </c>
      <c r="AH66" s="380">
        <v>33.08</v>
      </c>
      <c r="AI66" s="380">
        <v>26758.5</v>
      </c>
      <c r="AJ66" s="375" t="s">
        <v>184</v>
      </c>
      <c r="AK66" s="375" t="s">
        <v>185</v>
      </c>
      <c r="AL66" s="375" t="s">
        <v>173</v>
      </c>
      <c r="AM66" s="375" t="s">
        <v>186</v>
      </c>
      <c r="AN66" s="375" t="s">
        <v>68</v>
      </c>
      <c r="AO66" s="378">
        <v>80</v>
      </c>
      <c r="AP66" s="384">
        <v>1</v>
      </c>
      <c r="AQ66" s="384">
        <v>1</v>
      </c>
      <c r="AR66" s="383" t="s">
        <v>187</v>
      </c>
      <c r="AS66" s="386">
        <f t="shared" si="27"/>
        <v>1</v>
      </c>
      <c r="AT66">
        <f t="shared" si="28"/>
        <v>1</v>
      </c>
      <c r="AU66" s="386">
        <f>IF(AT66=0,"",IF(AND(AT66=1,M66="F",SUMIF(C2:C557,C66,AS2:AS557)&lt;=1),SUMIF(C2:C557,C66,AS2:AS557),IF(AND(AT66=1,M66="F",SUMIF(C2:C557,C66,AS2:AS557)&gt;1),1,"")))</f>
        <v>1</v>
      </c>
      <c r="AV66" s="386" t="str">
        <f>IF(AT66=0,"",IF(AND(AT66=3,M66="F",SUMIF(C2:C557,C66,AS2:AS557)&lt;=1),SUMIF(C2:C557,C66,AS2:AS557),IF(AND(AT66=3,M66="F",SUMIF(C2:C557,C66,AS2:AS557)&gt;1),1,"")))</f>
        <v/>
      </c>
      <c r="AW66" s="386">
        <f>SUMIF(C2:C557,C66,O2:O557)</f>
        <v>1</v>
      </c>
      <c r="AX66" s="386">
        <f>IF(AND(M66="F",AS66&lt;&gt;0),SUMIF(C2:C557,C66,W2:W557),0)</f>
        <v>68806.399999999994</v>
      </c>
      <c r="AY66" s="386">
        <f t="shared" si="29"/>
        <v>68806.399999999994</v>
      </c>
      <c r="AZ66" s="386" t="str">
        <f t="shared" si="30"/>
        <v/>
      </c>
      <c r="BA66" s="386">
        <f t="shared" si="31"/>
        <v>0</v>
      </c>
      <c r="BB66" s="386">
        <f t="shared" ref="BB66:BB129" si="44">IF(AND(AT66=1,AK66="E",AU66&gt;=0.75,AW66=1),Health,IF(AND(AT66=1,AK66="E",AU66&gt;=0.75),Health*P66,IF(AND(AT66=1,AK66="E",AU66&gt;=0.5,AW66=1),PTHealth,IF(AND(AT66=1,AK66="E",AU66&gt;=0.5),PTHealth*P66,0))))</f>
        <v>11650</v>
      </c>
      <c r="BC66" s="386">
        <f t="shared" ref="BC66:BC129" si="45">IF(AND(AT66=3,AK66="E",AV66&gt;=0.75,AW66=1),Health,IF(AND(AT66=3,AK66="E",AV66&gt;=0.75),Health*P66,IF(AND(AT66=3,AK66="E",AV66&gt;=0.5,AW66=1),PTHealth,IF(AND(AT66=3,AK66="E",AV66&gt;=0.5),PTHealth*P66,0))))</f>
        <v>0</v>
      </c>
      <c r="BD66" s="386">
        <f t="shared" ref="BD66:BD129" si="46">IF(AND(AT66&lt;&gt;0,AX66&gt;=MAXSSDI),SSDI*MAXSSDI*P66,IF(AT66&lt;&gt;0,SSDI*W66,0))</f>
        <v>4265.9967999999999</v>
      </c>
      <c r="BE66" s="386">
        <f t="shared" ref="BE66:BE129" si="47">IF(AT66&lt;&gt;0,SSHI*W66,0)</f>
        <v>997.69279999999992</v>
      </c>
      <c r="BF66" s="386">
        <f t="shared" ref="BF66:BF129" si="48">IF(AND(AT66&lt;&gt;0,AN66&lt;&gt;"NE"),VLOOKUP(AN66,Retirement_Rates,3,FALSE)*W66,0)</f>
        <v>8215.48416</v>
      </c>
      <c r="BG66" s="386">
        <f t="shared" ref="BG66:BG129" si="49">IF(AND(AT66&lt;&gt;0,AJ66&lt;&gt;"PF"),Life*W66,0)</f>
        <v>496.09414399999997</v>
      </c>
      <c r="BH66" s="386">
        <f t="shared" ref="BH66:BH129" si="50">IF(AND(AT66&lt;&gt;0,AM66="Y"),UI*W66,0)</f>
        <v>337.15135999999995</v>
      </c>
      <c r="BI66" s="386">
        <f t="shared" ref="BI66:BI129" si="51">IF(AND(AT66&lt;&gt;0,N66&lt;&gt;"NR"),DHR*W66,0)</f>
        <v>210.54758399999997</v>
      </c>
      <c r="BJ66" s="386">
        <f t="shared" ref="BJ66:BJ129" si="52">IF(AT66&lt;&gt;0,WC*W66,0)</f>
        <v>165.13535999999996</v>
      </c>
      <c r="BK66" s="386">
        <f t="shared" ref="BK66:BK129" si="53">IF(OR(AND(AT66&lt;&gt;0,AJ66&lt;&gt;"PF",AN66&lt;&gt;"NE",AG66&lt;&gt;"A"),AND(AL66="E",OR(AT66=1,AT66=3))),Sick*W66,0)</f>
        <v>0</v>
      </c>
      <c r="BL66" s="386">
        <f t="shared" si="32"/>
        <v>14688.102208</v>
      </c>
      <c r="BM66" s="386">
        <f t="shared" si="33"/>
        <v>0</v>
      </c>
      <c r="BN66" s="386">
        <f t="shared" ref="BN66:BN129" si="54">IF(AND(AT66=1,AK66="E",AU66&gt;=0.75,AW66=1),HealthBY,IF(AND(AT66=1,AK66="E",AU66&gt;=0.75),HealthBY*P66,IF(AND(AT66=1,AK66="E",AU66&gt;=0.5,AW66=1),PTHealthBY,IF(AND(AT66=1,AK66="E",AU66&gt;=0.5),PTHealthBY*P66,0))))</f>
        <v>11650</v>
      </c>
      <c r="BO66" s="386">
        <f t="shared" ref="BO66:BO129" si="55">IF(AND(AT66=3,AK66="E",AV66&gt;=0.75,AW66=1),HealthBY,IF(AND(AT66=3,AK66="E",AV66&gt;=0.75),HealthBY*P66,IF(AND(AT66=3,AK66="E",AV66&gt;=0.5,AW66=1),PTHealthBY,IF(AND(AT66=3,AK66="E",AV66&gt;=0.5),PTHealthBY*P66,0))))</f>
        <v>0</v>
      </c>
      <c r="BP66" s="386">
        <f t="shared" ref="BP66:BP129" si="56">IF(AND(AT66&lt;&gt;0,(AX66+BA66)&gt;=MAXSSDIBY),SSDIBY*MAXSSDIBY*P66,IF(AT66&lt;&gt;0,SSDIBY*W66,0))</f>
        <v>4265.9967999999999</v>
      </c>
      <c r="BQ66" s="386">
        <f t="shared" ref="BQ66:BQ129" si="57">IF(AT66&lt;&gt;0,SSHIBY*W66,0)</f>
        <v>997.69279999999992</v>
      </c>
      <c r="BR66" s="386">
        <f t="shared" ref="BR66:BR129" si="58">IF(AND(AT66&lt;&gt;0,AN66&lt;&gt;"NE"),VLOOKUP(AN66,Retirement_Rates,4,FALSE)*W66,0)</f>
        <v>8215.48416</v>
      </c>
      <c r="BS66" s="386">
        <f t="shared" ref="BS66:BS129" si="59">IF(AND(AT66&lt;&gt;0,AJ66&lt;&gt;"PF"),LifeBY*W66,0)</f>
        <v>496.09414399999997</v>
      </c>
      <c r="BT66" s="386">
        <f t="shared" ref="BT66:BT129" si="60">IF(AND(AT66&lt;&gt;0,AM66="Y"),UIBY*W66,0)</f>
        <v>0</v>
      </c>
      <c r="BU66" s="386">
        <f t="shared" ref="BU66:BU129" si="61">IF(AND(AT66&lt;&gt;0,N66&lt;&gt;"NR"),DHRBY*W66,0)</f>
        <v>210.54758399999997</v>
      </c>
      <c r="BV66" s="386">
        <f t="shared" ref="BV66:BV129" si="62">IF(AT66&lt;&gt;0,WCBY*W66,0)</f>
        <v>172.01599999999999</v>
      </c>
      <c r="BW66" s="386">
        <f t="shared" ref="BW66:BW129" si="63">IF(OR(AND(AT66&lt;&gt;0,AJ66&lt;&gt;"PF",AN66&lt;&gt;"NE",AG66&lt;&gt;"A"),AND(AL66="E",OR(AT66=1,AT66=3))),SickBY*W66,0)</f>
        <v>0</v>
      </c>
      <c r="BX66" s="386">
        <f t="shared" si="34"/>
        <v>14357.831488</v>
      </c>
      <c r="BY66" s="386">
        <f t="shared" si="35"/>
        <v>0</v>
      </c>
      <c r="BZ66" s="386">
        <f t="shared" si="36"/>
        <v>0</v>
      </c>
      <c r="CA66" s="386">
        <f t="shared" si="37"/>
        <v>0</v>
      </c>
      <c r="CB66" s="386">
        <f t="shared" si="38"/>
        <v>0</v>
      </c>
      <c r="CC66" s="386">
        <f t="shared" ref="CC66:CC129" si="64">IF(AT66&lt;&gt;0,SSHICHG*Y66,0)</f>
        <v>0</v>
      </c>
      <c r="CD66" s="386">
        <f t="shared" ref="CD66:CD129" si="65">IF(AND(AT66&lt;&gt;0,AN66&lt;&gt;"NE"),VLOOKUP(AN66,Retirement_Rates,5,FALSE)*Y66,0)</f>
        <v>0</v>
      </c>
      <c r="CE66" s="386">
        <f t="shared" ref="CE66:CE129" si="66">IF(AND(AT66&lt;&gt;0,AJ66&lt;&gt;"PF"),LifeCHG*Y66,0)</f>
        <v>0</v>
      </c>
      <c r="CF66" s="386">
        <f t="shared" ref="CF66:CF129" si="67">IF(AND(AT66&lt;&gt;0,AM66="Y"),UICHG*Y66,0)</f>
        <v>-337.15135999999995</v>
      </c>
      <c r="CG66" s="386">
        <f t="shared" ref="CG66:CG129" si="68">IF(AND(AT66&lt;&gt;0,N66&lt;&gt;"NR"),DHRCHG*Y66,0)</f>
        <v>0</v>
      </c>
      <c r="CH66" s="386">
        <f t="shared" ref="CH66:CH129" si="69">IF(AT66&lt;&gt;0,WCCHG*Y66,0)</f>
        <v>6.8806400000000174</v>
      </c>
      <c r="CI66" s="386">
        <f t="shared" ref="CI66:CI129" si="70">IF(OR(AND(AT66&lt;&gt;0,AJ66&lt;&gt;"PF",AN66&lt;&gt;"NE",AG66&lt;&gt;"A"),AND(AL66="E",OR(AT66=1,AT66=3))),SickCHG*Y66,0)</f>
        <v>0</v>
      </c>
      <c r="CJ66" s="386">
        <f t="shared" si="39"/>
        <v>-330.27071999999993</v>
      </c>
      <c r="CK66" s="386" t="str">
        <f t="shared" si="40"/>
        <v/>
      </c>
      <c r="CL66" s="386" t="str">
        <f t="shared" si="41"/>
        <v/>
      </c>
      <c r="CM66" s="386" t="str">
        <f t="shared" si="42"/>
        <v/>
      </c>
      <c r="CN66" s="386" t="str">
        <f t="shared" si="43"/>
        <v>0001-00</v>
      </c>
    </row>
    <row r="67" spans="1:92" ht="15.75" thickBot="1" x14ac:dyDescent="0.3">
      <c r="A67" s="375" t="s">
        <v>161</v>
      </c>
      <c r="B67" s="375" t="s">
        <v>162</v>
      </c>
      <c r="C67" s="375" t="s">
        <v>480</v>
      </c>
      <c r="D67" s="375" t="s">
        <v>208</v>
      </c>
      <c r="E67" s="375" t="s">
        <v>165</v>
      </c>
      <c r="F67" s="376" t="s">
        <v>166</v>
      </c>
      <c r="G67" s="375" t="s">
        <v>167</v>
      </c>
      <c r="H67" s="377"/>
      <c r="I67" s="377"/>
      <c r="J67" s="375" t="s">
        <v>168</v>
      </c>
      <c r="K67" s="375" t="s">
        <v>209</v>
      </c>
      <c r="L67" s="375" t="s">
        <v>210</v>
      </c>
      <c r="M67" s="375" t="s">
        <v>177</v>
      </c>
      <c r="N67" s="375" t="s">
        <v>199</v>
      </c>
      <c r="O67" s="378">
        <v>1</v>
      </c>
      <c r="P67" s="384">
        <v>1</v>
      </c>
      <c r="Q67" s="384">
        <v>1</v>
      </c>
      <c r="R67" s="379">
        <v>80</v>
      </c>
      <c r="S67" s="384">
        <v>1</v>
      </c>
      <c r="T67" s="379">
        <v>21386.42</v>
      </c>
      <c r="U67" s="379">
        <v>0</v>
      </c>
      <c r="V67" s="379">
        <v>12125.47</v>
      </c>
      <c r="W67" s="379">
        <v>35110.400000000001</v>
      </c>
      <c r="X67" s="379">
        <v>19144.990000000002</v>
      </c>
      <c r="Y67" s="379">
        <v>35110.400000000001</v>
      </c>
      <c r="Z67" s="379">
        <v>18976.46</v>
      </c>
      <c r="AA67" s="375" t="s">
        <v>481</v>
      </c>
      <c r="AB67" s="375" t="s">
        <v>482</v>
      </c>
      <c r="AC67" s="375" t="s">
        <v>483</v>
      </c>
      <c r="AD67" s="375" t="s">
        <v>220</v>
      </c>
      <c r="AE67" s="375" t="s">
        <v>209</v>
      </c>
      <c r="AF67" s="375" t="s">
        <v>215</v>
      </c>
      <c r="AG67" s="375" t="s">
        <v>183</v>
      </c>
      <c r="AH67" s="380">
        <v>16.88</v>
      </c>
      <c r="AI67" s="380">
        <v>10039.200000000001</v>
      </c>
      <c r="AJ67" s="375" t="s">
        <v>184</v>
      </c>
      <c r="AK67" s="375" t="s">
        <v>185</v>
      </c>
      <c r="AL67" s="375" t="s">
        <v>173</v>
      </c>
      <c r="AM67" s="375" t="s">
        <v>186</v>
      </c>
      <c r="AN67" s="375" t="s">
        <v>68</v>
      </c>
      <c r="AO67" s="378">
        <v>80</v>
      </c>
      <c r="AP67" s="384">
        <v>1</v>
      </c>
      <c r="AQ67" s="384">
        <v>1</v>
      </c>
      <c r="AR67" s="383" t="s">
        <v>187</v>
      </c>
      <c r="AS67" s="386">
        <f t="shared" ref="AS67:AS130" si="71">IF(((AO67/80)*AP67*P67)&gt;1,AQ67,((AO67/80)*AP67*P67))</f>
        <v>1</v>
      </c>
      <c r="AT67">
        <f t="shared" ref="AT67:AT130" si="72">IF(AND(M67="F",N67&lt;&gt;"NG",AS67&lt;&gt;0,AND(AR67&lt;&gt;6,AR67&lt;&gt;36,AR67&lt;&gt;56),AG67&lt;&gt;"A",OR(AG67="H",AJ67="FS")),1,IF(AND(M67="F",N67&lt;&gt;"NG",AS67&lt;&gt;0,AG67="A"),3,0))</f>
        <v>1</v>
      </c>
      <c r="AU67" s="386">
        <f>IF(AT67=0,"",IF(AND(AT67=1,M67="F",SUMIF(C2:C557,C67,AS2:AS557)&lt;=1),SUMIF(C2:C557,C67,AS2:AS557),IF(AND(AT67=1,M67="F",SUMIF(C2:C557,C67,AS2:AS557)&gt;1),1,"")))</f>
        <v>1</v>
      </c>
      <c r="AV67" s="386" t="str">
        <f>IF(AT67=0,"",IF(AND(AT67=3,M67="F",SUMIF(C2:C557,C67,AS2:AS557)&lt;=1),SUMIF(C2:C557,C67,AS2:AS557),IF(AND(AT67=3,M67="F",SUMIF(C2:C557,C67,AS2:AS557)&gt;1),1,"")))</f>
        <v/>
      </c>
      <c r="AW67" s="386">
        <f>SUMIF(C2:C557,C67,O2:O557)</f>
        <v>1</v>
      </c>
      <c r="AX67" s="386">
        <f>IF(AND(M67="F",AS67&lt;&gt;0),SUMIF(C2:C557,C67,W2:W557),0)</f>
        <v>35110.400000000001</v>
      </c>
      <c r="AY67" s="386">
        <f t="shared" ref="AY67:AY130" si="73">IF(AT67=1,W67,"")</f>
        <v>35110.400000000001</v>
      </c>
      <c r="AZ67" s="386" t="str">
        <f t="shared" ref="AZ67:AZ130" si="74">IF(AT67=3,W67,"")</f>
        <v/>
      </c>
      <c r="BA67" s="386">
        <f t="shared" ref="BA67:BA130" si="75">IF(AT67=1,Y67-W67,0)</f>
        <v>0</v>
      </c>
      <c r="BB67" s="386">
        <f t="shared" si="44"/>
        <v>11650</v>
      </c>
      <c r="BC67" s="386">
        <f t="shared" si="45"/>
        <v>0</v>
      </c>
      <c r="BD67" s="386">
        <f t="shared" si="46"/>
        <v>2176.8447999999999</v>
      </c>
      <c r="BE67" s="386">
        <f t="shared" si="47"/>
        <v>509.10080000000005</v>
      </c>
      <c r="BF67" s="386">
        <f t="shared" si="48"/>
        <v>4192.1817600000004</v>
      </c>
      <c r="BG67" s="386">
        <f t="shared" si="49"/>
        <v>253.14598400000003</v>
      </c>
      <c r="BH67" s="386">
        <f t="shared" si="50"/>
        <v>172.04096000000001</v>
      </c>
      <c r="BI67" s="386">
        <f t="shared" si="51"/>
        <v>107.43782399999999</v>
      </c>
      <c r="BJ67" s="386">
        <f t="shared" si="52"/>
        <v>84.264960000000002</v>
      </c>
      <c r="BK67" s="386">
        <f t="shared" si="53"/>
        <v>0</v>
      </c>
      <c r="BL67" s="386">
        <f t="shared" ref="BL67:BL130" si="76">IF(AT67=1,SUM(BD67:BK67),0)</f>
        <v>7495.0170880000005</v>
      </c>
      <c r="BM67" s="386">
        <f t="shared" ref="BM67:BM130" si="77">IF(AT67=3,SUM(BD67:BK67),0)</f>
        <v>0</v>
      </c>
      <c r="BN67" s="386">
        <f t="shared" si="54"/>
        <v>11650</v>
      </c>
      <c r="BO67" s="386">
        <f t="shared" si="55"/>
        <v>0</v>
      </c>
      <c r="BP67" s="386">
        <f t="shared" si="56"/>
        <v>2176.8447999999999</v>
      </c>
      <c r="BQ67" s="386">
        <f t="shared" si="57"/>
        <v>509.10080000000005</v>
      </c>
      <c r="BR67" s="386">
        <f t="shared" si="58"/>
        <v>4192.1817600000004</v>
      </c>
      <c r="BS67" s="386">
        <f t="shared" si="59"/>
        <v>253.14598400000003</v>
      </c>
      <c r="BT67" s="386">
        <f t="shared" si="60"/>
        <v>0</v>
      </c>
      <c r="BU67" s="386">
        <f t="shared" si="61"/>
        <v>107.43782399999999</v>
      </c>
      <c r="BV67" s="386">
        <f t="shared" si="62"/>
        <v>87.77600000000001</v>
      </c>
      <c r="BW67" s="386">
        <f t="shared" si="63"/>
        <v>0</v>
      </c>
      <c r="BX67" s="386">
        <f t="shared" ref="BX67:BX130" si="78">IF(AT67=1,SUM(BP67:BW67),0)</f>
        <v>7326.4871679999997</v>
      </c>
      <c r="BY67" s="386">
        <f t="shared" ref="BY67:BY130" si="79">IF(AT67=3,SUM(BP67:BW67),0)</f>
        <v>0</v>
      </c>
      <c r="BZ67" s="386">
        <f t="shared" ref="BZ67:BZ130" si="80">IF(AT67=1,BN67-BB67,0)</f>
        <v>0</v>
      </c>
      <c r="CA67" s="386">
        <f t="shared" ref="CA67:CA130" si="81">IF(AT67=3,BO67-BC67,0)</f>
        <v>0</v>
      </c>
      <c r="CB67" s="386">
        <f t="shared" ref="CB67:CB130" si="82">BP67-BD67</f>
        <v>0</v>
      </c>
      <c r="CC67" s="386">
        <f t="shared" si="64"/>
        <v>0</v>
      </c>
      <c r="CD67" s="386">
        <f t="shared" si="65"/>
        <v>0</v>
      </c>
      <c r="CE67" s="386">
        <f t="shared" si="66"/>
        <v>0</v>
      </c>
      <c r="CF67" s="386">
        <f t="shared" si="67"/>
        <v>-172.04096000000001</v>
      </c>
      <c r="CG67" s="386">
        <f t="shared" si="68"/>
        <v>0</v>
      </c>
      <c r="CH67" s="386">
        <f t="shared" si="69"/>
        <v>3.5110400000000093</v>
      </c>
      <c r="CI67" s="386">
        <f t="shared" si="70"/>
        <v>0</v>
      </c>
      <c r="CJ67" s="386">
        <f t="shared" ref="CJ67:CJ130" si="83">IF(AT67=1,SUM(CB67:CI67),0)</f>
        <v>-168.52992</v>
      </c>
      <c r="CK67" s="386" t="str">
        <f t="shared" ref="CK67:CK130" si="84">IF(AT67=3,SUM(CB67:CI67),"")</f>
        <v/>
      </c>
      <c r="CL67" s="386" t="str">
        <f t="shared" ref="CL67:CL130" si="85">IF(OR(N67="NG",AG67="D"),(T67+U67),"")</f>
        <v/>
      </c>
      <c r="CM67" s="386" t="str">
        <f t="shared" ref="CM67:CM130" si="86">IF(OR(N67="NG",AG67="D"),V67,"")</f>
        <v/>
      </c>
      <c r="CN67" s="386" t="str">
        <f t="shared" ref="CN67:CN130" si="87">E67 &amp; "-" &amp; F67</f>
        <v>0001-00</v>
      </c>
    </row>
    <row r="68" spans="1:92" ht="15.75" thickBot="1" x14ac:dyDescent="0.3">
      <c r="A68" s="375" t="s">
        <v>161</v>
      </c>
      <c r="B68" s="375" t="s">
        <v>162</v>
      </c>
      <c r="C68" s="375" t="s">
        <v>484</v>
      </c>
      <c r="D68" s="375" t="s">
        <v>294</v>
      </c>
      <c r="E68" s="375" t="s">
        <v>165</v>
      </c>
      <c r="F68" s="376" t="s">
        <v>166</v>
      </c>
      <c r="G68" s="375" t="s">
        <v>167</v>
      </c>
      <c r="H68" s="377"/>
      <c r="I68" s="377"/>
      <c r="J68" s="375" t="s">
        <v>168</v>
      </c>
      <c r="K68" s="375" t="s">
        <v>295</v>
      </c>
      <c r="L68" s="375" t="s">
        <v>173</v>
      </c>
      <c r="M68" s="375" t="s">
        <v>177</v>
      </c>
      <c r="N68" s="375" t="s">
        <v>199</v>
      </c>
      <c r="O68" s="378">
        <v>1</v>
      </c>
      <c r="P68" s="384">
        <v>1</v>
      </c>
      <c r="Q68" s="384">
        <v>1</v>
      </c>
      <c r="R68" s="379">
        <v>80</v>
      </c>
      <c r="S68" s="384">
        <v>1</v>
      </c>
      <c r="T68" s="379">
        <v>61952</v>
      </c>
      <c r="U68" s="379">
        <v>0</v>
      </c>
      <c r="V68" s="379">
        <v>24353.18</v>
      </c>
      <c r="W68" s="379">
        <v>67600</v>
      </c>
      <c r="X68" s="379">
        <v>26080.560000000001</v>
      </c>
      <c r="Y68" s="379">
        <v>67600</v>
      </c>
      <c r="Z68" s="379">
        <v>25756.080000000002</v>
      </c>
      <c r="AA68" s="375" t="s">
        <v>485</v>
      </c>
      <c r="AB68" s="375" t="s">
        <v>486</v>
      </c>
      <c r="AC68" s="375" t="s">
        <v>487</v>
      </c>
      <c r="AD68" s="375" t="s">
        <v>181</v>
      </c>
      <c r="AE68" s="375" t="s">
        <v>295</v>
      </c>
      <c r="AF68" s="375" t="s">
        <v>305</v>
      </c>
      <c r="AG68" s="375" t="s">
        <v>183</v>
      </c>
      <c r="AH68" s="380">
        <v>32.5</v>
      </c>
      <c r="AI68" s="380">
        <v>16155.7</v>
      </c>
      <c r="AJ68" s="375" t="s">
        <v>184</v>
      </c>
      <c r="AK68" s="375" t="s">
        <v>185</v>
      </c>
      <c r="AL68" s="375" t="s">
        <v>173</v>
      </c>
      <c r="AM68" s="375" t="s">
        <v>186</v>
      </c>
      <c r="AN68" s="375" t="s">
        <v>68</v>
      </c>
      <c r="AO68" s="378">
        <v>80</v>
      </c>
      <c r="AP68" s="384">
        <v>1</v>
      </c>
      <c r="AQ68" s="384">
        <v>1</v>
      </c>
      <c r="AR68" s="383" t="s">
        <v>187</v>
      </c>
      <c r="AS68" s="386">
        <f t="shared" si="71"/>
        <v>1</v>
      </c>
      <c r="AT68">
        <f t="shared" si="72"/>
        <v>1</v>
      </c>
      <c r="AU68" s="386">
        <f>IF(AT68=0,"",IF(AND(AT68=1,M68="F",SUMIF(C2:C557,C68,AS2:AS557)&lt;=1),SUMIF(C2:C557,C68,AS2:AS557),IF(AND(AT68=1,M68="F",SUMIF(C2:C557,C68,AS2:AS557)&gt;1),1,"")))</f>
        <v>1</v>
      </c>
      <c r="AV68" s="386" t="str">
        <f>IF(AT68=0,"",IF(AND(AT68=3,M68="F",SUMIF(C2:C557,C68,AS2:AS557)&lt;=1),SUMIF(C2:C557,C68,AS2:AS557),IF(AND(AT68=3,M68="F",SUMIF(C2:C557,C68,AS2:AS557)&gt;1),1,"")))</f>
        <v/>
      </c>
      <c r="AW68" s="386">
        <f>SUMIF(C2:C557,C68,O2:O557)</f>
        <v>1</v>
      </c>
      <c r="AX68" s="386">
        <f>IF(AND(M68="F",AS68&lt;&gt;0),SUMIF(C2:C557,C68,W2:W557),0)</f>
        <v>67600</v>
      </c>
      <c r="AY68" s="386">
        <f t="shared" si="73"/>
        <v>67600</v>
      </c>
      <c r="AZ68" s="386" t="str">
        <f t="shared" si="74"/>
        <v/>
      </c>
      <c r="BA68" s="386">
        <f t="shared" si="75"/>
        <v>0</v>
      </c>
      <c r="BB68" s="386">
        <f t="shared" si="44"/>
        <v>11650</v>
      </c>
      <c r="BC68" s="386">
        <f t="shared" si="45"/>
        <v>0</v>
      </c>
      <c r="BD68" s="386">
        <f t="shared" si="46"/>
        <v>4191.2</v>
      </c>
      <c r="BE68" s="386">
        <f t="shared" si="47"/>
        <v>980.2</v>
      </c>
      <c r="BF68" s="386">
        <f t="shared" si="48"/>
        <v>8071.4400000000005</v>
      </c>
      <c r="BG68" s="386">
        <f t="shared" si="49"/>
        <v>487.39600000000002</v>
      </c>
      <c r="BH68" s="386">
        <f t="shared" si="50"/>
        <v>331.24</v>
      </c>
      <c r="BI68" s="386">
        <f t="shared" si="51"/>
        <v>206.85599999999999</v>
      </c>
      <c r="BJ68" s="386">
        <f t="shared" si="52"/>
        <v>162.23999999999998</v>
      </c>
      <c r="BK68" s="386">
        <f t="shared" si="53"/>
        <v>0</v>
      </c>
      <c r="BL68" s="386">
        <f t="shared" si="76"/>
        <v>14430.572</v>
      </c>
      <c r="BM68" s="386">
        <f t="shared" si="77"/>
        <v>0</v>
      </c>
      <c r="BN68" s="386">
        <f t="shared" si="54"/>
        <v>11650</v>
      </c>
      <c r="BO68" s="386">
        <f t="shared" si="55"/>
        <v>0</v>
      </c>
      <c r="BP68" s="386">
        <f t="shared" si="56"/>
        <v>4191.2</v>
      </c>
      <c r="BQ68" s="386">
        <f t="shared" si="57"/>
        <v>980.2</v>
      </c>
      <c r="BR68" s="386">
        <f t="shared" si="58"/>
        <v>8071.4400000000005</v>
      </c>
      <c r="BS68" s="386">
        <f t="shared" si="59"/>
        <v>487.39600000000002</v>
      </c>
      <c r="BT68" s="386">
        <f t="shared" si="60"/>
        <v>0</v>
      </c>
      <c r="BU68" s="386">
        <f t="shared" si="61"/>
        <v>206.85599999999999</v>
      </c>
      <c r="BV68" s="386">
        <f t="shared" si="62"/>
        <v>169</v>
      </c>
      <c r="BW68" s="386">
        <f t="shared" si="63"/>
        <v>0</v>
      </c>
      <c r="BX68" s="386">
        <f t="shared" si="78"/>
        <v>14106.092000000001</v>
      </c>
      <c r="BY68" s="386">
        <f t="shared" si="79"/>
        <v>0</v>
      </c>
      <c r="BZ68" s="386">
        <f t="shared" si="80"/>
        <v>0</v>
      </c>
      <c r="CA68" s="386">
        <f t="shared" si="81"/>
        <v>0</v>
      </c>
      <c r="CB68" s="386">
        <f t="shared" si="82"/>
        <v>0</v>
      </c>
      <c r="CC68" s="386">
        <f t="shared" si="64"/>
        <v>0</v>
      </c>
      <c r="CD68" s="386">
        <f t="shared" si="65"/>
        <v>0</v>
      </c>
      <c r="CE68" s="386">
        <f t="shared" si="66"/>
        <v>0</v>
      </c>
      <c r="CF68" s="386">
        <f t="shared" si="67"/>
        <v>-331.24</v>
      </c>
      <c r="CG68" s="386">
        <f t="shared" si="68"/>
        <v>0</v>
      </c>
      <c r="CH68" s="386">
        <f t="shared" si="69"/>
        <v>6.7600000000000176</v>
      </c>
      <c r="CI68" s="386">
        <f t="shared" si="70"/>
        <v>0</v>
      </c>
      <c r="CJ68" s="386">
        <f t="shared" si="83"/>
        <v>-324.48</v>
      </c>
      <c r="CK68" s="386" t="str">
        <f t="shared" si="84"/>
        <v/>
      </c>
      <c r="CL68" s="386" t="str">
        <f t="shared" si="85"/>
        <v/>
      </c>
      <c r="CM68" s="386" t="str">
        <f t="shared" si="86"/>
        <v/>
      </c>
      <c r="CN68" s="386" t="str">
        <f t="shared" si="87"/>
        <v>0001-00</v>
      </c>
    </row>
    <row r="69" spans="1:92" ht="15.75" thickBot="1" x14ac:dyDescent="0.3">
      <c r="A69" s="375" t="s">
        <v>161</v>
      </c>
      <c r="B69" s="375" t="s">
        <v>162</v>
      </c>
      <c r="C69" s="375" t="s">
        <v>488</v>
      </c>
      <c r="D69" s="375" t="s">
        <v>489</v>
      </c>
      <c r="E69" s="375" t="s">
        <v>165</v>
      </c>
      <c r="F69" s="376" t="s">
        <v>166</v>
      </c>
      <c r="G69" s="375" t="s">
        <v>167</v>
      </c>
      <c r="H69" s="377"/>
      <c r="I69" s="377"/>
      <c r="J69" s="375" t="s">
        <v>168</v>
      </c>
      <c r="K69" s="375" t="s">
        <v>490</v>
      </c>
      <c r="L69" s="375" t="s">
        <v>166</v>
      </c>
      <c r="M69" s="375" t="s">
        <v>177</v>
      </c>
      <c r="N69" s="375" t="s">
        <v>172</v>
      </c>
      <c r="O69" s="378">
        <v>1</v>
      </c>
      <c r="P69" s="384">
        <v>1</v>
      </c>
      <c r="Q69" s="384">
        <v>1</v>
      </c>
      <c r="R69" s="379">
        <v>80</v>
      </c>
      <c r="S69" s="384">
        <v>1</v>
      </c>
      <c r="T69" s="379">
        <v>139923.20000000001</v>
      </c>
      <c r="U69" s="379">
        <v>0</v>
      </c>
      <c r="V69" s="379">
        <v>40645.56</v>
      </c>
      <c r="W69" s="379">
        <v>144622.39999999999</v>
      </c>
      <c r="X69" s="379">
        <v>41258.339999999997</v>
      </c>
      <c r="Y69" s="379">
        <v>144622.39999999999</v>
      </c>
      <c r="Z69" s="379">
        <v>41272.800000000003</v>
      </c>
      <c r="AA69" s="375" t="s">
        <v>491</v>
      </c>
      <c r="AB69" s="375" t="s">
        <v>492</v>
      </c>
      <c r="AC69" s="375" t="s">
        <v>315</v>
      </c>
      <c r="AD69" s="375" t="s">
        <v>170</v>
      </c>
      <c r="AE69" s="375" t="s">
        <v>490</v>
      </c>
      <c r="AF69" s="375" t="s">
        <v>182</v>
      </c>
      <c r="AG69" s="375" t="s">
        <v>183</v>
      </c>
      <c r="AH69" s="380">
        <v>69.53</v>
      </c>
      <c r="AI69" s="380">
        <v>25682.400000000001</v>
      </c>
      <c r="AJ69" s="375" t="s">
        <v>184</v>
      </c>
      <c r="AK69" s="375" t="s">
        <v>185</v>
      </c>
      <c r="AL69" s="375" t="s">
        <v>173</v>
      </c>
      <c r="AM69" s="375" t="s">
        <v>173</v>
      </c>
      <c r="AN69" s="375" t="s">
        <v>68</v>
      </c>
      <c r="AO69" s="378">
        <v>80</v>
      </c>
      <c r="AP69" s="384">
        <v>1</v>
      </c>
      <c r="AQ69" s="384">
        <v>1</v>
      </c>
      <c r="AR69" s="383" t="s">
        <v>187</v>
      </c>
      <c r="AS69" s="386">
        <f t="shared" si="71"/>
        <v>1</v>
      </c>
      <c r="AT69">
        <f t="shared" si="72"/>
        <v>1</v>
      </c>
      <c r="AU69" s="386">
        <f>IF(AT69=0,"",IF(AND(AT69=1,M69="F",SUMIF(C2:C557,C69,AS2:AS557)&lt;=1),SUMIF(C2:C557,C69,AS2:AS557),IF(AND(AT69=1,M69="F",SUMIF(C2:C557,C69,AS2:AS557)&gt;1),1,"")))</f>
        <v>1</v>
      </c>
      <c r="AV69" s="386" t="str">
        <f>IF(AT69=0,"",IF(AND(AT69=3,M69="F",SUMIF(C2:C557,C69,AS2:AS557)&lt;=1),SUMIF(C2:C557,C69,AS2:AS557),IF(AND(AT69=3,M69="F",SUMIF(C2:C557,C69,AS2:AS557)&gt;1),1,"")))</f>
        <v/>
      </c>
      <c r="AW69" s="386">
        <f>SUMIF(C2:C557,C69,O2:O557)</f>
        <v>1</v>
      </c>
      <c r="AX69" s="386">
        <f>IF(AND(M69="F",AS69&lt;&gt;0),SUMIF(C2:C557,C69,W2:W557),0)</f>
        <v>144622.39999999999</v>
      </c>
      <c r="AY69" s="386">
        <f t="shared" si="73"/>
        <v>144622.39999999999</v>
      </c>
      <c r="AZ69" s="386" t="str">
        <f t="shared" si="74"/>
        <v/>
      </c>
      <c r="BA69" s="386">
        <f t="shared" si="75"/>
        <v>0</v>
      </c>
      <c r="BB69" s="386">
        <f t="shared" si="44"/>
        <v>11650</v>
      </c>
      <c r="BC69" s="386">
        <f t="shared" si="45"/>
        <v>0</v>
      </c>
      <c r="BD69" s="386">
        <f t="shared" si="46"/>
        <v>8537.4</v>
      </c>
      <c r="BE69" s="386">
        <f t="shared" si="47"/>
        <v>2097.0248000000001</v>
      </c>
      <c r="BF69" s="386">
        <f t="shared" si="48"/>
        <v>17267.914560000001</v>
      </c>
      <c r="BG69" s="386">
        <f t="shared" si="49"/>
        <v>1042.727504</v>
      </c>
      <c r="BH69" s="386">
        <f t="shared" si="50"/>
        <v>0</v>
      </c>
      <c r="BI69" s="386">
        <f t="shared" si="51"/>
        <v>0</v>
      </c>
      <c r="BJ69" s="386">
        <f t="shared" si="52"/>
        <v>347.09375999999997</v>
      </c>
      <c r="BK69" s="386">
        <f t="shared" si="53"/>
        <v>0</v>
      </c>
      <c r="BL69" s="386">
        <f t="shared" si="76"/>
        <v>29292.160624</v>
      </c>
      <c r="BM69" s="386">
        <f t="shared" si="77"/>
        <v>0</v>
      </c>
      <c r="BN69" s="386">
        <f t="shared" si="54"/>
        <v>11650</v>
      </c>
      <c r="BO69" s="386">
        <f t="shared" si="55"/>
        <v>0</v>
      </c>
      <c r="BP69" s="386">
        <f t="shared" si="56"/>
        <v>8853.6</v>
      </c>
      <c r="BQ69" s="386">
        <f t="shared" si="57"/>
        <v>2097.0248000000001</v>
      </c>
      <c r="BR69" s="386">
        <f t="shared" si="58"/>
        <v>17267.914560000001</v>
      </c>
      <c r="BS69" s="386">
        <f t="shared" si="59"/>
        <v>1042.727504</v>
      </c>
      <c r="BT69" s="386">
        <f t="shared" si="60"/>
        <v>0</v>
      </c>
      <c r="BU69" s="386">
        <f t="shared" si="61"/>
        <v>0</v>
      </c>
      <c r="BV69" s="386">
        <f t="shared" si="62"/>
        <v>361.55599999999998</v>
      </c>
      <c r="BW69" s="386">
        <f t="shared" si="63"/>
        <v>0</v>
      </c>
      <c r="BX69" s="386">
        <f t="shared" si="78"/>
        <v>29622.822864000002</v>
      </c>
      <c r="BY69" s="386">
        <f t="shared" si="79"/>
        <v>0</v>
      </c>
      <c r="BZ69" s="386">
        <f t="shared" si="80"/>
        <v>0</v>
      </c>
      <c r="CA69" s="386">
        <f t="shared" si="81"/>
        <v>0</v>
      </c>
      <c r="CB69" s="386">
        <f t="shared" si="82"/>
        <v>316.20000000000073</v>
      </c>
      <c r="CC69" s="386">
        <f t="shared" si="64"/>
        <v>0</v>
      </c>
      <c r="CD69" s="386">
        <f t="shared" si="65"/>
        <v>0</v>
      </c>
      <c r="CE69" s="386">
        <f t="shared" si="66"/>
        <v>0</v>
      </c>
      <c r="CF69" s="386">
        <f t="shared" si="67"/>
        <v>0</v>
      </c>
      <c r="CG69" s="386">
        <f t="shared" si="68"/>
        <v>0</v>
      </c>
      <c r="CH69" s="386">
        <f t="shared" si="69"/>
        <v>14.462240000000037</v>
      </c>
      <c r="CI69" s="386">
        <f t="shared" si="70"/>
        <v>0</v>
      </c>
      <c r="CJ69" s="386">
        <f t="shared" si="83"/>
        <v>330.66224000000079</v>
      </c>
      <c r="CK69" s="386" t="str">
        <f t="shared" si="84"/>
        <v/>
      </c>
      <c r="CL69" s="386" t="str">
        <f t="shared" si="85"/>
        <v/>
      </c>
      <c r="CM69" s="386" t="str">
        <f t="shared" si="86"/>
        <v/>
      </c>
      <c r="CN69" s="386" t="str">
        <f t="shared" si="87"/>
        <v>0001-00</v>
      </c>
    </row>
    <row r="70" spans="1:92" ht="15.75" thickBot="1" x14ac:dyDescent="0.3">
      <c r="A70" s="375" t="s">
        <v>161</v>
      </c>
      <c r="B70" s="375" t="s">
        <v>162</v>
      </c>
      <c r="C70" s="375" t="s">
        <v>493</v>
      </c>
      <c r="D70" s="375" t="s">
        <v>494</v>
      </c>
      <c r="E70" s="375" t="s">
        <v>165</v>
      </c>
      <c r="F70" s="376" t="s">
        <v>166</v>
      </c>
      <c r="G70" s="375" t="s">
        <v>167</v>
      </c>
      <c r="H70" s="377"/>
      <c r="I70" s="377"/>
      <c r="J70" s="375" t="s">
        <v>168</v>
      </c>
      <c r="K70" s="375" t="s">
        <v>495</v>
      </c>
      <c r="L70" s="375" t="s">
        <v>170</v>
      </c>
      <c r="M70" s="375" t="s">
        <v>177</v>
      </c>
      <c r="N70" s="375" t="s">
        <v>199</v>
      </c>
      <c r="O70" s="378">
        <v>1</v>
      </c>
      <c r="P70" s="384">
        <v>1</v>
      </c>
      <c r="Q70" s="384">
        <v>1</v>
      </c>
      <c r="R70" s="379">
        <v>80</v>
      </c>
      <c r="S70" s="384">
        <v>1</v>
      </c>
      <c r="T70" s="379">
        <v>48901.78</v>
      </c>
      <c r="U70" s="379">
        <v>0</v>
      </c>
      <c r="V70" s="379">
        <v>22517.919999999998</v>
      </c>
      <c r="W70" s="379">
        <v>50668.800000000003</v>
      </c>
      <c r="X70" s="379">
        <v>22466.23</v>
      </c>
      <c r="Y70" s="379">
        <v>50668.800000000003</v>
      </c>
      <c r="Z70" s="379">
        <v>22223.03</v>
      </c>
      <c r="AA70" s="375" t="s">
        <v>496</v>
      </c>
      <c r="AB70" s="375" t="s">
        <v>497</v>
      </c>
      <c r="AC70" s="375" t="s">
        <v>498</v>
      </c>
      <c r="AD70" s="375" t="s">
        <v>352</v>
      </c>
      <c r="AE70" s="375" t="s">
        <v>495</v>
      </c>
      <c r="AF70" s="375" t="s">
        <v>269</v>
      </c>
      <c r="AG70" s="375" t="s">
        <v>183</v>
      </c>
      <c r="AH70" s="380">
        <v>24.36</v>
      </c>
      <c r="AI70" s="378">
        <v>1672</v>
      </c>
      <c r="AJ70" s="375" t="s">
        <v>184</v>
      </c>
      <c r="AK70" s="375" t="s">
        <v>185</v>
      </c>
      <c r="AL70" s="375" t="s">
        <v>173</v>
      </c>
      <c r="AM70" s="375" t="s">
        <v>186</v>
      </c>
      <c r="AN70" s="375" t="s">
        <v>68</v>
      </c>
      <c r="AO70" s="378">
        <v>80</v>
      </c>
      <c r="AP70" s="384">
        <v>1</v>
      </c>
      <c r="AQ70" s="384">
        <v>1</v>
      </c>
      <c r="AR70" s="383" t="s">
        <v>187</v>
      </c>
      <c r="AS70" s="386">
        <f t="shared" si="71"/>
        <v>1</v>
      </c>
      <c r="AT70">
        <f t="shared" si="72"/>
        <v>1</v>
      </c>
      <c r="AU70" s="386">
        <f>IF(AT70=0,"",IF(AND(AT70=1,M70="F",SUMIF(C2:C557,C70,AS2:AS557)&lt;=1),SUMIF(C2:C557,C70,AS2:AS557),IF(AND(AT70=1,M70="F",SUMIF(C2:C557,C70,AS2:AS557)&gt;1),1,"")))</f>
        <v>1</v>
      </c>
      <c r="AV70" s="386" t="str">
        <f>IF(AT70=0,"",IF(AND(AT70=3,M70="F",SUMIF(C2:C557,C70,AS2:AS557)&lt;=1),SUMIF(C2:C557,C70,AS2:AS557),IF(AND(AT70=3,M70="F",SUMIF(C2:C557,C70,AS2:AS557)&gt;1),1,"")))</f>
        <v/>
      </c>
      <c r="AW70" s="386">
        <f>SUMIF(C2:C557,C70,O2:O557)</f>
        <v>1</v>
      </c>
      <c r="AX70" s="386">
        <f>IF(AND(M70="F",AS70&lt;&gt;0),SUMIF(C2:C557,C70,W2:W557),0)</f>
        <v>50668.800000000003</v>
      </c>
      <c r="AY70" s="386">
        <f t="shared" si="73"/>
        <v>50668.800000000003</v>
      </c>
      <c r="AZ70" s="386" t="str">
        <f t="shared" si="74"/>
        <v/>
      </c>
      <c r="BA70" s="386">
        <f t="shared" si="75"/>
        <v>0</v>
      </c>
      <c r="BB70" s="386">
        <f t="shared" si="44"/>
        <v>11650</v>
      </c>
      <c r="BC70" s="386">
        <f t="shared" si="45"/>
        <v>0</v>
      </c>
      <c r="BD70" s="386">
        <f t="shared" si="46"/>
        <v>3141.4656</v>
      </c>
      <c r="BE70" s="386">
        <f t="shared" si="47"/>
        <v>734.69760000000008</v>
      </c>
      <c r="BF70" s="386">
        <f t="shared" si="48"/>
        <v>6049.8547200000003</v>
      </c>
      <c r="BG70" s="386">
        <f t="shared" si="49"/>
        <v>365.32204800000005</v>
      </c>
      <c r="BH70" s="386">
        <f t="shared" si="50"/>
        <v>248.27712</v>
      </c>
      <c r="BI70" s="386">
        <f t="shared" si="51"/>
        <v>155.046528</v>
      </c>
      <c r="BJ70" s="386">
        <f t="shared" si="52"/>
        <v>121.60512</v>
      </c>
      <c r="BK70" s="386">
        <f t="shared" si="53"/>
        <v>0</v>
      </c>
      <c r="BL70" s="386">
        <f t="shared" si="76"/>
        <v>10816.268736000002</v>
      </c>
      <c r="BM70" s="386">
        <f t="shared" si="77"/>
        <v>0</v>
      </c>
      <c r="BN70" s="386">
        <f t="shared" si="54"/>
        <v>11650</v>
      </c>
      <c r="BO70" s="386">
        <f t="shared" si="55"/>
        <v>0</v>
      </c>
      <c r="BP70" s="386">
        <f t="shared" si="56"/>
        <v>3141.4656</v>
      </c>
      <c r="BQ70" s="386">
        <f t="shared" si="57"/>
        <v>734.69760000000008</v>
      </c>
      <c r="BR70" s="386">
        <f t="shared" si="58"/>
        <v>6049.8547200000003</v>
      </c>
      <c r="BS70" s="386">
        <f t="shared" si="59"/>
        <v>365.32204800000005</v>
      </c>
      <c r="BT70" s="386">
        <f t="shared" si="60"/>
        <v>0</v>
      </c>
      <c r="BU70" s="386">
        <f t="shared" si="61"/>
        <v>155.046528</v>
      </c>
      <c r="BV70" s="386">
        <f t="shared" si="62"/>
        <v>126.67200000000001</v>
      </c>
      <c r="BW70" s="386">
        <f t="shared" si="63"/>
        <v>0</v>
      </c>
      <c r="BX70" s="386">
        <f t="shared" si="78"/>
        <v>10573.058496000001</v>
      </c>
      <c r="BY70" s="386">
        <f t="shared" si="79"/>
        <v>0</v>
      </c>
      <c r="BZ70" s="386">
        <f t="shared" si="80"/>
        <v>0</v>
      </c>
      <c r="CA70" s="386">
        <f t="shared" si="81"/>
        <v>0</v>
      </c>
      <c r="CB70" s="386">
        <f t="shared" si="82"/>
        <v>0</v>
      </c>
      <c r="CC70" s="386">
        <f t="shared" si="64"/>
        <v>0</v>
      </c>
      <c r="CD70" s="386">
        <f t="shared" si="65"/>
        <v>0</v>
      </c>
      <c r="CE70" s="386">
        <f t="shared" si="66"/>
        <v>0</v>
      </c>
      <c r="CF70" s="386">
        <f t="shared" si="67"/>
        <v>-248.27712</v>
      </c>
      <c r="CG70" s="386">
        <f t="shared" si="68"/>
        <v>0</v>
      </c>
      <c r="CH70" s="386">
        <f t="shared" si="69"/>
        <v>5.0668800000000136</v>
      </c>
      <c r="CI70" s="386">
        <f t="shared" si="70"/>
        <v>0</v>
      </c>
      <c r="CJ70" s="386">
        <f t="shared" si="83"/>
        <v>-243.21023999999997</v>
      </c>
      <c r="CK70" s="386" t="str">
        <f t="shared" si="84"/>
        <v/>
      </c>
      <c r="CL70" s="386" t="str">
        <f t="shared" si="85"/>
        <v/>
      </c>
      <c r="CM70" s="386" t="str">
        <f t="shared" si="86"/>
        <v/>
      </c>
      <c r="CN70" s="386" t="str">
        <f t="shared" si="87"/>
        <v>0001-00</v>
      </c>
    </row>
    <row r="71" spans="1:92" ht="15.75" thickBot="1" x14ac:dyDescent="0.3">
      <c r="A71" s="375" t="s">
        <v>161</v>
      </c>
      <c r="B71" s="375" t="s">
        <v>162</v>
      </c>
      <c r="C71" s="375" t="s">
        <v>499</v>
      </c>
      <c r="D71" s="375" t="s">
        <v>239</v>
      </c>
      <c r="E71" s="375" t="s">
        <v>165</v>
      </c>
      <c r="F71" s="376" t="s">
        <v>166</v>
      </c>
      <c r="G71" s="375" t="s">
        <v>167</v>
      </c>
      <c r="H71" s="377"/>
      <c r="I71" s="377"/>
      <c r="J71" s="375" t="s">
        <v>168</v>
      </c>
      <c r="K71" s="375" t="s">
        <v>240</v>
      </c>
      <c r="L71" s="375" t="s">
        <v>198</v>
      </c>
      <c r="M71" s="375" t="s">
        <v>177</v>
      </c>
      <c r="N71" s="375" t="s">
        <v>199</v>
      </c>
      <c r="O71" s="378">
        <v>1</v>
      </c>
      <c r="P71" s="384">
        <v>1</v>
      </c>
      <c r="Q71" s="384">
        <v>1</v>
      </c>
      <c r="R71" s="379">
        <v>80</v>
      </c>
      <c r="S71" s="384">
        <v>1</v>
      </c>
      <c r="T71" s="379">
        <v>45907.199999999997</v>
      </c>
      <c r="U71" s="379">
        <v>0</v>
      </c>
      <c r="V71" s="379">
        <v>20944.29</v>
      </c>
      <c r="W71" s="379">
        <v>47632</v>
      </c>
      <c r="X71" s="379">
        <v>21817.97</v>
      </c>
      <c r="Y71" s="379">
        <v>47632</v>
      </c>
      <c r="Z71" s="379">
        <v>21589.35</v>
      </c>
      <c r="AA71" s="375" t="s">
        <v>500</v>
      </c>
      <c r="AB71" s="375" t="s">
        <v>501</v>
      </c>
      <c r="AC71" s="375" t="s">
        <v>475</v>
      </c>
      <c r="AD71" s="375" t="s">
        <v>233</v>
      </c>
      <c r="AE71" s="375" t="s">
        <v>240</v>
      </c>
      <c r="AF71" s="375" t="s">
        <v>245</v>
      </c>
      <c r="AG71" s="375" t="s">
        <v>183</v>
      </c>
      <c r="AH71" s="380">
        <v>22.9</v>
      </c>
      <c r="AI71" s="380">
        <v>56697.9</v>
      </c>
      <c r="AJ71" s="375" t="s">
        <v>184</v>
      </c>
      <c r="AK71" s="375" t="s">
        <v>185</v>
      </c>
      <c r="AL71" s="375" t="s">
        <v>173</v>
      </c>
      <c r="AM71" s="375" t="s">
        <v>186</v>
      </c>
      <c r="AN71" s="375" t="s">
        <v>68</v>
      </c>
      <c r="AO71" s="378">
        <v>80</v>
      </c>
      <c r="AP71" s="384">
        <v>1</v>
      </c>
      <c r="AQ71" s="384">
        <v>1</v>
      </c>
      <c r="AR71" s="383" t="s">
        <v>187</v>
      </c>
      <c r="AS71" s="386">
        <f t="shared" si="71"/>
        <v>1</v>
      </c>
      <c r="AT71">
        <f t="shared" si="72"/>
        <v>1</v>
      </c>
      <c r="AU71" s="386">
        <f>IF(AT71=0,"",IF(AND(AT71=1,M71="F",SUMIF(C2:C557,C71,AS2:AS557)&lt;=1),SUMIF(C2:C557,C71,AS2:AS557),IF(AND(AT71=1,M71="F",SUMIF(C2:C557,C71,AS2:AS557)&gt;1),1,"")))</f>
        <v>1</v>
      </c>
      <c r="AV71" s="386" t="str">
        <f>IF(AT71=0,"",IF(AND(AT71=3,M71="F",SUMIF(C2:C557,C71,AS2:AS557)&lt;=1),SUMIF(C2:C557,C71,AS2:AS557),IF(AND(AT71=3,M71="F",SUMIF(C2:C557,C71,AS2:AS557)&gt;1),1,"")))</f>
        <v/>
      </c>
      <c r="AW71" s="386">
        <f>SUMIF(C2:C557,C71,O2:O557)</f>
        <v>1</v>
      </c>
      <c r="AX71" s="386">
        <f>IF(AND(M71="F",AS71&lt;&gt;0),SUMIF(C2:C557,C71,W2:W557),0)</f>
        <v>47632</v>
      </c>
      <c r="AY71" s="386">
        <f t="shared" si="73"/>
        <v>47632</v>
      </c>
      <c r="AZ71" s="386" t="str">
        <f t="shared" si="74"/>
        <v/>
      </c>
      <c r="BA71" s="386">
        <f t="shared" si="75"/>
        <v>0</v>
      </c>
      <c r="BB71" s="386">
        <f t="shared" si="44"/>
        <v>11650</v>
      </c>
      <c r="BC71" s="386">
        <f t="shared" si="45"/>
        <v>0</v>
      </c>
      <c r="BD71" s="386">
        <f t="shared" si="46"/>
        <v>2953.1840000000002</v>
      </c>
      <c r="BE71" s="386">
        <f t="shared" si="47"/>
        <v>690.66399999999999</v>
      </c>
      <c r="BF71" s="386">
        <f t="shared" si="48"/>
        <v>5687.2608</v>
      </c>
      <c r="BG71" s="386">
        <f t="shared" si="49"/>
        <v>343.42671999999999</v>
      </c>
      <c r="BH71" s="386">
        <f t="shared" si="50"/>
        <v>233.39679999999998</v>
      </c>
      <c r="BI71" s="386">
        <f t="shared" si="51"/>
        <v>145.75391999999999</v>
      </c>
      <c r="BJ71" s="386">
        <f t="shared" si="52"/>
        <v>114.31679999999999</v>
      </c>
      <c r="BK71" s="386">
        <f t="shared" si="53"/>
        <v>0</v>
      </c>
      <c r="BL71" s="386">
        <f t="shared" si="76"/>
        <v>10168.00304</v>
      </c>
      <c r="BM71" s="386">
        <f t="shared" si="77"/>
        <v>0</v>
      </c>
      <c r="BN71" s="386">
        <f t="shared" si="54"/>
        <v>11650</v>
      </c>
      <c r="BO71" s="386">
        <f t="shared" si="55"/>
        <v>0</v>
      </c>
      <c r="BP71" s="386">
        <f t="shared" si="56"/>
        <v>2953.1840000000002</v>
      </c>
      <c r="BQ71" s="386">
        <f t="shared" si="57"/>
        <v>690.66399999999999</v>
      </c>
      <c r="BR71" s="386">
        <f t="shared" si="58"/>
        <v>5687.2608</v>
      </c>
      <c r="BS71" s="386">
        <f t="shared" si="59"/>
        <v>343.42671999999999</v>
      </c>
      <c r="BT71" s="386">
        <f t="shared" si="60"/>
        <v>0</v>
      </c>
      <c r="BU71" s="386">
        <f t="shared" si="61"/>
        <v>145.75391999999999</v>
      </c>
      <c r="BV71" s="386">
        <f t="shared" si="62"/>
        <v>119.08</v>
      </c>
      <c r="BW71" s="386">
        <f t="shared" si="63"/>
        <v>0</v>
      </c>
      <c r="BX71" s="386">
        <f t="shared" si="78"/>
        <v>9939.3694399999986</v>
      </c>
      <c r="BY71" s="386">
        <f t="shared" si="79"/>
        <v>0</v>
      </c>
      <c r="BZ71" s="386">
        <f t="shared" si="80"/>
        <v>0</v>
      </c>
      <c r="CA71" s="386">
        <f t="shared" si="81"/>
        <v>0</v>
      </c>
      <c r="CB71" s="386">
        <f t="shared" si="82"/>
        <v>0</v>
      </c>
      <c r="CC71" s="386">
        <f t="shared" si="64"/>
        <v>0</v>
      </c>
      <c r="CD71" s="386">
        <f t="shared" si="65"/>
        <v>0</v>
      </c>
      <c r="CE71" s="386">
        <f t="shared" si="66"/>
        <v>0</v>
      </c>
      <c r="CF71" s="386">
        <f t="shared" si="67"/>
        <v>-233.39679999999998</v>
      </c>
      <c r="CG71" s="386">
        <f t="shared" si="68"/>
        <v>0</v>
      </c>
      <c r="CH71" s="386">
        <f t="shared" si="69"/>
        <v>4.7632000000000128</v>
      </c>
      <c r="CI71" s="386">
        <f t="shared" si="70"/>
        <v>0</v>
      </c>
      <c r="CJ71" s="386">
        <f t="shared" si="83"/>
        <v>-228.63359999999997</v>
      </c>
      <c r="CK71" s="386" t="str">
        <f t="shared" si="84"/>
        <v/>
      </c>
      <c r="CL71" s="386" t="str">
        <f t="shared" si="85"/>
        <v/>
      </c>
      <c r="CM71" s="386" t="str">
        <f t="shared" si="86"/>
        <v/>
      </c>
      <c r="CN71" s="386" t="str">
        <f t="shared" si="87"/>
        <v>0001-00</v>
      </c>
    </row>
    <row r="72" spans="1:92" ht="15.75" thickBot="1" x14ac:dyDescent="0.3">
      <c r="A72" s="375" t="s">
        <v>161</v>
      </c>
      <c r="B72" s="375" t="s">
        <v>162</v>
      </c>
      <c r="C72" s="375" t="s">
        <v>502</v>
      </c>
      <c r="D72" s="375" t="s">
        <v>294</v>
      </c>
      <c r="E72" s="375" t="s">
        <v>165</v>
      </c>
      <c r="F72" s="376" t="s">
        <v>166</v>
      </c>
      <c r="G72" s="375" t="s">
        <v>167</v>
      </c>
      <c r="H72" s="377"/>
      <c r="I72" s="377"/>
      <c r="J72" s="375" t="s">
        <v>168</v>
      </c>
      <c r="K72" s="375" t="s">
        <v>295</v>
      </c>
      <c r="L72" s="375" t="s">
        <v>173</v>
      </c>
      <c r="M72" s="375" t="s">
        <v>177</v>
      </c>
      <c r="N72" s="375" t="s">
        <v>199</v>
      </c>
      <c r="O72" s="378">
        <v>1</v>
      </c>
      <c r="P72" s="384">
        <v>1</v>
      </c>
      <c r="Q72" s="384">
        <v>1</v>
      </c>
      <c r="R72" s="379">
        <v>80</v>
      </c>
      <c r="S72" s="384">
        <v>1</v>
      </c>
      <c r="T72" s="379">
        <v>38430.400000000001</v>
      </c>
      <c r="U72" s="379">
        <v>0</v>
      </c>
      <c r="V72" s="379">
        <v>13239.13</v>
      </c>
      <c r="W72" s="379">
        <v>79164.800000000003</v>
      </c>
      <c r="X72" s="379">
        <v>28549.26</v>
      </c>
      <c r="Y72" s="379">
        <v>79164.800000000003</v>
      </c>
      <c r="Z72" s="379">
        <v>28169.279999999999</v>
      </c>
      <c r="AA72" s="375" t="s">
        <v>503</v>
      </c>
      <c r="AB72" s="375" t="s">
        <v>504</v>
      </c>
      <c r="AC72" s="375" t="s">
        <v>505</v>
      </c>
      <c r="AD72" s="375" t="s">
        <v>366</v>
      </c>
      <c r="AE72" s="375" t="s">
        <v>295</v>
      </c>
      <c r="AF72" s="375" t="s">
        <v>305</v>
      </c>
      <c r="AG72" s="375" t="s">
        <v>183</v>
      </c>
      <c r="AH72" s="380">
        <v>38.06</v>
      </c>
      <c r="AI72" s="380">
        <v>27203.8</v>
      </c>
      <c r="AJ72" s="375" t="s">
        <v>184</v>
      </c>
      <c r="AK72" s="375" t="s">
        <v>185</v>
      </c>
      <c r="AL72" s="375" t="s">
        <v>173</v>
      </c>
      <c r="AM72" s="375" t="s">
        <v>186</v>
      </c>
      <c r="AN72" s="375" t="s">
        <v>68</v>
      </c>
      <c r="AO72" s="378">
        <v>80</v>
      </c>
      <c r="AP72" s="384">
        <v>1</v>
      </c>
      <c r="AQ72" s="384">
        <v>1</v>
      </c>
      <c r="AR72" s="383" t="s">
        <v>187</v>
      </c>
      <c r="AS72" s="386">
        <f t="shared" si="71"/>
        <v>1</v>
      </c>
      <c r="AT72">
        <f t="shared" si="72"/>
        <v>1</v>
      </c>
      <c r="AU72" s="386">
        <f>IF(AT72=0,"",IF(AND(AT72=1,M72="F",SUMIF(C2:C557,C72,AS2:AS557)&lt;=1),SUMIF(C2:C557,C72,AS2:AS557),IF(AND(AT72=1,M72="F",SUMIF(C2:C557,C72,AS2:AS557)&gt;1),1,"")))</f>
        <v>1</v>
      </c>
      <c r="AV72" s="386" t="str">
        <f>IF(AT72=0,"",IF(AND(AT72=3,M72="F",SUMIF(C2:C557,C72,AS2:AS557)&lt;=1),SUMIF(C2:C557,C72,AS2:AS557),IF(AND(AT72=3,M72="F",SUMIF(C2:C557,C72,AS2:AS557)&gt;1),1,"")))</f>
        <v/>
      </c>
      <c r="AW72" s="386">
        <f>SUMIF(C2:C557,C72,O2:O557)</f>
        <v>1</v>
      </c>
      <c r="AX72" s="386">
        <f>IF(AND(M72="F",AS72&lt;&gt;0),SUMIF(C2:C557,C72,W2:W557),0)</f>
        <v>79164.800000000003</v>
      </c>
      <c r="AY72" s="386">
        <f t="shared" si="73"/>
        <v>79164.800000000003</v>
      </c>
      <c r="AZ72" s="386" t="str">
        <f t="shared" si="74"/>
        <v/>
      </c>
      <c r="BA72" s="386">
        <f t="shared" si="75"/>
        <v>0</v>
      </c>
      <c r="BB72" s="386">
        <f t="shared" si="44"/>
        <v>11650</v>
      </c>
      <c r="BC72" s="386">
        <f t="shared" si="45"/>
        <v>0</v>
      </c>
      <c r="BD72" s="386">
        <f t="shared" si="46"/>
        <v>4908.2175999999999</v>
      </c>
      <c r="BE72" s="386">
        <f t="shared" si="47"/>
        <v>1147.8896000000002</v>
      </c>
      <c r="BF72" s="386">
        <f t="shared" si="48"/>
        <v>9452.2771200000007</v>
      </c>
      <c r="BG72" s="386">
        <f t="shared" si="49"/>
        <v>570.77820800000006</v>
      </c>
      <c r="BH72" s="386">
        <f t="shared" si="50"/>
        <v>387.90751999999998</v>
      </c>
      <c r="BI72" s="386">
        <f t="shared" si="51"/>
        <v>242.24428799999998</v>
      </c>
      <c r="BJ72" s="386">
        <f t="shared" si="52"/>
        <v>189.99552</v>
      </c>
      <c r="BK72" s="386">
        <f t="shared" si="53"/>
        <v>0</v>
      </c>
      <c r="BL72" s="386">
        <f t="shared" si="76"/>
        <v>16899.309856000003</v>
      </c>
      <c r="BM72" s="386">
        <f t="shared" si="77"/>
        <v>0</v>
      </c>
      <c r="BN72" s="386">
        <f t="shared" si="54"/>
        <v>11650</v>
      </c>
      <c r="BO72" s="386">
        <f t="shared" si="55"/>
        <v>0</v>
      </c>
      <c r="BP72" s="386">
        <f t="shared" si="56"/>
        <v>4908.2175999999999</v>
      </c>
      <c r="BQ72" s="386">
        <f t="shared" si="57"/>
        <v>1147.8896000000002</v>
      </c>
      <c r="BR72" s="386">
        <f t="shared" si="58"/>
        <v>9452.2771200000007</v>
      </c>
      <c r="BS72" s="386">
        <f t="shared" si="59"/>
        <v>570.77820800000006</v>
      </c>
      <c r="BT72" s="386">
        <f t="shared" si="60"/>
        <v>0</v>
      </c>
      <c r="BU72" s="386">
        <f t="shared" si="61"/>
        <v>242.24428799999998</v>
      </c>
      <c r="BV72" s="386">
        <f t="shared" si="62"/>
        <v>197.91200000000001</v>
      </c>
      <c r="BW72" s="386">
        <f t="shared" si="63"/>
        <v>0</v>
      </c>
      <c r="BX72" s="386">
        <f t="shared" si="78"/>
        <v>16519.318815999999</v>
      </c>
      <c r="BY72" s="386">
        <f t="shared" si="79"/>
        <v>0</v>
      </c>
      <c r="BZ72" s="386">
        <f t="shared" si="80"/>
        <v>0</v>
      </c>
      <c r="CA72" s="386">
        <f t="shared" si="81"/>
        <v>0</v>
      </c>
      <c r="CB72" s="386">
        <f t="shared" si="82"/>
        <v>0</v>
      </c>
      <c r="CC72" s="386">
        <f t="shared" si="64"/>
        <v>0</v>
      </c>
      <c r="CD72" s="386">
        <f t="shared" si="65"/>
        <v>0</v>
      </c>
      <c r="CE72" s="386">
        <f t="shared" si="66"/>
        <v>0</v>
      </c>
      <c r="CF72" s="386">
        <f t="shared" si="67"/>
        <v>-387.90751999999998</v>
      </c>
      <c r="CG72" s="386">
        <f t="shared" si="68"/>
        <v>0</v>
      </c>
      <c r="CH72" s="386">
        <f t="shared" si="69"/>
        <v>7.9164800000000213</v>
      </c>
      <c r="CI72" s="386">
        <f t="shared" si="70"/>
        <v>0</v>
      </c>
      <c r="CJ72" s="386">
        <f t="shared" si="83"/>
        <v>-379.99103999999994</v>
      </c>
      <c r="CK72" s="386" t="str">
        <f t="shared" si="84"/>
        <v/>
      </c>
      <c r="CL72" s="386" t="str">
        <f t="shared" si="85"/>
        <v/>
      </c>
      <c r="CM72" s="386" t="str">
        <f t="shared" si="86"/>
        <v/>
      </c>
      <c r="CN72" s="386" t="str">
        <f t="shared" si="87"/>
        <v>0001-00</v>
      </c>
    </row>
    <row r="73" spans="1:92" ht="15.75" thickBot="1" x14ac:dyDescent="0.3">
      <c r="A73" s="375" t="s">
        <v>161</v>
      </c>
      <c r="B73" s="375" t="s">
        <v>162</v>
      </c>
      <c r="C73" s="375" t="s">
        <v>506</v>
      </c>
      <c r="D73" s="375" t="s">
        <v>507</v>
      </c>
      <c r="E73" s="375" t="s">
        <v>165</v>
      </c>
      <c r="F73" s="376" t="s">
        <v>166</v>
      </c>
      <c r="G73" s="375" t="s">
        <v>167</v>
      </c>
      <c r="H73" s="377"/>
      <c r="I73" s="377"/>
      <c r="J73" s="375" t="s">
        <v>168</v>
      </c>
      <c r="K73" s="375" t="s">
        <v>508</v>
      </c>
      <c r="L73" s="375" t="s">
        <v>220</v>
      </c>
      <c r="M73" s="375" t="s">
        <v>177</v>
      </c>
      <c r="N73" s="375" t="s">
        <v>172</v>
      </c>
      <c r="O73" s="378">
        <v>1</v>
      </c>
      <c r="P73" s="384">
        <v>1</v>
      </c>
      <c r="Q73" s="384">
        <v>1</v>
      </c>
      <c r="R73" s="379">
        <v>80</v>
      </c>
      <c r="S73" s="384">
        <v>1</v>
      </c>
      <c r="T73" s="379">
        <v>62126.44</v>
      </c>
      <c r="U73" s="379">
        <v>0</v>
      </c>
      <c r="V73" s="379">
        <v>24301.47</v>
      </c>
      <c r="W73" s="379">
        <v>65540.800000000003</v>
      </c>
      <c r="X73" s="379">
        <v>25440.400000000001</v>
      </c>
      <c r="Y73" s="379">
        <v>65540.800000000003</v>
      </c>
      <c r="Z73" s="379">
        <v>25125.82</v>
      </c>
      <c r="AA73" s="375" t="s">
        <v>509</v>
      </c>
      <c r="AB73" s="375" t="s">
        <v>510</v>
      </c>
      <c r="AC73" s="375" t="s">
        <v>511</v>
      </c>
      <c r="AD73" s="375" t="s">
        <v>352</v>
      </c>
      <c r="AE73" s="375" t="s">
        <v>508</v>
      </c>
      <c r="AF73" s="375" t="s">
        <v>252</v>
      </c>
      <c r="AG73" s="375" t="s">
        <v>183</v>
      </c>
      <c r="AH73" s="380">
        <v>31.51</v>
      </c>
      <c r="AI73" s="380">
        <v>60098.3</v>
      </c>
      <c r="AJ73" s="375" t="s">
        <v>184</v>
      </c>
      <c r="AK73" s="375" t="s">
        <v>185</v>
      </c>
      <c r="AL73" s="375" t="s">
        <v>173</v>
      </c>
      <c r="AM73" s="375" t="s">
        <v>186</v>
      </c>
      <c r="AN73" s="375" t="s">
        <v>68</v>
      </c>
      <c r="AO73" s="378">
        <v>80</v>
      </c>
      <c r="AP73" s="384">
        <v>1</v>
      </c>
      <c r="AQ73" s="384">
        <v>1</v>
      </c>
      <c r="AR73" s="383" t="s">
        <v>187</v>
      </c>
      <c r="AS73" s="386">
        <f t="shared" si="71"/>
        <v>1</v>
      </c>
      <c r="AT73">
        <f t="shared" si="72"/>
        <v>1</v>
      </c>
      <c r="AU73" s="386">
        <f>IF(AT73=0,"",IF(AND(AT73=1,M73="F",SUMIF(C2:C557,C73,AS2:AS557)&lt;=1),SUMIF(C2:C557,C73,AS2:AS557),IF(AND(AT73=1,M73="F",SUMIF(C2:C557,C73,AS2:AS557)&gt;1),1,"")))</f>
        <v>1</v>
      </c>
      <c r="AV73" s="386" t="str">
        <f>IF(AT73=0,"",IF(AND(AT73=3,M73="F",SUMIF(C2:C557,C73,AS2:AS557)&lt;=1),SUMIF(C2:C557,C73,AS2:AS557),IF(AND(AT73=3,M73="F",SUMIF(C2:C557,C73,AS2:AS557)&gt;1),1,"")))</f>
        <v/>
      </c>
      <c r="AW73" s="386">
        <f>SUMIF(C2:C557,C73,O2:O557)</f>
        <v>1</v>
      </c>
      <c r="AX73" s="386">
        <f>IF(AND(M73="F",AS73&lt;&gt;0),SUMIF(C2:C557,C73,W2:W557),0)</f>
        <v>65540.800000000003</v>
      </c>
      <c r="AY73" s="386">
        <f t="shared" si="73"/>
        <v>65540.800000000003</v>
      </c>
      <c r="AZ73" s="386" t="str">
        <f t="shared" si="74"/>
        <v/>
      </c>
      <c r="BA73" s="386">
        <f t="shared" si="75"/>
        <v>0</v>
      </c>
      <c r="BB73" s="386">
        <f t="shared" si="44"/>
        <v>11650</v>
      </c>
      <c r="BC73" s="386">
        <f t="shared" si="45"/>
        <v>0</v>
      </c>
      <c r="BD73" s="386">
        <f t="shared" si="46"/>
        <v>4063.5296000000003</v>
      </c>
      <c r="BE73" s="386">
        <f t="shared" si="47"/>
        <v>950.34160000000008</v>
      </c>
      <c r="BF73" s="386">
        <f t="shared" si="48"/>
        <v>7825.5715200000004</v>
      </c>
      <c r="BG73" s="386">
        <f t="shared" si="49"/>
        <v>472.54916800000007</v>
      </c>
      <c r="BH73" s="386">
        <f t="shared" si="50"/>
        <v>321.14992000000001</v>
      </c>
      <c r="BI73" s="386">
        <f t="shared" si="51"/>
        <v>0</v>
      </c>
      <c r="BJ73" s="386">
        <f t="shared" si="52"/>
        <v>157.29792</v>
      </c>
      <c r="BK73" s="386">
        <f t="shared" si="53"/>
        <v>0</v>
      </c>
      <c r="BL73" s="386">
        <f t="shared" si="76"/>
        <v>13790.439728000001</v>
      </c>
      <c r="BM73" s="386">
        <f t="shared" si="77"/>
        <v>0</v>
      </c>
      <c r="BN73" s="386">
        <f t="shared" si="54"/>
        <v>11650</v>
      </c>
      <c r="BO73" s="386">
        <f t="shared" si="55"/>
        <v>0</v>
      </c>
      <c r="BP73" s="386">
        <f t="shared" si="56"/>
        <v>4063.5296000000003</v>
      </c>
      <c r="BQ73" s="386">
        <f t="shared" si="57"/>
        <v>950.34160000000008</v>
      </c>
      <c r="BR73" s="386">
        <f t="shared" si="58"/>
        <v>7825.5715200000004</v>
      </c>
      <c r="BS73" s="386">
        <f t="shared" si="59"/>
        <v>472.54916800000007</v>
      </c>
      <c r="BT73" s="386">
        <f t="shared" si="60"/>
        <v>0</v>
      </c>
      <c r="BU73" s="386">
        <f t="shared" si="61"/>
        <v>0</v>
      </c>
      <c r="BV73" s="386">
        <f t="shared" si="62"/>
        <v>163.852</v>
      </c>
      <c r="BW73" s="386">
        <f t="shared" si="63"/>
        <v>0</v>
      </c>
      <c r="BX73" s="386">
        <f t="shared" si="78"/>
        <v>13475.843888000001</v>
      </c>
      <c r="BY73" s="386">
        <f t="shared" si="79"/>
        <v>0</v>
      </c>
      <c r="BZ73" s="386">
        <f t="shared" si="80"/>
        <v>0</v>
      </c>
      <c r="CA73" s="386">
        <f t="shared" si="81"/>
        <v>0</v>
      </c>
      <c r="CB73" s="386">
        <f t="shared" si="82"/>
        <v>0</v>
      </c>
      <c r="CC73" s="386">
        <f t="shared" si="64"/>
        <v>0</v>
      </c>
      <c r="CD73" s="386">
        <f t="shared" si="65"/>
        <v>0</v>
      </c>
      <c r="CE73" s="386">
        <f t="shared" si="66"/>
        <v>0</v>
      </c>
      <c r="CF73" s="386">
        <f t="shared" si="67"/>
        <v>-321.14992000000001</v>
      </c>
      <c r="CG73" s="386">
        <f t="shared" si="68"/>
        <v>0</v>
      </c>
      <c r="CH73" s="386">
        <f t="shared" si="69"/>
        <v>6.5540800000000177</v>
      </c>
      <c r="CI73" s="386">
        <f t="shared" si="70"/>
        <v>0</v>
      </c>
      <c r="CJ73" s="386">
        <f t="shared" si="83"/>
        <v>-314.59584000000001</v>
      </c>
      <c r="CK73" s="386" t="str">
        <f t="shared" si="84"/>
        <v/>
      </c>
      <c r="CL73" s="386" t="str">
        <f t="shared" si="85"/>
        <v/>
      </c>
      <c r="CM73" s="386" t="str">
        <f t="shared" si="86"/>
        <v/>
      </c>
      <c r="CN73" s="386" t="str">
        <f t="shared" si="87"/>
        <v>0001-00</v>
      </c>
    </row>
    <row r="74" spans="1:92" ht="15.75" thickBot="1" x14ac:dyDescent="0.3">
      <c r="A74" s="375" t="s">
        <v>161</v>
      </c>
      <c r="B74" s="375" t="s">
        <v>162</v>
      </c>
      <c r="C74" s="375" t="s">
        <v>512</v>
      </c>
      <c r="D74" s="375" t="s">
        <v>189</v>
      </c>
      <c r="E74" s="375" t="s">
        <v>165</v>
      </c>
      <c r="F74" s="376" t="s">
        <v>166</v>
      </c>
      <c r="G74" s="375" t="s">
        <v>167</v>
      </c>
      <c r="H74" s="377"/>
      <c r="I74" s="377"/>
      <c r="J74" s="375" t="s">
        <v>168</v>
      </c>
      <c r="K74" s="375" t="s">
        <v>190</v>
      </c>
      <c r="L74" s="375" t="s">
        <v>166</v>
      </c>
      <c r="M74" s="375" t="s">
        <v>177</v>
      </c>
      <c r="N74" s="375" t="s">
        <v>172</v>
      </c>
      <c r="O74" s="378">
        <v>1</v>
      </c>
      <c r="P74" s="384">
        <v>1</v>
      </c>
      <c r="Q74" s="384">
        <v>1</v>
      </c>
      <c r="R74" s="379">
        <v>80</v>
      </c>
      <c r="S74" s="384">
        <v>1</v>
      </c>
      <c r="T74" s="379">
        <v>104090</v>
      </c>
      <c r="U74" s="379">
        <v>0</v>
      </c>
      <c r="V74" s="379">
        <v>32842.67</v>
      </c>
      <c r="W74" s="379">
        <v>106072</v>
      </c>
      <c r="X74" s="379">
        <v>33448.83</v>
      </c>
      <c r="Y74" s="379">
        <v>106072</v>
      </c>
      <c r="Z74" s="379">
        <v>33459.440000000002</v>
      </c>
      <c r="AA74" s="375" t="s">
        <v>513</v>
      </c>
      <c r="AB74" s="375" t="s">
        <v>514</v>
      </c>
      <c r="AC74" s="375" t="s">
        <v>515</v>
      </c>
      <c r="AD74" s="375" t="s">
        <v>181</v>
      </c>
      <c r="AE74" s="375" t="s">
        <v>190</v>
      </c>
      <c r="AF74" s="375" t="s">
        <v>182</v>
      </c>
      <c r="AG74" s="375" t="s">
        <v>195</v>
      </c>
      <c r="AH74" s="378">
        <v>106072</v>
      </c>
      <c r="AI74" s="378">
        <v>46893</v>
      </c>
      <c r="AJ74" s="375" t="s">
        <v>184</v>
      </c>
      <c r="AK74" s="375" t="s">
        <v>185</v>
      </c>
      <c r="AL74" s="375" t="s">
        <v>173</v>
      </c>
      <c r="AM74" s="375" t="s">
        <v>173</v>
      </c>
      <c r="AN74" s="375" t="s">
        <v>68</v>
      </c>
      <c r="AO74" s="378">
        <v>80</v>
      </c>
      <c r="AP74" s="384">
        <v>1</v>
      </c>
      <c r="AQ74" s="384">
        <v>1</v>
      </c>
      <c r="AR74" s="383" t="s">
        <v>187</v>
      </c>
      <c r="AS74" s="386">
        <f t="shared" si="71"/>
        <v>1</v>
      </c>
      <c r="AT74">
        <f t="shared" si="72"/>
        <v>3</v>
      </c>
      <c r="AU74" s="386" t="str">
        <f>IF(AT74=0,"",IF(AND(AT74=1,M74="F",SUMIF(C2:C557,C74,AS2:AS557)&lt;=1),SUMIF(C2:C557,C74,AS2:AS557),IF(AND(AT74=1,M74="F",SUMIF(C2:C557,C74,AS2:AS557)&gt;1),1,"")))</f>
        <v/>
      </c>
      <c r="AV74" s="386">
        <f>IF(AT74=0,"",IF(AND(AT74=3,M74="F",SUMIF(C2:C557,C74,AS2:AS557)&lt;=1),SUMIF(C2:C557,C74,AS2:AS557),IF(AND(AT74=3,M74="F",SUMIF(C2:C557,C74,AS2:AS557)&gt;1),1,"")))</f>
        <v>1</v>
      </c>
      <c r="AW74" s="386">
        <f>SUMIF(C2:C557,C74,O2:O557)</f>
        <v>1</v>
      </c>
      <c r="AX74" s="386">
        <f>IF(AND(M74="F",AS74&lt;&gt;0),SUMIF(C2:C557,C74,W2:W557),0)</f>
        <v>106072</v>
      </c>
      <c r="AY74" s="386" t="str">
        <f t="shared" si="73"/>
        <v/>
      </c>
      <c r="AZ74" s="386">
        <f t="shared" si="74"/>
        <v>106072</v>
      </c>
      <c r="BA74" s="386">
        <f t="shared" si="75"/>
        <v>0</v>
      </c>
      <c r="BB74" s="386">
        <f t="shared" si="44"/>
        <v>0</v>
      </c>
      <c r="BC74" s="386">
        <f t="shared" si="45"/>
        <v>11650</v>
      </c>
      <c r="BD74" s="386">
        <f t="shared" si="46"/>
        <v>6576.4639999999999</v>
      </c>
      <c r="BE74" s="386">
        <f t="shared" si="47"/>
        <v>1538.0440000000001</v>
      </c>
      <c r="BF74" s="386">
        <f t="shared" si="48"/>
        <v>12664.996800000001</v>
      </c>
      <c r="BG74" s="386">
        <f t="shared" si="49"/>
        <v>764.77912000000003</v>
      </c>
      <c r="BH74" s="386">
        <f t="shared" si="50"/>
        <v>0</v>
      </c>
      <c r="BI74" s="386">
        <f t="shared" si="51"/>
        <v>0</v>
      </c>
      <c r="BJ74" s="386">
        <f t="shared" si="52"/>
        <v>254.57279999999997</v>
      </c>
      <c r="BK74" s="386">
        <f t="shared" si="53"/>
        <v>0</v>
      </c>
      <c r="BL74" s="386">
        <f t="shared" si="76"/>
        <v>0</v>
      </c>
      <c r="BM74" s="386">
        <f t="shared" si="77"/>
        <v>21798.856720000003</v>
      </c>
      <c r="BN74" s="386">
        <f t="shared" si="54"/>
        <v>0</v>
      </c>
      <c r="BO74" s="386">
        <f t="shared" si="55"/>
        <v>11650</v>
      </c>
      <c r="BP74" s="386">
        <f t="shared" si="56"/>
        <v>6576.4639999999999</v>
      </c>
      <c r="BQ74" s="386">
        <f t="shared" si="57"/>
        <v>1538.0440000000001</v>
      </c>
      <c r="BR74" s="386">
        <f t="shared" si="58"/>
        <v>12664.996800000001</v>
      </c>
      <c r="BS74" s="386">
        <f t="shared" si="59"/>
        <v>764.77912000000003</v>
      </c>
      <c r="BT74" s="386">
        <f t="shared" si="60"/>
        <v>0</v>
      </c>
      <c r="BU74" s="386">
        <f t="shared" si="61"/>
        <v>0</v>
      </c>
      <c r="BV74" s="386">
        <f t="shared" si="62"/>
        <v>265.18</v>
      </c>
      <c r="BW74" s="386">
        <f t="shared" si="63"/>
        <v>0</v>
      </c>
      <c r="BX74" s="386">
        <f t="shared" si="78"/>
        <v>0</v>
      </c>
      <c r="BY74" s="386">
        <f t="shared" si="79"/>
        <v>21809.463920000002</v>
      </c>
      <c r="BZ74" s="386">
        <f t="shared" si="80"/>
        <v>0</v>
      </c>
      <c r="CA74" s="386">
        <f t="shared" si="81"/>
        <v>0</v>
      </c>
      <c r="CB74" s="386">
        <f t="shared" si="82"/>
        <v>0</v>
      </c>
      <c r="CC74" s="386">
        <f t="shared" si="64"/>
        <v>0</v>
      </c>
      <c r="CD74" s="386">
        <f t="shared" si="65"/>
        <v>0</v>
      </c>
      <c r="CE74" s="386">
        <f t="shared" si="66"/>
        <v>0</v>
      </c>
      <c r="CF74" s="386">
        <f t="shared" si="67"/>
        <v>0</v>
      </c>
      <c r="CG74" s="386">
        <f t="shared" si="68"/>
        <v>0</v>
      </c>
      <c r="CH74" s="386">
        <f t="shared" si="69"/>
        <v>10.607200000000027</v>
      </c>
      <c r="CI74" s="386">
        <f t="shared" si="70"/>
        <v>0</v>
      </c>
      <c r="CJ74" s="386">
        <f t="shared" si="83"/>
        <v>0</v>
      </c>
      <c r="CK74" s="386">
        <f t="shared" si="84"/>
        <v>10.607200000000027</v>
      </c>
      <c r="CL74" s="386" t="str">
        <f t="shared" si="85"/>
        <v/>
      </c>
      <c r="CM74" s="386" t="str">
        <f t="shared" si="86"/>
        <v/>
      </c>
      <c r="CN74" s="386" t="str">
        <f t="shared" si="87"/>
        <v>0001-00</v>
      </c>
    </row>
    <row r="75" spans="1:92" ht="15.75" thickBot="1" x14ac:dyDescent="0.3">
      <c r="A75" s="375" t="s">
        <v>161</v>
      </c>
      <c r="B75" s="375" t="s">
        <v>162</v>
      </c>
      <c r="C75" s="375" t="s">
        <v>516</v>
      </c>
      <c r="D75" s="375" t="s">
        <v>517</v>
      </c>
      <c r="E75" s="375" t="s">
        <v>165</v>
      </c>
      <c r="F75" s="376" t="s">
        <v>166</v>
      </c>
      <c r="G75" s="375" t="s">
        <v>167</v>
      </c>
      <c r="H75" s="377"/>
      <c r="I75" s="377"/>
      <c r="J75" s="375" t="s">
        <v>168</v>
      </c>
      <c r="K75" s="375" t="s">
        <v>518</v>
      </c>
      <c r="L75" s="375" t="s">
        <v>170</v>
      </c>
      <c r="M75" s="375" t="s">
        <v>177</v>
      </c>
      <c r="N75" s="375" t="s">
        <v>199</v>
      </c>
      <c r="O75" s="378">
        <v>1</v>
      </c>
      <c r="P75" s="384">
        <v>1</v>
      </c>
      <c r="Q75" s="384">
        <v>1</v>
      </c>
      <c r="R75" s="379">
        <v>80</v>
      </c>
      <c r="S75" s="384">
        <v>1</v>
      </c>
      <c r="T75" s="379">
        <v>57734.75</v>
      </c>
      <c r="U75" s="379">
        <v>0</v>
      </c>
      <c r="V75" s="379">
        <v>23318.09</v>
      </c>
      <c r="W75" s="379">
        <v>60008</v>
      </c>
      <c r="X75" s="379">
        <v>24459.86</v>
      </c>
      <c r="Y75" s="379">
        <v>60008</v>
      </c>
      <c r="Z75" s="379">
        <v>24171.84</v>
      </c>
      <c r="AA75" s="375" t="s">
        <v>519</v>
      </c>
      <c r="AB75" s="375" t="s">
        <v>520</v>
      </c>
      <c r="AC75" s="375" t="s">
        <v>521</v>
      </c>
      <c r="AD75" s="375" t="s">
        <v>522</v>
      </c>
      <c r="AE75" s="375" t="s">
        <v>518</v>
      </c>
      <c r="AF75" s="375" t="s">
        <v>269</v>
      </c>
      <c r="AG75" s="375" t="s">
        <v>183</v>
      </c>
      <c r="AH75" s="380">
        <v>28.85</v>
      </c>
      <c r="AI75" s="380">
        <v>50417.599999999999</v>
      </c>
      <c r="AJ75" s="375" t="s">
        <v>184</v>
      </c>
      <c r="AK75" s="375" t="s">
        <v>185</v>
      </c>
      <c r="AL75" s="375" t="s">
        <v>173</v>
      </c>
      <c r="AM75" s="375" t="s">
        <v>186</v>
      </c>
      <c r="AN75" s="375" t="s">
        <v>68</v>
      </c>
      <c r="AO75" s="378">
        <v>80</v>
      </c>
      <c r="AP75" s="384">
        <v>1</v>
      </c>
      <c r="AQ75" s="384">
        <v>1</v>
      </c>
      <c r="AR75" s="383" t="s">
        <v>187</v>
      </c>
      <c r="AS75" s="386">
        <f t="shared" si="71"/>
        <v>1</v>
      </c>
      <c r="AT75">
        <f t="shared" si="72"/>
        <v>1</v>
      </c>
      <c r="AU75" s="386">
        <f>IF(AT75=0,"",IF(AND(AT75=1,M75="F",SUMIF(C2:C557,C75,AS2:AS557)&lt;=1),SUMIF(C2:C557,C75,AS2:AS557),IF(AND(AT75=1,M75="F",SUMIF(C2:C557,C75,AS2:AS557)&gt;1),1,"")))</f>
        <v>1</v>
      </c>
      <c r="AV75" s="386" t="str">
        <f>IF(AT75=0,"",IF(AND(AT75=3,M75="F",SUMIF(C2:C557,C75,AS2:AS557)&lt;=1),SUMIF(C2:C557,C75,AS2:AS557),IF(AND(AT75=3,M75="F",SUMIF(C2:C557,C75,AS2:AS557)&gt;1),1,"")))</f>
        <v/>
      </c>
      <c r="AW75" s="386">
        <f>SUMIF(C2:C557,C75,O2:O557)</f>
        <v>1</v>
      </c>
      <c r="AX75" s="386">
        <f>IF(AND(M75="F",AS75&lt;&gt;0),SUMIF(C2:C557,C75,W2:W557),0)</f>
        <v>60008</v>
      </c>
      <c r="AY75" s="386">
        <f t="shared" si="73"/>
        <v>60008</v>
      </c>
      <c r="AZ75" s="386" t="str">
        <f t="shared" si="74"/>
        <v/>
      </c>
      <c r="BA75" s="386">
        <f t="shared" si="75"/>
        <v>0</v>
      </c>
      <c r="BB75" s="386">
        <f t="shared" si="44"/>
        <v>11650</v>
      </c>
      <c r="BC75" s="386">
        <f t="shared" si="45"/>
        <v>0</v>
      </c>
      <c r="BD75" s="386">
        <f t="shared" si="46"/>
        <v>3720.4960000000001</v>
      </c>
      <c r="BE75" s="386">
        <f t="shared" si="47"/>
        <v>870.1160000000001</v>
      </c>
      <c r="BF75" s="386">
        <f t="shared" si="48"/>
        <v>7164.9552000000003</v>
      </c>
      <c r="BG75" s="386">
        <f t="shared" si="49"/>
        <v>432.65768000000003</v>
      </c>
      <c r="BH75" s="386">
        <f t="shared" si="50"/>
        <v>294.03919999999999</v>
      </c>
      <c r="BI75" s="386">
        <f t="shared" si="51"/>
        <v>183.62447999999998</v>
      </c>
      <c r="BJ75" s="386">
        <f t="shared" si="52"/>
        <v>144.01919999999998</v>
      </c>
      <c r="BK75" s="386">
        <f t="shared" si="53"/>
        <v>0</v>
      </c>
      <c r="BL75" s="386">
        <f t="shared" si="76"/>
        <v>12809.907760000002</v>
      </c>
      <c r="BM75" s="386">
        <f t="shared" si="77"/>
        <v>0</v>
      </c>
      <c r="BN75" s="386">
        <f t="shared" si="54"/>
        <v>11650</v>
      </c>
      <c r="BO75" s="386">
        <f t="shared" si="55"/>
        <v>0</v>
      </c>
      <c r="BP75" s="386">
        <f t="shared" si="56"/>
        <v>3720.4960000000001</v>
      </c>
      <c r="BQ75" s="386">
        <f t="shared" si="57"/>
        <v>870.1160000000001</v>
      </c>
      <c r="BR75" s="386">
        <f t="shared" si="58"/>
        <v>7164.9552000000003</v>
      </c>
      <c r="BS75" s="386">
        <f t="shared" si="59"/>
        <v>432.65768000000003</v>
      </c>
      <c r="BT75" s="386">
        <f t="shared" si="60"/>
        <v>0</v>
      </c>
      <c r="BU75" s="386">
        <f t="shared" si="61"/>
        <v>183.62447999999998</v>
      </c>
      <c r="BV75" s="386">
        <f t="shared" si="62"/>
        <v>150.02000000000001</v>
      </c>
      <c r="BW75" s="386">
        <f t="shared" si="63"/>
        <v>0</v>
      </c>
      <c r="BX75" s="386">
        <f t="shared" si="78"/>
        <v>12521.869360000002</v>
      </c>
      <c r="BY75" s="386">
        <f t="shared" si="79"/>
        <v>0</v>
      </c>
      <c r="BZ75" s="386">
        <f t="shared" si="80"/>
        <v>0</v>
      </c>
      <c r="CA75" s="386">
        <f t="shared" si="81"/>
        <v>0</v>
      </c>
      <c r="CB75" s="386">
        <f t="shared" si="82"/>
        <v>0</v>
      </c>
      <c r="CC75" s="386">
        <f t="shared" si="64"/>
        <v>0</v>
      </c>
      <c r="CD75" s="386">
        <f t="shared" si="65"/>
        <v>0</v>
      </c>
      <c r="CE75" s="386">
        <f t="shared" si="66"/>
        <v>0</v>
      </c>
      <c r="CF75" s="386">
        <f t="shared" si="67"/>
        <v>-294.03919999999999</v>
      </c>
      <c r="CG75" s="386">
        <f t="shared" si="68"/>
        <v>0</v>
      </c>
      <c r="CH75" s="386">
        <f t="shared" si="69"/>
        <v>6.0008000000000159</v>
      </c>
      <c r="CI75" s="386">
        <f t="shared" si="70"/>
        <v>0</v>
      </c>
      <c r="CJ75" s="386">
        <f t="shared" si="83"/>
        <v>-288.03839999999997</v>
      </c>
      <c r="CK75" s="386" t="str">
        <f t="shared" si="84"/>
        <v/>
      </c>
      <c r="CL75" s="386" t="str">
        <f t="shared" si="85"/>
        <v/>
      </c>
      <c r="CM75" s="386" t="str">
        <f t="shared" si="86"/>
        <v/>
      </c>
      <c r="CN75" s="386" t="str">
        <f t="shared" si="87"/>
        <v>0001-00</v>
      </c>
    </row>
    <row r="76" spans="1:92" ht="15.75" thickBot="1" x14ac:dyDescent="0.3">
      <c r="A76" s="375" t="s">
        <v>161</v>
      </c>
      <c r="B76" s="375" t="s">
        <v>162</v>
      </c>
      <c r="C76" s="375" t="s">
        <v>523</v>
      </c>
      <c r="D76" s="375" t="s">
        <v>189</v>
      </c>
      <c r="E76" s="375" t="s">
        <v>165</v>
      </c>
      <c r="F76" s="376" t="s">
        <v>166</v>
      </c>
      <c r="G76" s="375" t="s">
        <v>167</v>
      </c>
      <c r="H76" s="377"/>
      <c r="I76" s="377"/>
      <c r="J76" s="375" t="s">
        <v>168</v>
      </c>
      <c r="K76" s="375" t="s">
        <v>190</v>
      </c>
      <c r="L76" s="375" t="s">
        <v>166</v>
      </c>
      <c r="M76" s="375" t="s">
        <v>177</v>
      </c>
      <c r="N76" s="375" t="s">
        <v>172</v>
      </c>
      <c r="O76" s="378">
        <v>1</v>
      </c>
      <c r="P76" s="384">
        <v>1</v>
      </c>
      <c r="Q76" s="384">
        <v>1</v>
      </c>
      <c r="R76" s="379">
        <v>80</v>
      </c>
      <c r="S76" s="384">
        <v>1</v>
      </c>
      <c r="T76" s="379">
        <v>104090</v>
      </c>
      <c r="U76" s="379">
        <v>0</v>
      </c>
      <c r="V76" s="379">
        <v>32993.089999999997</v>
      </c>
      <c r="W76" s="379">
        <v>106072</v>
      </c>
      <c r="X76" s="379">
        <v>33448.83</v>
      </c>
      <c r="Y76" s="379">
        <v>106072</v>
      </c>
      <c r="Z76" s="379">
        <v>33459.440000000002</v>
      </c>
      <c r="AA76" s="375" t="s">
        <v>524</v>
      </c>
      <c r="AB76" s="375" t="s">
        <v>525</v>
      </c>
      <c r="AC76" s="375" t="s">
        <v>483</v>
      </c>
      <c r="AD76" s="375" t="s">
        <v>170</v>
      </c>
      <c r="AE76" s="375" t="s">
        <v>190</v>
      </c>
      <c r="AF76" s="375" t="s">
        <v>182</v>
      </c>
      <c r="AG76" s="375" t="s">
        <v>195</v>
      </c>
      <c r="AH76" s="378">
        <v>106072</v>
      </c>
      <c r="AI76" s="378">
        <v>7440</v>
      </c>
      <c r="AJ76" s="375" t="s">
        <v>184</v>
      </c>
      <c r="AK76" s="375" t="s">
        <v>185</v>
      </c>
      <c r="AL76" s="375" t="s">
        <v>173</v>
      </c>
      <c r="AM76" s="375" t="s">
        <v>173</v>
      </c>
      <c r="AN76" s="375" t="s">
        <v>68</v>
      </c>
      <c r="AO76" s="378">
        <v>80</v>
      </c>
      <c r="AP76" s="384">
        <v>1</v>
      </c>
      <c r="AQ76" s="384">
        <v>1</v>
      </c>
      <c r="AR76" s="383" t="s">
        <v>187</v>
      </c>
      <c r="AS76" s="386">
        <f t="shared" si="71"/>
        <v>1</v>
      </c>
      <c r="AT76">
        <f t="shared" si="72"/>
        <v>3</v>
      </c>
      <c r="AU76" s="386" t="str">
        <f>IF(AT76=0,"",IF(AND(AT76=1,M76="F",SUMIF(C2:C557,C76,AS2:AS557)&lt;=1),SUMIF(C2:C557,C76,AS2:AS557),IF(AND(AT76=1,M76="F",SUMIF(C2:C557,C76,AS2:AS557)&gt;1),1,"")))</f>
        <v/>
      </c>
      <c r="AV76" s="386">
        <f>IF(AT76=0,"",IF(AND(AT76=3,M76="F",SUMIF(C2:C557,C76,AS2:AS557)&lt;=1),SUMIF(C2:C557,C76,AS2:AS557),IF(AND(AT76=3,M76="F",SUMIF(C2:C557,C76,AS2:AS557)&gt;1),1,"")))</f>
        <v>1</v>
      </c>
      <c r="AW76" s="386">
        <f>SUMIF(C2:C557,C76,O2:O557)</f>
        <v>1</v>
      </c>
      <c r="AX76" s="386">
        <f>IF(AND(M76="F",AS76&lt;&gt;0),SUMIF(C2:C557,C76,W2:W557),0)</f>
        <v>106072</v>
      </c>
      <c r="AY76" s="386" t="str">
        <f t="shared" si="73"/>
        <v/>
      </c>
      <c r="AZ76" s="386">
        <f t="shared" si="74"/>
        <v>106072</v>
      </c>
      <c r="BA76" s="386">
        <f t="shared" si="75"/>
        <v>0</v>
      </c>
      <c r="BB76" s="386">
        <f t="shared" si="44"/>
        <v>0</v>
      </c>
      <c r="BC76" s="386">
        <f t="shared" si="45"/>
        <v>11650</v>
      </c>
      <c r="BD76" s="386">
        <f t="shared" si="46"/>
        <v>6576.4639999999999</v>
      </c>
      <c r="BE76" s="386">
        <f t="shared" si="47"/>
        <v>1538.0440000000001</v>
      </c>
      <c r="BF76" s="386">
        <f t="shared" si="48"/>
        <v>12664.996800000001</v>
      </c>
      <c r="BG76" s="386">
        <f t="shared" si="49"/>
        <v>764.77912000000003</v>
      </c>
      <c r="BH76" s="386">
        <f t="shared" si="50"/>
        <v>0</v>
      </c>
      <c r="BI76" s="386">
        <f t="shared" si="51"/>
        <v>0</v>
      </c>
      <c r="BJ76" s="386">
        <f t="shared" si="52"/>
        <v>254.57279999999997</v>
      </c>
      <c r="BK76" s="386">
        <f t="shared" si="53"/>
        <v>0</v>
      </c>
      <c r="BL76" s="386">
        <f t="shared" si="76"/>
        <v>0</v>
      </c>
      <c r="BM76" s="386">
        <f t="shared" si="77"/>
        <v>21798.856720000003</v>
      </c>
      <c r="BN76" s="386">
        <f t="shared" si="54"/>
        <v>0</v>
      </c>
      <c r="BO76" s="386">
        <f t="shared" si="55"/>
        <v>11650</v>
      </c>
      <c r="BP76" s="386">
        <f t="shared" si="56"/>
        <v>6576.4639999999999</v>
      </c>
      <c r="BQ76" s="386">
        <f t="shared" si="57"/>
        <v>1538.0440000000001</v>
      </c>
      <c r="BR76" s="386">
        <f t="shared" si="58"/>
        <v>12664.996800000001</v>
      </c>
      <c r="BS76" s="386">
        <f t="shared" si="59"/>
        <v>764.77912000000003</v>
      </c>
      <c r="BT76" s="386">
        <f t="shared" si="60"/>
        <v>0</v>
      </c>
      <c r="BU76" s="386">
        <f t="shared" si="61"/>
        <v>0</v>
      </c>
      <c r="BV76" s="386">
        <f t="shared" si="62"/>
        <v>265.18</v>
      </c>
      <c r="BW76" s="386">
        <f t="shared" si="63"/>
        <v>0</v>
      </c>
      <c r="BX76" s="386">
        <f t="shared" si="78"/>
        <v>0</v>
      </c>
      <c r="BY76" s="386">
        <f t="shared" si="79"/>
        <v>21809.463920000002</v>
      </c>
      <c r="BZ76" s="386">
        <f t="shared" si="80"/>
        <v>0</v>
      </c>
      <c r="CA76" s="386">
        <f t="shared" si="81"/>
        <v>0</v>
      </c>
      <c r="CB76" s="386">
        <f t="shared" si="82"/>
        <v>0</v>
      </c>
      <c r="CC76" s="386">
        <f t="shared" si="64"/>
        <v>0</v>
      </c>
      <c r="CD76" s="386">
        <f t="shared" si="65"/>
        <v>0</v>
      </c>
      <c r="CE76" s="386">
        <f t="shared" si="66"/>
        <v>0</v>
      </c>
      <c r="CF76" s="386">
        <f t="shared" si="67"/>
        <v>0</v>
      </c>
      <c r="CG76" s="386">
        <f t="shared" si="68"/>
        <v>0</v>
      </c>
      <c r="CH76" s="386">
        <f t="shared" si="69"/>
        <v>10.607200000000027</v>
      </c>
      <c r="CI76" s="386">
        <f t="shared" si="70"/>
        <v>0</v>
      </c>
      <c r="CJ76" s="386">
        <f t="shared" si="83"/>
        <v>0</v>
      </c>
      <c r="CK76" s="386">
        <f t="shared" si="84"/>
        <v>10.607200000000027</v>
      </c>
      <c r="CL76" s="386" t="str">
        <f t="shared" si="85"/>
        <v/>
      </c>
      <c r="CM76" s="386" t="str">
        <f t="shared" si="86"/>
        <v/>
      </c>
      <c r="CN76" s="386" t="str">
        <f t="shared" si="87"/>
        <v>0001-00</v>
      </c>
    </row>
    <row r="77" spans="1:92" ht="15.75" thickBot="1" x14ac:dyDescent="0.3">
      <c r="A77" s="375" t="s">
        <v>161</v>
      </c>
      <c r="B77" s="375" t="s">
        <v>162</v>
      </c>
      <c r="C77" s="375" t="s">
        <v>285</v>
      </c>
      <c r="D77" s="375" t="s">
        <v>164</v>
      </c>
      <c r="E77" s="375" t="s">
        <v>526</v>
      </c>
      <c r="F77" s="381" t="s">
        <v>527</v>
      </c>
      <c r="G77" s="375" t="s">
        <v>167</v>
      </c>
      <c r="H77" s="377"/>
      <c r="I77" s="377"/>
      <c r="J77" s="375" t="s">
        <v>168</v>
      </c>
      <c r="K77" s="375" t="s">
        <v>169</v>
      </c>
      <c r="L77" s="375" t="s">
        <v>170</v>
      </c>
      <c r="M77" s="375" t="s">
        <v>177</v>
      </c>
      <c r="N77" s="375" t="s">
        <v>199</v>
      </c>
      <c r="O77" s="378">
        <v>2</v>
      </c>
      <c r="P77" s="384">
        <v>1</v>
      </c>
      <c r="Q77" s="384">
        <v>1</v>
      </c>
      <c r="R77" s="379">
        <v>80</v>
      </c>
      <c r="S77" s="384">
        <v>1</v>
      </c>
      <c r="T77" s="379">
        <v>16580.86</v>
      </c>
      <c r="U77" s="379">
        <v>0</v>
      </c>
      <c r="V77" s="379">
        <v>7201.31</v>
      </c>
      <c r="W77" s="379">
        <v>53643.199999999997</v>
      </c>
      <c r="X77" s="379">
        <v>23101.17</v>
      </c>
      <c r="Y77" s="379">
        <v>53643.199999999997</v>
      </c>
      <c r="Z77" s="379">
        <v>22843.68</v>
      </c>
      <c r="AA77" s="375" t="s">
        <v>286</v>
      </c>
      <c r="AB77" s="375" t="s">
        <v>287</v>
      </c>
      <c r="AC77" s="375" t="s">
        <v>288</v>
      </c>
      <c r="AD77" s="375" t="s">
        <v>170</v>
      </c>
      <c r="AE77" s="375" t="s">
        <v>169</v>
      </c>
      <c r="AF77" s="375" t="s">
        <v>269</v>
      </c>
      <c r="AG77" s="375" t="s">
        <v>183</v>
      </c>
      <c r="AH77" s="380">
        <v>29.12</v>
      </c>
      <c r="AI77" s="378">
        <v>8259</v>
      </c>
      <c r="AJ77" s="375" t="s">
        <v>184</v>
      </c>
      <c r="AK77" s="375" t="s">
        <v>185</v>
      </c>
      <c r="AL77" s="375" t="s">
        <v>173</v>
      </c>
      <c r="AM77" s="375" t="s">
        <v>186</v>
      </c>
      <c r="AN77" s="375" t="s">
        <v>68</v>
      </c>
      <c r="AO77" s="378">
        <v>80</v>
      </c>
      <c r="AP77" s="384">
        <v>1</v>
      </c>
      <c r="AQ77" s="384">
        <v>1</v>
      </c>
      <c r="AR77" s="383" t="s">
        <v>187</v>
      </c>
      <c r="AS77" s="386">
        <f t="shared" si="71"/>
        <v>1</v>
      </c>
      <c r="AT77">
        <f t="shared" si="72"/>
        <v>1</v>
      </c>
      <c r="AU77" s="386">
        <f>IF(AT77=0,"",IF(AND(AT77=1,M77="F",SUMIF(C2:C557,C77,AS2:AS557)&lt;=1),SUMIF(C2:C557,C77,AS2:AS557),IF(AND(AT77=1,M77="F",SUMIF(C2:C557,C77,AS2:AS557)&gt;1),1,"")))</f>
        <v>1</v>
      </c>
      <c r="AV77" s="386" t="str">
        <f>IF(AT77=0,"",IF(AND(AT77=3,M77="F",SUMIF(C2:C557,C77,AS2:AS557)&lt;=1),SUMIF(C2:C557,C77,AS2:AS557),IF(AND(AT77=3,M77="F",SUMIF(C2:C557,C77,AS2:AS557)&gt;1),1,"")))</f>
        <v/>
      </c>
      <c r="AW77" s="386">
        <f>SUMIF(C2:C557,C77,O2:O557)</f>
        <v>8</v>
      </c>
      <c r="AX77" s="386">
        <f>IF(AND(M77="F",AS77&lt;&gt;0),SUMIF(C2:C557,C77,W2:W557),0)</f>
        <v>107286.39999999999</v>
      </c>
      <c r="AY77" s="386">
        <f t="shared" si="73"/>
        <v>53643.199999999997</v>
      </c>
      <c r="AZ77" s="386" t="str">
        <f t="shared" si="74"/>
        <v/>
      </c>
      <c r="BA77" s="386">
        <f t="shared" si="75"/>
        <v>0</v>
      </c>
      <c r="BB77" s="386">
        <f t="shared" si="44"/>
        <v>11650</v>
      </c>
      <c r="BC77" s="386">
        <f t="shared" si="45"/>
        <v>0</v>
      </c>
      <c r="BD77" s="386">
        <f t="shared" si="46"/>
        <v>3325.8783999999996</v>
      </c>
      <c r="BE77" s="386">
        <f t="shared" si="47"/>
        <v>777.82640000000004</v>
      </c>
      <c r="BF77" s="386">
        <f t="shared" si="48"/>
        <v>6404.9980800000003</v>
      </c>
      <c r="BG77" s="386">
        <f t="shared" si="49"/>
        <v>386.767472</v>
      </c>
      <c r="BH77" s="386">
        <f t="shared" si="50"/>
        <v>262.85167999999999</v>
      </c>
      <c r="BI77" s="386">
        <f t="shared" si="51"/>
        <v>164.14819199999997</v>
      </c>
      <c r="BJ77" s="386">
        <f t="shared" si="52"/>
        <v>128.74367999999998</v>
      </c>
      <c r="BK77" s="386">
        <f t="shared" si="53"/>
        <v>0</v>
      </c>
      <c r="BL77" s="386">
        <f t="shared" si="76"/>
        <v>11451.213904</v>
      </c>
      <c r="BM77" s="386">
        <f t="shared" si="77"/>
        <v>0</v>
      </c>
      <c r="BN77" s="386">
        <f t="shared" si="54"/>
        <v>11650</v>
      </c>
      <c r="BO77" s="386">
        <f t="shared" si="55"/>
        <v>0</v>
      </c>
      <c r="BP77" s="386">
        <f t="shared" si="56"/>
        <v>3325.8783999999996</v>
      </c>
      <c r="BQ77" s="386">
        <f t="shared" si="57"/>
        <v>777.82640000000004</v>
      </c>
      <c r="BR77" s="386">
        <f t="shared" si="58"/>
        <v>6404.9980800000003</v>
      </c>
      <c r="BS77" s="386">
        <f t="shared" si="59"/>
        <v>386.767472</v>
      </c>
      <c r="BT77" s="386">
        <f t="shared" si="60"/>
        <v>0</v>
      </c>
      <c r="BU77" s="386">
        <f t="shared" si="61"/>
        <v>164.14819199999997</v>
      </c>
      <c r="BV77" s="386">
        <f t="shared" si="62"/>
        <v>134.108</v>
      </c>
      <c r="BW77" s="386">
        <f t="shared" si="63"/>
        <v>0</v>
      </c>
      <c r="BX77" s="386">
        <f t="shared" si="78"/>
        <v>11193.726544000001</v>
      </c>
      <c r="BY77" s="386">
        <f t="shared" si="79"/>
        <v>0</v>
      </c>
      <c r="BZ77" s="386">
        <f t="shared" si="80"/>
        <v>0</v>
      </c>
      <c r="CA77" s="386">
        <f t="shared" si="81"/>
        <v>0</v>
      </c>
      <c r="CB77" s="386">
        <f t="shared" si="82"/>
        <v>0</v>
      </c>
      <c r="CC77" s="386">
        <f t="shared" si="64"/>
        <v>0</v>
      </c>
      <c r="CD77" s="386">
        <f t="shared" si="65"/>
        <v>0</v>
      </c>
      <c r="CE77" s="386">
        <f t="shared" si="66"/>
        <v>0</v>
      </c>
      <c r="CF77" s="386">
        <f t="shared" si="67"/>
        <v>-262.85167999999999</v>
      </c>
      <c r="CG77" s="386">
        <f t="shared" si="68"/>
        <v>0</v>
      </c>
      <c r="CH77" s="386">
        <f t="shared" si="69"/>
        <v>5.3643200000000135</v>
      </c>
      <c r="CI77" s="386">
        <f t="shared" si="70"/>
        <v>0</v>
      </c>
      <c r="CJ77" s="386">
        <f t="shared" si="83"/>
        <v>-257.48735999999997</v>
      </c>
      <c r="CK77" s="386" t="str">
        <f t="shared" si="84"/>
        <v/>
      </c>
      <c r="CL77" s="386" t="str">
        <f t="shared" si="85"/>
        <v/>
      </c>
      <c r="CM77" s="386" t="str">
        <f t="shared" si="86"/>
        <v/>
      </c>
      <c r="CN77" s="386" t="str">
        <f t="shared" si="87"/>
        <v>0338-01</v>
      </c>
    </row>
    <row r="78" spans="1:92" ht="15.75" thickBot="1" x14ac:dyDescent="0.3">
      <c r="A78" s="375" t="s">
        <v>161</v>
      </c>
      <c r="B78" s="375" t="s">
        <v>162</v>
      </c>
      <c r="C78" s="375" t="s">
        <v>285</v>
      </c>
      <c r="D78" s="375" t="s">
        <v>164</v>
      </c>
      <c r="E78" s="375" t="s">
        <v>526</v>
      </c>
      <c r="F78" s="381" t="s">
        <v>527</v>
      </c>
      <c r="G78" s="375" t="s">
        <v>167</v>
      </c>
      <c r="H78" s="377"/>
      <c r="I78" s="377"/>
      <c r="J78" s="375" t="s">
        <v>168</v>
      </c>
      <c r="K78" s="375" t="s">
        <v>169</v>
      </c>
      <c r="L78" s="375" t="s">
        <v>170</v>
      </c>
      <c r="M78" s="375" t="s">
        <v>177</v>
      </c>
      <c r="N78" s="375" t="s">
        <v>199</v>
      </c>
      <c r="O78" s="378">
        <v>2</v>
      </c>
      <c r="P78" s="384">
        <v>1</v>
      </c>
      <c r="Q78" s="384">
        <v>1</v>
      </c>
      <c r="R78" s="379">
        <v>80</v>
      </c>
      <c r="S78" s="384">
        <v>1</v>
      </c>
      <c r="T78" s="379">
        <v>16580.86</v>
      </c>
      <c r="U78" s="379">
        <v>0</v>
      </c>
      <c r="V78" s="379">
        <v>7201.31</v>
      </c>
      <c r="W78" s="379">
        <v>53643.199999999997</v>
      </c>
      <c r="X78" s="379">
        <v>23101.17</v>
      </c>
      <c r="Y78" s="379">
        <v>53643.199999999997</v>
      </c>
      <c r="Z78" s="379">
        <v>22843.68</v>
      </c>
      <c r="AA78" s="375" t="s">
        <v>296</v>
      </c>
      <c r="AB78" s="375" t="s">
        <v>297</v>
      </c>
      <c r="AC78" s="375" t="s">
        <v>298</v>
      </c>
      <c r="AD78" s="375" t="s">
        <v>233</v>
      </c>
      <c r="AE78" s="375" t="s">
        <v>169</v>
      </c>
      <c r="AF78" s="375" t="s">
        <v>269</v>
      </c>
      <c r="AG78" s="375" t="s">
        <v>183</v>
      </c>
      <c r="AH78" s="380">
        <v>25.79</v>
      </c>
      <c r="AI78" s="380">
        <v>21237.5</v>
      </c>
      <c r="AJ78" s="375" t="s">
        <v>184</v>
      </c>
      <c r="AK78" s="375" t="s">
        <v>185</v>
      </c>
      <c r="AL78" s="375" t="s">
        <v>173</v>
      </c>
      <c r="AM78" s="375" t="s">
        <v>186</v>
      </c>
      <c r="AN78" s="375" t="s">
        <v>68</v>
      </c>
      <c r="AO78" s="378">
        <v>80</v>
      </c>
      <c r="AP78" s="384">
        <v>1</v>
      </c>
      <c r="AQ78" s="384">
        <v>1</v>
      </c>
      <c r="AR78" s="383">
        <v>6</v>
      </c>
      <c r="AS78" s="386">
        <f t="shared" si="71"/>
        <v>1</v>
      </c>
      <c r="AT78">
        <f t="shared" si="72"/>
        <v>0</v>
      </c>
      <c r="AU78" s="386" t="str">
        <f>IF(AT78=0,"",IF(AND(AT78=1,M78="F",SUMIF(C2:C557,C78,AS2:AS557)&lt;=1),SUMIF(C2:C557,C78,AS2:AS557),IF(AND(AT78=1,M78="F",SUMIF(C2:C557,C78,AS2:AS557)&gt;1),1,"")))</f>
        <v/>
      </c>
      <c r="AV78" s="386" t="str">
        <f>IF(AT78=0,"",IF(AND(AT78=3,M78="F",SUMIF(C2:C557,C78,AS2:AS557)&lt;=1),SUMIF(C2:C557,C78,AS2:AS557),IF(AND(AT78=3,M78="F",SUMIF(C2:C557,C78,AS2:AS557)&gt;1),1,"")))</f>
        <v/>
      </c>
      <c r="AW78" s="386">
        <f>SUMIF(C2:C557,C78,O2:O557)</f>
        <v>8</v>
      </c>
      <c r="AX78" s="386">
        <f>IF(AND(M78="F",AS78&lt;&gt;0),SUMIF(C2:C557,C78,W2:W557),0)</f>
        <v>107286.39999999999</v>
      </c>
      <c r="AY78" s="386" t="str">
        <f t="shared" si="73"/>
        <v/>
      </c>
      <c r="AZ78" s="386" t="str">
        <f t="shared" si="74"/>
        <v/>
      </c>
      <c r="BA78" s="386">
        <f t="shared" si="75"/>
        <v>0</v>
      </c>
      <c r="BB78" s="386">
        <f t="shared" si="44"/>
        <v>0</v>
      </c>
      <c r="BC78" s="386">
        <f t="shared" si="45"/>
        <v>0</v>
      </c>
      <c r="BD78" s="386">
        <f t="shared" si="46"/>
        <v>0</v>
      </c>
      <c r="BE78" s="386">
        <f t="shared" si="47"/>
        <v>0</v>
      </c>
      <c r="BF78" s="386">
        <f t="shared" si="48"/>
        <v>0</v>
      </c>
      <c r="BG78" s="386">
        <f t="shared" si="49"/>
        <v>0</v>
      </c>
      <c r="BH78" s="386">
        <f t="shared" si="50"/>
        <v>0</v>
      </c>
      <c r="BI78" s="386">
        <f t="shared" si="51"/>
        <v>0</v>
      </c>
      <c r="BJ78" s="386">
        <f t="shared" si="52"/>
        <v>0</v>
      </c>
      <c r="BK78" s="386">
        <f t="shared" si="53"/>
        <v>0</v>
      </c>
      <c r="BL78" s="386">
        <f t="shared" si="76"/>
        <v>0</v>
      </c>
      <c r="BM78" s="386">
        <f t="shared" si="77"/>
        <v>0</v>
      </c>
      <c r="BN78" s="386">
        <f t="shared" si="54"/>
        <v>0</v>
      </c>
      <c r="BO78" s="386">
        <f t="shared" si="55"/>
        <v>0</v>
      </c>
      <c r="BP78" s="386">
        <f t="shared" si="56"/>
        <v>0</v>
      </c>
      <c r="BQ78" s="386">
        <f t="shared" si="57"/>
        <v>0</v>
      </c>
      <c r="BR78" s="386">
        <f t="shared" si="58"/>
        <v>0</v>
      </c>
      <c r="BS78" s="386">
        <f t="shared" si="59"/>
        <v>0</v>
      </c>
      <c r="BT78" s="386">
        <f t="shared" si="60"/>
        <v>0</v>
      </c>
      <c r="BU78" s="386">
        <f t="shared" si="61"/>
        <v>0</v>
      </c>
      <c r="BV78" s="386">
        <f t="shared" si="62"/>
        <v>0</v>
      </c>
      <c r="BW78" s="386">
        <f t="shared" si="63"/>
        <v>0</v>
      </c>
      <c r="BX78" s="386">
        <f t="shared" si="78"/>
        <v>0</v>
      </c>
      <c r="BY78" s="386">
        <f t="shared" si="79"/>
        <v>0</v>
      </c>
      <c r="BZ78" s="386">
        <f t="shared" si="80"/>
        <v>0</v>
      </c>
      <c r="CA78" s="386">
        <f t="shared" si="81"/>
        <v>0</v>
      </c>
      <c r="CB78" s="386">
        <f t="shared" si="82"/>
        <v>0</v>
      </c>
      <c r="CC78" s="386">
        <f t="shared" si="64"/>
        <v>0</v>
      </c>
      <c r="CD78" s="386">
        <f t="shared" si="65"/>
        <v>0</v>
      </c>
      <c r="CE78" s="386">
        <f t="shared" si="66"/>
        <v>0</v>
      </c>
      <c r="CF78" s="386">
        <f t="shared" si="67"/>
        <v>0</v>
      </c>
      <c r="CG78" s="386">
        <f t="shared" si="68"/>
        <v>0</v>
      </c>
      <c r="CH78" s="386">
        <f t="shared" si="69"/>
        <v>0</v>
      </c>
      <c r="CI78" s="386">
        <f t="shared" si="70"/>
        <v>0</v>
      </c>
      <c r="CJ78" s="386">
        <f t="shared" si="83"/>
        <v>0</v>
      </c>
      <c r="CK78" s="386" t="str">
        <f t="shared" si="84"/>
        <v/>
      </c>
      <c r="CL78" s="386" t="str">
        <f t="shared" si="85"/>
        <v/>
      </c>
      <c r="CM78" s="386" t="str">
        <f t="shared" si="86"/>
        <v/>
      </c>
      <c r="CN78" s="386" t="str">
        <f t="shared" si="87"/>
        <v>0338-01</v>
      </c>
    </row>
    <row r="79" spans="1:92" ht="15.75" thickBot="1" x14ac:dyDescent="0.3">
      <c r="A79" s="375" t="s">
        <v>161</v>
      </c>
      <c r="B79" s="375" t="s">
        <v>162</v>
      </c>
      <c r="C79" s="375" t="s">
        <v>528</v>
      </c>
      <c r="D79" s="375" t="s">
        <v>294</v>
      </c>
      <c r="E79" s="375" t="s">
        <v>526</v>
      </c>
      <c r="F79" s="381" t="s">
        <v>529</v>
      </c>
      <c r="G79" s="375" t="s">
        <v>167</v>
      </c>
      <c r="H79" s="377"/>
      <c r="I79" s="377"/>
      <c r="J79" s="375" t="s">
        <v>168</v>
      </c>
      <c r="K79" s="375" t="s">
        <v>295</v>
      </c>
      <c r="L79" s="375" t="s">
        <v>173</v>
      </c>
      <c r="M79" s="375" t="s">
        <v>177</v>
      </c>
      <c r="N79" s="375" t="s">
        <v>199</v>
      </c>
      <c r="O79" s="378">
        <v>1</v>
      </c>
      <c r="P79" s="384">
        <v>1</v>
      </c>
      <c r="Q79" s="384">
        <v>1</v>
      </c>
      <c r="R79" s="379">
        <v>80</v>
      </c>
      <c r="S79" s="384">
        <v>1</v>
      </c>
      <c r="T79" s="379">
        <v>68952.02</v>
      </c>
      <c r="U79" s="379">
        <v>0</v>
      </c>
      <c r="V79" s="379">
        <v>25576.45</v>
      </c>
      <c r="W79" s="379">
        <v>70782.399999999994</v>
      </c>
      <c r="X79" s="379">
        <v>26759.88</v>
      </c>
      <c r="Y79" s="379">
        <v>70782.399999999994</v>
      </c>
      <c r="Z79" s="379">
        <v>26420.13</v>
      </c>
      <c r="AA79" s="375" t="s">
        <v>530</v>
      </c>
      <c r="AB79" s="375" t="s">
        <v>531</v>
      </c>
      <c r="AC79" s="375" t="s">
        <v>532</v>
      </c>
      <c r="AD79" s="375" t="s">
        <v>267</v>
      </c>
      <c r="AE79" s="375" t="s">
        <v>295</v>
      </c>
      <c r="AF79" s="375" t="s">
        <v>305</v>
      </c>
      <c r="AG79" s="375" t="s">
        <v>183</v>
      </c>
      <c r="AH79" s="380">
        <v>34.03</v>
      </c>
      <c r="AI79" s="380">
        <v>53069.7</v>
      </c>
      <c r="AJ79" s="375" t="s">
        <v>184</v>
      </c>
      <c r="AK79" s="375" t="s">
        <v>185</v>
      </c>
      <c r="AL79" s="375" t="s">
        <v>173</v>
      </c>
      <c r="AM79" s="375" t="s">
        <v>186</v>
      </c>
      <c r="AN79" s="375" t="s">
        <v>68</v>
      </c>
      <c r="AO79" s="378">
        <v>80</v>
      </c>
      <c r="AP79" s="384">
        <v>1</v>
      </c>
      <c r="AQ79" s="384">
        <v>1</v>
      </c>
      <c r="AR79" s="383" t="s">
        <v>187</v>
      </c>
      <c r="AS79" s="386">
        <f t="shared" si="71"/>
        <v>1</v>
      </c>
      <c r="AT79">
        <f t="shared" si="72"/>
        <v>1</v>
      </c>
      <c r="AU79" s="386">
        <f>IF(AT79=0,"",IF(AND(AT79=1,M79="F",SUMIF(C2:C557,C79,AS2:AS557)&lt;=1),SUMIF(C2:C557,C79,AS2:AS557),IF(AND(AT79=1,M79="F",SUMIF(C2:C557,C79,AS2:AS557)&gt;1),1,"")))</f>
        <v>1</v>
      </c>
      <c r="AV79" s="386" t="str">
        <f>IF(AT79=0,"",IF(AND(AT79=3,M79="F",SUMIF(C2:C557,C79,AS2:AS557)&lt;=1),SUMIF(C2:C557,C79,AS2:AS557),IF(AND(AT79=3,M79="F",SUMIF(C2:C557,C79,AS2:AS557)&gt;1),1,"")))</f>
        <v/>
      </c>
      <c r="AW79" s="386">
        <f>SUMIF(C2:C557,C79,O2:O557)</f>
        <v>1</v>
      </c>
      <c r="AX79" s="386">
        <f>IF(AND(M79="F",AS79&lt;&gt;0),SUMIF(C2:C557,C79,W2:W557),0)</f>
        <v>70782.399999999994</v>
      </c>
      <c r="AY79" s="386">
        <f t="shared" si="73"/>
        <v>70782.399999999994</v>
      </c>
      <c r="AZ79" s="386" t="str">
        <f t="shared" si="74"/>
        <v/>
      </c>
      <c r="BA79" s="386">
        <f t="shared" si="75"/>
        <v>0</v>
      </c>
      <c r="BB79" s="386">
        <f t="shared" si="44"/>
        <v>11650</v>
      </c>
      <c r="BC79" s="386">
        <f t="shared" si="45"/>
        <v>0</v>
      </c>
      <c r="BD79" s="386">
        <f t="shared" si="46"/>
        <v>4388.5087999999996</v>
      </c>
      <c r="BE79" s="386">
        <f t="shared" si="47"/>
        <v>1026.3448000000001</v>
      </c>
      <c r="BF79" s="386">
        <f t="shared" si="48"/>
        <v>8451.4185600000001</v>
      </c>
      <c r="BG79" s="386">
        <f t="shared" si="49"/>
        <v>510.34110399999997</v>
      </c>
      <c r="BH79" s="386">
        <f t="shared" si="50"/>
        <v>346.83375999999998</v>
      </c>
      <c r="BI79" s="386">
        <f t="shared" si="51"/>
        <v>216.59414399999997</v>
      </c>
      <c r="BJ79" s="386">
        <f t="shared" si="52"/>
        <v>169.87775999999997</v>
      </c>
      <c r="BK79" s="386">
        <f t="shared" si="53"/>
        <v>0</v>
      </c>
      <c r="BL79" s="386">
        <f t="shared" si="76"/>
        <v>15109.918927999999</v>
      </c>
      <c r="BM79" s="386">
        <f t="shared" si="77"/>
        <v>0</v>
      </c>
      <c r="BN79" s="386">
        <f t="shared" si="54"/>
        <v>11650</v>
      </c>
      <c r="BO79" s="386">
        <f t="shared" si="55"/>
        <v>0</v>
      </c>
      <c r="BP79" s="386">
        <f t="shared" si="56"/>
        <v>4388.5087999999996</v>
      </c>
      <c r="BQ79" s="386">
        <f t="shared" si="57"/>
        <v>1026.3448000000001</v>
      </c>
      <c r="BR79" s="386">
        <f t="shared" si="58"/>
        <v>8451.4185600000001</v>
      </c>
      <c r="BS79" s="386">
        <f t="shared" si="59"/>
        <v>510.34110399999997</v>
      </c>
      <c r="BT79" s="386">
        <f t="shared" si="60"/>
        <v>0</v>
      </c>
      <c r="BU79" s="386">
        <f t="shared" si="61"/>
        <v>216.59414399999997</v>
      </c>
      <c r="BV79" s="386">
        <f t="shared" si="62"/>
        <v>176.95599999999999</v>
      </c>
      <c r="BW79" s="386">
        <f t="shared" si="63"/>
        <v>0</v>
      </c>
      <c r="BX79" s="386">
        <f t="shared" si="78"/>
        <v>14770.163408</v>
      </c>
      <c r="BY79" s="386">
        <f t="shared" si="79"/>
        <v>0</v>
      </c>
      <c r="BZ79" s="386">
        <f t="shared" si="80"/>
        <v>0</v>
      </c>
      <c r="CA79" s="386">
        <f t="shared" si="81"/>
        <v>0</v>
      </c>
      <c r="CB79" s="386">
        <f t="shared" si="82"/>
        <v>0</v>
      </c>
      <c r="CC79" s="386">
        <f t="shared" si="64"/>
        <v>0</v>
      </c>
      <c r="CD79" s="386">
        <f t="shared" si="65"/>
        <v>0</v>
      </c>
      <c r="CE79" s="386">
        <f t="shared" si="66"/>
        <v>0</v>
      </c>
      <c r="CF79" s="386">
        <f t="shared" si="67"/>
        <v>-346.83375999999998</v>
      </c>
      <c r="CG79" s="386">
        <f t="shared" si="68"/>
        <v>0</v>
      </c>
      <c r="CH79" s="386">
        <f t="shared" si="69"/>
        <v>7.0782400000000179</v>
      </c>
      <c r="CI79" s="386">
        <f t="shared" si="70"/>
        <v>0</v>
      </c>
      <c r="CJ79" s="386">
        <f t="shared" si="83"/>
        <v>-339.75551999999999</v>
      </c>
      <c r="CK79" s="386" t="str">
        <f t="shared" si="84"/>
        <v/>
      </c>
      <c r="CL79" s="386" t="str">
        <f t="shared" si="85"/>
        <v/>
      </c>
      <c r="CM79" s="386" t="str">
        <f t="shared" si="86"/>
        <v/>
      </c>
      <c r="CN79" s="386" t="str">
        <f t="shared" si="87"/>
        <v>0338-02</v>
      </c>
    </row>
    <row r="80" spans="1:92" ht="15.75" thickBot="1" x14ac:dyDescent="0.3">
      <c r="A80" s="375" t="s">
        <v>161</v>
      </c>
      <c r="B80" s="375" t="s">
        <v>162</v>
      </c>
      <c r="C80" s="375" t="s">
        <v>339</v>
      </c>
      <c r="D80" s="375" t="s">
        <v>164</v>
      </c>
      <c r="E80" s="375" t="s">
        <v>526</v>
      </c>
      <c r="F80" s="381" t="s">
        <v>529</v>
      </c>
      <c r="G80" s="375" t="s">
        <v>167</v>
      </c>
      <c r="H80" s="377"/>
      <c r="I80" s="377"/>
      <c r="J80" s="375" t="s">
        <v>218</v>
      </c>
      <c r="K80" s="375" t="s">
        <v>335</v>
      </c>
      <c r="L80" s="375" t="s">
        <v>220</v>
      </c>
      <c r="M80" s="375" t="s">
        <v>177</v>
      </c>
      <c r="N80" s="375" t="s">
        <v>199</v>
      </c>
      <c r="O80" s="378">
        <v>1</v>
      </c>
      <c r="P80" s="384">
        <v>0.3</v>
      </c>
      <c r="Q80" s="384">
        <v>0.3</v>
      </c>
      <c r="R80" s="379">
        <v>80</v>
      </c>
      <c r="S80" s="384">
        <v>0.3</v>
      </c>
      <c r="T80" s="379">
        <v>18028.91</v>
      </c>
      <c r="U80" s="379">
        <v>0</v>
      </c>
      <c r="V80" s="379">
        <v>7165.08</v>
      </c>
      <c r="W80" s="379">
        <v>19387.68</v>
      </c>
      <c r="X80" s="379">
        <v>7633.68</v>
      </c>
      <c r="Y80" s="379">
        <v>19387.68</v>
      </c>
      <c r="Z80" s="379">
        <v>7540.62</v>
      </c>
      <c r="AA80" s="375" t="s">
        <v>340</v>
      </c>
      <c r="AB80" s="375" t="s">
        <v>341</v>
      </c>
      <c r="AC80" s="375" t="s">
        <v>342</v>
      </c>
      <c r="AD80" s="375" t="s">
        <v>195</v>
      </c>
      <c r="AE80" s="375" t="s">
        <v>335</v>
      </c>
      <c r="AF80" s="375" t="s">
        <v>252</v>
      </c>
      <c r="AG80" s="375" t="s">
        <v>183</v>
      </c>
      <c r="AH80" s="380">
        <v>31.07</v>
      </c>
      <c r="AI80" s="378">
        <v>9128</v>
      </c>
      <c r="AJ80" s="375" t="s">
        <v>184</v>
      </c>
      <c r="AK80" s="375" t="s">
        <v>185</v>
      </c>
      <c r="AL80" s="375" t="s">
        <v>173</v>
      </c>
      <c r="AM80" s="375" t="s">
        <v>186</v>
      </c>
      <c r="AN80" s="375" t="s">
        <v>68</v>
      </c>
      <c r="AO80" s="378">
        <v>80</v>
      </c>
      <c r="AP80" s="384">
        <v>1</v>
      </c>
      <c r="AQ80" s="384">
        <v>0.3</v>
      </c>
      <c r="AR80" s="383" t="s">
        <v>187</v>
      </c>
      <c r="AS80" s="386">
        <f t="shared" si="71"/>
        <v>0.3</v>
      </c>
      <c r="AT80">
        <f t="shared" si="72"/>
        <v>1</v>
      </c>
      <c r="AU80" s="386">
        <f>IF(AT80=0,"",IF(AND(AT80=1,M80="F",SUMIF(C2:C557,C80,AS2:AS557)&lt;=1),SUMIF(C2:C557,C80,AS2:AS557),IF(AND(AT80=1,M80="F",SUMIF(C2:C557,C80,AS2:AS557)&gt;1),1,"")))</f>
        <v>1</v>
      </c>
      <c r="AV80" s="386" t="str">
        <f>IF(AT80=0,"",IF(AND(AT80=3,M80="F",SUMIF(C2:C557,C80,AS2:AS557)&lt;=1),SUMIF(C2:C557,C80,AS2:AS557),IF(AND(AT80=3,M80="F",SUMIF(C2:C557,C80,AS2:AS557)&gt;1),1,"")))</f>
        <v/>
      </c>
      <c r="AW80" s="386">
        <f>SUMIF(C2:C557,C80,O2:O557)</f>
        <v>2</v>
      </c>
      <c r="AX80" s="386">
        <f>IF(AND(M80="F",AS80&lt;&gt;0),SUMIF(C2:C557,C80,W2:W557),0)</f>
        <v>64625.599999999999</v>
      </c>
      <c r="AY80" s="386">
        <f t="shared" si="73"/>
        <v>19387.68</v>
      </c>
      <c r="AZ80" s="386" t="str">
        <f t="shared" si="74"/>
        <v/>
      </c>
      <c r="BA80" s="386">
        <f t="shared" si="75"/>
        <v>0</v>
      </c>
      <c r="BB80" s="386">
        <f t="shared" si="44"/>
        <v>3495</v>
      </c>
      <c r="BC80" s="386">
        <f t="shared" si="45"/>
        <v>0</v>
      </c>
      <c r="BD80" s="386">
        <f t="shared" si="46"/>
        <v>1202.0361600000001</v>
      </c>
      <c r="BE80" s="386">
        <f t="shared" si="47"/>
        <v>281.12136000000004</v>
      </c>
      <c r="BF80" s="386">
        <f t="shared" si="48"/>
        <v>2314.8889920000001</v>
      </c>
      <c r="BG80" s="386">
        <f t="shared" si="49"/>
        <v>139.7851728</v>
      </c>
      <c r="BH80" s="386">
        <f t="shared" si="50"/>
        <v>94.999632000000005</v>
      </c>
      <c r="BI80" s="386">
        <f t="shared" si="51"/>
        <v>59.326300799999999</v>
      </c>
      <c r="BJ80" s="386">
        <f t="shared" si="52"/>
        <v>46.530431999999998</v>
      </c>
      <c r="BK80" s="386">
        <f t="shared" si="53"/>
        <v>0</v>
      </c>
      <c r="BL80" s="386">
        <f t="shared" si="76"/>
        <v>4138.6880496000003</v>
      </c>
      <c r="BM80" s="386">
        <f t="shared" si="77"/>
        <v>0</v>
      </c>
      <c r="BN80" s="386">
        <f t="shared" si="54"/>
        <v>3495</v>
      </c>
      <c r="BO80" s="386">
        <f t="shared" si="55"/>
        <v>0</v>
      </c>
      <c r="BP80" s="386">
        <f t="shared" si="56"/>
        <v>1202.0361600000001</v>
      </c>
      <c r="BQ80" s="386">
        <f t="shared" si="57"/>
        <v>281.12136000000004</v>
      </c>
      <c r="BR80" s="386">
        <f t="shared" si="58"/>
        <v>2314.8889920000001</v>
      </c>
      <c r="BS80" s="386">
        <f t="shared" si="59"/>
        <v>139.7851728</v>
      </c>
      <c r="BT80" s="386">
        <f t="shared" si="60"/>
        <v>0</v>
      </c>
      <c r="BU80" s="386">
        <f t="shared" si="61"/>
        <v>59.326300799999999</v>
      </c>
      <c r="BV80" s="386">
        <f t="shared" si="62"/>
        <v>48.469200000000001</v>
      </c>
      <c r="BW80" s="386">
        <f t="shared" si="63"/>
        <v>0</v>
      </c>
      <c r="BX80" s="386">
        <f t="shared" si="78"/>
        <v>4045.6271856000003</v>
      </c>
      <c r="BY80" s="386">
        <f t="shared" si="79"/>
        <v>0</v>
      </c>
      <c r="BZ80" s="386">
        <f t="shared" si="80"/>
        <v>0</v>
      </c>
      <c r="CA80" s="386">
        <f t="shared" si="81"/>
        <v>0</v>
      </c>
      <c r="CB80" s="386">
        <f t="shared" si="82"/>
        <v>0</v>
      </c>
      <c r="CC80" s="386">
        <f t="shared" si="64"/>
        <v>0</v>
      </c>
      <c r="CD80" s="386">
        <f t="shared" si="65"/>
        <v>0</v>
      </c>
      <c r="CE80" s="386">
        <f t="shared" si="66"/>
        <v>0</v>
      </c>
      <c r="CF80" s="386">
        <f t="shared" si="67"/>
        <v>-94.999632000000005</v>
      </c>
      <c r="CG80" s="386">
        <f t="shared" si="68"/>
        <v>0</v>
      </c>
      <c r="CH80" s="386">
        <f t="shared" si="69"/>
        <v>1.9387680000000052</v>
      </c>
      <c r="CI80" s="386">
        <f t="shared" si="70"/>
        <v>0</v>
      </c>
      <c r="CJ80" s="386">
        <f t="shared" si="83"/>
        <v>-93.060863999999995</v>
      </c>
      <c r="CK80" s="386" t="str">
        <f t="shared" si="84"/>
        <v/>
      </c>
      <c r="CL80" s="386" t="str">
        <f t="shared" si="85"/>
        <v/>
      </c>
      <c r="CM80" s="386" t="str">
        <f t="shared" si="86"/>
        <v/>
      </c>
      <c r="CN80" s="386" t="str">
        <f t="shared" si="87"/>
        <v>0338-02</v>
      </c>
    </row>
    <row r="81" spans="1:92" ht="15.75" thickBot="1" x14ac:dyDescent="0.3">
      <c r="A81" s="375" t="s">
        <v>161</v>
      </c>
      <c r="B81" s="375" t="s">
        <v>162</v>
      </c>
      <c r="C81" s="375" t="s">
        <v>216</v>
      </c>
      <c r="D81" s="375" t="s">
        <v>217</v>
      </c>
      <c r="E81" s="375" t="s">
        <v>526</v>
      </c>
      <c r="F81" s="381" t="s">
        <v>529</v>
      </c>
      <c r="G81" s="375" t="s">
        <v>167</v>
      </c>
      <c r="H81" s="377"/>
      <c r="I81" s="377"/>
      <c r="J81" s="375" t="s">
        <v>218</v>
      </c>
      <c r="K81" s="375" t="s">
        <v>219</v>
      </c>
      <c r="L81" s="375" t="s">
        <v>220</v>
      </c>
      <c r="M81" s="375" t="s">
        <v>171</v>
      </c>
      <c r="N81" s="375" t="s">
        <v>199</v>
      </c>
      <c r="O81" s="378">
        <v>0</v>
      </c>
      <c r="P81" s="384">
        <v>0.25</v>
      </c>
      <c r="Q81" s="384">
        <v>0.25</v>
      </c>
      <c r="R81" s="379">
        <v>80</v>
      </c>
      <c r="S81" s="384">
        <v>0.25</v>
      </c>
      <c r="T81" s="379">
        <v>21667.69</v>
      </c>
      <c r="U81" s="379">
        <v>0</v>
      </c>
      <c r="V81" s="379">
        <v>7329.42</v>
      </c>
      <c r="W81" s="379">
        <v>15116.4</v>
      </c>
      <c r="X81" s="379">
        <v>6620.98</v>
      </c>
      <c r="Y81" s="379">
        <v>15116.4</v>
      </c>
      <c r="Z81" s="379">
        <v>6545.4</v>
      </c>
      <c r="AA81" s="377"/>
      <c r="AB81" s="375" t="s">
        <v>45</v>
      </c>
      <c r="AC81" s="375" t="s">
        <v>45</v>
      </c>
      <c r="AD81" s="377"/>
      <c r="AE81" s="377"/>
      <c r="AF81" s="377"/>
      <c r="AG81" s="377"/>
      <c r="AH81" s="378">
        <v>0</v>
      </c>
      <c r="AI81" s="378">
        <v>0</v>
      </c>
      <c r="AJ81" s="377"/>
      <c r="AK81" s="377"/>
      <c r="AL81" s="375" t="s">
        <v>173</v>
      </c>
      <c r="AM81" s="377"/>
      <c r="AN81" s="377"/>
      <c r="AO81" s="378">
        <v>0</v>
      </c>
      <c r="AP81" s="384">
        <v>0</v>
      </c>
      <c r="AQ81" s="384">
        <v>0</v>
      </c>
      <c r="AR81" s="382"/>
      <c r="AS81" s="386">
        <f t="shared" si="71"/>
        <v>0</v>
      </c>
      <c r="AT81">
        <f t="shared" si="72"/>
        <v>0</v>
      </c>
      <c r="AU81" s="386" t="str">
        <f>IF(AT81=0,"",IF(AND(AT81=1,M81="F",SUMIF(C2:C557,C81,AS2:AS557)&lt;=1),SUMIF(C2:C557,C81,AS2:AS557),IF(AND(AT81=1,M81="F",SUMIF(C2:C557,C81,AS2:AS557)&gt;1),1,"")))</f>
        <v/>
      </c>
      <c r="AV81" s="386" t="str">
        <f>IF(AT81=0,"",IF(AND(AT81=3,M81="F",SUMIF(C2:C557,C81,AS2:AS557)&lt;=1),SUMIF(C2:C557,C81,AS2:AS557),IF(AND(AT81=3,M81="F",SUMIF(C2:C557,C81,AS2:AS557)&gt;1),1,"")))</f>
        <v/>
      </c>
      <c r="AW81" s="386">
        <f>SUMIF(C2:C557,C81,O2:O557)</f>
        <v>0</v>
      </c>
      <c r="AX81" s="386">
        <f>IF(AND(M81="F",AS81&lt;&gt;0),SUMIF(C2:C557,C81,W2:W557),0)</f>
        <v>0</v>
      </c>
      <c r="AY81" s="386" t="str">
        <f t="shared" si="73"/>
        <v/>
      </c>
      <c r="AZ81" s="386" t="str">
        <f t="shared" si="74"/>
        <v/>
      </c>
      <c r="BA81" s="386">
        <f t="shared" si="75"/>
        <v>0</v>
      </c>
      <c r="BB81" s="386">
        <f t="shared" si="44"/>
        <v>0</v>
      </c>
      <c r="BC81" s="386">
        <f t="shared" si="45"/>
        <v>0</v>
      </c>
      <c r="BD81" s="386">
        <f t="shared" si="46"/>
        <v>0</v>
      </c>
      <c r="BE81" s="386">
        <f t="shared" si="47"/>
        <v>0</v>
      </c>
      <c r="BF81" s="386">
        <f t="shared" si="48"/>
        <v>0</v>
      </c>
      <c r="BG81" s="386">
        <f t="shared" si="49"/>
        <v>0</v>
      </c>
      <c r="BH81" s="386">
        <f t="shared" si="50"/>
        <v>0</v>
      </c>
      <c r="BI81" s="386">
        <f t="shared" si="51"/>
        <v>0</v>
      </c>
      <c r="BJ81" s="386">
        <f t="shared" si="52"/>
        <v>0</v>
      </c>
      <c r="BK81" s="386">
        <f t="shared" si="53"/>
        <v>0</v>
      </c>
      <c r="BL81" s="386">
        <f t="shared" si="76"/>
        <v>0</v>
      </c>
      <c r="BM81" s="386">
        <f t="shared" si="77"/>
        <v>0</v>
      </c>
      <c r="BN81" s="386">
        <f t="shared" si="54"/>
        <v>0</v>
      </c>
      <c r="BO81" s="386">
        <f t="shared" si="55"/>
        <v>0</v>
      </c>
      <c r="BP81" s="386">
        <f t="shared" si="56"/>
        <v>0</v>
      </c>
      <c r="BQ81" s="386">
        <f t="shared" si="57"/>
        <v>0</v>
      </c>
      <c r="BR81" s="386">
        <f t="shared" si="58"/>
        <v>0</v>
      </c>
      <c r="BS81" s="386">
        <f t="shared" si="59"/>
        <v>0</v>
      </c>
      <c r="BT81" s="386">
        <f t="shared" si="60"/>
        <v>0</v>
      </c>
      <c r="BU81" s="386">
        <f t="shared" si="61"/>
        <v>0</v>
      </c>
      <c r="BV81" s="386">
        <f t="shared" si="62"/>
        <v>0</v>
      </c>
      <c r="BW81" s="386">
        <f t="shared" si="63"/>
        <v>0</v>
      </c>
      <c r="BX81" s="386">
        <f t="shared" si="78"/>
        <v>0</v>
      </c>
      <c r="BY81" s="386">
        <f t="shared" si="79"/>
        <v>0</v>
      </c>
      <c r="BZ81" s="386">
        <f t="shared" si="80"/>
        <v>0</v>
      </c>
      <c r="CA81" s="386">
        <f t="shared" si="81"/>
        <v>0</v>
      </c>
      <c r="CB81" s="386">
        <f t="shared" si="82"/>
        <v>0</v>
      </c>
      <c r="CC81" s="386">
        <f t="shared" si="64"/>
        <v>0</v>
      </c>
      <c r="CD81" s="386">
        <f t="shared" si="65"/>
        <v>0</v>
      </c>
      <c r="CE81" s="386">
        <f t="shared" si="66"/>
        <v>0</v>
      </c>
      <c r="CF81" s="386">
        <f t="shared" si="67"/>
        <v>0</v>
      </c>
      <c r="CG81" s="386">
        <f t="shared" si="68"/>
        <v>0</v>
      </c>
      <c r="CH81" s="386">
        <f t="shared" si="69"/>
        <v>0</v>
      </c>
      <c r="CI81" s="386">
        <f t="shared" si="70"/>
        <v>0</v>
      </c>
      <c r="CJ81" s="386">
        <f t="shared" si="83"/>
        <v>0</v>
      </c>
      <c r="CK81" s="386" t="str">
        <f t="shared" si="84"/>
        <v/>
      </c>
      <c r="CL81" s="386" t="str">
        <f t="shared" si="85"/>
        <v/>
      </c>
      <c r="CM81" s="386" t="str">
        <f t="shared" si="86"/>
        <v/>
      </c>
      <c r="CN81" s="386" t="str">
        <f t="shared" si="87"/>
        <v>0338-02</v>
      </c>
    </row>
    <row r="82" spans="1:92" ht="15.75" thickBot="1" x14ac:dyDescent="0.3">
      <c r="A82" s="375" t="s">
        <v>161</v>
      </c>
      <c r="B82" s="375" t="s">
        <v>162</v>
      </c>
      <c r="C82" s="375" t="s">
        <v>426</v>
      </c>
      <c r="D82" s="375" t="s">
        <v>427</v>
      </c>
      <c r="E82" s="375" t="s">
        <v>526</v>
      </c>
      <c r="F82" s="381" t="s">
        <v>529</v>
      </c>
      <c r="G82" s="375" t="s">
        <v>167</v>
      </c>
      <c r="H82" s="377"/>
      <c r="I82" s="377"/>
      <c r="J82" s="375" t="s">
        <v>218</v>
      </c>
      <c r="K82" s="375" t="s">
        <v>428</v>
      </c>
      <c r="L82" s="375" t="s">
        <v>274</v>
      </c>
      <c r="M82" s="375" t="s">
        <v>177</v>
      </c>
      <c r="N82" s="375" t="s">
        <v>199</v>
      </c>
      <c r="O82" s="378">
        <v>1</v>
      </c>
      <c r="P82" s="384">
        <v>0.5</v>
      </c>
      <c r="Q82" s="384">
        <v>0.5</v>
      </c>
      <c r="R82" s="379">
        <v>80</v>
      </c>
      <c r="S82" s="384">
        <v>0.5</v>
      </c>
      <c r="T82" s="379">
        <v>45177.21</v>
      </c>
      <c r="U82" s="379">
        <v>0</v>
      </c>
      <c r="V82" s="379">
        <v>15086.08</v>
      </c>
      <c r="W82" s="379">
        <v>45500</v>
      </c>
      <c r="X82" s="379">
        <v>15537.88</v>
      </c>
      <c r="Y82" s="379">
        <v>45500</v>
      </c>
      <c r="Z82" s="379">
        <v>15319.48</v>
      </c>
      <c r="AA82" s="375" t="s">
        <v>429</v>
      </c>
      <c r="AB82" s="375" t="s">
        <v>430</v>
      </c>
      <c r="AC82" s="375" t="s">
        <v>431</v>
      </c>
      <c r="AD82" s="375" t="s">
        <v>220</v>
      </c>
      <c r="AE82" s="375" t="s">
        <v>428</v>
      </c>
      <c r="AF82" s="375" t="s">
        <v>388</v>
      </c>
      <c r="AG82" s="375" t="s">
        <v>183</v>
      </c>
      <c r="AH82" s="380">
        <v>43.75</v>
      </c>
      <c r="AI82" s="380">
        <v>3212.8</v>
      </c>
      <c r="AJ82" s="375" t="s">
        <v>184</v>
      </c>
      <c r="AK82" s="375" t="s">
        <v>185</v>
      </c>
      <c r="AL82" s="375" t="s">
        <v>173</v>
      </c>
      <c r="AM82" s="375" t="s">
        <v>186</v>
      </c>
      <c r="AN82" s="375" t="s">
        <v>68</v>
      </c>
      <c r="AO82" s="378">
        <v>80</v>
      </c>
      <c r="AP82" s="384">
        <v>1</v>
      </c>
      <c r="AQ82" s="384">
        <v>0.5</v>
      </c>
      <c r="AR82" s="383" t="s">
        <v>187</v>
      </c>
      <c r="AS82" s="386">
        <f t="shared" si="71"/>
        <v>0.5</v>
      </c>
      <c r="AT82">
        <f t="shared" si="72"/>
        <v>1</v>
      </c>
      <c r="AU82" s="386">
        <f>IF(AT82=0,"",IF(AND(AT82=1,M82="F",SUMIF(C2:C557,C82,AS2:AS557)&lt;=1),SUMIF(C2:C557,C82,AS2:AS557),IF(AND(AT82=1,M82="F",SUMIF(C2:C557,C82,AS2:AS557)&gt;1),1,"")))</f>
        <v>1</v>
      </c>
      <c r="AV82" s="386" t="str">
        <f>IF(AT82=0,"",IF(AND(AT82=3,M82="F",SUMIF(C2:C557,C82,AS2:AS557)&lt;=1),SUMIF(C2:C557,C82,AS2:AS557),IF(AND(AT82=3,M82="F",SUMIF(C2:C557,C82,AS2:AS557)&gt;1),1,"")))</f>
        <v/>
      </c>
      <c r="AW82" s="386">
        <f>SUMIF(C2:C557,C82,O2:O557)</f>
        <v>2</v>
      </c>
      <c r="AX82" s="386">
        <f>IF(AND(M82="F",AS82&lt;&gt;0),SUMIF(C2:C557,C82,W2:W557),0)</f>
        <v>91000</v>
      </c>
      <c r="AY82" s="386">
        <f t="shared" si="73"/>
        <v>45500</v>
      </c>
      <c r="AZ82" s="386" t="str">
        <f t="shared" si="74"/>
        <v/>
      </c>
      <c r="BA82" s="386">
        <f t="shared" si="75"/>
        <v>0</v>
      </c>
      <c r="BB82" s="386">
        <f t="shared" si="44"/>
        <v>5825</v>
      </c>
      <c r="BC82" s="386">
        <f t="shared" si="45"/>
        <v>0</v>
      </c>
      <c r="BD82" s="386">
        <f t="shared" si="46"/>
        <v>2821</v>
      </c>
      <c r="BE82" s="386">
        <f t="shared" si="47"/>
        <v>659.75</v>
      </c>
      <c r="BF82" s="386">
        <f t="shared" si="48"/>
        <v>5432.7000000000007</v>
      </c>
      <c r="BG82" s="386">
        <f t="shared" si="49"/>
        <v>328.05500000000001</v>
      </c>
      <c r="BH82" s="386">
        <f t="shared" si="50"/>
        <v>222.95</v>
      </c>
      <c r="BI82" s="386">
        <f t="shared" si="51"/>
        <v>139.22999999999999</v>
      </c>
      <c r="BJ82" s="386">
        <f t="shared" si="52"/>
        <v>109.19999999999999</v>
      </c>
      <c r="BK82" s="386">
        <f t="shared" si="53"/>
        <v>0</v>
      </c>
      <c r="BL82" s="386">
        <f t="shared" si="76"/>
        <v>9712.885000000002</v>
      </c>
      <c r="BM82" s="386">
        <f t="shared" si="77"/>
        <v>0</v>
      </c>
      <c r="BN82" s="386">
        <f t="shared" si="54"/>
        <v>5825</v>
      </c>
      <c r="BO82" s="386">
        <f t="shared" si="55"/>
        <v>0</v>
      </c>
      <c r="BP82" s="386">
        <f t="shared" si="56"/>
        <v>2821</v>
      </c>
      <c r="BQ82" s="386">
        <f t="shared" si="57"/>
        <v>659.75</v>
      </c>
      <c r="BR82" s="386">
        <f t="shared" si="58"/>
        <v>5432.7000000000007</v>
      </c>
      <c r="BS82" s="386">
        <f t="shared" si="59"/>
        <v>328.05500000000001</v>
      </c>
      <c r="BT82" s="386">
        <f t="shared" si="60"/>
        <v>0</v>
      </c>
      <c r="BU82" s="386">
        <f t="shared" si="61"/>
        <v>139.22999999999999</v>
      </c>
      <c r="BV82" s="386">
        <f t="shared" si="62"/>
        <v>113.75</v>
      </c>
      <c r="BW82" s="386">
        <f t="shared" si="63"/>
        <v>0</v>
      </c>
      <c r="BX82" s="386">
        <f t="shared" si="78"/>
        <v>9494.4850000000006</v>
      </c>
      <c r="BY82" s="386">
        <f t="shared" si="79"/>
        <v>0</v>
      </c>
      <c r="BZ82" s="386">
        <f t="shared" si="80"/>
        <v>0</v>
      </c>
      <c r="CA82" s="386">
        <f t="shared" si="81"/>
        <v>0</v>
      </c>
      <c r="CB82" s="386">
        <f t="shared" si="82"/>
        <v>0</v>
      </c>
      <c r="CC82" s="386">
        <f t="shared" si="64"/>
        <v>0</v>
      </c>
      <c r="CD82" s="386">
        <f t="shared" si="65"/>
        <v>0</v>
      </c>
      <c r="CE82" s="386">
        <f t="shared" si="66"/>
        <v>0</v>
      </c>
      <c r="CF82" s="386">
        <f t="shared" si="67"/>
        <v>-222.95</v>
      </c>
      <c r="CG82" s="386">
        <f t="shared" si="68"/>
        <v>0</v>
      </c>
      <c r="CH82" s="386">
        <f t="shared" si="69"/>
        <v>4.5500000000000123</v>
      </c>
      <c r="CI82" s="386">
        <f t="shared" si="70"/>
        <v>0</v>
      </c>
      <c r="CJ82" s="386">
        <f t="shared" si="83"/>
        <v>-218.39999999999998</v>
      </c>
      <c r="CK82" s="386" t="str">
        <f t="shared" si="84"/>
        <v/>
      </c>
      <c r="CL82" s="386" t="str">
        <f t="shared" si="85"/>
        <v/>
      </c>
      <c r="CM82" s="386" t="str">
        <f t="shared" si="86"/>
        <v/>
      </c>
      <c r="CN82" s="386" t="str">
        <f t="shared" si="87"/>
        <v>0338-02</v>
      </c>
    </row>
    <row r="83" spans="1:92" ht="15.75" thickBot="1" x14ac:dyDescent="0.3">
      <c r="A83" s="375" t="s">
        <v>161</v>
      </c>
      <c r="B83" s="375" t="s">
        <v>162</v>
      </c>
      <c r="C83" s="375" t="s">
        <v>533</v>
      </c>
      <c r="D83" s="375" t="s">
        <v>189</v>
      </c>
      <c r="E83" s="375" t="s">
        <v>526</v>
      </c>
      <c r="F83" s="381" t="s">
        <v>529</v>
      </c>
      <c r="G83" s="375" t="s">
        <v>167</v>
      </c>
      <c r="H83" s="377"/>
      <c r="I83" s="377"/>
      <c r="J83" s="375" t="s">
        <v>168</v>
      </c>
      <c r="K83" s="375" t="s">
        <v>190</v>
      </c>
      <c r="L83" s="375" t="s">
        <v>166</v>
      </c>
      <c r="M83" s="375" t="s">
        <v>177</v>
      </c>
      <c r="N83" s="375" t="s">
        <v>172</v>
      </c>
      <c r="O83" s="378">
        <v>1</v>
      </c>
      <c r="P83" s="384">
        <v>1</v>
      </c>
      <c r="Q83" s="384">
        <v>1</v>
      </c>
      <c r="R83" s="379">
        <v>80</v>
      </c>
      <c r="S83" s="384">
        <v>1</v>
      </c>
      <c r="T83" s="379">
        <v>0</v>
      </c>
      <c r="U83" s="379">
        <v>0</v>
      </c>
      <c r="V83" s="379">
        <v>0</v>
      </c>
      <c r="W83" s="379">
        <v>106072</v>
      </c>
      <c r="X83" s="379">
        <v>33448.83</v>
      </c>
      <c r="Y83" s="379">
        <v>106072</v>
      </c>
      <c r="Z83" s="379">
        <v>33459.440000000002</v>
      </c>
      <c r="AA83" s="375" t="s">
        <v>534</v>
      </c>
      <c r="AB83" s="375" t="s">
        <v>535</v>
      </c>
      <c r="AC83" s="375" t="s">
        <v>536</v>
      </c>
      <c r="AD83" s="375" t="s">
        <v>181</v>
      </c>
      <c r="AE83" s="375" t="s">
        <v>190</v>
      </c>
      <c r="AF83" s="375" t="s">
        <v>182</v>
      </c>
      <c r="AG83" s="375" t="s">
        <v>195</v>
      </c>
      <c r="AH83" s="378">
        <v>106072</v>
      </c>
      <c r="AI83" s="378">
        <v>1520</v>
      </c>
      <c r="AJ83" s="375" t="s">
        <v>184</v>
      </c>
      <c r="AK83" s="375" t="s">
        <v>185</v>
      </c>
      <c r="AL83" s="375" t="s">
        <v>173</v>
      </c>
      <c r="AM83" s="375" t="s">
        <v>173</v>
      </c>
      <c r="AN83" s="375" t="s">
        <v>68</v>
      </c>
      <c r="AO83" s="378">
        <v>80</v>
      </c>
      <c r="AP83" s="384">
        <v>1</v>
      </c>
      <c r="AQ83" s="384">
        <v>1</v>
      </c>
      <c r="AR83" s="383" t="s">
        <v>187</v>
      </c>
      <c r="AS83" s="386">
        <f t="shared" si="71"/>
        <v>1</v>
      </c>
      <c r="AT83">
        <f t="shared" si="72"/>
        <v>3</v>
      </c>
      <c r="AU83" s="386" t="str">
        <f>IF(AT83=0,"",IF(AND(AT83=1,M83="F",SUMIF(C2:C557,C83,AS2:AS557)&lt;=1),SUMIF(C2:C557,C83,AS2:AS557),IF(AND(AT83=1,M83="F",SUMIF(C2:C557,C83,AS2:AS557)&gt;1),1,"")))</f>
        <v/>
      </c>
      <c r="AV83" s="386">
        <f>IF(AT83=0,"",IF(AND(AT83=3,M83="F",SUMIF(C2:C557,C83,AS2:AS557)&lt;=1),SUMIF(C2:C557,C83,AS2:AS557),IF(AND(AT83=3,M83="F",SUMIF(C2:C557,C83,AS2:AS557)&gt;1),1,"")))</f>
        <v>1</v>
      </c>
      <c r="AW83" s="386">
        <f>SUMIF(C2:C557,C83,O2:O557)</f>
        <v>2</v>
      </c>
      <c r="AX83" s="386">
        <f>IF(AND(M83="F",AS83&lt;&gt;0),SUMIF(C2:C557,C83,W2:W557),0)</f>
        <v>106072</v>
      </c>
      <c r="AY83" s="386" t="str">
        <f t="shared" si="73"/>
        <v/>
      </c>
      <c r="AZ83" s="386">
        <f t="shared" si="74"/>
        <v>106072</v>
      </c>
      <c r="BA83" s="386">
        <f t="shared" si="75"/>
        <v>0</v>
      </c>
      <c r="BB83" s="386">
        <f t="shared" si="44"/>
        <v>0</v>
      </c>
      <c r="BC83" s="386">
        <f t="shared" si="45"/>
        <v>11650</v>
      </c>
      <c r="BD83" s="386">
        <f t="shared" si="46"/>
        <v>6576.4639999999999</v>
      </c>
      <c r="BE83" s="386">
        <f t="shared" si="47"/>
        <v>1538.0440000000001</v>
      </c>
      <c r="BF83" s="386">
        <f t="shared" si="48"/>
        <v>12664.996800000001</v>
      </c>
      <c r="BG83" s="386">
        <f t="shared" si="49"/>
        <v>764.77912000000003</v>
      </c>
      <c r="BH83" s="386">
        <f t="shared" si="50"/>
        <v>0</v>
      </c>
      <c r="BI83" s="386">
        <f t="shared" si="51"/>
        <v>0</v>
      </c>
      <c r="BJ83" s="386">
        <f t="shared" si="52"/>
        <v>254.57279999999997</v>
      </c>
      <c r="BK83" s="386">
        <f t="shared" si="53"/>
        <v>0</v>
      </c>
      <c r="BL83" s="386">
        <f t="shared" si="76"/>
        <v>0</v>
      </c>
      <c r="BM83" s="386">
        <f t="shared" si="77"/>
        <v>21798.856720000003</v>
      </c>
      <c r="BN83" s="386">
        <f t="shared" si="54"/>
        <v>0</v>
      </c>
      <c r="BO83" s="386">
        <f t="shared" si="55"/>
        <v>11650</v>
      </c>
      <c r="BP83" s="386">
        <f t="shared" si="56"/>
        <v>6576.4639999999999</v>
      </c>
      <c r="BQ83" s="386">
        <f t="shared" si="57"/>
        <v>1538.0440000000001</v>
      </c>
      <c r="BR83" s="386">
        <f t="shared" si="58"/>
        <v>12664.996800000001</v>
      </c>
      <c r="BS83" s="386">
        <f t="shared" si="59"/>
        <v>764.77912000000003</v>
      </c>
      <c r="BT83" s="386">
        <f t="shared" si="60"/>
        <v>0</v>
      </c>
      <c r="BU83" s="386">
        <f t="shared" si="61"/>
        <v>0</v>
      </c>
      <c r="BV83" s="386">
        <f t="shared" si="62"/>
        <v>265.18</v>
      </c>
      <c r="BW83" s="386">
        <f t="shared" si="63"/>
        <v>0</v>
      </c>
      <c r="BX83" s="386">
        <f t="shared" si="78"/>
        <v>0</v>
      </c>
      <c r="BY83" s="386">
        <f t="shared" si="79"/>
        <v>21809.463920000002</v>
      </c>
      <c r="BZ83" s="386">
        <f t="shared" si="80"/>
        <v>0</v>
      </c>
      <c r="CA83" s="386">
        <f t="shared" si="81"/>
        <v>0</v>
      </c>
      <c r="CB83" s="386">
        <f t="shared" si="82"/>
        <v>0</v>
      </c>
      <c r="CC83" s="386">
        <f t="shared" si="64"/>
        <v>0</v>
      </c>
      <c r="CD83" s="386">
        <f t="shared" si="65"/>
        <v>0</v>
      </c>
      <c r="CE83" s="386">
        <f t="shared" si="66"/>
        <v>0</v>
      </c>
      <c r="CF83" s="386">
        <f t="shared" si="67"/>
        <v>0</v>
      </c>
      <c r="CG83" s="386">
        <f t="shared" si="68"/>
        <v>0</v>
      </c>
      <c r="CH83" s="386">
        <f t="shared" si="69"/>
        <v>10.607200000000027</v>
      </c>
      <c r="CI83" s="386">
        <f t="shared" si="70"/>
        <v>0</v>
      </c>
      <c r="CJ83" s="386">
        <f t="shared" si="83"/>
        <v>0</v>
      </c>
      <c r="CK83" s="386">
        <f t="shared" si="84"/>
        <v>10.607200000000027</v>
      </c>
      <c r="CL83" s="386" t="str">
        <f t="shared" si="85"/>
        <v/>
      </c>
      <c r="CM83" s="386" t="str">
        <f t="shared" si="86"/>
        <v/>
      </c>
      <c r="CN83" s="386" t="str">
        <f t="shared" si="87"/>
        <v>0338-02</v>
      </c>
    </row>
    <row r="84" spans="1:92" ht="15.75" thickBot="1" x14ac:dyDescent="0.3">
      <c r="A84" s="375" t="s">
        <v>161</v>
      </c>
      <c r="B84" s="375" t="s">
        <v>162</v>
      </c>
      <c r="C84" s="375" t="s">
        <v>270</v>
      </c>
      <c r="D84" s="375" t="s">
        <v>271</v>
      </c>
      <c r="E84" s="375" t="s">
        <v>526</v>
      </c>
      <c r="F84" s="381" t="s">
        <v>529</v>
      </c>
      <c r="G84" s="375" t="s">
        <v>167</v>
      </c>
      <c r="H84" s="377"/>
      <c r="I84" s="377"/>
      <c r="J84" s="375" t="s">
        <v>272</v>
      </c>
      <c r="K84" s="375" t="s">
        <v>273</v>
      </c>
      <c r="L84" s="375" t="s">
        <v>274</v>
      </c>
      <c r="M84" s="375" t="s">
        <v>171</v>
      </c>
      <c r="N84" s="375" t="s">
        <v>199</v>
      </c>
      <c r="O84" s="378">
        <v>0</v>
      </c>
      <c r="P84" s="384">
        <v>0.3</v>
      </c>
      <c r="Q84" s="384">
        <v>0.3</v>
      </c>
      <c r="R84" s="379">
        <v>80</v>
      </c>
      <c r="S84" s="384">
        <v>0.3</v>
      </c>
      <c r="T84" s="379">
        <v>31988.03</v>
      </c>
      <c r="U84" s="379">
        <v>0</v>
      </c>
      <c r="V84" s="379">
        <v>9382.75</v>
      </c>
      <c r="W84" s="379">
        <v>21708.959999999999</v>
      </c>
      <c r="X84" s="379">
        <v>9508.52</v>
      </c>
      <c r="Y84" s="379">
        <v>21708.959999999999</v>
      </c>
      <c r="Z84" s="379">
        <v>9399.9699999999993</v>
      </c>
      <c r="AA84" s="377"/>
      <c r="AB84" s="375" t="s">
        <v>45</v>
      </c>
      <c r="AC84" s="375" t="s">
        <v>45</v>
      </c>
      <c r="AD84" s="377"/>
      <c r="AE84" s="377"/>
      <c r="AF84" s="377"/>
      <c r="AG84" s="377"/>
      <c r="AH84" s="378">
        <v>0</v>
      </c>
      <c r="AI84" s="378">
        <v>0</v>
      </c>
      <c r="AJ84" s="377"/>
      <c r="AK84" s="377"/>
      <c r="AL84" s="375" t="s">
        <v>173</v>
      </c>
      <c r="AM84" s="377"/>
      <c r="AN84" s="377"/>
      <c r="AO84" s="378">
        <v>0</v>
      </c>
      <c r="AP84" s="384">
        <v>0</v>
      </c>
      <c r="AQ84" s="384">
        <v>0</v>
      </c>
      <c r="AR84" s="382"/>
      <c r="AS84" s="386">
        <f t="shared" si="71"/>
        <v>0</v>
      </c>
      <c r="AT84">
        <f t="shared" si="72"/>
        <v>0</v>
      </c>
      <c r="AU84" s="386" t="str">
        <f>IF(AT84=0,"",IF(AND(AT84=1,M84="F",SUMIF(C2:C557,C84,AS2:AS557)&lt;=1),SUMIF(C2:C557,C84,AS2:AS557),IF(AND(AT84=1,M84="F",SUMIF(C2:C557,C84,AS2:AS557)&gt;1),1,"")))</f>
        <v/>
      </c>
      <c r="AV84" s="386" t="str">
        <f>IF(AT84=0,"",IF(AND(AT84=3,M84="F",SUMIF(C2:C557,C84,AS2:AS557)&lt;=1),SUMIF(C2:C557,C84,AS2:AS557),IF(AND(AT84=3,M84="F",SUMIF(C2:C557,C84,AS2:AS557)&gt;1),1,"")))</f>
        <v/>
      </c>
      <c r="AW84" s="386">
        <f>SUMIF(C2:C557,C84,O2:O557)</f>
        <v>0</v>
      </c>
      <c r="AX84" s="386">
        <f>IF(AND(M84="F",AS84&lt;&gt;0),SUMIF(C2:C557,C84,W2:W557),0)</f>
        <v>0</v>
      </c>
      <c r="AY84" s="386" t="str">
        <f t="shared" si="73"/>
        <v/>
      </c>
      <c r="AZ84" s="386" t="str">
        <f t="shared" si="74"/>
        <v/>
      </c>
      <c r="BA84" s="386">
        <f t="shared" si="75"/>
        <v>0</v>
      </c>
      <c r="BB84" s="386">
        <f t="shared" si="44"/>
        <v>0</v>
      </c>
      <c r="BC84" s="386">
        <f t="shared" si="45"/>
        <v>0</v>
      </c>
      <c r="BD84" s="386">
        <f t="shared" si="46"/>
        <v>0</v>
      </c>
      <c r="BE84" s="386">
        <f t="shared" si="47"/>
        <v>0</v>
      </c>
      <c r="BF84" s="386">
        <f t="shared" si="48"/>
        <v>0</v>
      </c>
      <c r="BG84" s="386">
        <f t="shared" si="49"/>
        <v>0</v>
      </c>
      <c r="BH84" s="386">
        <f t="shared" si="50"/>
        <v>0</v>
      </c>
      <c r="BI84" s="386">
        <f t="shared" si="51"/>
        <v>0</v>
      </c>
      <c r="BJ84" s="386">
        <f t="shared" si="52"/>
        <v>0</v>
      </c>
      <c r="BK84" s="386">
        <f t="shared" si="53"/>
        <v>0</v>
      </c>
      <c r="BL84" s="386">
        <f t="shared" si="76"/>
        <v>0</v>
      </c>
      <c r="BM84" s="386">
        <f t="shared" si="77"/>
        <v>0</v>
      </c>
      <c r="BN84" s="386">
        <f t="shared" si="54"/>
        <v>0</v>
      </c>
      <c r="BO84" s="386">
        <f t="shared" si="55"/>
        <v>0</v>
      </c>
      <c r="BP84" s="386">
        <f t="shared" si="56"/>
        <v>0</v>
      </c>
      <c r="BQ84" s="386">
        <f t="shared" si="57"/>
        <v>0</v>
      </c>
      <c r="BR84" s="386">
        <f t="shared" si="58"/>
        <v>0</v>
      </c>
      <c r="BS84" s="386">
        <f t="shared" si="59"/>
        <v>0</v>
      </c>
      <c r="BT84" s="386">
        <f t="shared" si="60"/>
        <v>0</v>
      </c>
      <c r="BU84" s="386">
        <f t="shared" si="61"/>
        <v>0</v>
      </c>
      <c r="BV84" s="386">
        <f t="shared" si="62"/>
        <v>0</v>
      </c>
      <c r="BW84" s="386">
        <f t="shared" si="63"/>
        <v>0</v>
      </c>
      <c r="BX84" s="386">
        <f t="shared" si="78"/>
        <v>0</v>
      </c>
      <c r="BY84" s="386">
        <f t="shared" si="79"/>
        <v>0</v>
      </c>
      <c r="BZ84" s="386">
        <f t="shared" si="80"/>
        <v>0</v>
      </c>
      <c r="CA84" s="386">
        <f t="shared" si="81"/>
        <v>0</v>
      </c>
      <c r="CB84" s="386">
        <f t="shared" si="82"/>
        <v>0</v>
      </c>
      <c r="CC84" s="386">
        <f t="shared" si="64"/>
        <v>0</v>
      </c>
      <c r="CD84" s="386">
        <f t="shared" si="65"/>
        <v>0</v>
      </c>
      <c r="CE84" s="386">
        <f t="shared" si="66"/>
        <v>0</v>
      </c>
      <c r="CF84" s="386">
        <f t="shared" si="67"/>
        <v>0</v>
      </c>
      <c r="CG84" s="386">
        <f t="shared" si="68"/>
        <v>0</v>
      </c>
      <c r="CH84" s="386">
        <f t="shared" si="69"/>
        <v>0</v>
      </c>
      <c r="CI84" s="386">
        <f t="shared" si="70"/>
        <v>0</v>
      </c>
      <c r="CJ84" s="386">
        <f t="shared" si="83"/>
        <v>0</v>
      </c>
      <c r="CK84" s="386" t="str">
        <f t="shared" si="84"/>
        <v/>
      </c>
      <c r="CL84" s="386" t="str">
        <f t="shared" si="85"/>
        <v/>
      </c>
      <c r="CM84" s="386" t="str">
        <f t="shared" si="86"/>
        <v/>
      </c>
      <c r="CN84" s="386" t="str">
        <f t="shared" si="87"/>
        <v>0338-02</v>
      </c>
    </row>
    <row r="85" spans="1:92" ht="15.75" thickBot="1" x14ac:dyDescent="0.3">
      <c r="A85" s="375" t="s">
        <v>161</v>
      </c>
      <c r="B85" s="375" t="s">
        <v>162</v>
      </c>
      <c r="C85" s="375" t="s">
        <v>404</v>
      </c>
      <c r="D85" s="375" t="s">
        <v>405</v>
      </c>
      <c r="E85" s="375" t="s">
        <v>526</v>
      </c>
      <c r="F85" s="381" t="s">
        <v>529</v>
      </c>
      <c r="G85" s="375" t="s">
        <v>167</v>
      </c>
      <c r="H85" s="377"/>
      <c r="I85" s="377"/>
      <c r="J85" s="375" t="s">
        <v>272</v>
      </c>
      <c r="K85" s="375" t="s">
        <v>406</v>
      </c>
      <c r="L85" s="375" t="s">
        <v>166</v>
      </c>
      <c r="M85" s="375" t="s">
        <v>171</v>
      </c>
      <c r="N85" s="375" t="s">
        <v>172</v>
      </c>
      <c r="O85" s="378">
        <v>0</v>
      </c>
      <c r="P85" s="384">
        <v>0.2</v>
      </c>
      <c r="Q85" s="384">
        <v>0.2</v>
      </c>
      <c r="R85" s="379">
        <v>80</v>
      </c>
      <c r="S85" s="384">
        <v>0.2</v>
      </c>
      <c r="T85" s="379">
        <v>25059.19</v>
      </c>
      <c r="U85" s="379">
        <v>0</v>
      </c>
      <c r="V85" s="379">
        <v>7979.41</v>
      </c>
      <c r="W85" s="379">
        <v>19219.2</v>
      </c>
      <c r="X85" s="379">
        <v>8418</v>
      </c>
      <c r="Y85" s="379">
        <v>19219.2</v>
      </c>
      <c r="Z85" s="379">
        <v>8321.91</v>
      </c>
      <c r="AA85" s="377"/>
      <c r="AB85" s="375" t="s">
        <v>45</v>
      </c>
      <c r="AC85" s="375" t="s">
        <v>45</v>
      </c>
      <c r="AD85" s="377"/>
      <c r="AE85" s="377"/>
      <c r="AF85" s="377"/>
      <c r="AG85" s="377"/>
      <c r="AH85" s="378">
        <v>0</v>
      </c>
      <c r="AI85" s="378">
        <v>0</v>
      </c>
      <c r="AJ85" s="377"/>
      <c r="AK85" s="377"/>
      <c r="AL85" s="375" t="s">
        <v>173</v>
      </c>
      <c r="AM85" s="377"/>
      <c r="AN85" s="377"/>
      <c r="AO85" s="378">
        <v>0</v>
      </c>
      <c r="AP85" s="384">
        <v>0</v>
      </c>
      <c r="AQ85" s="384">
        <v>0</v>
      </c>
      <c r="AR85" s="382"/>
      <c r="AS85" s="386">
        <f t="shared" si="71"/>
        <v>0</v>
      </c>
      <c r="AT85">
        <f t="shared" si="72"/>
        <v>0</v>
      </c>
      <c r="AU85" s="386" t="str">
        <f>IF(AT85=0,"",IF(AND(AT85=1,M85="F",SUMIF(C2:C557,C85,AS2:AS557)&lt;=1),SUMIF(C2:C557,C85,AS2:AS557),IF(AND(AT85=1,M85="F",SUMIF(C2:C557,C85,AS2:AS557)&gt;1),1,"")))</f>
        <v/>
      </c>
      <c r="AV85" s="386" t="str">
        <f>IF(AT85=0,"",IF(AND(AT85=3,M85="F",SUMIF(C2:C557,C85,AS2:AS557)&lt;=1),SUMIF(C2:C557,C85,AS2:AS557),IF(AND(AT85=3,M85="F",SUMIF(C2:C557,C85,AS2:AS557)&gt;1),1,"")))</f>
        <v/>
      </c>
      <c r="AW85" s="386">
        <f>SUMIF(C2:C557,C85,O2:O557)</f>
        <v>0</v>
      </c>
      <c r="AX85" s="386">
        <f>IF(AND(M85="F",AS85&lt;&gt;0),SUMIF(C2:C557,C85,W2:W557),0)</f>
        <v>0</v>
      </c>
      <c r="AY85" s="386" t="str">
        <f t="shared" si="73"/>
        <v/>
      </c>
      <c r="AZ85" s="386" t="str">
        <f t="shared" si="74"/>
        <v/>
      </c>
      <c r="BA85" s="386">
        <f t="shared" si="75"/>
        <v>0</v>
      </c>
      <c r="BB85" s="386">
        <f t="shared" si="44"/>
        <v>0</v>
      </c>
      <c r="BC85" s="386">
        <f t="shared" si="45"/>
        <v>0</v>
      </c>
      <c r="BD85" s="386">
        <f t="shared" si="46"/>
        <v>0</v>
      </c>
      <c r="BE85" s="386">
        <f t="shared" si="47"/>
        <v>0</v>
      </c>
      <c r="BF85" s="386">
        <f t="shared" si="48"/>
        <v>0</v>
      </c>
      <c r="BG85" s="386">
        <f t="shared" si="49"/>
        <v>0</v>
      </c>
      <c r="BH85" s="386">
        <f t="shared" si="50"/>
        <v>0</v>
      </c>
      <c r="BI85" s="386">
        <f t="shared" si="51"/>
        <v>0</v>
      </c>
      <c r="BJ85" s="386">
        <f t="shared" si="52"/>
        <v>0</v>
      </c>
      <c r="BK85" s="386">
        <f t="shared" si="53"/>
        <v>0</v>
      </c>
      <c r="BL85" s="386">
        <f t="shared" si="76"/>
        <v>0</v>
      </c>
      <c r="BM85" s="386">
        <f t="shared" si="77"/>
        <v>0</v>
      </c>
      <c r="BN85" s="386">
        <f t="shared" si="54"/>
        <v>0</v>
      </c>
      <c r="BO85" s="386">
        <f t="shared" si="55"/>
        <v>0</v>
      </c>
      <c r="BP85" s="386">
        <f t="shared" si="56"/>
        <v>0</v>
      </c>
      <c r="BQ85" s="386">
        <f t="shared" si="57"/>
        <v>0</v>
      </c>
      <c r="BR85" s="386">
        <f t="shared" si="58"/>
        <v>0</v>
      </c>
      <c r="BS85" s="386">
        <f t="shared" si="59"/>
        <v>0</v>
      </c>
      <c r="BT85" s="386">
        <f t="shared" si="60"/>
        <v>0</v>
      </c>
      <c r="BU85" s="386">
        <f t="shared" si="61"/>
        <v>0</v>
      </c>
      <c r="BV85" s="386">
        <f t="shared" si="62"/>
        <v>0</v>
      </c>
      <c r="BW85" s="386">
        <f t="shared" si="63"/>
        <v>0</v>
      </c>
      <c r="BX85" s="386">
        <f t="shared" si="78"/>
        <v>0</v>
      </c>
      <c r="BY85" s="386">
        <f t="shared" si="79"/>
        <v>0</v>
      </c>
      <c r="BZ85" s="386">
        <f t="shared" si="80"/>
        <v>0</v>
      </c>
      <c r="CA85" s="386">
        <f t="shared" si="81"/>
        <v>0</v>
      </c>
      <c r="CB85" s="386">
        <f t="shared" si="82"/>
        <v>0</v>
      </c>
      <c r="CC85" s="386">
        <f t="shared" si="64"/>
        <v>0</v>
      </c>
      <c r="CD85" s="386">
        <f t="shared" si="65"/>
        <v>0</v>
      </c>
      <c r="CE85" s="386">
        <f t="shared" si="66"/>
        <v>0</v>
      </c>
      <c r="CF85" s="386">
        <f t="shared" si="67"/>
        <v>0</v>
      </c>
      <c r="CG85" s="386">
        <f t="shared" si="68"/>
        <v>0</v>
      </c>
      <c r="CH85" s="386">
        <f t="shared" si="69"/>
        <v>0</v>
      </c>
      <c r="CI85" s="386">
        <f t="shared" si="70"/>
        <v>0</v>
      </c>
      <c r="CJ85" s="386">
        <f t="shared" si="83"/>
        <v>0</v>
      </c>
      <c r="CK85" s="386" t="str">
        <f t="shared" si="84"/>
        <v/>
      </c>
      <c r="CL85" s="386" t="str">
        <f t="shared" si="85"/>
        <v/>
      </c>
      <c r="CM85" s="386" t="str">
        <f t="shared" si="86"/>
        <v/>
      </c>
      <c r="CN85" s="386" t="str">
        <f t="shared" si="87"/>
        <v>0338-02</v>
      </c>
    </row>
    <row r="86" spans="1:92" ht="15.75" thickBot="1" x14ac:dyDescent="0.3">
      <c r="A86" s="375" t="s">
        <v>161</v>
      </c>
      <c r="B86" s="375" t="s">
        <v>162</v>
      </c>
      <c r="C86" s="375" t="s">
        <v>537</v>
      </c>
      <c r="D86" s="375" t="s">
        <v>164</v>
      </c>
      <c r="E86" s="375" t="s">
        <v>526</v>
      </c>
      <c r="F86" s="381" t="s">
        <v>529</v>
      </c>
      <c r="G86" s="375" t="s">
        <v>167</v>
      </c>
      <c r="H86" s="377"/>
      <c r="I86" s="377"/>
      <c r="J86" s="375" t="s">
        <v>168</v>
      </c>
      <c r="K86" s="375" t="s">
        <v>169</v>
      </c>
      <c r="L86" s="375" t="s">
        <v>170</v>
      </c>
      <c r="M86" s="375" t="s">
        <v>177</v>
      </c>
      <c r="N86" s="375" t="s">
        <v>199</v>
      </c>
      <c r="O86" s="378">
        <v>1</v>
      </c>
      <c r="P86" s="384">
        <v>1</v>
      </c>
      <c r="Q86" s="384">
        <v>1</v>
      </c>
      <c r="R86" s="379">
        <v>80</v>
      </c>
      <c r="S86" s="384">
        <v>1</v>
      </c>
      <c r="T86" s="379">
        <v>28905.21</v>
      </c>
      <c r="U86" s="379">
        <v>0</v>
      </c>
      <c r="V86" s="379">
        <v>11015.91</v>
      </c>
      <c r="W86" s="379">
        <v>53643.199999999997</v>
      </c>
      <c r="X86" s="379">
        <v>23101.17</v>
      </c>
      <c r="Y86" s="379">
        <v>53643.199999999997</v>
      </c>
      <c r="Z86" s="379">
        <v>22843.68</v>
      </c>
      <c r="AA86" s="375" t="s">
        <v>538</v>
      </c>
      <c r="AB86" s="375" t="s">
        <v>539</v>
      </c>
      <c r="AC86" s="375" t="s">
        <v>540</v>
      </c>
      <c r="AD86" s="375" t="s">
        <v>195</v>
      </c>
      <c r="AE86" s="375" t="s">
        <v>169</v>
      </c>
      <c r="AF86" s="375" t="s">
        <v>269</v>
      </c>
      <c r="AG86" s="375" t="s">
        <v>183</v>
      </c>
      <c r="AH86" s="380">
        <v>25.79</v>
      </c>
      <c r="AI86" s="380">
        <v>7070.7</v>
      </c>
      <c r="AJ86" s="375" t="s">
        <v>184</v>
      </c>
      <c r="AK86" s="375" t="s">
        <v>185</v>
      </c>
      <c r="AL86" s="375" t="s">
        <v>173</v>
      </c>
      <c r="AM86" s="375" t="s">
        <v>186</v>
      </c>
      <c r="AN86" s="375" t="s">
        <v>68</v>
      </c>
      <c r="AO86" s="378">
        <v>80</v>
      </c>
      <c r="AP86" s="384">
        <v>1</v>
      </c>
      <c r="AQ86" s="384">
        <v>1</v>
      </c>
      <c r="AR86" s="383" t="s">
        <v>187</v>
      </c>
      <c r="AS86" s="386">
        <f t="shared" si="71"/>
        <v>1</v>
      </c>
      <c r="AT86">
        <f t="shared" si="72"/>
        <v>1</v>
      </c>
      <c r="AU86" s="386">
        <f>IF(AT86=0,"",IF(AND(AT86=1,M86="F",SUMIF(C2:C557,C86,AS2:AS557)&lt;=1),SUMIF(C2:C557,C86,AS2:AS557),IF(AND(AT86=1,M86="F",SUMIF(C2:C557,C86,AS2:AS557)&gt;1),1,"")))</f>
        <v>1</v>
      </c>
      <c r="AV86" s="386" t="str">
        <f>IF(AT86=0,"",IF(AND(AT86=3,M86="F",SUMIF(C2:C557,C86,AS2:AS557)&lt;=1),SUMIF(C2:C557,C86,AS2:AS557),IF(AND(AT86=3,M86="F",SUMIF(C2:C557,C86,AS2:AS557)&gt;1),1,"")))</f>
        <v/>
      </c>
      <c r="AW86" s="386">
        <f>SUMIF(C2:C557,C86,O2:O557)</f>
        <v>1</v>
      </c>
      <c r="AX86" s="386">
        <f>IF(AND(M86="F",AS86&lt;&gt;0),SUMIF(C2:C557,C86,W2:W557),0)</f>
        <v>53643.199999999997</v>
      </c>
      <c r="AY86" s="386">
        <f t="shared" si="73"/>
        <v>53643.199999999997</v>
      </c>
      <c r="AZ86" s="386" t="str">
        <f t="shared" si="74"/>
        <v/>
      </c>
      <c r="BA86" s="386">
        <f t="shared" si="75"/>
        <v>0</v>
      </c>
      <c r="BB86" s="386">
        <f t="shared" si="44"/>
        <v>11650</v>
      </c>
      <c r="BC86" s="386">
        <f t="shared" si="45"/>
        <v>0</v>
      </c>
      <c r="BD86" s="386">
        <f t="shared" si="46"/>
        <v>3325.8783999999996</v>
      </c>
      <c r="BE86" s="386">
        <f t="shared" si="47"/>
        <v>777.82640000000004</v>
      </c>
      <c r="BF86" s="386">
        <f t="shared" si="48"/>
        <v>6404.9980800000003</v>
      </c>
      <c r="BG86" s="386">
        <f t="shared" si="49"/>
        <v>386.767472</v>
      </c>
      <c r="BH86" s="386">
        <f t="shared" si="50"/>
        <v>262.85167999999999</v>
      </c>
      <c r="BI86" s="386">
        <f t="shared" si="51"/>
        <v>164.14819199999997</v>
      </c>
      <c r="BJ86" s="386">
        <f t="shared" si="52"/>
        <v>128.74367999999998</v>
      </c>
      <c r="BK86" s="386">
        <f t="shared" si="53"/>
        <v>0</v>
      </c>
      <c r="BL86" s="386">
        <f t="shared" si="76"/>
        <v>11451.213904</v>
      </c>
      <c r="BM86" s="386">
        <f t="shared" si="77"/>
        <v>0</v>
      </c>
      <c r="BN86" s="386">
        <f t="shared" si="54"/>
        <v>11650</v>
      </c>
      <c r="BO86" s="386">
        <f t="shared" si="55"/>
        <v>0</v>
      </c>
      <c r="BP86" s="386">
        <f t="shared" si="56"/>
        <v>3325.8783999999996</v>
      </c>
      <c r="BQ86" s="386">
        <f t="shared" si="57"/>
        <v>777.82640000000004</v>
      </c>
      <c r="BR86" s="386">
        <f t="shared" si="58"/>
        <v>6404.9980800000003</v>
      </c>
      <c r="BS86" s="386">
        <f t="shared" si="59"/>
        <v>386.767472</v>
      </c>
      <c r="BT86" s="386">
        <f t="shared" si="60"/>
        <v>0</v>
      </c>
      <c r="BU86" s="386">
        <f t="shared" si="61"/>
        <v>164.14819199999997</v>
      </c>
      <c r="BV86" s="386">
        <f t="shared" si="62"/>
        <v>134.108</v>
      </c>
      <c r="BW86" s="386">
        <f t="shared" si="63"/>
        <v>0</v>
      </c>
      <c r="BX86" s="386">
        <f t="shared" si="78"/>
        <v>11193.726544000001</v>
      </c>
      <c r="BY86" s="386">
        <f t="shared" si="79"/>
        <v>0</v>
      </c>
      <c r="BZ86" s="386">
        <f t="shared" si="80"/>
        <v>0</v>
      </c>
      <c r="CA86" s="386">
        <f t="shared" si="81"/>
        <v>0</v>
      </c>
      <c r="CB86" s="386">
        <f t="shared" si="82"/>
        <v>0</v>
      </c>
      <c r="CC86" s="386">
        <f t="shared" si="64"/>
        <v>0</v>
      </c>
      <c r="CD86" s="386">
        <f t="shared" si="65"/>
        <v>0</v>
      </c>
      <c r="CE86" s="386">
        <f t="shared" si="66"/>
        <v>0</v>
      </c>
      <c r="CF86" s="386">
        <f t="shared" si="67"/>
        <v>-262.85167999999999</v>
      </c>
      <c r="CG86" s="386">
        <f t="shared" si="68"/>
        <v>0</v>
      </c>
      <c r="CH86" s="386">
        <f t="shared" si="69"/>
        <v>5.3643200000000135</v>
      </c>
      <c r="CI86" s="386">
        <f t="shared" si="70"/>
        <v>0</v>
      </c>
      <c r="CJ86" s="386">
        <f t="shared" si="83"/>
        <v>-257.48735999999997</v>
      </c>
      <c r="CK86" s="386" t="str">
        <f t="shared" si="84"/>
        <v/>
      </c>
      <c r="CL86" s="386" t="str">
        <f t="shared" si="85"/>
        <v/>
      </c>
      <c r="CM86" s="386" t="str">
        <f t="shared" si="86"/>
        <v/>
      </c>
      <c r="CN86" s="386" t="str">
        <f t="shared" si="87"/>
        <v>0338-02</v>
      </c>
    </row>
    <row r="87" spans="1:92" ht="15.75" thickBot="1" x14ac:dyDescent="0.3">
      <c r="A87" s="375" t="s">
        <v>161</v>
      </c>
      <c r="B87" s="375" t="s">
        <v>162</v>
      </c>
      <c r="C87" s="375" t="s">
        <v>312</v>
      </c>
      <c r="D87" s="375" t="s">
        <v>247</v>
      </c>
      <c r="E87" s="375" t="s">
        <v>526</v>
      </c>
      <c r="F87" s="381" t="s">
        <v>529</v>
      </c>
      <c r="G87" s="375" t="s">
        <v>167</v>
      </c>
      <c r="H87" s="377"/>
      <c r="I87" s="377"/>
      <c r="J87" s="375" t="s">
        <v>218</v>
      </c>
      <c r="K87" s="375" t="s">
        <v>268</v>
      </c>
      <c r="L87" s="375" t="s">
        <v>170</v>
      </c>
      <c r="M87" s="375" t="s">
        <v>177</v>
      </c>
      <c r="N87" s="375" t="s">
        <v>199</v>
      </c>
      <c r="O87" s="378">
        <v>1</v>
      </c>
      <c r="P87" s="384">
        <v>0.2</v>
      </c>
      <c r="Q87" s="384">
        <v>0.2</v>
      </c>
      <c r="R87" s="379">
        <v>80</v>
      </c>
      <c r="S87" s="384">
        <v>0.2</v>
      </c>
      <c r="T87" s="379">
        <v>9297.11</v>
      </c>
      <c r="U87" s="379">
        <v>0</v>
      </c>
      <c r="V87" s="379">
        <v>4105.96</v>
      </c>
      <c r="W87" s="379">
        <v>8977.2800000000007</v>
      </c>
      <c r="X87" s="379">
        <v>4246.37</v>
      </c>
      <c r="Y87" s="379">
        <v>8977.2800000000007</v>
      </c>
      <c r="Z87" s="379">
        <v>4203.28</v>
      </c>
      <c r="AA87" s="375" t="s">
        <v>313</v>
      </c>
      <c r="AB87" s="375" t="s">
        <v>314</v>
      </c>
      <c r="AC87" s="375" t="s">
        <v>315</v>
      </c>
      <c r="AD87" s="375" t="s">
        <v>316</v>
      </c>
      <c r="AE87" s="375" t="s">
        <v>284</v>
      </c>
      <c r="AF87" s="375" t="s">
        <v>245</v>
      </c>
      <c r="AG87" s="375" t="s">
        <v>183</v>
      </c>
      <c r="AH87" s="380">
        <v>21.58</v>
      </c>
      <c r="AI87" s="380">
        <v>11426.2</v>
      </c>
      <c r="AJ87" s="375" t="s">
        <v>184</v>
      </c>
      <c r="AK87" s="375" t="s">
        <v>185</v>
      </c>
      <c r="AL87" s="375" t="s">
        <v>173</v>
      </c>
      <c r="AM87" s="375" t="s">
        <v>186</v>
      </c>
      <c r="AN87" s="375" t="s">
        <v>68</v>
      </c>
      <c r="AO87" s="378">
        <v>80</v>
      </c>
      <c r="AP87" s="384">
        <v>1</v>
      </c>
      <c r="AQ87" s="384">
        <v>0.2</v>
      </c>
      <c r="AR87" s="383">
        <v>3</v>
      </c>
      <c r="AS87" s="386">
        <f t="shared" si="71"/>
        <v>0.2</v>
      </c>
      <c r="AT87">
        <f t="shared" si="72"/>
        <v>1</v>
      </c>
      <c r="AU87" s="386">
        <f>IF(AT87=0,"",IF(AND(AT87=1,M87="F",SUMIF(C2:C557,C87,AS2:AS557)&lt;=1),SUMIF(C2:C557,C87,AS2:AS557),IF(AND(AT87=1,M87="F",SUMIF(C2:C557,C87,AS2:AS557)&gt;1),1,"")))</f>
        <v>1</v>
      </c>
      <c r="AV87" s="386" t="str">
        <f>IF(AT87=0,"",IF(AND(AT87=3,M87="F",SUMIF(C2:C557,C87,AS2:AS557)&lt;=1),SUMIF(C2:C557,C87,AS2:AS557),IF(AND(AT87=3,M87="F",SUMIF(C2:C557,C87,AS2:AS557)&gt;1),1,"")))</f>
        <v/>
      </c>
      <c r="AW87" s="386">
        <f>SUMIF(C2:C557,C87,O2:O557)</f>
        <v>2</v>
      </c>
      <c r="AX87" s="386">
        <f>IF(AND(M87="F",AS87&lt;&gt;0),SUMIF(C2:C557,C87,W2:W557),0)</f>
        <v>44886.400000000001</v>
      </c>
      <c r="AY87" s="386">
        <f t="shared" si="73"/>
        <v>8977.2800000000007</v>
      </c>
      <c r="AZ87" s="386" t="str">
        <f t="shared" si="74"/>
        <v/>
      </c>
      <c r="BA87" s="386">
        <f t="shared" si="75"/>
        <v>0</v>
      </c>
      <c r="BB87" s="386">
        <f t="shared" si="44"/>
        <v>2330</v>
      </c>
      <c r="BC87" s="386">
        <f t="shared" si="45"/>
        <v>0</v>
      </c>
      <c r="BD87" s="386">
        <f t="shared" si="46"/>
        <v>556.59136000000001</v>
      </c>
      <c r="BE87" s="386">
        <f t="shared" si="47"/>
        <v>130.17056000000002</v>
      </c>
      <c r="BF87" s="386">
        <f t="shared" si="48"/>
        <v>1071.887232</v>
      </c>
      <c r="BG87" s="386">
        <f t="shared" si="49"/>
        <v>64.726188800000003</v>
      </c>
      <c r="BH87" s="386">
        <f t="shared" si="50"/>
        <v>43.988672000000001</v>
      </c>
      <c r="BI87" s="386">
        <f t="shared" si="51"/>
        <v>27.4704768</v>
      </c>
      <c r="BJ87" s="386">
        <f t="shared" si="52"/>
        <v>21.545472</v>
      </c>
      <c r="BK87" s="386">
        <f t="shared" si="53"/>
        <v>0</v>
      </c>
      <c r="BL87" s="386">
        <f t="shared" si="76"/>
        <v>1916.3799615999999</v>
      </c>
      <c r="BM87" s="386">
        <f t="shared" si="77"/>
        <v>0</v>
      </c>
      <c r="BN87" s="386">
        <f t="shared" si="54"/>
        <v>2330</v>
      </c>
      <c r="BO87" s="386">
        <f t="shared" si="55"/>
        <v>0</v>
      </c>
      <c r="BP87" s="386">
        <f t="shared" si="56"/>
        <v>556.59136000000001</v>
      </c>
      <c r="BQ87" s="386">
        <f t="shared" si="57"/>
        <v>130.17056000000002</v>
      </c>
      <c r="BR87" s="386">
        <f t="shared" si="58"/>
        <v>1071.887232</v>
      </c>
      <c r="BS87" s="386">
        <f t="shared" si="59"/>
        <v>64.726188800000003</v>
      </c>
      <c r="BT87" s="386">
        <f t="shared" si="60"/>
        <v>0</v>
      </c>
      <c r="BU87" s="386">
        <f t="shared" si="61"/>
        <v>27.4704768</v>
      </c>
      <c r="BV87" s="386">
        <f t="shared" si="62"/>
        <v>22.443200000000001</v>
      </c>
      <c r="BW87" s="386">
        <f t="shared" si="63"/>
        <v>0</v>
      </c>
      <c r="BX87" s="386">
        <f t="shared" si="78"/>
        <v>1873.2890175999999</v>
      </c>
      <c r="BY87" s="386">
        <f t="shared" si="79"/>
        <v>0</v>
      </c>
      <c r="BZ87" s="386">
        <f t="shared" si="80"/>
        <v>0</v>
      </c>
      <c r="CA87" s="386">
        <f t="shared" si="81"/>
        <v>0</v>
      </c>
      <c r="CB87" s="386">
        <f t="shared" si="82"/>
        <v>0</v>
      </c>
      <c r="CC87" s="386">
        <f t="shared" si="64"/>
        <v>0</v>
      </c>
      <c r="CD87" s="386">
        <f t="shared" si="65"/>
        <v>0</v>
      </c>
      <c r="CE87" s="386">
        <f t="shared" si="66"/>
        <v>0</v>
      </c>
      <c r="CF87" s="386">
        <f t="shared" si="67"/>
        <v>-43.988672000000001</v>
      </c>
      <c r="CG87" s="386">
        <f t="shared" si="68"/>
        <v>0</v>
      </c>
      <c r="CH87" s="386">
        <f t="shared" si="69"/>
        <v>0.89772800000000241</v>
      </c>
      <c r="CI87" s="386">
        <f t="shared" si="70"/>
        <v>0</v>
      </c>
      <c r="CJ87" s="386">
        <f t="shared" si="83"/>
        <v>-43.090944</v>
      </c>
      <c r="CK87" s="386" t="str">
        <f t="shared" si="84"/>
        <v/>
      </c>
      <c r="CL87" s="386" t="str">
        <f t="shared" si="85"/>
        <v/>
      </c>
      <c r="CM87" s="386" t="str">
        <f t="shared" si="86"/>
        <v/>
      </c>
      <c r="CN87" s="386" t="str">
        <f t="shared" si="87"/>
        <v>0338-02</v>
      </c>
    </row>
    <row r="88" spans="1:92" ht="15.75" thickBot="1" x14ac:dyDescent="0.3">
      <c r="A88" s="375" t="s">
        <v>161</v>
      </c>
      <c r="B88" s="375" t="s">
        <v>162</v>
      </c>
      <c r="C88" s="375" t="s">
        <v>323</v>
      </c>
      <c r="D88" s="375" t="s">
        <v>324</v>
      </c>
      <c r="E88" s="375" t="s">
        <v>526</v>
      </c>
      <c r="F88" s="381" t="s">
        <v>529</v>
      </c>
      <c r="G88" s="375" t="s">
        <v>167</v>
      </c>
      <c r="H88" s="377"/>
      <c r="I88" s="377"/>
      <c r="J88" s="375" t="s">
        <v>218</v>
      </c>
      <c r="K88" s="375" t="s">
        <v>325</v>
      </c>
      <c r="L88" s="375" t="s">
        <v>170</v>
      </c>
      <c r="M88" s="375" t="s">
        <v>177</v>
      </c>
      <c r="N88" s="375" t="s">
        <v>199</v>
      </c>
      <c r="O88" s="378">
        <v>1</v>
      </c>
      <c r="P88" s="384">
        <v>0.1</v>
      </c>
      <c r="Q88" s="384">
        <v>0.1</v>
      </c>
      <c r="R88" s="379">
        <v>80</v>
      </c>
      <c r="S88" s="384">
        <v>0.1</v>
      </c>
      <c r="T88" s="379">
        <v>3359.62</v>
      </c>
      <c r="U88" s="379">
        <v>0</v>
      </c>
      <c r="V88" s="379">
        <v>1418.14</v>
      </c>
      <c r="W88" s="379">
        <v>5002.3999999999996</v>
      </c>
      <c r="X88" s="379">
        <v>2232.85</v>
      </c>
      <c r="Y88" s="379">
        <v>5002.3999999999996</v>
      </c>
      <c r="Z88" s="379">
        <v>2208.84</v>
      </c>
      <c r="AA88" s="375" t="s">
        <v>326</v>
      </c>
      <c r="AB88" s="375" t="s">
        <v>327</v>
      </c>
      <c r="AC88" s="375" t="s">
        <v>328</v>
      </c>
      <c r="AD88" s="375" t="s">
        <v>195</v>
      </c>
      <c r="AE88" s="375" t="s">
        <v>325</v>
      </c>
      <c r="AF88" s="375" t="s">
        <v>269</v>
      </c>
      <c r="AG88" s="375" t="s">
        <v>183</v>
      </c>
      <c r="AH88" s="380">
        <v>24.05</v>
      </c>
      <c r="AI88" s="380">
        <v>5018.6000000000004</v>
      </c>
      <c r="AJ88" s="375" t="s">
        <v>184</v>
      </c>
      <c r="AK88" s="375" t="s">
        <v>185</v>
      </c>
      <c r="AL88" s="375" t="s">
        <v>173</v>
      </c>
      <c r="AM88" s="375" t="s">
        <v>186</v>
      </c>
      <c r="AN88" s="375" t="s">
        <v>68</v>
      </c>
      <c r="AO88" s="378">
        <v>80</v>
      </c>
      <c r="AP88" s="384">
        <v>1</v>
      </c>
      <c r="AQ88" s="384">
        <v>0.1</v>
      </c>
      <c r="AR88" s="383" t="s">
        <v>187</v>
      </c>
      <c r="AS88" s="386">
        <f t="shared" si="71"/>
        <v>0.1</v>
      </c>
      <c r="AT88">
        <f t="shared" si="72"/>
        <v>1</v>
      </c>
      <c r="AU88" s="386">
        <f>IF(AT88=0,"",IF(AND(AT88=1,M88="F",SUMIF(C2:C557,C88,AS2:AS557)&lt;=1),SUMIF(C2:C557,C88,AS2:AS557),IF(AND(AT88=1,M88="F",SUMIF(C2:C557,C88,AS2:AS557)&gt;1),1,"")))</f>
        <v>1</v>
      </c>
      <c r="AV88" s="386" t="str">
        <f>IF(AT88=0,"",IF(AND(AT88=3,M88="F",SUMIF(C2:C557,C88,AS2:AS557)&lt;=1),SUMIF(C2:C557,C88,AS2:AS557),IF(AND(AT88=3,M88="F",SUMIF(C2:C557,C88,AS2:AS557)&gt;1),1,"")))</f>
        <v/>
      </c>
      <c r="AW88" s="386">
        <f>SUMIF(C2:C557,C88,O2:O557)</f>
        <v>2</v>
      </c>
      <c r="AX88" s="386">
        <f>IF(AND(M88="F",AS88&lt;&gt;0),SUMIF(C2:C557,C88,W2:W557),0)</f>
        <v>50024</v>
      </c>
      <c r="AY88" s="386">
        <f t="shared" si="73"/>
        <v>5002.3999999999996</v>
      </c>
      <c r="AZ88" s="386" t="str">
        <f t="shared" si="74"/>
        <v/>
      </c>
      <c r="BA88" s="386">
        <f t="shared" si="75"/>
        <v>0</v>
      </c>
      <c r="BB88" s="386">
        <f t="shared" si="44"/>
        <v>1165</v>
      </c>
      <c r="BC88" s="386">
        <f t="shared" si="45"/>
        <v>0</v>
      </c>
      <c r="BD88" s="386">
        <f t="shared" si="46"/>
        <v>310.14879999999999</v>
      </c>
      <c r="BE88" s="386">
        <f t="shared" si="47"/>
        <v>72.534800000000004</v>
      </c>
      <c r="BF88" s="386">
        <f t="shared" si="48"/>
        <v>597.28656000000001</v>
      </c>
      <c r="BG88" s="386">
        <f t="shared" si="49"/>
        <v>36.067304</v>
      </c>
      <c r="BH88" s="386">
        <f t="shared" si="50"/>
        <v>24.511759999999999</v>
      </c>
      <c r="BI88" s="386">
        <f t="shared" si="51"/>
        <v>15.307343999999997</v>
      </c>
      <c r="BJ88" s="386">
        <f t="shared" si="52"/>
        <v>12.005759999999999</v>
      </c>
      <c r="BK88" s="386">
        <f t="shared" si="53"/>
        <v>0</v>
      </c>
      <c r="BL88" s="386">
        <f t="shared" si="76"/>
        <v>1067.8623280000002</v>
      </c>
      <c r="BM88" s="386">
        <f t="shared" si="77"/>
        <v>0</v>
      </c>
      <c r="BN88" s="386">
        <f t="shared" si="54"/>
        <v>1165</v>
      </c>
      <c r="BO88" s="386">
        <f t="shared" si="55"/>
        <v>0</v>
      </c>
      <c r="BP88" s="386">
        <f t="shared" si="56"/>
        <v>310.14879999999999</v>
      </c>
      <c r="BQ88" s="386">
        <f t="shared" si="57"/>
        <v>72.534800000000004</v>
      </c>
      <c r="BR88" s="386">
        <f t="shared" si="58"/>
        <v>597.28656000000001</v>
      </c>
      <c r="BS88" s="386">
        <f t="shared" si="59"/>
        <v>36.067304</v>
      </c>
      <c r="BT88" s="386">
        <f t="shared" si="60"/>
        <v>0</v>
      </c>
      <c r="BU88" s="386">
        <f t="shared" si="61"/>
        <v>15.307343999999997</v>
      </c>
      <c r="BV88" s="386">
        <f t="shared" si="62"/>
        <v>12.506</v>
      </c>
      <c r="BW88" s="386">
        <f t="shared" si="63"/>
        <v>0</v>
      </c>
      <c r="BX88" s="386">
        <f t="shared" si="78"/>
        <v>1043.8508080000001</v>
      </c>
      <c r="BY88" s="386">
        <f t="shared" si="79"/>
        <v>0</v>
      </c>
      <c r="BZ88" s="386">
        <f t="shared" si="80"/>
        <v>0</v>
      </c>
      <c r="CA88" s="386">
        <f t="shared" si="81"/>
        <v>0</v>
      </c>
      <c r="CB88" s="386">
        <f t="shared" si="82"/>
        <v>0</v>
      </c>
      <c r="CC88" s="386">
        <f t="shared" si="64"/>
        <v>0</v>
      </c>
      <c r="CD88" s="386">
        <f t="shared" si="65"/>
        <v>0</v>
      </c>
      <c r="CE88" s="386">
        <f t="shared" si="66"/>
        <v>0</v>
      </c>
      <c r="CF88" s="386">
        <f t="shared" si="67"/>
        <v>-24.511759999999999</v>
      </c>
      <c r="CG88" s="386">
        <f t="shared" si="68"/>
        <v>0</v>
      </c>
      <c r="CH88" s="386">
        <f t="shared" si="69"/>
        <v>0.50024000000000124</v>
      </c>
      <c r="CI88" s="386">
        <f t="shared" si="70"/>
        <v>0</v>
      </c>
      <c r="CJ88" s="386">
        <f t="shared" si="83"/>
        <v>-24.011519999999997</v>
      </c>
      <c r="CK88" s="386" t="str">
        <f t="shared" si="84"/>
        <v/>
      </c>
      <c r="CL88" s="386" t="str">
        <f t="shared" si="85"/>
        <v/>
      </c>
      <c r="CM88" s="386" t="str">
        <f t="shared" si="86"/>
        <v/>
      </c>
      <c r="CN88" s="386" t="str">
        <f t="shared" si="87"/>
        <v>0338-02</v>
      </c>
    </row>
    <row r="89" spans="1:92" ht="15.75" thickBot="1" x14ac:dyDescent="0.3">
      <c r="A89" s="375" t="s">
        <v>161</v>
      </c>
      <c r="B89" s="375" t="s">
        <v>162</v>
      </c>
      <c r="C89" s="375" t="s">
        <v>334</v>
      </c>
      <c r="D89" s="375" t="s">
        <v>164</v>
      </c>
      <c r="E89" s="375" t="s">
        <v>526</v>
      </c>
      <c r="F89" s="381" t="s">
        <v>529</v>
      </c>
      <c r="G89" s="375" t="s">
        <v>167</v>
      </c>
      <c r="H89" s="377"/>
      <c r="I89" s="377"/>
      <c r="J89" s="375" t="s">
        <v>218</v>
      </c>
      <c r="K89" s="375" t="s">
        <v>335</v>
      </c>
      <c r="L89" s="375" t="s">
        <v>220</v>
      </c>
      <c r="M89" s="375" t="s">
        <v>177</v>
      </c>
      <c r="N89" s="375" t="s">
        <v>199</v>
      </c>
      <c r="O89" s="378">
        <v>1</v>
      </c>
      <c r="P89" s="384">
        <v>0.2</v>
      </c>
      <c r="Q89" s="384">
        <v>0.2</v>
      </c>
      <c r="R89" s="379">
        <v>80</v>
      </c>
      <c r="S89" s="384">
        <v>0.2</v>
      </c>
      <c r="T89" s="379">
        <v>10453.719999999999</v>
      </c>
      <c r="U89" s="379">
        <v>0</v>
      </c>
      <c r="V89" s="379">
        <v>4216.05</v>
      </c>
      <c r="W89" s="379">
        <v>12958.4</v>
      </c>
      <c r="X89" s="379">
        <v>5096.22</v>
      </c>
      <c r="Y89" s="379">
        <v>12958.4</v>
      </c>
      <c r="Z89" s="379">
        <v>5034.0200000000004</v>
      </c>
      <c r="AA89" s="375" t="s">
        <v>336</v>
      </c>
      <c r="AB89" s="375" t="s">
        <v>337</v>
      </c>
      <c r="AC89" s="375" t="s">
        <v>338</v>
      </c>
      <c r="AD89" s="375" t="s">
        <v>170</v>
      </c>
      <c r="AE89" s="375" t="s">
        <v>335</v>
      </c>
      <c r="AF89" s="375" t="s">
        <v>252</v>
      </c>
      <c r="AG89" s="375" t="s">
        <v>183</v>
      </c>
      <c r="AH89" s="380">
        <v>31.15</v>
      </c>
      <c r="AI89" s="380">
        <v>19108.2</v>
      </c>
      <c r="AJ89" s="375" t="s">
        <v>184</v>
      </c>
      <c r="AK89" s="375" t="s">
        <v>185</v>
      </c>
      <c r="AL89" s="375" t="s">
        <v>173</v>
      </c>
      <c r="AM89" s="375" t="s">
        <v>186</v>
      </c>
      <c r="AN89" s="375" t="s">
        <v>68</v>
      </c>
      <c r="AO89" s="378">
        <v>80</v>
      </c>
      <c r="AP89" s="384">
        <v>1</v>
      </c>
      <c r="AQ89" s="384">
        <v>0.2</v>
      </c>
      <c r="AR89" s="383" t="s">
        <v>187</v>
      </c>
      <c r="AS89" s="386">
        <f t="shared" si="71"/>
        <v>0.2</v>
      </c>
      <c r="AT89">
        <f t="shared" si="72"/>
        <v>1</v>
      </c>
      <c r="AU89" s="386">
        <f>IF(AT89=0,"",IF(AND(AT89=1,M89="F",SUMIF(C2:C557,C89,AS2:AS557)&lt;=1),SUMIF(C2:C557,C89,AS2:AS557),IF(AND(AT89=1,M89="F",SUMIF(C2:C557,C89,AS2:AS557)&gt;1),1,"")))</f>
        <v>1</v>
      </c>
      <c r="AV89" s="386" t="str">
        <f>IF(AT89=0,"",IF(AND(AT89=3,M89="F",SUMIF(C2:C557,C89,AS2:AS557)&lt;=1),SUMIF(C2:C557,C89,AS2:AS557),IF(AND(AT89=3,M89="F",SUMIF(C2:C557,C89,AS2:AS557)&gt;1),1,"")))</f>
        <v/>
      </c>
      <c r="AW89" s="386">
        <f>SUMIF(C2:C557,C89,O2:O557)</f>
        <v>2</v>
      </c>
      <c r="AX89" s="386">
        <f>IF(AND(M89="F",AS89&lt;&gt;0),SUMIF(C2:C557,C89,W2:W557),0)</f>
        <v>64792</v>
      </c>
      <c r="AY89" s="386">
        <f t="shared" si="73"/>
        <v>12958.4</v>
      </c>
      <c r="AZ89" s="386" t="str">
        <f t="shared" si="74"/>
        <v/>
      </c>
      <c r="BA89" s="386">
        <f t="shared" si="75"/>
        <v>0</v>
      </c>
      <c r="BB89" s="386">
        <f t="shared" si="44"/>
        <v>2330</v>
      </c>
      <c r="BC89" s="386">
        <f t="shared" si="45"/>
        <v>0</v>
      </c>
      <c r="BD89" s="386">
        <f t="shared" si="46"/>
        <v>803.42079999999999</v>
      </c>
      <c r="BE89" s="386">
        <f t="shared" si="47"/>
        <v>187.89680000000001</v>
      </c>
      <c r="BF89" s="386">
        <f t="shared" si="48"/>
        <v>1547.23296</v>
      </c>
      <c r="BG89" s="386">
        <f t="shared" si="49"/>
        <v>93.430064000000002</v>
      </c>
      <c r="BH89" s="386">
        <f t="shared" si="50"/>
        <v>63.496159999999996</v>
      </c>
      <c r="BI89" s="386">
        <f t="shared" si="51"/>
        <v>39.652703999999993</v>
      </c>
      <c r="BJ89" s="386">
        <f t="shared" si="52"/>
        <v>31.100159999999995</v>
      </c>
      <c r="BK89" s="386">
        <f t="shared" si="53"/>
        <v>0</v>
      </c>
      <c r="BL89" s="386">
        <f t="shared" si="76"/>
        <v>2766.2296480000005</v>
      </c>
      <c r="BM89" s="386">
        <f t="shared" si="77"/>
        <v>0</v>
      </c>
      <c r="BN89" s="386">
        <f t="shared" si="54"/>
        <v>2330</v>
      </c>
      <c r="BO89" s="386">
        <f t="shared" si="55"/>
        <v>0</v>
      </c>
      <c r="BP89" s="386">
        <f t="shared" si="56"/>
        <v>803.42079999999999</v>
      </c>
      <c r="BQ89" s="386">
        <f t="shared" si="57"/>
        <v>187.89680000000001</v>
      </c>
      <c r="BR89" s="386">
        <f t="shared" si="58"/>
        <v>1547.23296</v>
      </c>
      <c r="BS89" s="386">
        <f t="shared" si="59"/>
        <v>93.430064000000002</v>
      </c>
      <c r="BT89" s="386">
        <f t="shared" si="60"/>
        <v>0</v>
      </c>
      <c r="BU89" s="386">
        <f t="shared" si="61"/>
        <v>39.652703999999993</v>
      </c>
      <c r="BV89" s="386">
        <f t="shared" si="62"/>
        <v>32.396000000000001</v>
      </c>
      <c r="BW89" s="386">
        <f t="shared" si="63"/>
        <v>0</v>
      </c>
      <c r="BX89" s="386">
        <f t="shared" si="78"/>
        <v>2704.0293280000005</v>
      </c>
      <c r="BY89" s="386">
        <f t="shared" si="79"/>
        <v>0</v>
      </c>
      <c r="BZ89" s="386">
        <f t="shared" si="80"/>
        <v>0</v>
      </c>
      <c r="CA89" s="386">
        <f t="shared" si="81"/>
        <v>0</v>
      </c>
      <c r="CB89" s="386">
        <f t="shared" si="82"/>
        <v>0</v>
      </c>
      <c r="CC89" s="386">
        <f t="shared" si="64"/>
        <v>0</v>
      </c>
      <c r="CD89" s="386">
        <f t="shared" si="65"/>
        <v>0</v>
      </c>
      <c r="CE89" s="386">
        <f t="shared" si="66"/>
        <v>0</v>
      </c>
      <c r="CF89" s="386">
        <f t="shared" si="67"/>
        <v>-63.496159999999996</v>
      </c>
      <c r="CG89" s="386">
        <f t="shared" si="68"/>
        <v>0</v>
      </c>
      <c r="CH89" s="386">
        <f t="shared" si="69"/>
        <v>1.2958400000000034</v>
      </c>
      <c r="CI89" s="386">
        <f t="shared" si="70"/>
        <v>0</v>
      </c>
      <c r="CJ89" s="386">
        <f t="shared" si="83"/>
        <v>-62.200319999999991</v>
      </c>
      <c r="CK89" s="386" t="str">
        <f t="shared" si="84"/>
        <v/>
      </c>
      <c r="CL89" s="386" t="str">
        <f t="shared" si="85"/>
        <v/>
      </c>
      <c r="CM89" s="386" t="str">
        <f t="shared" si="86"/>
        <v/>
      </c>
      <c r="CN89" s="386" t="str">
        <f t="shared" si="87"/>
        <v>0338-02</v>
      </c>
    </row>
    <row r="90" spans="1:92" ht="15.75" thickBot="1" x14ac:dyDescent="0.3">
      <c r="A90" s="375" t="s">
        <v>161</v>
      </c>
      <c r="B90" s="375" t="s">
        <v>162</v>
      </c>
      <c r="C90" s="375" t="s">
        <v>356</v>
      </c>
      <c r="D90" s="375" t="s">
        <v>357</v>
      </c>
      <c r="E90" s="375" t="s">
        <v>526</v>
      </c>
      <c r="F90" s="381" t="s">
        <v>529</v>
      </c>
      <c r="G90" s="375" t="s">
        <v>167</v>
      </c>
      <c r="H90" s="377"/>
      <c r="I90" s="377"/>
      <c r="J90" s="375" t="s">
        <v>218</v>
      </c>
      <c r="K90" s="375" t="s">
        <v>358</v>
      </c>
      <c r="L90" s="375" t="s">
        <v>170</v>
      </c>
      <c r="M90" s="375" t="s">
        <v>177</v>
      </c>
      <c r="N90" s="375" t="s">
        <v>199</v>
      </c>
      <c r="O90" s="378">
        <v>1</v>
      </c>
      <c r="P90" s="384">
        <v>0.1</v>
      </c>
      <c r="Q90" s="384">
        <v>0.1</v>
      </c>
      <c r="R90" s="379">
        <v>80</v>
      </c>
      <c r="S90" s="384">
        <v>0.1</v>
      </c>
      <c r="T90" s="379">
        <v>6809.29</v>
      </c>
      <c r="U90" s="379">
        <v>0</v>
      </c>
      <c r="V90" s="379">
        <v>2557.8200000000002</v>
      </c>
      <c r="W90" s="379">
        <v>6822.4</v>
      </c>
      <c r="X90" s="379">
        <v>2621.37</v>
      </c>
      <c r="Y90" s="379">
        <v>6822.4</v>
      </c>
      <c r="Z90" s="379">
        <v>2588.62</v>
      </c>
      <c r="AA90" s="375" t="s">
        <v>359</v>
      </c>
      <c r="AB90" s="375" t="s">
        <v>360</v>
      </c>
      <c r="AC90" s="375" t="s">
        <v>361</v>
      </c>
      <c r="AD90" s="375" t="s">
        <v>233</v>
      </c>
      <c r="AE90" s="375" t="s">
        <v>358</v>
      </c>
      <c r="AF90" s="375" t="s">
        <v>269</v>
      </c>
      <c r="AG90" s="375" t="s">
        <v>183</v>
      </c>
      <c r="AH90" s="380">
        <v>32.799999999999997</v>
      </c>
      <c r="AI90" s="378">
        <v>75397</v>
      </c>
      <c r="AJ90" s="375" t="s">
        <v>184</v>
      </c>
      <c r="AK90" s="375" t="s">
        <v>185</v>
      </c>
      <c r="AL90" s="375" t="s">
        <v>173</v>
      </c>
      <c r="AM90" s="375" t="s">
        <v>186</v>
      </c>
      <c r="AN90" s="375" t="s">
        <v>68</v>
      </c>
      <c r="AO90" s="378">
        <v>80</v>
      </c>
      <c r="AP90" s="384">
        <v>1</v>
      </c>
      <c r="AQ90" s="384">
        <v>0.1</v>
      </c>
      <c r="AR90" s="383" t="s">
        <v>187</v>
      </c>
      <c r="AS90" s="386">
        <f t="shared" si="71"/>
        <v>0.1</v>
      </c>
      <c r="AT90">
        <f t="shared" si="72"/>
        <v>1</v>
      </c>
      <c r="AU90" s="386">
        <f>IF(AT90=0,"",IF(AND(AT90=1,M90="F",SUMIF(C2:C557,C90,AS2:AS557)&lt;=1),SUMIF(C2:C557,C90,AS2:AS557),IF(AND(AT90=1,M90="F",SUMIF(C2:C557,C90,AS2:AS557)&gt;1),1,"")))</f>
        <v>1</v>
      </c>
      <c r="AV90" s="386" t="str">
        <f>IF(AT90=0,"",IF(AND(AT90=3,M90="F",SUMIF(C2:C557,C90,AS2:AS557)&lt;=1),SUMIF(C2:C557,C90,AS2:AS557),IF(AND(AT90=3,M90="F",SUMIF(C2:C557,C90,AS2:AS557)&gt;1),1,"")))</f>
        <v/>
      </c>
      <c r="AW90" s="386">
        <f>SUMIF(C2:C557,C90,O2:O557)</f>
        <v>2</v>
      </c>
      <c r="AX90" s="386">
        <f>IF(AND(M90="F",AS90&lt;&gt;0),SUMIF(C2:C557,C90,W2:W557),0)</f>
        <v>68224</v>
      </c>
      <c r="AY90" s="386">
        <f t="shared" si="73"/>
        <v>6822.4</v>
      </c>
      <c r="AZ90" s="386" t="str">
        <f t="shared" si="74"/>
        <v/>
      </c>
      <c r="BA90" s="386">
        <f t="shared" si="75"/>
        <v>0</v>
      </c>
      <c r="BB90" s="386">
        <f t="shared" si="44"/>
        <v>1165</v>
      </c>
      <c r="BC90" s="386">
        <f t="shared" si="45"/>
        <v>0</v>
      </c>
      <c r="BD90" s="386">
        <f t="shared" si="46"/>
        <v>422.98879999999997</v>
      </c>
      <c r="BE90" s="386">
        <f t="shared" si="47"/>
        <v>98.924800000000005</v>
      </c>
      <c r="BF90" s="386">
        <f t="shared" si="48"/>
        <v>814.59456</v>
      </c>
      <c r="BG90" s="386">
        <f t="shared" si="49"/>
        <v>49.189503999999999</v>
      </c>
      <c r="BH90" s="386">
        <f t="shared" si="50"/>
        <v>33.429759999999995</v>
      </c>
      <c r="BI90" s="386">
        <f t="shared" si="51"/>
        <v>20.876543999999999</v>
      </c>
      <c r="BJ90" s="386">
        <f t="shared" si="52"/>
        <v>16.373759999999997</v>
      </c>
      <c r="BK90" s="386">
        <f t="shared" si="53"/>
        <v>0</v>
      </c>
      <c r="BL90" s="386">
        <f t="shared" si="76"/>
        <v>1456.3777279999997</v>
      </c>
      <c r="BM90" s="386">
        <f t="shared" si="77"/>
        <v>0</v>
      </c>
      <c r="BN90" s="386">
        <f t="shared" si="54"/>
        <v>1165</v>
      </c>
      <c r="BO90" s="386">
        <f t="shared" si="55"/>
        <v>0</v>
      </c>
      <c r="BP90" s="386">
        <f t="shared" si="56"/>
        <v>422.98879999999997</v>
      </c>
      <c r="BQ90" s="386">
        <f t="shared" si="57"/>
        <v>98.924800000000005</v>
      </c>
      <c r="BR90" s="386">
        <f t="shared" si="58"/>
        <v>814.59456</v>
      </c>
      <c r="BS90" s="386">
        <f t="shared" si="59"/>
        <v>49.189503999999999</v>
      </c>
      <c r="BT90" s="386">
        <f t="shared" si="60"/>
        <v>0</v>
      </c>
      <c r="BU90" s="386">
        <f t="shared" si="61"/>
        <v>20.876543999999999</v>
      </c>
      <c r="BV90" s="386">
        <f t="shared" si="62"/>
        <v>17.056000000000001</v>
      </c>
      <c r="BW90" s="386">
        <f t="shared" si="63"/>
        <v>0</v>
      </c>
      <c r="BX90" s="386">
        <f t="shared" si="78"/>
        <v>1423.6302079999998</v>
      </c>
      <c r="BY90" s="386">
        <f t="shared" si="79"/>
        <v>0</v>
      </c>
      <c r="BZ90" s="386">
        <f t="shared" si="80"/>
        <v>0</v>
      </c>
      <c r="CA90" s="386">
        <f t="shared" si="81"/>
        <v>0</v>
      </c>
      <c r="CB90" s="386">
        <f t="shared" si="82"/>
        <v>0</v>
      </c>
      <c r="CC90" s="386">
        <f t="shared" si="64"/>
        <v>0</v>
      </c>
      <c r="CD90" s="386">
        <f t="shared" si="65"/>
        <v>0</v>
      </c>
      <c r="CE90" s="386">
        <f t="shared" si="66"/>
        <v>0</v>
      </c>
      <c r="CF90" s="386">
        <f t="shared" si="67"/>
        <v>-33.429759999999995</v>
      </c>
      <c r="CG90" s="386">
        <f t="shared" si="68"/>
        <v>0</v>
      </c>
      <c r="CH90" s="386">
        <f t="shared" si="69"/>
        <v>0.68224000000000173</v>
      </c>
      <c r="CI90" s="386">
        <f t="shared" si="70"/>
        <v>0</v>
      </c>
      <c r="CJ90" s="386">
        <f t="shared" si="83"/>
        <v>-32.747519999999994</v>
      </c>
      <c r="CK90" s="386" t="str">
        <f t="shared" si="84"/>
        <v/>
      </c>
      <c r="CL90" s="386" t="str">
        <f t="shared" si="85"/>
        <v/>
      </c>
      <c r="CM90" s="386" t="str">
        <f t="shared" si="86"/>
        <v/>
      </c>
      <c r="CN90" s="386" t="str">
        <f t="shared" si="87"/>
        <v>0338-02</v>
      </c>
    </row>
    <row r="91" spans="1:92" ht="15.75" thickBot="1" x14ac:dyDescent="0.3">
      <c r="A91" s="375" t="s">
        <v>161</v>
      </c>
      <c r="B91" s="375" t="s">
        <v>162</v>
      </c>
      <c r="C91" s="375" t="s">
        <v>368</v>
      </c>
      <c r="D91" s="375" t="s">
        <v>369</v>
      </c>
      <c r="E91" s="375" t="s">
        <v>526</v>
      </c>
      <c r="F91" s="381" t="s">
        <v>529</v>
      </c>
      <c r="G91" s="375" t="s">
        <v>167</v>
      </c>
      <c r="H91" s="377"/>
      <c r="I91" s="377"/>
      <c r="J91" s="375" t="s">
        <v>272</v>
      </c>
      <c r="K91" s="375" t="s">
        <v>370</v>
      </c>
      <c r="L91" s="375" t="s">
        <v>316</v>
      </c>
      <c r="M91" s="375" t="s">
        <v>177</v>
      </c>
      <c r="N91" s="375" t="s">
        <v>199</v>
      </c>
      <c r="O91" s="378">
        <v>1</v>
      </c>
      <c r="P91" s="384">
        <v>0.2</v>
      </c>
      <c r="Q91" s="384">
        <v>0.2</v>
      </c>
      <c r="R91" s="379">
        <v>80</v>
      </c>
      <c r="S91" s="384">
        <v>0.2</v>
      </c>
      <c r="T91" s="379">
        <v>24184.32</v>
      </c>
      <c r="U91" s="379">
        <v>0</v>
      </c>
      <c r="V91" s="379">
        <v>7835.17</v>
      </c>
      <c r="W91" s="379">
        <v>19660.16</v>
      </c>
      <c r="X91" s="379">
        <v>6526.84</v>
      </c>
      <c r="Y91" s="379">
        <v>19660.16</v>
      </c>
      <c r="Z91" s="379">
        <v>6432.48</v>
      </c>
      <c r="AA91" s="375" t="s">
        <v>371</v>
      </c>
      <c r="AB91" s="375" t="s">
        <v>372</v>
      </c>
      <c r="AC91" s="375" t="s">
        <v>373</v>
      </c>
      <c r="AD91" s="375" t="s">
        <v>233</v>
      </c>
      <c r="AE91" s="375" t="s">
        <v>370</v>
      </c>
      <c r="AF91" s="375" t="s">
        <v>374</v>
      </c>
      <c r="AG91" s="375" t="s">
        <v>183</v>
      </c>
      <c r="AH91" s="380">
        <v>47.26</v>
      </c>
      <c r="AI91" s="378">
        <v>15107</v>
      </c>
      <c r="AJ91" s="375" t="s">
        <v>184</v>
      </c>
      <c r="AK91" s="375" t="s">
        <v>185</v>
      </c>
      <c r="AL91" s="375" t="s">
        <v>173</v>
      </c>
      <c r="AM91" s="375" t="s">
        <v>186</v>
      </c>
      <c r="AN91" s="375" t="s">
        <v>68</v>
      </c>
      <c r="AO91" s="378">
        <v>80</v>
      </c>
      <c r="AP91" s="384">
        <v>1</v>
      </c>
      <c r="AQ91" s="384">
        <v>0.2</v>
      </c>
      <c r="AR91" s="383" t="s">
        <v>187</v>
      </c>
      <c r="AS91" s="386">
        <f t="shared" si="71"/>
        <v>0.2</v>
      </c>
      <c r="AT91">
        <f t="shared" si="72"/>
        <v>1</v>
      </c>
      <c r="AU91" s="386">
        <f>IF(AT91=0,"",IF(AND(AT91=1,M91="F",SUMIF(C2:C557,C91,AS2:AS557)&lt;=1),SUMIF(C2:C557,C91,AS2:AS557),IF(AND(AT91=1,M91="F",SUMIF(C2:C557,C91,AS2:AS557)&gt;1),1,"")))</f>
        <v>1</v>
      </c>
      <c r="AV91" s="386" t="str">
        <f>IF(AT91=0,"",IF(AND(AT91=3,M91="F",SUMIF(C2:C557,C91,AS2:AS557)&lt;=1),SUMIF(C2:C557,C91,AS2:AS557),IF(AND(AT91=3,M91="F",SUMIF(C2:C557,C91,AS2:AS557)&gt;1),1,"")))</f>
        <v/>
      </c>
      <c r="AW91" s="386">
        <f>SUMIF(C2:C557,C91,O2:O557)</f>
        <v>3</v>
      </c>
      <c r="AX91" s="386">
        <f>IF(AND(M91="F",AS91&lt;&gt;0),SUMIF(C2:C557,C91,W2:W557),0)</f>
        <v>98300.800000000003</v>
      </c>
      <c r="AY91" s="386">
        <f t="shared" si="73"/>
        <v>19660.16</v>
      </c>
      <c r="AZ91" s="386" t="str">
        <f t="shared" si="74"/>
        <v/>
      </c>
      <c r="BA91" s="386">
        <f t="shared" si="75"/>
        <v>0</v>
      </c>
      <c r="BB91" s="386">
        <f t="shared" si="44"/>
        <v>2330</v>
      </c>
      <c r="BC91" s="386">
        <f t="shared" si="45"/>
        <v>0</v>
      </c>
      <c r="BD91" s="386">
        <f t="shared" si="46"/>
        <v>1218.92992</v>
      </c>
      <c r="BE91" s="386">
        <f t="shared" si="47"/>
        <v>285.07231999999999</v>
      </c>
      <c r="BF91" s="386">
        <f t="shared" si="48"/>
        <v>2347.423104</v>
      </c>
      <c r="BG91" s="386">
        <f t="shared" si="49"/>
        <v>141.74975359999999</v>
      </c>
      <c r="BH91" s="386">
        <f t="shared" si="50"/>
        <v>96.334783999999999</v>
      </c>
      <c r="BI91" s="386">
        <f t="shared" si="51"/>
        <v>60.160089599999992</v>
      </c>
      <c r="BJ91" s="386">
        <f t="shared" si="52"/>
        <v>47.184383999999994</v>
      </c>
      <c r="BK91" s="386">
        <f t="shared" si="53"/>
        <v>0</v>
      </c>
      <c r="BL91" s="386">
        <f t="shared" si="76"/>
        <v>4196.854355200001</v>
      </c>
      <c r="BM91" s="386">
        <f t="shared" si="77"/>
        <v>0</v>
      </c>
      <c r="BN91" s="386">
        <f t="shared" si="54"/>
        <v>2330</v>
      </c>
      <c r="BO91" s="386">
        <f t="shared" si="55"/>
        <v>0</v>
      </c>
      <c r="BP91" s="386">
        <f t="shared" si="56"/>
        <v>1218.92992</v>
      </c>
      <c r="BQ91" s="386">
        <f t="shared" si="57"/>
        <v>285.07231999999999</v>
      </c>
      <c r="BR91" s="386">
        <f t="shared" si="58"/>
        <v>2347.423104</v>
      </c>
      <c r="BS91" s="386">
        <f t="shared" si="59"/>
        <v>141.74975359999999</v>
      </c>
      <c r="BT91" s="386">
        <f t="shared" si="60"/>
        <v>0</v>
      </c>
      <c r="BU91" s="386">
        <f t="shared" si="61"/>
        <v>60.160089599999992</v>
      </c>
      <c r="BV91" s="386">
        <f t="shared" si="62"/>
        <v>49.150399999999998</v>
      </c>
      <c r="BW91" s="386">
        <f t="shared" si="63"/>
        <v>0</v>
      </c>
      <c r="BX91" s="386">
        <f t="shared" si="78"/>
        <v>4102.4855872000007</v>
      </c>
      <c r="BY91" s="386">
        <f t="shared" si="79"/>
        <v>0</v>
      </c>
      <c r="BZ91" s="386">
        <f t="shared" si="80"/>
        <v>0</v>
      </c>
      <c r="CA91" s="386">
        <f t="shared" si="81"/>
        <v>0</v>
      </c>
      <c r="CB91" s="386">
        <f t="shared" si="82"/>
        <v>0</v>
      </c>
      <c r="CC91" s="386">
        <f t="shared" si="64"/>
        <v>0</v>
      </c>
      <c r="CD91" s="386">
        <f t="shared" si="65"/>
        <v>0</v>
      </c>
      <c r="CE91" s="386">
        <f t="shared" si="66"/>
        <v>0</v>
      </c>
      <c r="CF91" s="386">
        <f t="shared" si="67"/>
        <v>-96.334783999999999</v>
      </c>
      <c r="CG91" s="386">
        <f t="shared" si="68"/>
        <v>0</v>
      </c>
      <c r="CH91" s="386">
        <f t="shared" si="69"/>
        <v>1.9660160000000051</v>
      </c>
      <c r="CI91" s="386">
        <f t="shared" si="70"/>
        <v>0</v>
      </c>
      <c r="CJ91" s="386">
        <f t="shared" si="83"/>
        <v>-94.368767999999989</v>
      </c>
      <c r="CK91" s="386" t="str">
        <f t="shared" si="84"/>
        <v/>
      </c>
      <c r="CL91" s="386" t="str">
        <f t="shared" si="85"/>
        <v/>
      </c>
      <c r="CM91" s="386" t="str">
        <f t="shared" si="86"/>
        <v/>
      </c>
      <c r="CN91" s="386" t="str">
        <f t="shared" si="87"/>
        <v>0338-02</v>
      </c>
    </row>
    <row r="92" spans="1:92" ht="15.75" thickBot="1" x14ac:dyDescent="0.3">
      <c r="A92" s="375" t="s">
        <v>161</v>
      </c>
      <c r="B92" s="375" t="s">
        <v>162</v>
      </c>
      <c r="C92" s="375" t="s">
        <v>380</v>
      </c>
      <c r="D92" s="375" t="s">
        <v>247</v>
      </c>
      <c r="E92" s="375" t="s">
        <v>526</v>
      </c>
      <c r="F92" s="381" t="s">
        <v>529</v>
      </c>
      <c r="G92" s="375" t="s">
        <v>167</v>
      </c>
      <c r="H92" s="377"/>
      <c r="I92" s="377"/>
      <c r="J92" s="375" t="s">
        <v>218</v>
      </c>
      <c r="K92" s="375" t="s">
        <v>268</v>
      </c>
      <c r="L92" s="375" t="s">
        <v>170</v>
      </c>
      <c r="M92" s="375" t="s">
        <v>177</v>
      </c>
      <c r="N92" s="375" t="s">
        <v>199</v>
      </c>
      <c r="O92" s="378">
        <v>1</v>
      </c>
      <c r="P92" s="384">
        <v>0.4</v>
      </c>
      <c r="Q92" s="384">
        <v>0.4</v>
      </c>
      <c r="R92" s="379">
        <v>80</v>
      </c>
      <c r="S92" s="384">
        <v>0.4</v>
      </c>
      <c r="T92" s="379">
        <v>0</v>
      </c>
      <c r="U92" s="379">
        <v>0</v>
      </c>
      <c r="V92" s="379">
        <v>0</v>
      </c>
      <c r="W92" s="379">
        <v>17954.560000000001</v>
      </c>
      <c r="X92" s="379">
        <v>8492.74</v>
      </c>
      <c r="Y92" s="379">
        <v>17954.560000000001</v>
      </c>
      <c r="Z92" s="379">
        <v>8406.56</v>
      </c>
      <c r="AA92" s="375" t="s">
        <v>381</v>
      </c>
      <c r="AB92" s="375" t="s">
        <v>382</v>
      </c>
      <c r="AC92" s="375" t="s">
        <v>383</v>
      </c>
      <c r="AD92" s="375" t="s">
        <v>181</v>
      </c>
      <c r="AE92" s="375" t="s">
        <v>284</v>
      </c>
      <c r="AF92" s="375" t="s">
        <v>245</v>
      </c>
      <c r="AG92" s="375" t="s">
        <v>183</v>
      </c>
      <c r="AH92" s="380">
        <v>21.58</v>
      </c>
      <c r="AI92" s="378">
        <v>1600</v>
      </c>
      <c r="AJ92" s="375" t="s">
        <v>184</v>
      </c>
      <c r="AK92" s="375" t="s">
        <v>185</v>
      </c>
      <c r="AL92" s="375" t="s">
        <v>173</v>
      </c>
      <c r="AM92" s="375" t="s">
        <v>186</v>
      </c>
      <c r="AN92" s="375" t="s">
        <v>68</v>
      </c>
      <c r="AO92" s="378">
        <v>80</v>
      </c>
      <c r="AP92" s="384">
        <v>1</v>
      </c>
      <c r="AQ92" s="384">
        <v>0.4</v>
      </c>
      <c r="AR92" s="383">
        <v>3</v>
      </c>
      <c r="AS92" s="386">
        <f t="shared" si="71"/>
        <v>0.4</v>
      </c>
      <c r="AT92">
        <f t="shared" si="72"/>
        <v>1</v>
      </c>
      <c r="AU92" s="386">
        <f>IF(AT92=0,"",IF(AND(AT92=1,M92="F",SUMIF(C2:C557,C92,AS2:AS557)&lt;=1),SUMIF(C2:C557,C92,AS2:AS557),IF(AND(AT92=1,M92="F",SUMIF(C2:C557,C92,AS2:AS557)&gt;1),1,"")))</f>
        <v>1</v>
      </c>
      <c r="AV92" s="386" t="str">
        <f>IF(AT92=0,"",IF(AND(AT92=3,M92="F",SUMIF(C2:C557,C92,AS2:AS557)&lt;=1),SUMIF(C2:C557,C92,AS2:AS557),IF(AND(AT92=3,M92="F",SUMIF(C2:C557,C92,AS2:AS557)&gt;1),1,"")))</f>
        <v/>
      </c>
      <c r="AW92" s="386">
        <f>SUMIF(C2:C557,C92,O2:O557)</f>
        <v>4</v>
      </c>
      <c r="AX92" s="386">
        <f>IF(AND(M92="F",AS92&lt;&gt;0),SUMIF(C2:C557,C92,W2:W557),0)</f>
        <v>44886.400000000001</v>
      </c>
      <c r="AY92" s="386">
        <f t="shared" si="73"/>
        <v>17954.560000000001</v>
      </c>
      <c r="AZ92" s="386" t="str">
        <f t="shared" si="74"/>
        <v/>
      </c>
      <c r="BA92" s="386">
        <f t="shared" si="75"/>
        <v>0</v>
      </c>
      <c r="BB92" s="386">
        <f t="shared" si="44"/>
        <v>4660</v>
      </c>
      <c r="BC92" s="386">
        <f t="shared" si="45"/>
        <v>0</v>
      </c>
      <c r="BD92" s="386">
        <f t="shared" si="46"/>
        <v>1113.18272</v>
      </c>
      <c r="BE92" s="386">
        <f t="shared" si="47"/>
        <v>260.34112000000005</v>
      </c>
      <c r="BF92" s="386">
        <f t="shared" si="48"/>
        <v>2143.7744640000001</v>
      </c>
      <c r="BG92" s="386">
        <f t="shared" si="49"/>
        <v>129.45237760000001</v>
      </c>
      <c r="BH92" s="386">
        <f t="shared" si="50"/>
        <v>87.977344000000002</v>
      </c>
      <c r="BI92" s="386">
        <f t="shared" si="51"/>
        <v>54.9409536</v>
      </c>
      <c r="BJ92" s="386">
        <f t="shared" si="52"/>
        <v>43.090944</v>
      </c>
      <c r="BK92" s="386">
        <f t="shared" si="53"/>
        <v>0</v>
      </c>
      <c r="BL92" s="386">
        <f t="shared" si="76"/>
        <v>3832.7599231999998</v>
      </c>
      <c r="BM92" s="386">
        <f t="shared" si="77"/>
        <v>0</v>
      </c>
      <c r="BN92" s="386">
        <f t="shared" si="54"/>
        <v>4660</v>
      </c>
      <c r="BO92" s="386">
        <f t="shared" si="55"/>
        <v>0</v>
      </c>
      <c r="BP92" s="386">
        <f t="shared" si="56"/>
        <v>1113.18272</v>
      </c>
      <c r="BQ92" s="386">
        <f t="shared" si="57"/>
        <v>260.34112000000005</v>
      </c>
      <c r="BR92" s="386">
        <f t="shared" si="58"/>
        <v>2143.7744640000001</v>
      </c>
      <c r="BS92" s="386">
        <f t="shared" si="59"/>
        <v>129.45237760000001</v>
      </c>
      <c r="BT92" s="386">
        <f t="shared" si="60"/>
        <v>0</v>
      </c>
      <c r="BU92" s="386">
        <f t="shared" si="61"/>
        <v>54.9409536</v>
      </c>
      <c r="BV92" s="386">
        <f t="shared" si="62"/>
        <v>44.886400000000002</v>
      </c>
      <c r="BW92" s="386">
        <f t="shared" si="63"/>
        <v>0</v>
      </c>
      <c r="BX92" s="386">
        <f t="shared" si="78"/>
        <v>3746.5780351999997</v>
      </c>
      <c r="BY92" s="386">
        <f t="shared" si="79"/>
        <v>0</v>
      </c>
      <c r="BZ92" s="386">
        <f t="shared" si="80"/>
        <v>0</v>
      </c>
      <c r="CA92" s="386">
        <f t="shared" si="81"/>
        <v>0</v>
      </c>
      <c r="CB92" s="386">
        <f t="shared" si="82"/>
        <v>0</v>
      </c>
      <c r="CC92" s="386">
        <f t="shared" si="64"/>
        <v>0</v>
      </c>
      <c r="CD92" s="386">
        <f t="shared" si="65"/>
        <v>0</v>
      </c>
      <c r="CE92" s="386">
        <f t="shared" si="66"/>
        <v>0</v>
      </c>
      <c r="CF92" s="386">
        <f t="shared" si="67"/>
        <v>-87.977344000000002</v>
      </c>
      <c r="CG92" s="386">
        <f t="shared" si="68"/>
        <v>0</v>
      </c>
      <c r="CH92" s="386">
        <f t="shared" si="69"/>
        <v>1.7954560000000048</v>
      </c>
      <c r="CI92" s="386">
        <f t="shared" si="70"/>
        <v>0</v>
      </c>
      <c r="CJ92" s="386">
        <f t="shared" si="83"/>
        <v>-86.181888000000001</v>
      </c>
      <c r="CK92" s="386" t="str">
        <f t="shared" si="84"/>
        <v/>
      </c>
      <c r="CL92" s="386" t="str">
        <f t="shared" si="85"/>
        <v/>
      </c>
      <c r="CM92" s="386" t="str">
        <f t="shared" si="86"/>
        <v/>
      </c>
      <c r="CN92" s="386" t="str">
        <f t="shared" si="87"/>
        <v>0338-02</v>
      </c>
    </row>
    <row r="93" spans="1:92" ht="15.75" thickBot="1" x14ac:dyDescent="0.3">
      <c r="A93" s="375" t="s">
        <v>161</v>
      </c>
      <c r="B93" s="375" t="s">
        <v>162</v>
      </c>
      <c r="C93" s="375" t="s">
        <v>389</v>
      </c>
      <c r="D93" s="375" t="s">
        <v>390</v>
      </c>
      <c r="E93" s="375" t="s">
        <v>526</v>
      </c>
      <c r="F93" s="381" t="s">
        <v>529</v>
      </c>
      <c r="G93" s="375" t="s">
        <v>167</v>
      </c>
      <c r="H93" s="377"/>
      <c r="I93" s="377"/>
      <c r="J93" s="375" t="s">
        <v>218</v>
      </c>
      <c r="K93" s="375" t="s">
        <v>391</v>
      </c>
      <c r="L93" s="375" t="s">
        <v>173</v>
      </c>
      <c r="M93" s="375" t="s">
        <v>177</v>
      </c>
      <c r="N93" s="375" t="s">
        <v>199</v>
      </c>
      <c r="O93" s="378">
        <v>1</v>
      </c>
      <c r="P93" s="384">
        <v>0.15</v>
      </c>
      <c r="Q93" s="384">
        <v>0.15</v>
      </c>
      <c r="R93" s="379">
        <v>80</v>
      </c>
      <c r="S93" s="384">
        <v>0.15</v>
      </c>
      <c r="T93" s="379">
        <v>0</v>
      </c>
      <c r="U93" s="379">
        <v>0</v>
      </c>
      <c r="V93" s="379">
        <v>0</v>
      </c>
      <c r="W93" s="379">
        <v>12320.88</v>
      </c>
      <c r="X93" s="379">
        <v>4377.63</v>
      </c>
      <c r="Y93" s="379">
        <v>12320.88</v>
      </c>
      <c r="Z93" s="379">
        <v>4318.49</v>
      </c>
      <c r="AA93" s="375" t="s">
        <v>392</v>
      </c>
      <c r="AB93" s="375" t="s">
        <v>393</v>
      </c>
      <c r="AC93" s="375" t="s">
        <v>394</v>
      </c>
      <c r="AD93" s="375" t="s">
        <v>194</v>
      </c>
      <c r="AE93" s="375" t="s">
        <v>391</v>
      </c>
      <c r="AF93" s="375" t="s">
        <v>305</v>
      </c>
      <c r="AG93" s="375" t="s">
        <v>183</v>
      </c>
      <c r="AH93" s="380">
        <v>39.49</v>
      </c>
      <c r="AI93" s="380">
        <v>55690.3</v>
      </c>
      <c r="AJ93" s="375" t="s">
        <v>184</v>
      </c>
      <c r="AK93" s="375" t="s">
        <v>185</v>
      </c>
      <c r="AL93" s="375" t="s">
        <v>173</v>
      </c>
      <c r="AM93" s="375" t="s">
        <v>186</v>
      </c>
      <c r="AN93" s="375" t="s">
        <v>68</v>
      </c>
      <c r="AO93" s="378">
        <v>80</v>
      </c>
      <c r="AP93" s="384">
        <v>1</v>
      </c>
      <c r="AQ93" s="384">
        <v>0.15</v>
      </c>
      <c r="AR93" s="383" t="s">
        <v>187</v>
      </c>
      <c r="AS93" s="386">
        <f t="shared" si="71"/>
        <v>0.15</v>
      </c>
      <c r="AT93">
        <f t="shared" si="72"/>
        <v>1</v>
      </c>
      <c r="AU93" s="386">
        <f>IF(AT93=0,"",IF(AND(AT93=1,M93="F",SUMIF(C2:C557,C93,AS2:AS557)&lt;=1),SUMIF(C2:C557,C93,AS2:AS557),IF(AND(AT93=1,M93="F",SUMIF(C2:C557,C93,AS2:AS557)&gt;1),1,"")))</f>
        <v>1</v>
      </c>
      <c r="AV93" s="386" t="str">
        <f>IF(AT93=0,"",IF(AND(AT93=3,M93="F",SUMIF(C2:C557,C93,AS2:AS557)&lt;=1),SUMIF(C2:C557,C93,AS2:AS557),IF(AND(AT93=3,M93="F",SUMIF(C2:C557,C93,AS2:AS557)&gt;1),1,"")))</f>
        <v/>
      </c>
      <c r="AW93" s="386">
        <f>SUMIF(C2:C557,C93,O2:O557)</f>
        <v>4</v>
      </c>
      <c r="AX93" s="386">
        <f>IF(AND(M93="F",AS93&lt;&gt;0),SUMIF(C2:C557,C93,W2:W557),0)</f>
        <v>82139.200000000012</v>
      </c>
      <c r="AY93" s="386">
        <f t="shared" si="73"/>
        <v>12320.88</v>
      </c>
      <c r="AZ93" s="386" t="str">
        <f t="shared" si="74"/>
        <v/>
      </c>
      <c r="BA93" s="386">
        <f t="shared" si="75"/>
        <v>0</v>
      </c>
      <c r="BB93" s="386">
        <f t="shared" si="44"/>
        <v>1747.5</v>
      </c>
      <c r="BC93" s="386">
        <f t="shared" si="45"/>
        <v>0</v>
      </c>
      <c r="BD93" s="386">
        <f t="shared" si="46"/>
        <v>763.89455999999996</v>
      </c>
      <c r="BE93" s="386">
        <f t="shared" si="47"/>
        <v>178.65276</v>
      </c>
      <c r="BF93" s="386">
        <f t="shared" si="48"/>
        <v>1471.1130719999999</v>
      </c>
      <c r="BG93" s="386">
        <f t="shared" si="49"/>
        <v>88.833544799999999</v>
      </c>
      <c r="BH93" s="386">
        <f t="shared" si="50"/>
        <v>60.372311999999994</v>
      </c>
      <c r="BI93" s="386">
        <f t="shared" si="51"/>
        <v>37.701892799999996</v>
      </c>
      <c r="BJ93" s="386">
        <f t="shared" si="52"/>
        <v>29.570111999999995</v>
      </c>
      <c r="BK93" s="386">
        <f t="shared" si="53"/>
        <v>0</v>
      </c>
      <c r="BL93" s="386">
        <f t="shared" si="76"/>
        <v>2630.1382535999996</v>
      </c>
      <c r="BM93" s="386">
        <f t="shared" si="77"/>
        <v>0</v>
      </c>
      <c r="BN93" s="386">
        <f t="shared" si="54"/>
        <v>1747.5</v>
      </c>
      <c r="BO93" s="386">
        <f t="shared" si="55"/>
        <v>0</v>
      </c>
      <c r="BP93" s="386">
        <f t="shared" si="56"/>
        <v>763.89455999999996</v>
      </c>
      <c r="BQ93" s="386">
        <f t="shared" si="57"/>
        <v>178.65276</v>
      </c>
      <c r="BR93" s="386">
        <f t="shared" si="58"/>
        <v>1471.1130719999999</v>
      </c>
      <c r="BS93" s="386">
        <f t="shared" si="59"/>
        <v>88.833544799999999</v>
      </c>
      <c r="BT93" s="386">
        <f t="shared" si="60"/>
        <v>0</v>
      </c>
      <c r="BU93" s="386">
        <f t="shared" si="61"/>
        <v>37.701892799999996</v>
      </c>
      <c r="BV93" s="386">
        <f t="shared" si="62"/>
        <v>30.802199999999999</v>
      </c>
      <c r="BW93" s="386">
        <f t="shared" si="63"/>
        <v>0</v>
      </c>
      <c r="BX93" s="386">
        <f t="shared" si="78"/>
        <v>2570.9980295999994</v>
      </c>
      <c r="BY93" s="386">
        <f t="shared" si="79"/>
        <v>0</v>
      </c>
      <c r="BZ93" s="386">
        <f t="shared" si="80"/>
        <v>0</v>
      </c>
      <c r="CA93" s="386">
        <f t="shared" si="81"/>
        <v>0</v>
      </c>
      <c r="CB93" s="386">
        <f t="shared" si="82"/>
        <v>0</v>
      </c>
      <c r="CC93" s="386">
        <f t="shared" si="64"/>
        <v>0</v>
      </c>
      <c r="CD93" s="386">
        <f t="shared" si="65"/>
        <v>0</v>
      </c>
      <c r="CE93" s="386">
        <f t="shared" si="66"/>
        <v>0</v>
      </c>
      <c r="CF93" s="386">
        <f t="shared" si="67"/>
        <v>-60.372311999999994</v>
      </c>
      <c r="CG93" s="386">
        <f t="shared" si="68"/>
        <v>0</v>
      </c>
      <c r="CH93" s="386">
        <f t="shared" si="69"/>
        <v>1.2320880000000032</v>
      </c>
      <c r="CI93" s="386">
        <f t="shared" si="70"/>
        <v>0</v>
      </c>
      <c r="CJ93" s="386">
        <f t="shared" si="83"/>
        <v>-59.140223999999989</v>
      </c>
      <c r="CK93" s="386" t="str">
        <f t="shared" si="84"/>
        <v/>
      </c>
      <c r="CL93" s="386" t="str">
        <f t="shared" si="85"/>
        <v/>
      </c>
      <c r="CM93" s="386" t="str">
        <f t="shared" si="86"/>
        <v/>
      </c>
      <c r="CN93" s="386" t="str">
        <f t="shared" si="87"/>
        <v>0338-02</v>
      </c>
    </row>
    <row r="94" spans="1:92" ht="15.75" thickBot="1" x14ac:dyDescent="0.3">
      <c r="A94" s="375" t="s">
        <v>161</v>
      </c>
      <c r="B94" s="375" t="s">
        <v>162</v>
      </c>
      <c r="C94" s="375" t="s">
        <v>422</v>
      </c>
      <c r="D94" s="375" t="s">
        <v>164</v>
      </c>
      <c r="E94" s="375" t="s">
        <v>526</v>
      </c>
      <c r="F94" s="381" t="s">
        <v>529</v>
      </c>
      <c r="G94" s="375" t="s">
        <v>167</v>
      </c>
      <c r="H94" s="377"/>
      <c r="I94" s="377"/>
      <c r="J94" s="375" t="s">
        <v>218</v>
      </c>
      <c r="K94" s="375" t="s">
        <v>169</v>
      </c>
      <c r="L94" s="375" t="s">
        <v>170</v>
      </c>
      <c r="M94" s="375" t="s">
        <v>177</v>
      </c>
      <c r="N94" s="375" t="s">
        <v>199</v>
      </c>
      <c r="O94" s="378">
        <v>1</v>
      </c>
      <c r="P94" s="384">
        <v>0.3</v>
      </c>
      <c r="Q94" s="384">
        <v>0.3</v>
      </c>
      <c r="R94" s="379">
        <v>80</v>
      </c>
      <c r="S94" s="384">
        <v>0.3</v>
      </c>
      <c r="T94" s="379">
        <v>15357.67</v>
      </c>
      <c r="U94" s="379">
        <v>0</v>
      </c>
      <c r="V94" s="379">
        <v>5749.89</v>
      </c>
      <c r="W94" s="379">
        <v>15200.64</v>
      </c>
      <c r="X94" s="379">
        <v>6739.86</v>
      </c>
      <c r="Y94" s="379">
        <v>15200.64</v>
      </c>
      <c r="Z94" s="379">
        <v>6666.9</v>
      </c>
      <c r="AA94" s="375" t="s">
        <v>423</v>
      </c>
      <c r="AB94" s="375" t="s">
        <v>424</v>
      </c>
      <c r="AC94" s="375" t="s">
        <v>425</v>
      </c>
      <c r="AD94" s="375" t="s">
        <v>181</v>
      </c>
      <c r="AE94" s="375" t="s">
        <v>169</v>
      </c>
      <c r="AF94" s="375" t="s">
        <v>269</v>
      </c>
      <c r="AG94" s="375" t="s">
        <v>183</v>
      </c>
      <c r="AH94" s="380">
        <v>24.36</v>
      </c>
      <c r="AI94" s="380">
        <v>11994.8</v>
      </c>
      <c r="AJ94" s="375" t="s">
        <v>184</v>
      </c>
      <c r="AK94" s="375" t="s">
        <v>185</v>
      </c>
      <c r="AL94" s="375" t="s">
        <v>173</v>
      </c>
      <c r="AM94" s="375" t="s">
        <v>186</v>
      </c>
      <c r="AN94" s="375" t="s">
        <v>68</v>
      </c>
      <c r="AO94" s="378">
        <v>80</v>
      </c>
      <c r="AP94" s="384">
        <v>1</v>
      </c>
      <c r="AQ94" s="384">
        <v>0.3</v>
      </c>
      <c r="AR94" s="383" t="s">
        <v>187</v>
      </c>
      <c r="AS94" s="386">
        <f t="shared" si="71"/>
        <v>0.3</v>
      </c>
      <c r="AT94">
        <f t="shared" si="72"/>
        <v>1</v>
      </c>
      <c r="AU94" s="386">
        <f>IF(AT94=0,"",IF(AND(AT94=1,M94="F",SUMIF(C2:C557,C94,AS2:AS557)&lt;=1),SUMIF(C2:C557,C94,AS2:AS557),IF(AND(AT94=1,M94="F",SUMIF(C2:C557,C94,AS2:AS557)&gt;1),1,"")))</f>
        <v>1</v>
      </c>
      <c r="AV94" s="386" t="str">
        <f>IF(AT94=0,"",IF(AND(AT94=3,M94="F",SUMIF(C2:C557,C94,AS2:AS557)&lt;=1),SUMIF(C2:C557,C94,AS2:AS557),IF(AND(AT94=3,M94="F",SUMIF(C2:C557,C94,AS2:AS557)&gt;1),1,"")))</f>
        <v/>
      </c>
      <c r="AW94" s="386">
        <f>SUMIF(C2:C557,C94,O2:O557)</f>
        <v>2</v>
      </c>
      <c r="AX94" s="386">
        <f>IF(AND(M94="F",AS94&lt;&gt;0),SUMIF(C2:C557,C94,W2:W557),0)</f>
        <v>50668.800000000003</v>
      </c>
      <c r="AY94" s="386">
        <f t="shared" si="73"/>
        <v>15200.64</v>
      </c>
      <c r="AZ94" s="386" t="str">
        <f t="shared" si="74"/>
        <v/>
      </c>
      <c r="BA94" s="386">
        <f t="shared" si="75"/>
        <v>0</v>
      </c>
      <c r="BB94" s="386">
        <f t="shared" si="44"/>
        <v>3495</v>
      </c>
      <c r="BC94" s="386">
        <f t="shared" si="45"/>
        <v>0</v>
      </c>
      <c r="BD94" s="386">
        <f t="shared" si="46"/>
        <v>942.43967999999995</v>
      </c>
      <c r="BE94" s="386">
        <f t="shared" si="47"/>
        <v>220.40928</v>
      </c>
      <c r="BF94" s="386">
        <f t="shared" si="48"/>
        <v>1814.956416</v>
      </c>
      <c r="BG94" s="386">
        <f t="shared" si="49"/>
        <v>109.59661439999999</v>
      </c>
      <c r="BH94" s="386">
        <f t="shared" si="50"/>
        <v>74.483136000000002</v>
      </c>
      <c r="BI94" s="386">
        <f t="shared" si="51"/>
        <v>46.513958399999993</v>
      </c>
      <c r="BJ94" s="386">
        <f t="shared" si="52"/>
        <v>36.481535999999998</v>
      </c>
      <c r="BK94" s="386">
        <f t="shared" si="53"/>
        <v>0</v>
      </c>
      <c r="BL94" s="386">
        <f t="shared" si="76"/>
        <v>3244.8806207999996</v>
      </c>
      <c r="BM94" s="386">
        <f t="shared" si="77"/>
        <v>0</v>
      </c>
      <c r="BN94" s="386">
        <f t="shared" si="54"/>
        <v>3495</v>
      </c>
      <c r="BO94" s="386">
        <f t="shared" si="55"/>
        <v>0</v>
      </c>
      <c r="BP94" s="386">
        <f t="shared" si="56"/>
        <v>942.43967999999995</v>
      </c>
      <c r="BQ94" s="386">
        <f t="shared" si="57"/>
        <v>220.40928</v>
      </c>
      <c r="BR94" s="386">
        <f t="shared" si="58"/>
        <v>1814.956416</v>
      </c>
      <c r="BS94" s="386">
        <f t="shared" si="59"/>
        <v>109.59661439999999</v>
      </c>
      <c r="BT94" s="386">
        <f t="shared" si="60"/>
        <v>0</v>
      </c>
      <c r="BU94" s="386">
        <f t="shared" si="61"/>
        <v>46.513958399999993</v>
      </c>
      <c r="BV94" s="386">
        <f t="shared" si="62"/>
        <v>38.001599999999996</v>
      </c>
      <c r="BW94" s="386">
        <f t="shared" si="63"/>
        <v>0</v>
      </c>
      <c r="BX94" s="386">
        <f t="shared" si="78"/>
        <v>3171.9175488000001</v>
      </c>
      <c r="BY94" s="386">
        <f t="shared" si="79"/>
        <v>0</v>
      </c>
      <c r="BZ94" s="386">
        <f t="shared" si="80"/>
        <v>0</v>
      </c>
      <c r="CA94" s="386">
        <f t="shared" si="81"/>
        <v>0</v>
      </c>
      <c r="CB94" s="386">
        <f t="shared" si="82"/>
        <v>0</v>
      </c>
      <c r="CC94" s="386">
        <f t="shared" si="64"/>
        <v>0</v>
      </c>
      <c r="CD94" s="386">
        <f t="shared" si="65"/>
        <v>0</v>
      </c>
      <c r="CE94" s="386">
        <f t="shared" si="66"/>
        <v>0</v>
      </c>
      <c r="CF94" s="386">
        <f t="shared" si="67"/>
        <v>-74.483136000000002</v>
      </c>
      <c r="CG94" s="386">
        <f t="shared" si="68"/>
        <v>0</v>
      </c>
      <c r="CH94" s="386">
        <f t="shared" si="69"/>
        <v>1.5200640000000039</v>
      </c>
      <c r="CI94" s="386">
        <f t="shared" si="70"/>
        <v>0</v>
      </c>
      <c r="CJ94" s="386">
        <f t="shared" si="83"/>
        <v>-72.963071999999997</v>
      </c>
      <c r="CK94" s="386" t="str">
        <f t="shared" si="84"/>
        <v/>
      </c>
      <c r="CL94" s="386" t="str">
        <f t="shared" si="85"/>
        <v/>
      </c>
      <c r="CM94" s="386" t="str">
        <f t="shared" si="86"/>
        <v/>
      </c>
      <c r="CN94" s="386" t="str">
        <f t="shared" si="87"/>
        <v>0338-02</v>
      </c>
    </row>
    <row r="95" spans="1:92" ht="15.75" thickBot="1" x14ac:dyDescent="0.3">
      <c r="A95" s="375" t="s">
        <v>161</v>
      </c>
      <c r="B95" s="375" t="s">
        <v>162</v>
      </c>
      <c r="C95" s="375" t="s">
        <v>541</v>
      </c>
      <c r="D95" s="375" t="s">
        <v>542</v>
      </c>
      <c r="E95" s="375" t="s">
        <v>526</v>
      </c>
      <c r="F95" s="381" t="s">
        <v>529</v>
      </c>
      <c r="G95" s="375" t="s">
        <v>167</v>
      </c>
      <c r="H95" s="377"/>
      <c r="I95" s="377"/>
      <c r="J95" s="375" t="s">
        <v>168</v>
      </c>
      <c r="K95" s="375" t="s">
        <v>543</v>
      </c>
      <c r="L95" s="375" t="s">
        <v>198</v>
      </c>
      <c r="M95" s="375" t="s">
        <v>177</v>
      </c>
      <c r="N95" s="375" t="s">
        <v>199</v>
      </c>
      <c r="O95" s="378">
        <v>1</v>
      </c>
      <c r="P95" s="384">
        <v>1</v>
      </c>
      <c r="Q95" s="384">
        <v>1</v>
      </c>
      <c r="R95" s="379">
        <v>80</v>
      </c>
      <c r="S95" s="384">
        <v>1</v>
      </c>
      <c r="T95" s="379">
        <v>46426.22</v>
      </c>
      <c r="U95" s="379">
        <v>0</v>
      </c>
      <c r="V95" s="379">
        <v>21315.119999999999</v>
      </c>
      <c r="W95" s="379">
        <v>57220.800000000003</v>
      </c>
      <c r="X95" s="379">
        <v>23864.89</v>
      </c>
      <c r="Y95" s="379">
        <v>57220.800000000003</v>
      </c>
      <c r="Z95" s="379">
        <v>23590.240000000002</v>
      </c>
      <c r="AA95" s="375" t="s">
        <v>544</v>
      </c>
      <c r="AB95" s="375" t="s">
        <v>545</v>
      </c>
      <c r="AC95" s="375" t="s">
        <v>546</v>
      </c>
      <c r="AD95" s="375" t="s">
        <v>233</v>
      </c>
      <c r="AE95" s="375" t="s">
        <v>543</v>
      </c>
      <c r="AF95" s="375" t="s">
        <v>245</v>
      </c>
      <c r="AG95" s="375" t="s">
        <v>183</v>
      </c>
      <c r="AH95" s="380">
        <v>27.51</v>
      </c>
      <c r="AI95" s="380">
        <v>35602.699999999997</v>
      </c>
      <c r="AJ95" s="375" t="s">
        <v>184</v>
      </c>
      <c r="AK95" s="375" t="s">
        <v>185</v>
      </c>
      <c r="AL95" s="375" t="s">
        <v>173</v>
      </c>
      <c r="AM95" s="375" t="s">
        <v>186</v>
      </c>
      <c r="AN95" s="375" t="s">
        <v>68</v>
      </c>
      <c r="AO95" s="378">
        <v>80</v>
      </c>
      <c r="AP95" s="384">
        <v>1</v>
      </c>
      <c r="AQ95" s="384">
        <v>1</v>
      </c>
      <c r="AR95" s="383" t="s">
        <v>187</v>
      </c>
      <c r="AS95" s="386">
        <f t="shared" si="71"/>
        <v>1</v>
      </c>
      <c r="AT95">
        <f t="shared" si="72"/>
        <v>1</v>
      </c>
      <c r="AU95" s="386">
        <f>IF(AT95=0,"",IF(AND(AT95=1,M95="F",SUMIF(C2:C557,C95,AS2:AS557)&lt;=1),SUMIF(C2:C557,C95,AS2:AS557),IF(AND(AT95=1,M95="F",SUMIF(C2:C557,C95,AS2:AS557)&gt;1),1,"")))</f>
        <v>1</v>
      </c>
      <c r="AV95" s="386" t="str">
        <f>IF(AT95=0,"",IF(AND(AT95=3,M95="F",SUMIF(C2:C557,C95,AS2:AS557)&lt;=1),SUMIF(C2:C557,C95,AS2:AS557),IF(AND(AT95=3,M95="F",SUMIF(C2:C557,C95,AS2:AS557)&gt;1),1,"")))</f>
        <v/>
      </c>
      <c r="AW95" s="386">
        <f>SUMIF(C2:C557,C95,O2:O557)</f>
        <v>1</v>
      </c>
      <c r="AX95" s="386">
        <f>IF(AND(M95="F",AS95&lt;&gt;0),SUMIF(C2:C557,C95,W2:W557),0)</f>
        <v>57220.800000000003</v>
      </c>
      <c r="AY95" s="386">
        <f t="shared" si="73"/>
        <v>57220.800000000003</v>
      </c>
      <c r="AZ95" s="386" t="str">
        <f t="shared" si="74"/>
        <v/>
      </c>
      <c r="BA95" s="386">
        <f t="shared" si="75"/>
        <v>0</v>
      </c>
      <c r="BB95" s="386">
        <f t="shared" si="44"/>
        <v>11650</v>
      </c>
      <c r="BC95" s="386">
        <f t="shared" si="45"/>
        <v>0</v>
      </c>
      <c r="BD95" s="386">
        <f t="shared" si="46"/>
        <v>3547.6896000000002</v>
      </c>
      <c r="BE95" s="386">
        <f t="shared" si="47"/>
        <v>829.7016000000001</v>
      </c>
      <c r="BF95" s="386">
        <f t="shared" si="48"/>
        <v>6832.163520000001</v>
      </c>
      <c r="BG95" s="386">
        <f t="shared" si="49"/>
        <v>412.56196800000004</v>
      </c>
      <c r="BH95" s="386">
        <f t="shared" si="50"/>
        <v>280.38191999999998</v>
      </c>
      <c r="BI95" s="386">
        <f t="shared" si="51"/>
        <v>175.09564799999998</v>
      </c>
      <c r="BJ95" s="386">
        <f t="shared" si="52"/>
        <v>137.32991999999999</v>
      </c>
      <c r="BK95" s="386">
        <f t="shared" si="53"/>
        <v>0</v>
      </c>
      <c r="BL95" s="386">
        <f t="shared" si="76"/>
        <v>12214.924176</v>
      </c>
      <c r="BM95" s="386">
        <f t="shared" si="77"/>
        <v>0</v>
      </c>
      <c r="BN95" s="386">
        <f t="shared" si="54"/>
        <v>11650</v>
      </c>
      <c r="BO95" s="386">
        <f t="shared" si="55"/>
        <v>0</v>
      </c>
      <c r="BP95" s="386">
        <f t="shared" si="56"/>
        <v>3547.6896000000002</v>
      </c>
      <c r="BQ95" s="386">
        <f t="shared" si="57"/>
        <v>829.7016000000001</v>
      </c>
      <c r="BR95" s="386">
        <f t="shared" si="58"/>
        <v>6832.163520000001</v>
      </c>
      <c r="BS95" s="386">
        <f t="shared" si="59"/>
        <v>412.56196800000004</v>
      </c>
      <c r="BT95" s="386">
        <f t="shared" si="60"/>
        <v>0</v>
      </c>
      <c r="BU95" s="386">
        <f t="shared" si="61"/>
        <v>175.09564799999998</v>
      </c>
      <c r="BV95" s="386">
        <f t="shared" si="62"/>
        <v>143.05200000000002</v>
      </c>
      <c r="BW95" s="386">
        <f t="shared" si="63"/>
        <v>0</v>
      </c>
      <c r="BX95" s="386">
        <f t="shared" si="78"/>
        <v>11940.264336</v>
      </c>
      <c r="BY95" s="386">
        <f t="shared" si="79"/>
        <v>0</v>
      </c>
      <c r="BZ95" s="386">
        <f t="shared" si="80"/>
        <v>0</v>
      </c>
      <c r="CA95" s="386">
        <f t="shared" si="81"/>
        <v>0</v>
      </c>
      <c r="CB95" s="386">
        <f t="shared" si="82"/>
        <v>0</v>
      </c>
      <c r="CC95" s="386">
        <f t="shared" si="64"/>
        <v>0</v>
      </c>
      <c r="CD95" s="386">
        <f t="shared" si="65"/>
        <v>0</v>
      </c>
      <c r="CE95" s="386">
        <f t="shared" si="66"/>
        <v>0</v>
      </c>
      <c r="CF95" s="386">
        <f t="shared" si="67"/>
        <v>-280.38191999999998</v>
      </c>
      <c r="CG95" s="386">
        <f t="shared" si="68"/>
        <v>0</v>
      </c>
      <c r="CH95" s="386">
        <f t="shared" si="69"/>
        <v>5.7220800000000152</v>
      </c>
      <c r="CI95" s="386">
        <f t="shared" si="70"/>
        <v>0</v>
      </c>
      <c r="CJ95" s="386">
        <f t="shared" si="83"/>
        <v>-274.65983999999997</v>
      </c>
      <c r="CK95" s="386" t="str">
        <f t="shared" si="84"/>
        <v/>
      </c>
      <c r="CL95" s="386" t="str">
        <f t="shared" si="85"/>
        <v/>
      </c>
      <c r="CM95" s="386" t="str">
        <f t="shared" si="86"/>
        <v/>
      </c>
      <c r="CN95" s="386" t="str">
        <f t="shared" si="87"/>
        <v>0338-02</v>
      </c>
    </row>
    <row r="96" spans="1:92" ht="15.75" thickBot="1" x14ac:dyDescent="0.3">
      <c r="A96" s="375" t="s">
        <v>161</v>
      </c>
      <c r="B96" s="375" t="s">
        <v>162</v>
      </c>
      <c r="C96" s="375" t="s">
        <v>457</v>
      </c>
      <c r="D96" s="375" t="s">
        <v>458</v>
      </c>
      <c r="E96" s="375" t="s">
        <v>526</v>
      </c>
      <c r="F96" s="381" t="s">
        <v>529</v>
      </c>
      <c r="G96" s="375" t="s">
        <v>167</v>
      </c>
      <c r="H96" s="377"/>
      <c r="I96" s="377"/>
      <c r="J96" s="375" t="s">
        <v>218</v>
      </c>
      <c r="K96" s="375" t="s">
        <v>459</v>
      </c>
      <c r="L96" s="375" t="s">
        <v>183</v>
      </c>
      <c r="M96" s="375" t="s">
        <v>177</v>
      </c>
      <c r="N96" s="375" t="s">
        <v>199</v>
      </c>
      <c r="O96" s="378">
        <v>1</v>
      </c>
      <c r="P96" s="384">
        <v>0</v>
      </c>
      <c r="Q96" s="384">
        <v>0</v>
      </c>
      <c r="R96" s="379">
        <v>80</v>
      </c>
      <c r="S96" s="384">
        <v>0</v>
      </c>
      <c r="T96" s="379">
        <v>607.6</v>
      </c>
      <c r="U96" s="379">
        <v>0</v>
      </c>
      <c r="V96" s="379">
        <v>316.87</v>
      </c>
      <c r="W96" s="379">
        <v>0</v>
      </c>
      <c r="X96" s="379">
        <v>0</v>
      </c>
      <c r="Y96" s="379">
        <v>0</v>
      </c>
      <c r="Z96" s="379">
        <v>0</v>
      </c>
      <c r="AA96" s="375" t="s">
        <v>460</v>
      </c>
      <c r="AB96" s="375" t="s">
        <v>461</v>
      </c>
      <c r="AC96" s="375" t="s">
        <v>462</v>
      </c>
      <c r="AD96" s="375" t="s">
        <v>195</v>
      </c>
      <c r="AE96" s="375" t="s">
        <v>459</v>
      </c>
      <c r="AF96" s="375" t="s">
        <v>206</v>
      </c>
      <c r="AG96" s="375" t="s">
        <v>183</v>
      </c>
      <c r="AH96" s="380">
        <v>15.32</v>
      </c>
      <c r="AI96" s="380">
        <v>3081.9</v>
      </c>
      <c r="AJ96" s="375" t="s">
        <v>184</v>
      </c>
      <c r="AK96" s="375" t="s">
        <v>185</v>
      </c>
      <c r="AL96" s="375" t="s">
        <v>173</v>
      </c>
      <c r="AM96" s="375" t="s">
        <v>186</v>
      </c>
      <c r="AN96" s="375" t="s">
        <v>68</v>
      </c>
      <c r="AO96" s="378">
        <v>80</v>
      </c>
      <c r="AP96" s="384">
        <v>1</v>
      </c>
      <c r="AQ96" s="384">
        <v>0</v>
      </c>
      <c r="AR96" s="383" t="s">
        <v>187</v>
      </c>
      <c r="AS96" s="386">
        <f t="shared" si="71"/>
        <v>0</v>
      </c>
      <c r="AT96">
        <f t="shared" si="72"/>
        <v>0</v>
      </c>
      <c r="AU96" s="386" t="str">
        <f>IF(AT96=0,"",IF(AND(AT96=1,M96="F",SUMIF(C2:C557,C96,AS2:AS557)&lt;=1),SUMIF(C2:C557,C96,AS2:AS557),IF(AND(AT96=1,M96="F",SUMIF(C2:C557,C96,AS2:AS557)&gt;1),1,"")))</f>
        <v/>
      </c>
      <c r="AV96" s="386" t="str">
        <f>IF(AT96=0,"",IF(AND(AT96=3,M96="F",SUMIF(C2:C557,C96,AS2:AS557)&lt;=1),SUMIF(C2:C557,C96,AS2:AS557),IF(AND(AT96=3,M96="F",SUMIF(C2:C557,C96,AS2:AS557)&gt;1),1,"")))</f>
        <v/>
      </c>
      <c r="AW96" s="386">
        <f>SUMIF(C2:C557,C96,O2:O557)</f>
        <v>3</v>
      </c>
      <c r="AX96" s="386">
        <f>IF(AND(M96="F",AS96&lt;&gt;0),SUMIF(C2:C557,C96,W2:W557),0)</f>
        <v>0</v>
      </c>
      <c r="AY96" s="386" t="str">
        <f t="shared" si="73"/>
        <v/>
      </c>
      <c r="AZ96" s="386" t="str">
        <f t="shared" si="74"/>
        <v/>
      </c>
      <c r="BA96" s="386">
        <f t="shared" si="75"/>
        <v>0</v>
      </c>
      <c r="BB96" s="386">
        <f t="shared" si="44"/>
        <v>0</v>
      </c>
      <c r="BC96" s="386">
        <f t="shared" si="45"/>
        <v>0</v>
      </c>
      <c r="BD96" s="386">
        <f t="shared" si="46"/>
        <v>0</v>
      </c>
      <c r="BE96" s="386">
        <f t="shared" si="47"/>
        <v>0</v>
      </c>
      <c r="BF96" s="386">
        <f t="shared" si="48"/>
        <v>0</v>
      </c>
      <c r="BG96" s="386">
        <f t="shared" si="49"/>
        <v>0</v>
      </c>
      <c r="BH96" s="386">
        <f t="shared" si="50"/>
        <v>0</v>
      </c>
      <c r="BI96" s="386">
        <f t="shared" si="51"/>
        <v>0</v>
      </c>
      <c r="BJ96" s="386">
        <f t="shared" si="52"/>
        <v>0</v>
      </c>
      <c r="BK96" s="386">
        <f t="shared" si="53"/>
        <v>0</v>
      </c>
      <c r="BL96" s="386">
        <f t="shared" si="76"/>
        <v>0</v>
      </c>
      <c r="BM96" s="386">
        <f t="shared" si="77"/>
        <v>0</v>
      </c>
      <c r="BN96" s="386">
        <f t="shared" si="54"/>
        <v>0</v>
      </c>
      <c r="BO96" s="386">
        <f t="shared" si="55"/>
        <v>0</v>
      </c>
      <c r="BP96" s="386">
        <f t="shared" si="56"/>
        <v>0</v>
      </c>
      <c r="BQ96" s="386">
        <f t="shared" si="57"/>
        <v>0</v>
      </c>
      <c r="BR96" s="386">
        <f t="shared" si="58"/>
        <v>0</v>
      </c>
      <c r="BS96" s="386">
        <f t="shared" si="59"/>
        <v>0</v>
      </c>
      <c r="BT96" s="386">
        <f t="shared" si="60"/>
        <v>0</v>
      </c>
      <c r="BU96" s="386">
        <f t="shared" si="61"/>
        <v>0</v>
      </c>
      <c r="BV96" s="386">
        <f t="shared" si="62"/>
        <v>0</v>
      </c>
      <c r="BW96" s="386">
        <f t="shared" si="63"/>
        <v>0</v>
      </c>
      <c r="BX96" s="386">
        <f t="shared" si="78"/>
        <v>0</v>
      </c>
      <c r="BY96" s="386">
        <f t="shared" si="79"/>
        <v>0</v>
      </c>
      <c r="BZ96" s="386">
        <f t="shared" si="80"/>
        <v>0</v>
      </c>
      <c r="CA96" s="386">
        <f t="shared" si="81"/>
        <v>0</v>
      </c>
      <c r="CB96" s="386">
        <f t="shared" si="82"/>
        <v>0</v>
      </c>
      <c r="CC96" s="386">
        <f t="shared" si="64"/>
        <v>0</v>
      </c>
      <c r="CD96" s="386">
        <f t="shared" si="65"/>
        <v>0</v>
      </c>
      <c r="CE96" s="386">
        <f t="shared" si="66"/>
        <v>0</v>
      </c>
      <c r="CF96" s="386">
        <f t="shared" si="67"/>
        <v>0</v>
      </c>
      <c r="CG96" s="386">
        <f t="shared" si="68"/>
        <v>0</v>
      </c>
      <c r="CH96" s="386">
        <f t="shared" si="69"/>
        <v>0</v>
      </c>
      <c r="CI96" s="386">
        <f t="shared" si="70"/>
        <v>0</v>
      </c>
      <c r="CJ96" s="386">
        <f t="shared" si="83"/>
        <v>0</v>
      </c>
      <c r="CK96" s="386" t="str">
        <f t="shared" si="84"/>
        <v/>
      </c>
      <c r="CL96" s="386" t="str">
        <f t="shared" si="85"/>
        <v/>
      </c>
      <c r="CM96" s="386" t="str">
        <f t="shared" si="86"/>
        <v/>
      </c>
      <c r="CN96" s="386" t="str">
        <f t="shared" si="87"/>
        <v>0338-02</v>
      </c>
    </row>
    <row r="97" spans="1:92" ht="15.75" thickBot="1" x14ac:dyDescent="0.3">
      <c r="A97" s="375" t="s">
        <v>161</v>
      </c>
      <c r="B97" s="375" t="s">
        <v>162</v>
      </c>
      <c r="C97" s="375" t="s">
        <v>547</v>
      </c>
      <c r="D97" s="375" t="s">
        <v>548</v>
      </c>
      <c r="E97" s="375" t="s">
        <v>165</v>
      </c>
      <c r="F97" s="376" t="s">
        <v>166</v>
      </c>
      <c r="G97" s="375" t="s">
        <v>549</v>
      </c>
      <c r="H97" s="377"/>
      <c r="I97" s="377"/>
      <c r="J97" s="375" t="s">
        <v>168</v>
      </c>
      <c r="K97" s="375" t="s">
        <v>550</v>
      </c>
      <c r="L97" s="375" t="s">
        <v>198</v>
      </c>
      <c r="M97" s="375" t="s">
        <v>177</v>
      </c>
      <c r="N97" s="375" t="s">
        <v>199</v>
      </c>
      <c r="O97" s="378">
        <v>1</v>
      </c>
      <c r="P97" s="384">
        <v>1</v>
      </c>
      <c r="Q97" s="384">
        <v>1</v>
      </c>
      <c r="R97" s="379">
        <v>80</v>
      </c>
      <c r="S97" s="384">
        <v>1</v>
      </c>
      <c r="T97" s="379">
        <v>37628.410000000003</v>
      </c>
      <c r="U97" s="379">
        <v>0</v>
      </c>
      <c r="V97" s="379">
        <v>19166</v>
      </c>
      <c r="W97" s="379">
        <v>46737.599999999999</v>
      </c>
      <c r="X97" s="379">
        <v>21627.040000000001</v>
      </c>
      <c r="Y97" s="379">
        <v>46737.599999999999</v>
      </c>
      <c r="Z97" s="379">
        <v>21402.7</v>
      </c>
      <c r="AA97" s="375" t="s">
        <v>551</v>
      </c>
      <c r="AB97" s="375" t="s">
        <v>552</v>
      </c>
      <c r="AC97" s="375" t="s">
        <v>553</v>
      </c>
      <c r="AD97" s="375" t="s">
        <v>181</v>
      </c>
      <c r="AE97" s="375" t="s">
        <v>550</v>
      </c>
      <c r="AF97" s="375" t="s">
        <v>245</v>
      </c>
      <c r="AG97" s="375" t="s">
        <v>183</v>
      </c>
      <c r="AH97" s="380">
        <v>22.47</v>
      </c>
      <c r="AI97" s="378">
        <v>8198</v>
      </c>
      <c r="AJ97" s="375" t="s">
        <v>184</v>
      </c>
      <c r="AK97" s="375" t="s">
        <v>185</v>
      </c>
      <c r="AL97" s="375" t="s">
        <v>173</v>
      </c>
      <c r="AM97" s="375" t="s">
        <v>186</v>
      </c>
      <c r="AN97" s="375" t="s">
        <v>68</v>
      </c>
      <c r="AO97" s="378">
        <v>80</v>
      </c>
      <c r="AP97" s="384">
        <v>1</v>
      </c>
      <c r="AQ97" s="384">
        <v>1</v>
      </c>
      <c r="AR97" s="383" t="s">
        <v>187</v>
      </c>
      <c r="AS97" s="386">
        <f t="shared" si="71"/>
        <v>1</v>
      </c>
      <c r="AT97">
        <f t="shared" si="72"/>
        <v>1</v>
      </c>
      <c r="AU97" s="386">
        <f>IF(AT97=0,"",IF(AND(AT97=1,M97="F",SUMIF(C2:C557,C97,AS2:AS557)&lt;=1),SUMIF(C2:C557,C97,AS2:AS557),IF(AND(AT97=1,M97="F",SUMIF(C2:C557,C97,AS2:AS557)&gt;1),1,"")))</f>
        <v>1</v>
      </c>
      <c r="AV97" s="386" t="str">
        <f>IF(AT97=0,"",IF(AND(AT97=3,M97="F",SUMIF(C2:C557,C97,AS2:AS557)&lt;=1),SUMIF(C2:C557,C97,AS2:AS557),IF(AND(AT97=3,M97="F",SUMIF(C2:C557,C97,AS2:AS557)&gt;1),1,"")))</f>
        <v/>
      </c>
      <c r="AW97" s="386">
        <f>SUMIF(C2:C557,C97,O2:O557)</f>
        <v>1</v>
      </c>
      <c r="AX97" s="386">
        <f>IF(AND(M97="F",AS97&lt;&gt;0),SUMIF(C2:C557,C97,W2:W557),0)</f>
        <v>46737.599999999999</v>
      </c>
      <c r="AY97" s="386">
        <f t="shared" si="73"/>
        <v>46737.599999999999</v>
      </c>
      <c r="AZ97" s="386" t="str">
        <f t="shared" si="74"/>
        <v/>
      </c>
      <c r="BA97" s="386">
        <f t="shared" si="75"/>
        <v>0</v>
      </c>
      <c r="BB97" s="386">
        <f t="shared" si="44"/>
        <v>11650</v>
      </c>
      <c r="BC97" s="386">
        <f t="shared" si="45"/>
        <v>0</v>
      </c>
      <c r="BD97" s="386">
        <f t="shared" si="46"/>
        <v>2897.7311999999997</v>
      </c>
      <c r="BE97" s="386">
        <f t="shared" si="47"/>
        <v>677.6952</v>
      </c>
      <c r="BF97" s="386">
        <f t="shared" si="48"/>
        <v>5580.4694399999998</v>
      </c>
      <c r="BG97" s="386">
        <f t="shared" si="49"/>
        <v>336.97809599999999</v>
      </c>
      <c r="BH97" s="386">
        <f t="shared" si="50"/>
        <v>229.01423999999997</v>
      </c>
      <c r="BI97" s="386">
        <f t="shared" si="51"/>
        <v>143.017056</v>
      </c>
      <c r="BJ97" s="386">
        <f t="shared" si="52"/>
        <v>112.17023999999999</v>
      </c>
      <c r="BK97" s="386">
        <f t="shared" si="53"/>
        <v>0</v>
      </c>
      <c r="BL97" s="386">
        <f t="shared" si="76"/>
        <v>9977.0754720000004</v>
      </c>
      <c r="BM97" s="386">
        <f t="shared" si="77"/>
        <v>0</v>
      </c>
      <c r="BN97" s="386">
        <f t="shared" si="54"/>
        <v>11650</v>
      </c>
      <c r="BO97" s="386">
        <f t="shared" si="55"/>
        <v>0</v>
      </c>
      <c r="BP97" s="386">
        <f t="shared" si="56"/>
        <v>2897.7311999999997</v>
      </c>
      <c r="BQ97" s="386">
        <f t="shared" si="57"/>
        <v>677.6952</v>
      </c>
      <c r="BR97" s="386">
        <f t="shared" si="58"/>
        <v>5580.4694399999998</v>
      </c>
      <c r="BS97" s="386">
        <f t="shared" si="59"/>
        <v>336.97809599999999</v>
      </c>
      <c r="BT97" s="386">
        <f t="shared" si="60"/>
        <v>0</v>
      </c>
      <c r="BU97" s="386">
        <f t="shared" si="61"/>
        <v>143.017056</v>
      </c>
      <c r="BV97" s="386">
        <f t="shared" si="62"/>
        <v>116.84399999999999</v>
      </c>
      <c r="BW97" s="386">
        <f t="shared" si="63"/>
        <v>0</v>
      </c>
      <c r="BX97" s="386">
        <f t="shared" si="78"/>
        <v>9752.7349919999997</v>
      </c>
      <c r="BY97" s="386">
        <f t="shared" si="79"/>
        <v>0</v>
      </c>
      <c r="BZ97" s="386">
        <f t="shared" si="80"/>
        <v>0</v>
      </c>
      <c r="CA97" s="386">
        <f t="shared" si="81"/>
        <v>0</v>
      </c>
      <c r="CB97" s="386">
        <f t="shared" si="82"/>
        <v>0</v>
      </c>
      <c r="CC97" s="386">
        <f t="shared" si="64"/>
        <v>0</v>
      </c>
      <c r="CD97" s="386">
        <f t="shared" si="65"/>
        <v>0</v>
      </c>
      <c r="CE97" s="386">
        <f t="shared" si="66"/>
        <v>0</v>
      </c>
      <c r="CF97" s="386">
        <f t="shared" si="67"/>
        <v>-229.01423999999997</v>
      </c>
      <c r="CG97" s="386">
        <f t="shared" si="68"/>
        <v>0</v>
      </c>
      <c r="CH97" s="386">
        <f t="shared" si="69"/>
        <v>4.6737600000000121</v>
      </c>
      <c r="CI97" s="386">
        <f t="shared" si="70"/>
        <v>0</v>
      </c>
      <c r="CJ97" s="386">
        <f t="shared" si="83"/>
        <v>-224.34047999999996</v>
      </c>
      <c r="CK97" s="386" t="str">
        <f t="shared" si="84"/>
        <v/>
      </c>
      <c r="CL97" s="386" t="str">
        <f t="shared" si="85"/>
        <v/>
      </c>
      <c r="CM97" s="386" t="str">
        <f t="shared" si="86"/>
        <v/>
      </c>
      <c r="CN97" s="386" t="str">
        <f t="shared" si="87"/>
        <v>0001-00</v>
      </c>
    </row>
    <row r="98" spans="1:92" ht="15.75" thickBot="1" x14ac:dyDescent="0.3">
      <c r="A98" s="375" t="s">
        <v>161</v>
      </c>
      <c r="B98" s="375" t="s">
        <v>162</v>
      </c>
      <c r="C98" s="375" t="s">
        <v>554</v>
      </c>
      <c r="D98" s="375" t="s">
        <v>555</v>
      </c>
      <c r="E98" s="375" t="s">
        <v>165</v>
      </c>
      <c r="F98" s="376" t="s">
        <v>166</v>
      </c>
      <c r="G98" s="375" t="s">
        <v>549</v>
      </c>
      <c r="H98" s="377"/>
      <c r="I98" s="377"/>
      <c r="J98" s="375" t="s">
        <v>168</v>
      </c>
      <c r="K98" s="375" t="s">
        <v>556</v>
      </c>
      <c r="L98" s="375" t="s">
        <v>220</v>
      </c>
      <c r="M98" s="375" t="s">
        <v>177</v>
      </c>
      <c r="N98" s="375" t="s">
        <v>199</v>
      </c>
      <c r="O98" s="378">
        <v>1</v>
      </c>
      <c r="P98" s="384">
        <v>1</v>
      </c>
      <c r="Q98" s="384">
        <v>1</v>
      </c>
      <c r="R98" s="379">
        <v>80</v>
      </c>
      <c r="S98" s="384">
        <v>1</v>
      </c>
      <c r="T98" s="379">
        <v>62058.67</v>
      </c>
      <c r="U98" s="379">
        <v>0</v>
      </c>
      <c r="V98" s="379">
        <v>24254.99</v>
      </c>
      <c r="W98" s="379">
        <v>63710.400000000001</v>
      </c>
      <c r="X98" s="379">
        <v>25250.240000000002</v>
      </c>
      <c r="Y98" s="379">
        <v>63710.400000000001</v>
      </c>
      <c r="Z98" s="379">
        <v>24944.43</v>
      </c>
      <c r="AA98" s="375" t="s">
        <v>557</v>
      </c>
      <c r="AB98" s="375" t="s">
        <v>558</v>
      </c>
      <c r="AC98" s="375" t="s">
        <v>351</v>
      </c>
      <c r="AD98" s="375" t="s">
        <v>194</v>
      </c>
      <c r="AE98" s="375" t="s">
        <v>556</v>
      </c>
      <c r="AF98" s="375" t="s">
        <v>252</v>
      </c>
      <c r="AG98" s="375" t="s">
        <v>183</v>
      </c>
      <c r="AH98" s="380">
        <v>30.63</v>
      </c>
      <c r="AI98" s="380">
        <v>46619.5</v>
      </c>
      <c r="AJ98" s="375" t="s">
        <v>184</v>
      </c>
      <c r="AK98" s="375" t="s">
        <v>185</v>
      </c>
      <c r="AL98" s="375" t="s">
        <v>173</v>
      </c>
      <c r="AM98" s="375" t="s">
        <v>186</v>
      </c>
      <c r="AN98" s="375" t="s">
        <v>68</v>
      </c>
      <c r="AO98" s="378">
        <v>80</v>
      </c>
      <c r="AP98" s="384">
        <v>1</v>
      </c>
      <c r="AQ98" s="384">
        <v>1</v>
      </c>
      <c r="AR98" s="383" t="s">
        <v>187</v>
      </c>
      <c r="AS98" s="386">
        <f t="shared" si="71"/>
        <v>1</v>
      </c>
      <c r="AT98">
        <f t="shared" si="72"/>
        <v>1</v>
      </c>
      <c r="AU98" s="386">
        <f>IF(AT98=0,"",IF(AND(AT98=1,M98="F",SUMIF(C2:C557,C98,AS2:AS557)&lt;=1),SUMIF(C2:C557,C98,AS2:AS557),IF(AND(AT98=1,M98="F",SUMIF(C2:C557,C98,AS2:AS557)&gt;1),1,"")))</f>
        <v>1</v>
      </c>
      <c r="AV98" s="386" t="str">
        <f>IF(AT98=0,"",IF(AND(AT98=3,M98="F",SUMIF(C2:C557,C98,AS2:AS557)&lt;=1),SUMIF(C2:C557,C98,AS2:AS557),IF(AND(AT98=3,M98="F",SUMIF(C2:C557,C98,AS2:AS557)&gt;1),1,"")))</f>
        <v/>
      </c>
      <c r="AW98" s="386">
        <f>SUMIF(C2:C557,C98,O2:O557)</f>
        <v>1</v>
      </c>
      <c r="AX98" s="386">
        <f>IF(AND(M98="F",AS98&lt;&gt;0),SUMIF(C2:C557,C98,W2:W557),0)</f>
        <v>63710.400000000001</v>
      </c>
      <c r="AY98" s="386">
        <f t="shared" si="73"/>
        <v>63710.400000000001</v>
      </c>
      <c r="AZ98" s="386" t="str">
        <f t="shared" si="74"/>
        <v/>
      </c>
      <c r="BA98" s="386">
        <f t="shared" si="75"/>
        <v>0</v>
      </c>
      <c r="BB98" s="386">
        <f t="shared" si="44"/>
        <v>11650</v>
      </c>
      <c r="BC98" s="386">
        <f t="shared" si="45"/>
        <v>0</v>
      </c>
      <c r="BD98" s="386">
        <f t="shared" si="46"/>
        <v>3950.0448000000001</v>
      </c>
      <c r="BE98" s="386">
        <f t="shared" si="47"/>
        <v>923.80080000000009</v>
      </c>
      <c r="BF98" s="386">
        <f t="shared" si="48"/>
        <v>7607.0217600000005</v>
      </c>
      <c r="BG98" s="386">
        <f t="shared" si="49"/>
        <v>459.35198400000002</v>
      </c>
      <c r="BH98" s="386">
        <f t="shared" si="50"/>
        <v>312.18095999999997</v>
      </c>
      <c r="BI98" s="386">
        <f t="shared" si="51"/>
        <v>194.953824</v>
      </c>
      <c r="BJ98" s="386">
        <f t="shared" si="52"/>
        <v>152.90495999999999</v>
      </c>
      <c r="BK98" s="386">
        <f t="shared" si="53"/>
        <v>0</v>
      </c>
      <c r="BL98" s="386">
        <f t="shared" si="76"/>
        <v>13600.259088000001</v>
      </c>
      <c r="BM98" s="386">
        <f t="shared" si="77"/>
        <v>0</v>
      </c>
      <c r="BN98" s="386">
        <f t="shared" si="54"/>
        <v>11650</v>
      </c>
      <c r="BO98" s="386">
        <f t="shared" si="55"/>
        <v>0</v>
      </c>
      <c r="BP98" s="386">
        <f t="shared" si="56"/>
        <v>3950.0448000000001</v>
      </c>
      <c r="BQ98" s="386">
        <f t="shared" si="57"/>
        <v>923.80080000000009</v>
      </c>
      <c r="BR98" s="386">
        <f t="shared" si="58"/>
        <v>7607.0217600000005</v>
      </c>
      <c r="BS98" s="386">
        <f t="shared" si="59"/>
        <v>459.35198400000002</v>
      </c>
      <c r="BT98" s="386">
        <f t="shared" si="60"/>
        <v>0</v>
      </c>
      <c r="BU98" s="386">
        <f t="shared" si="61"/>
        <v>194.953824</v>
      </c>
      <c r="BV98" s="386">
        <f t="shared" si="62"/>
        <v>159.27600000000001</v>
      </c>
      <c r="BW98" s="386">
        <f t="shared" si="63"/>
        <v>0</v>
      </c>
      <c r="BX98" s="386">
        <f t="shared" si="78"/>
        <v>13294.449168000001</v>
      </c>
      <c r="BY98" s="386">
        <f t="shared" si="79"/>
        <v>0</v>
      </c>
      <c r="BZ98" s="386">
        <f t="shared" si="80"/>
        <v>0</v>
      </c>
      <c r="CA98" s="386">
        <f t="shared" si="81"/>
        <v>0</v>
      </c>
      <c r="CB98" s="386">
        <f t="shared" si="82"/>
        <v>0</v>
      </c>
      <c r="CC98" s="386">
        <f t="shared" si="64"/>
        <v>0</v>
      </c>
      <c r="CD98" s="386">
        <f t="shared" si="65"/>
        <v>0</v>
      </c>
      <c r="CE98" s="386">
        <f t="shared" si="66"/>
        <v>0</v>
      </c>
      <c r="CF98" s="386">
        <f t="shared" si="67"/>
        <v>-312.18095999999997</v>
      </c>
      <c r="CG98" s="386">
        <f t="shared" si="68"/>
        <v>0</v>
      </c>
      <c r="CH98" s="386">
        <f t="shared" si="69"/>
        <v>6.3710400000000167</v>
      </c>
      <c r="CI98" s="386">
        <f t="shared" si="70"/>
        <v>0</v>
      </c>
      <c r="CJ98" s="386">
        <f t="shared" si="83"/>
        <v>-305.80991999999998</v>
      </c>
      <c r="CK98" s="386" t="str">
        <f t="shared" si="84"/>
        <v/>
      </c>
      <c r="CL98" s="386" t="str">
        <f t="shared" si="85"/>
        <v/>
      </c>
      <c r="CM98" s="386" t="str">
        <f t="shared" si="86"/>
        <v/>
      </c>
      <c r="CN98" s="386" t="str">
        <f t="shared" si="87"/>
        <v>0001-00</v>
      </c>
    </row>
    <row r="99" spans="1:92" ht="15.75" thickBot="1" x14ac:dyDescent="0.3">
      <c r="A99" s="375" t="s">
        <v>161</v>
      </c>
      <c r="B99" s="375" t="s">
        <v>162</v>
      </c>
      <c r="C99" s="375" t="s">
        <v>559</v>
      </c>
      <c r="D99" s="375" t="s">
        <v>548</v>
      </c>
      <c r="E99" s="375" t="s">
        <v>165</v>
      </c>
      <c r="F99" s="376" t="s">
        <v>166</v>
      </c>
      <c r="G99" s="375" t="s">
        <v>549</v>
      </c>
      <c r="H99" s="377"/>
      <c r="I99" s="377"/>
      <c r="J99" s="375" t="s">
        <v>168</v>
      </c>
      <c r="K99" s="375" t="s">
        <v>550</v>
      </c>
      <c r="L99" s="375" t="s">
        <v>198</v>
      </c>
      <c r="M99" s="375" t="s">
        <v>171</v>
      </c>
      <c r="N99" s="375" t="s">
        <v>199</v>
      </c>
      <c r="O99" s="378">
        <v>0</v>
      </c>
      <c r="P99" s="384">
        <v>1</v>
      </c>
      <c r="Q99" s="384">
        <v>1</v>
      </c>
      <c r="R99" s="379">
        <v>80</v>
      </c>
      <c r="S99" s="384">
        <v>1</v>
      </c>
      <c r="T99" s="379">
        <v>0</v>
      </c>
      <c r="U99" s="379">
        <v>0</v>
      </c>
      <c r="V99" s="379">
        <v>-485.42</v>
      </c>
      <c r="W99" s="379">
        <v>47403.199999999997</v>
      </c>
      <c r="X99" s="379">
        <v>20762.599999999999</v>
      </c>
      <c r="Y99" s="379">
        <v>47403.199999999997</v>
      </c>
      <c r="Z99" s="379">
        <v>20525.580000000002</v>
      </c>
      <c r="AA99" s="377"/>
      <c r="AB99" s="375" t="s">
        <v>45</v>
      </c>
      <c r="AC99" s="375" t="s">
        <v>45</v>
      </c>
      <c r="AD99" s="377"/>
      <c r="AE99" s="377"/>
      <c r="AF99" s="377"/>
      <c r="AG99" s="377"/>
      <c r="AH99" s="378">
        <v>0</v>
      </c>
      <c r="AI99" s="378">
        <v>0</v>
      </c>
      <c r="AJ99" s="377"/>
      <c r="AK99" s="377"/>
      <c r="AL99" s="375" t="s">
        <v>173</v>
      </c>
      <c r="AM99" s="377"/>
      <c r="AN99" s="377"/>
      <c r="AO99" s="378">
        <v>0</v>
      </c>
      <c r="AP99" s="384">
        <v>0</v>
      </c>
      <c r="AQ99" s="384">
        <v>0</v>
      </c>
      <c r="AR99" s="382"/>
      <c r="AS99" s="386">
        <f t="shared" si="71"/>
        <v>0</v>
      </c>
      <c r="AT99">
        <f t="shared" si="72"/>
        <v>0</v>
      </c>
      <c r="AU99" s="386" t="str">
        <f>IF(AT99=0,"",IF(AND(AT99=1,M99="F",SUMIF(C2:C557,C99,AS2:AS557)&lt;=1),SUMIF(C2:C557,C99,AS2:AS557),IF(AND(AT99=1,M99="F",SUMIF(C2:C557,C99,AS2:AS557)&gt;1),1,"")))</f>
        <v/>
      </c>
      <c r="AV99" s="386" t="str">
        <f>IF(AT99=0,"",IF(AND(AT99=3,M99="F",SUMIF(C2:C557,C99,AS2:AS557)&lt;=1),SUMIF(C2:C557,C99,AS2:AS557),IF(AND(AT99=3,M99="F",SUMIF(C2:C557,C99,AS2:AS557)&gt;1),1,"")))</f>
        <v/>
      </c>
      <c r="AW99" s="386">
        <f>SUMIF(C2:C557,C99,O2:O557)</f>
        <v>0</v>
      </c>
      <c r="AX99" s="386">
        <f>IF(AND(M99="F",AS99&lt;&gt;0),SUMIF(C2:C557,C99,W2:W557),0)</f>
        <v>0</v>
      </c>
      <c r="AY99" s="386" t="str">
        <f t="shared" si="73"/>
        <v/>
      </c>
      <c r="AZ99" s="386" t="str">
        <f t="shared" si="74"/>
        <v/>
      </c>
      <c r="BA99" s="386">
        <f t="shared" si="75"/>
        <v>0</v>
      </c>
      <c r="BB99" s="386">
        <f t="shared" si="44"/>
        <v>0</v>
      </c>
      <c r="BC99" s="386">
        <f t="shared" si="45"/>
        <v>0</v>
      </c>
      <c r="BD99" s="386">
        <f t="shared" si="46"/>
        <v>0</v>
      </c>
      <c r="BE99" s="386">
        <f t="shared" si="47"/>
        <v>0</v>
      </c>
      <c r="BF99" s="386">
        <f t="shared" si="48"/>
        <v>0</v>
      </c>
      <c r="BG99" s="386">
        <f t="shared" si="49"/>
        <v>0</v>
      </c>
      <c r="BH99" s="386">
        <f t="shared" si="50"/>
        <v>0</v>
      </c>
      <c r="BI99" s="386">
        <f t="shared" si="51"/>
        <v>0</v>
      </c>
      <c r="BJ99" s="386">
        <f t="shared" si="52"/>
        <v>0</v>
      </c>
      <c r="BK99" s="386">
        <f t="shared" si="53"/>
        <v>0</v>
      </c>
      <c r="BL99" s="386">
        <f t="shared" si="76"/>
        <v>0</v>
      </c>
      <c r="BM99" s="386">
        <f t="shared" si="77"/>
        <v>0</v>
      </c>
      <c r="BN99" s="386">
        <f t="shared" si="54"/>
        <v>0</v>
      </c>
      <c r="BO99" s="386">
        <f t="shared" si="55"/>
        <v>0</v>
      </c>
      <c r="BP99" s="386">
        <f t="shared" si="56"/>
        <v>0</v>
      </c>
      <c r="BQ99" s="386">
        <f t="shared" si="57"/>
        <v>0</v>
      </c>
      <c r="BR99" s="386">
        <f t="shared" si="58"/>
        <v>0</v>
      </c>
      <c r="BS99" s="386">
        <f t="shared" si="59"/>
        <v>0</v>
      </c>
      <c r="BT99" s="386">
        <f t="shared" si="60"/>
        <v>0</v>
      </c>
      <c r="BU99" s="386">
        <f t="shared" si="61"/>
        <v>0</v>
      </c>
      <c r="BV99" s="386">
        <f t="shared" si="62"/>
        <v>0</v>
      </c>
      <c r="BW99" s="386">
        <f t="shared" si="63"/>
        <v>0</v>
      </c>
      <c r="BX99" s="386">
        <f t="shared" si="78"/>
        <v>0</v>
      </c>
      <c r="BY99" s="386">
        <f t="shared" si="79"/>
        <v>0</v>
      </c>
      <c r="BZ99" s="386">
        <f t="shared" si="80"/>
        <v>0</v>
      </c>
      <c r="CA99" s="386">
        <f t="shared" si="81"/>
        <v>0</v>
      </c>
      <c r="CB99" s="386">
        <f t="shared" si="82"/>
        <v>0</v>
      </c>
      <c r="CC99" s="386">
        <f t="shared" si="64"/>
        <v>0</v>
      </c>
      <c r="CD99" s="386">
        <f t="shared" si="65"/>
        <v>0</v>
      </c>
      <c r="CE99" s="386">
        <f t="shared" si="66"/>
        <v>0</v>
      </c>
      <c r="CF99" s="386">
        <f t="shared" si="67"/>
        <v>0</v>
      </c>
      <c r="CG99" s="386">
        <f t="shared" si="68"/>
        <v>0</v>
      </c>
      <c r="CH99" s="386">
        <f t="shared" si="69"/>
        <v>0</v>
      </c>
      <c r="CI99" s="386">
        <f t="shared" si="70"/>
        <v>0</v>
      </c>
      <c r="CJ99" s="386">
        <f t="shared" si="83"/>
        <v>0</v>
      </c>
      <c r="CK99" s="386" t="str">
        <f t="shared" si="84"/>
        <v/>
      </c>
      <c r="CL99" s="386" t="str">
        <f t="shared" si="85"/>
        <v/>
      </c>
      <c r="CM99" s="386" t="str">
        <f t="shared" si="86"/>
        <v/>
      </c>
      <c r="CN99" s="386" t="str">
        <f t="shared" si="87"/>
        <v>0001-00</v>
      </c>
    </row>
    <row r="100" spans="1:92" ht="15.75" thickBot="1" x14ac:dyDescent="0.3">
      <c r="A100" s="375" t="s">
        <v>161</v>
      </c>
      <c r="B100" s="375" t="s">
        <v>162</v>
      </c>
      <c r="C100" s="375" t="s">
        <v>560</v>
      </c>
      <c r="D100" s="375" t="s">
        <v>561</v>
      </c>
      <c r="E100" s="375" t="s">
        <v>165</v>
      </c>
      <c r="F100" s="376" t="s">
        <v>166</v>
      </c>
      <c r="G100" s="375" t="s">
        <v>549</v>
      </c>
      <c r="H100" s="377"/>
      <c r="I100" s="377"/>
      <c r="J100" s="375" t="s">
        <v>168</v>
      </c>
      <c r="K100" s="375" t="s">
        <v>562</v>
      </c>
      <c r="L100" s="375" t="s">
        <v>170</v>
      </c>
      <c r="M100" s="375" t="s">
        <v>177</v>
      </c>
      <c r="N100" s="375" t="s">
        <v>199</v>
      </c>
      <c r="O100" s="378">
        <v>1</v>
      </c>
      <c r="P100" s="384">
        <v>1</v>
      </c>
      <c r="Q100" s="384">
        <v>1</v>
      </c>
      <c r="R100" s="379">
        <v>80</v>
      </c>
      <c r="S100" s="384">
        <v>1</v>
      </c>
      <c r="T100" s="379">
        <v>43974.33</v>
      </c>
      <c r="U100" s="379">
        <v>0</v>
      </c>
      <c r="V100" s="379">
        <v>20558.57</v>
      </c>
      <c r="W100" s="379">
        <v>46092.800000000003</v>
      </c>
      <c r="X100" s="379">
        <v>21489.4</v>
      </c>
      <c r="Y100" s="379">
        <v>46092.800000000003</v>
      </c>
      <c r="Z100" s="379">
        <v>21268.16</v>
      </c>
      <c r="AA100" s="375" t="s">
        <v>563</v>
      </c>
      <c r="AB100" s="375" t="s">
        <v>564</v>
      </c>
      <c r="AC100" s="375" t="s">
        <v>565</v>
      </c>
      <c r="AD100" s="375" t="s">
        <v>566</v>
      </c>
      <c r="AE100" s="375" t="s">
        <v>550</v>
      </c>
      <c r="AF100" s="375" t="s">
        <v>245</v>
      </c>
      <c r="AG100" s="375" t="s">
        <v>183</v>
      </c>
      <c r="AH100" s="380">
        <v>22.16</v>
      </c>
      <c r="AI100" s="378">
        <v>3684</v>
      </c>
      <c r="AJ100" s="375" t="s">
        <v>184</v>
      </c>
      <c r="AK100" s="375" t="s">
        <v>185</v>
      </c>
      <c r="AL100" s="375" t="s">
        <v>173</v>
      </c>
      <c r="AM100" s="375" t="s">
        <v>186</v>
      </c>
      <c r="AN100" s="375" t="s">
        <v>68</v>
      </c>
      <c r="AO100" s="378">
        <v>80</v>
      </c>
      <c r="AP100" s="384">
        <v>1</v>
      </c>
      <c r="AQ100" s="384">
        <v>1</v>
      </c>
      <c r="AR100" s="383">
        <v>3</v>
      </c>
      <c r="AS100" s="386">
        <f t="shared" si="71"/>
        <v>1</v>
      </c>
      <c r="AT100">
        <f t="shared" si="72"/>
        <v>1</v>
      </c>
      <c r="AU100" s="386">
        <f>IF(AT100=0,"",IF(AND(AT100=1,M100="F",SUMIF(C2:C557,C100,AS2:AS557)&lt;=1),SUMIF(C2:C557,C100,AS2:AS557),IF(AND(AT100=1,M100="F",SUMIF(C2:C557,C100,AS2:AS557)&gt;1),1,"")))</f>
        <v>1</v>
      </c>
      <c r="AV100" s="386" t="str">
        <f>IF(AT100=0,"",IF(AND(AT100=3,M100="F",SUMIF(C2:C557,C100,AS2:AS557)&lt;=1),SUMIF(C2:C557,C100,AS2:AS557),IF(AND(AT100=3,M100="F",SUMIF(C2:C557,C100,AS2:AS557)&gt;1),1,"")))</f>
        <v/>
      </c>
      <c r="AW100" s="386">
        <f>SUMIF(C2:C557,C100,O2:O557)</f>
        <v>1</v>
      </c>
      <c r="AX100" s="386">
        <f>IF(AND(M100="F",AS100&lt;&gt;0),SUMIF(C2:C557,C100,W2:W557),0)</f>
        <v>46092.800000000003</v>
      </c>
      <c r="AY100" s="386">
        <f t="shared" si="73"/>
        <v>46092.800000000003</v>
      </c>
      <c r="AZ100" s="386" t="str">
        <f t="shared" si="74"/>
        <v/>
      </c>
      <c r="BA100" s="386">
        <f t="shared" si="75"/>
        <v>0</v>
      </c>
      <c r="BB100" s="386">
        <f t="shared" si="44"/>
        <v>11650</v>
      </c>
      <c r="BC100" s="386">
        <f t="shared" si="45"/>
        <v>0</v>
      </c>
      <c r="BD100" s="386">
        <f t="shared" si="46"/>
        <v>2857.7536</v>
      </c>
      <c r="BE100" s="386">
        <f t="shared" si="47"/>
        <v>668.3456000000001</v>
      </c>
      <c r="BF100" s="386">
        <f t="shared" si="48"/>
        <v>5503.4803200000006</v>
      </c>
      <c r="BG100" s="386">
        <f t="shared" si="49"/>
        <v>332.32908800000001</v>
      </c>
      <c r="BH100" s="386">
        <f t="shared" si="50"/>
        <v>225.85472000000001</v>
      </c>
      <c r="BI100" s="386">
        <f t="shared" si="51"/>
        <v>141.04396800000001</v>
      </c>
      <c r="BJ100" s="386">
        <f t="shared" si="52"/>
        <v>110.62272</v>
      </c>
      <c r="BK100" s="386">
        <f t="shared" si="53"/>
        <v>0</v>
      </c>
      <c r="BL100" s="386">
        <f t="shared" si="76"/>
        <v>9839.4300160000003</v>
      </c>
      <c r="BM100" s="386">
        <f t="shared" si="77"/>
        <v>0</v>
      </c>
      <c r="BN100" s="386">
        <f t="shared" si="54"/>
        <v>11650</v>
      </c>
      <c r="BO100" s="386">
        <f t="shared" si="55"/>
        <v>0</v>
      </c>
      <c r="BP100" s="386">
        <f t="shared" si="56"/>
        <v>2857.7536</v>
      </c>
      <c r="BQ100" s="386">
        <f t="shared" si="57"/>
        <v>668.3456000000001</v>
      </c>
      <c r="BR100" s="386">
        <f t="shared" si="58"/>
        <v>5503.4803200000006</v>
      </c>
      <c r="BS100" s="386">
        <f t="shared" si="59"/>
        <v>332.32908800000001</v>
      </c>
      <c r="BT100" s="386">
        <f t="shared" si="60"/>
        <v>0</v>
      </c>
      <c r="BU100" s="386">
        <f t="shared" si="61"/>
        <v>141.04396800000001</v>
      </c>
      <c r="BV100" s="386">
        <f t="shared" si="62"/>
        <v>115.23200000000001</v>
      </c>
      <c r="BW100" s="386">
        <f t="shared" si="63"/>
        <v>0</v>
      </c>
      <c r="BX100" s="386">
        <f t="shared" si="78"/>
        <v>9618.1845760000015</v>
      </c>
      <c r="BY100" s="386">
        <f t="shared" si="79"/>
        <v>0</v>
      </c>
      <c r="BZ100" s="386">
        <f t="shared" si="80"/>
        <v>0</v>
      </c>
      <c r="CA100" s="386">
        <f t="shared" si="81"/>
        <v>0</v>
      </c>
      <c r="CB100" s="386">
        <f t="shared" si="82"/>
        <v>0</v>
      </c>
      <c r="CC100" s="386">
        <f t="shared" si="64"/>
        <v>0</v>
      </c>
      <c r="CD100" s="386">
        <f t="shared" si="65"/>
        <v>0</v>
      </c>
      <c r="CE100" s="386">
        <f t="shared" si="66"/>
        <v>0</v>
      </c>
      <c r="CF100" s="386">
        <f t="shared" si="67"/>
        <v>-225.85472000000001</v>
      </c>
      <c r="CG100" s="386">
        <f t="shared" si="68"/>
        <v>0</v>
      </c>
      <c r="CH100" s="386">
        <f t="shared" si="69"/>
        <v>4.6092800000000125</v>
      </c>
      <c r="CI100" s="386">
        <f t="shared" si="70"/>
        <v>0</v>
      </c>
      <c r="CJ100" s="386">
        <f t="shared" si="83"/>
        <v>-221.24544</v>
      </c>
      <c r="CK100" s="386" t="str">
        <f t="shared" si="84"/>
        <v/>
      </c>
      <c r="CL100" s="386" t="str">
        <f t="shared" si="85"/>
        <v/>
      </c>
      <c r="CM100" s="386" t="str">
        <f t="shared" si="86"/>
        <v/>
      </c>
      <c r="CN100" s="386" t="str">
        <f t="shared" si="87"/>
        <v>0001-00</v>
      </c>
    </row>
    <row r="101" spans="1:92" ht="15.75" thickBot="1" x14ac:dyDescent="0.3">
      <c r="A101" s="375" t="s">
        <v>161</v>
      </c>
      <c r="B101" s="375" t="s">
        <v>162</v>
      </c>
      <c r="C101" s="375" t="s">
        <v>567</v>
      </c>
      <c r="D101" s="375" t="s">
        <v>561</v>
      </c>
      <c r="E101" s="375" t="s">
        <v>165</v>
      </c>
      <c r="F101" s="376" t="s">
        <v>166</v>
      </c>
      <c r="G101" s="375" t="s">
        <v>549</v>
      </c>
      <c r="H101" s="377"/>
      <c r="I101" s="377"/>
      <c r="J101" s="375" t="s">
        <v>168</v>
      </c>
      <c r="K101" s="375" t="s">
        <v>562</v>
      </c>
      <c r="L101" s="375" t="s">
        <v>170</v>
      </c>
      <c r="M101" s="375" t="s">
        <v>177</v>
      </c>
      <c r="N101" s="375" t="s">
        <v>199</v>
      </c>
      <c r="O101" s="378">
        <v>1</v>
      </c>
      <c r="P101" s="384">
        <v>1</v>
      </c>
      <c r="Q101" s="384">
        <v>1</v>
      </c>
      <c r="R101" s="379">
        <v>80</v>
      </c>
      <c r="S101" s="384">
        <v>1</v>
      </c>
      <c r="T101" s="379">
        <v>46245.4</v>
      </c>
      <c r="U101" s="379">
        <v>0</v>
      </c>
      <c r="V101" s="379">
        <v>20936.310000000001</v>
      </c>
      <c r="W101" s="379">
        <v>50668.800000000003</v>
      </c>
      <c r="X101" s="379">
        <v>22466.23</v>
      </c>
      <c r="Y101" s="379">
        <v>50668.800000000003</v>
      </c>
      <c r="Z101" s="379">
        <v>22223.03</v>
      </c>
      <c r="AA101" s="375" t="s">
        <v>568</v>
      </c>
      <c r="AB101" s="375" t="s">
        <v>569</v>
      </c>
      <c r="AC101" s="375" t="s">
        <v>570</v>
      </c>
      <c r="AD101" s="375" t="s">
        <v>195</v>
      </c>
      <c r="AE101" s="375" t="s">
        <v>562</v>
      </c>
      <c r="AF101" s="375" t="s">
        <v>269</v>
      </c>
      <c r="AG101" s="375" t="s">
        <v>183</v>
      </c>
      <c r="AH101" s="380">
        <v>24.36</v>
      </c>
      <c r="AI101" s="378">
        <v>5040</v>
      </c>
      <c r="AJ101" s="375" t="s">
        <v>184</v>
      </c>
      <c r="AK101" s="375" t="s">
        <v>185</v>
      </c>
      <c r="AL101" s="375" t="s">
        <v>173</v>
      </c>
      <c r="AM101" s="375" t="s">
        <v>186</v>
      </c>
      <c r="AN101" s="375" t="s">
        <v>68</v>
      </c>
      <c r="AO101" s="378">
        <v>80</v>
      </c>
      <c r="AP101" s="384">
        <v>1</v>
      </c>
      <c r="AQ101" s="384">
        <v>1</v>
      </c>
      <c r="AR101" s="383" t="s">
        <v>187</v>
      </c>
      <c r="AS101" s="386">
        <f t="shared" si="71"/>
        <v>1</v>
      </c>
      <c r="AT101">
        <f t="shared" si="72"/>
        <v>1</v>
      </c>
      <c r="AU101" s="386">
        <f>IF(AT101=0,"",IF(AND(AT101=1,M101="F",SUMIF(C2:C557,C101,AS2:AS557)&lt;=1),SUMIF(C2:C557,C101,AS2:AS557),IF(AND(AT101=1,M101="F",SUMIF(C2:C557,C101,AS2:AS557)&gt;1),1,"")))</f>
        <v>1</v>
      </c>
      <c r="AV101" s="386" t="str">
        <f>IF(AT101=0,"",IF(AND(AT101=3,M101="F",SUMIF(C2:C557,C101,AS2:AS557)&lt;=1),SUMIF(C2:C557,C101,AS2:AS557),IF(AND(AT101=3,M101="F",SUMIF(C2:C557,C101,AS2:AS557)&gt;1),1,"")))</f>
        <v/>
      </c>
      <c r="AW101" s="386">
        <f>SUMIF(C2:C557,C101,O2:O557)</f>
        <v>1</v>
      </c>
      <c r="AX101" s="386">
        <f>IF(AND(M101="F",AS101&lt;&gt;0),SUMIF(C2:C557,C101,W2:W557),0)</f>
        <v>50668.800000000003</v>
      </c>
      <c r="AY101" s="386">
        <f t="shared" si="73"/>
        <v>50668.800000000003</v>
      </c>
      <c r="AZ101" s="386" t="str">
        <f t="shared" si="74"/>
        <v/>
      </c>
      <c r="BA101" s="386">
        <f t="shared" si="75"/>
        <v>0</v>
      </c>
      <c r="BB101" s="386">
        <f t="shared" si="44"/>
        <v>11650</v>
      </c>
      <c r="BC101" s="386">
        <f t="shared" si="45"/>
        <v>0</v>
      </c>
      <c r="BD101" s="386">
        <f t="shared" si="46"/>
        <v>3141.4656</v>
      </c>
      <c r="BE101" s="386">
        <f t="shared" si="47"/>
        <v>734.69760000000008</v>
      </c>
      <c r="BF101" s="386">
        <f t="shared" si="48"/>
        <v>6049.8547200000003</v>
      </c>
      <c r="BG101" s="386">
        <f t="shared" si="49"/>
        <v>365.32204800000005</v>
      </c>
      <c r="BH101" s="386">
        <f t="shared" si="50"/>
        <v>248.27712</v>
      </c>
      <c r="BI101" s="386">
        <f t="shared" si="51"/>
        <v>155.046528</v>
      </c>
      <c r="BJ101" s="386">
        <f t="shared" si="52"/>
        <v>121.60512</v>
      </c>
      <c r="BK101" s="386">
        <f t="shared" si="53"/>
        <v>0</v>
      </c>
      <c r="BL101" s="386">
        <f t="shared" si="76"/>
        <v>10816.268736000002</v>
      </c>
      <c r="BM101" s="386">
        <f t="shared" si="77"/>
        <v>0</v>
      </c>
      <c r="BN101" s="386">
        <f t="shared" si="54"/>
        <v>11650</v>
      </c>
      <c r="BO101" s="386">
        <f t="shared" si="55"/>
        <v>0</v>
      </c>
      <c r="BP101" s="386">
        <f t="shared" si="56"/>
        <v>3141.4656</v>
      </c>
      <c r="BQ101" s="386">
        <f t="shared" si="57"/>
        <v>734.69760000000008</v>
      </c>
      <c r="BR101" s="386">
        <f t="shared" si="58"/>
        <v>6049.8547200000003</v>
      </c>
      <c r="BS101" s="386">
        <f t="shared" si="59"/>
        <v>365.32204800000005</v>
      </c>
      <c r="BT101" s="386">
        <f t="shared" si="60"/>
        <v>0</v>
      </c>
      <c r="BU101" s="386">
        <f t="shared" si="61"/>
        <v>155.046528</v>
      </c>
      <c r="BV101" s="386">
        <f t="shared" si="62"/>
        <v>126.67200000000001</v>
      </c>
      <c r="BW101" s="386">
        <f t="shared" si="63"/>
        <v>0</v>
      </c>
      <c r="BX101" s="386">
        <f t="shared" si="78"/>
        <v>10573.058496000001</v>
      </c>
      <c r="BY101" s="386">
        <f t="shared" si="79"/>
        <v>0</v>
      </c>
      <c r="BZ101" s="386">
        <f t="shared" si="80"/>
        <v>0</v>
      </c>
      <c r="CA101" s="386">
        <f t="shared" si="81"/>
        <v>0</v>
      </c>
      <c r="CB101" s="386">
        <f t="shared" si="82"/>
        <v>0</v>
      </c>
      <c r="CC101" s="386">
        <f t="shared" si="64"/>
        <v>0</v>
      </c>
      <c r="CD101" s="386">
        <f t="shared" si="65"/>
        <v>0</v>
      </c>
      <c r="CE101" s="386">
        <f t="shared" si="66"/>
        <v>0</v>
      </c>
      <c r="CF101" s="386">
        <f t="shared" si="67"/>
        <v>-248.27712</v>
      </c>
      <c r="CG101" s="386">
        <f t="shared" si="68"/>
        <v>0</v>
      </c>
      <c r="CH101" s="386">
        <f t="shared" si="69"/>
        <v>5.0668800000000136</v>
      </c>
      <c r="CI101" s="386">
        <f t="shared" si="70"/>
        <v>0</v>
      </c>
      <c r="CJ101" s="386">
        <f t="shared" si="83"/>
        <v>-243.21023999999997</v>
      </c>
      <c r="CK101" s="386" t="str">
        <f t="shared" si="84"/>
        <v/>
      </c>
      <c r="CL101" s="386" t="str">
        <f t="shared" si="85"/>
        <v/>
      </c>
      <c r="CM101" s="386" t="str">
        <f t="shared" si="86"/>
        <v/>
      </c>
      <c r="CN101" s="386" t="str">
        <f t="shared" si="87"/>
        <v>0001-00</v>
      </c>
    </row>
    <row r="102" spans="1:92" ht="15.75" thickBot="1" x14ac:dyDescent="0.3">
      <c r="A102" s="375" t="s">
        <v>161</v>
      </c>
      <c r="B102" s="375" t="s">
        <v>162</v>
      </c>
      <c r="C102" s="375" t="s">
        <v>571</v>
      </c>
      <c r="D102" s="375" t="s">
        <v>555</v>
      </c>
      <c r="E102" s="375" t="s">
        <v>165</v>
      </c>
      <c r="F102" s="376" t="s">
        <v>166</v>
      </c>
      <c r="G102" s="375" t="s">
        <v>549</v>
      </c>
      <c r="H102" s="377"/>
      <c r="I102" s="377"/>
      <c r="J102" s="375" t="s">
        <v>168</v>
      </c>
      <c r="K102" s="375" t="s">
        <v>556</v>
      </c>
      <c r="L102" s="375" t="s">
        <v>220</v>
      </c>
      <c r="M102" s="375" t="s">
        <v>177</v>
      </c>
      <c r="N102" s="375" t="s">
        <v>199</v>
      </c>
      <c r="O102" s="378">
        <v>1</v>
      </c>
      <c r="P102" s="384">
        <v>1</v>
      </c>
      <c r="Q102" s="384">
        <v>1</v>
      </c>
      <c r="R102" s="379">
        <v>80</v>
      </c>
      <c r="S102" s="384">
        <v>1</v>
      </c>
      <c r="T102" s="379">
        <v>60986.86</v>
      </c>
      <c r="U102" s="379">
        <v>0</v>
      </c>
      <c r="V102" s="379">
        <v>24138.65</v>
      </c>
      <c r="W102" s="379">
        <v>63273.599999999999</v>
      </c>
      <c r="X102" s="379">
        <v>25156.98</v>
      </c>
      <c r="Y102" s="379">
        <v>63273.599999999999</v>
      </c>
      <c r="Z102" s="379">
        <v>24853.27</v>
      </c>
      <c r="AA102" s="375" t="s">
        <v>572</v>
      </c>
      <c r="AB102" s="375" t="s">
        <v>573</v>
      </c>
      <c r="AC102" s="375" t="s">
        <v>574</v>
      </c>
      <c r="AD102" s="375" t="s">
        <v>261</v>
      </c>
      <c r="AE102" s="375" t="s">
        <v>556</v>
      </c>
      <c r="AF102" s="375" t="s">
        <v>252</v>
      </c>
      <c r="AG102" s="375" t="s">
        <v>183</v>
      </c>
      <c r="AH102" s="380">
        <v>30.42</v>
      </c>
      <c r="AI102" s="380">
        <v>26559.8</v>
      </c>
      <c r="AJ102" s="375" t="s">
        <v>184</v>
      </c>
      <c r="AK102" s="375" t="s">
        <v>185</v>
      </c>
      <c r="AL102" s="375" t="s">
        <v>173</v>
      </c>
      <c r="AM102" s="375" t="s">
        <v>186</v>
      </c>
      <c r="AN102" s="375" t="s">
        <v>68</v>
      </c>
      <c r="AO102" s="378">
        <v>80</v>
      </c>
      <c r="AP102" s="384">
        <v>1</v>
      </c>
      <c r="AQ102" s="384">
        <v>1</v>
      </c>
      <c r="AR102" s="383" t="s">
        <v>187</v>
      </c>
      <c r="AS102" s="386">
        <f t="shared" si="71"/>
        <v>1</v>
      </c>
      <c r="AT102">
        <f t="shared" si="72"/>
        <v>1</v>
      </c>
      <c r="AU102" s="386">
        <f>IF(AT102=0,"",IF(AND(AT102=1,M102="F",SUMIF(C2:C557,C102,AS2:AS557)&lt;=1),SUMIF(C2:C557,C102,AS2:AS557),IF(AND(AT102=1,M102="F",SUMIF(C2:C557,C102,AS2:AS557)&gt;1),1,"")))</f>
        <v>1</v>
      </c>
      <c r="AV102" s="386" t="str">
        <f>IF(AT102=0,"",IF(AND(AT102=3,M102="F",SUMIF(C2:C557,C102,AS2:AS557)&lt;=1),SUMIF(C2:C557,C102,AS2:AS557),IF(AND(AT102=3,M102="F",SUMIF(C2:C557,C102,AS2:AS557)&gt;1),1,"")))</f>
        <v/>
      </c>
      <c r="AW102" s="386">
        <f>SUMIF(C2:C557,C102,O2:O557)</f>
        <v>1</v>
      </c>
      <c r="AX102" s="386">
        <f>IF(AND(M102="F",AS102&lt;&gt;0),SUMIF(C2:C557,C102,W2:W557),0)</f>
        <v>63273.599999999999</v>
      </c>
      <c r="AY102" s="386">
        <f t="shared" si="73"/>
        <v>63273.599999999999</v>
      </c>
      <c r="AZ102" s="386" t="str">
        <f t="shared" si="74"/>
        <v/>
      </c>
      <c r="BA102" s="386">
        <f t="shared" si="75"/>
        <v>0</v>
      </c>
      <c r="BB102" s="386">
        <f t="shared" si="44"/>
        <v>11650</v>
      </c>
      <c r="BC102" s="386">
        <f t="shared" si="45"/>
        <v>0</v>
      </c>
      <c r="BD102" s="386">
        <f t="shared" si="46"/>
        <v>3922.9631999999997</v>
      </c>
      <c r="BE102" s="386">
        <f t="shared" si="47"/>
        <v>917.46720000000005</v>
      </c>
      <c r="BF102" s="386">
        <f t="shared" si="48"/>
        <v>7554.8678399999999</v>
      </c>
      <c r="BG102" s="386">
        <f t="shared" si="49"/>
        <v>456.20265599999999</v>
      </c>
      <c r="BH102" s="386">
        <f t="shared" si="50"/>
        <v>310.04064</v>
      </c>
      <c r="BI102" s="386">
        <f t="shared" si="51"/>
        <v>193.61721599999998</v>
      </c>
      <c r="BJ102" s="386">
        <f t="shared" si="52"/>
        <v>151.85663999999997</v>
      </c>
      <c r="BK102" s="386">
        <f t="shared" si="53"/>
        <v>0</v>
      </c>
      <c r="BL102" s="386">
        <f t="shared" si="76"/>
        <v>13507.015391999999</v>
      </c>
      <c r="BM102" s="386">
        <f t="shared" si="77"/>
        <v>0</v>
      </c>
      <c r="BN102" s="386">
        <f t="shared" si="54"/>
        <v>11650</v>
      </c>
      <c r="BO102" s="386">
        <f t="shared" si="55"/>
        <v>0</v>
      </c>
      <c r="BP102" s="386">
        <f t="shared" si="56"/>
        <v>3922.9631999999997</v>
      </c>
      <c r="BQ102" s="386">
        <f t="shared" si="57"/>
        <v>917.46720000000005</v>
      </c>
      <c r="BR102" s="386">
        <f t="shared" si="58"/>
        <v>7554.8678399999999</v>
      </c>
      <c r="BS102" s="386">
        <f t="shared" si="59"/>
        <v>456.20265599999999</v>
      </c>
      <c r="BT102" s="386">
        <f t="shared" si="60"/>
        <v>0</v>
      </c>
      <c r="BU102" s="386">
        <f t="shared" si="61"/>
        <v>193.61721599999998</v>
      </c>
      <c r="BV102" s="386">
        <f t="shared" si="62"/>
        <v>158.184</v>
      </c>
      <c r="BW102" s="386">
        <f t="shared" si="63"/>
        <v>0</v>
      </c>
      <c r="BX102" s="386">
        <f t="shared" si="78"/>
        <v>13203.302111999999</v>
      </c>
      <c r="BY102" s="386">
        <f t="shared" si="79"/>
        <v>0</v>
      </c>
      <c r="BZ102" s="386">
        <f t="shared" si="80"/>
        <v>0</v>
      </c>
      <c r="CA102" s="386">
        <f t="shared" si="81"/>
        <v>0</v>
      </c>
      <c r="CB102" s="386">
        <f t="shared" si="82"/>
        <v>0</v>
      </c>
      <c r="CC102" s="386">
        <f t="shared" si="64"/>
        <v>0</v>
      </c>
      <c r="CD102" s="386">
        <f t="shared" si="65"/>
        <v>0</v>
      </c>
      <c r="CE102" s="386">
        <f t="shared" si="66"/>
        <v>0</v>
      </c>
      <c r="CF102" s="386">
        <f t="shared" si="67"/>
        <v>-310.04064</v>
      </c>
      <c r="CG102" s="386">
        <f t="shared" si="68"/>
        <v>0</v>
      </c>
      <c r="CH102" s="386">
        <f t="shared" si="69"/>
        <v>6.3273600000000165</v>
      </c>
      <c r="CI102" s="386">
        <f t="shared" si="70"/>
        <v>0</v>
      </c>
      <c r="CJ102" s="386">
        <f t="shared" si="83"/>
        <v>-303.71328</v>
      </c>
      <c r="CK102" s="386" t="str">
        <f t="shared" si="84"/>
        <v/>
      </c>
      <c r="CL102" s="386" t="str">
        <f t="shared" si="85"/>
        <v/>
      </c>
      <c r="CM102" s="386" t="str">
        <f t="shared" si="86"/>
        <v/>
      </c>
      <c r="CN102" s="386" t="str">
        <f t="shared" si="87"/>
        <v>0001-00</v>
      </c>
    </row>
    <row r="103" spans="1:92" ht="15.75" thickBot="1" x14ac:dyDescent="0.3">
      <c r="A103" s="375" t="s">
        <v>161</v>
      </c>
      <c r="B103" s="375" t="s">
        <v>162</v>
      </c>
      <c r="C103" s="375" t="s">
        <v>575</v>
      </c>
      <c r="D103" s="375" t="s">
        <v>561</v>
      </c>
      <c r="E103" s="375" t="s">
        <v>165</v>
      </c>
      <c r="F103" s="376" t="s">
        <v>166</v>
      </c>
      <c r="G103" s="375" t="s">
        <v>549</v>
      </c>
      <c r="H103" s="377"/>
      <c r="I103" s="377"/>
      <c r="J103" s="375" t="s">
        <v>168</v>
      </c>
      <c r="K103" s="375" t="s">
        <v>562</v>
      </c>
      <c r="L103" s="375" t="s">
        <v>170</v>
      </c>
      <c r="M103" s="375" t="s">
        <v>177</v>
      </c>
      <c r="N103" s="375" t="s">
        <v>199</v>
      </c>
      <c r="O103" s="378">
        <v>1</v>
      </c>
      <c r="P103" s="384">
        <v>1</v>
      </c>
      <c r="Q103" s="384">
        <v>1</v>
      </c>
      <c r="R103" s="379">
        <v>80</v>
      </c>
      <c r="S103" s="384">
        <v>1</v>
      </c>
      <c r="T103" s="379">
        <v>47470.21</v>
      </c>
      <c r="U103" s="379">
        <v>0</v>
      </c>
      <c r="V103" s="379">
        <v>21370.92</v>
      </c>
      <c r="W103" s="379">
        <v>52769.599999999999</v>
      </c>
      <c r="X103" s="379">
        <v>22914.69</v>
      </c>
      <c r="Y103" s="379">
        <v>52769.599999999999</v>
      </c>
      <c r="Z103" s="379">
        <v>22661.4</v>
      </c>
      <c r="AA103" s="375" t="s">
        <v>576</v>
      </c>
      <c r="AB103" s="375" t="s">
        <v>577</v>
      </c>
      <c r="AC103" s="375" t="s">
        <v>578</v>
      </c>
      <c r="AD103" s="375" t="s">
        <v>366</v>
      </c>
      <c r="AE103" s="375" t="s">
        <v>562</v>
      </c>
      <c r="AF103" s="375" t="s">
        <v>269</v>
      </c>
      <c r="AG103" s="375" t="s">
        <v>183</v>
      </c>
      <c r="AH103" s="380">
        <v>25.37</v>
      </c>
      <c r="AI103" s="378">
        <v>9869</v>
      </c>
      <c r="AJ103" s="375" t="s">
        <v>184</v>
      </c>
      <c r="AK103" s="375" t="s">
        <v>185</v>
      </c>
      <c r="AL103" s="375" t="s">
        <v>173</v>
      </c>
      <c r="AM103" s="375" t="s">
        <v>186</v>
      </c>
      <c r="AN103" s="375" t="s">
        <v>68</v>
      </c>
      <c r="AO103" s="378">
        <v>80</v>
      </c>
      <c r="AP103" s="384">
        <v>1</v>
      </c>
      <c r="AQ103" s="384">
        <v>1</v>
      </c>
      <c r="AR103" s="383" t="s">
        <v>187</v>
      </c>
      <c r="AS103" s="386">
        <f t="shared" si="71"/>
        <v>1</v>
      </c>
      <c r="AT103">
        <f t="shared" si="72"/>
        <v>1</v>
      </c>
      <c r="AU103" s="386">
        <f>IF(AT103=0,"",IF(AND(AT103=1,M103="F",SUMIF(C2:C557,C103,AS2:AS557)&lt;=1),SUMIF(C2:C557,C103,AS2:AS557),IF(AND(AT103=1,M103="F",SUMIF(C2:C557,C103,AS2:AS557)&gt;1),1,"")))</f>
        <v>1</v>
      </c>
      <c r="AV103" s="386" t="str">
        <f>IF(AT103=0,"",IF(AND(AT103=3,M103="F",SUMIF(C2:C557,C103,AS2:AS557)&lt;=1),SUMIF(C2:C557,C103,AS2:AS557),IF(AND(AT103=3,M103="F",SUMIF(C2:C557,C103,AS2:AS557)&gt;1),1,"")))</f>
        <v/>
      </c>
      <c r="AW103" s="386">
        <f>SUMIF(C2:C557,C103,O2:O557)</f>
        <v>1</v>
      </c>
      <c r="AX103" s="386">
        <f>IF(AND(M103="F",AS103&lt;&gt;0),SUMIF(C2:C557,C103,W2:W557),0)</f>
        <v>52769.599999999999</v>
      </c>
      <c r="AY103" s="386">
        <f t="shared" si="73"/>
        <v>52769.599999999999</v>
      </c>
      <c r="AZ103" s="386" t="str">
        <f t="shared" si="74"/>
        <v/>
      </c>
      <c r="BA103" s="386">
        <f t="shared" si="75"/>
        <v>0</v>
      </c>
      <c r="BB103" s="386">
        <f t="shared" si="44"/>
        <v>11650</v>
      </c>
      <c r="BC103" s="386">
        <f t="shared" si="45"/>
        <v>0</v>
      </c>
      <c r="BD103" s="386">
        <f t="shared" si="46"/>
        <v>3271.7152000000001</v>
      </c>
      <c r="BE103" s="386">
        <f t="shared" si="47"/>
        <v>765.15920000000006</v>
      </c>
      <c r="BF103" s="386">
        <f t="shared" si="48"/>
        <v>6300.6902399999999</v>
      </c>
      <c r="BG103" s="386">
        <f t="shared" si="49"/>
        <v>380.468816</v>
      </c>
      <c r="BH103" s="386">
        <f t="shared" si="50"/>
        <v>258.57103999999998</v>
      </c>
      <c r="BI103" s="386">
        <f t="shared" si="51"/>
        <v>161.474976</v>
      </c>
      <c r="BJ103" s="386">
        <f t="shared" si="52"/>
        <v>126.64703999999999</v>
      </c>
      <c r="BK103" s="386">
        <f t="shared" si="53"/>
        <v>0</v>
      </c>
      <c r="BL103" s="386">
        <f t="shared" si="76"/>
        <v>11264.726512000001</v>
      </c>
      <c r="BM103" s="386">
        <f t="shared" si="77"/>
        <v>0</v>
      </c>
      <c r="BN103" s="386">
        <f t="shared" si="54"/>
        <v>11650</v>
      </c>
      <c r="BO103" s="386">
        <f t="shared" si="55"/>
        <v>0</v>
      </c>
      <c r="BP103" s="386">
        <f t="shared" si="56"/>
        <v>3271.7152000000001</v>
      </c>
      <c r="BQ103" s="386">
        <f t="shared" si="57"/>
        <v>765.15920000000006</v>
      </c>
      <c r="BR103" s="386">
        <f t="shared" si="58"/>
        <v>6300.6902399999999</v>
      </c>
      <c r="BS103" s="386">
        <f t="shared" si="59"/>
        <v>380.468816</v>
      </c>
      <c r="BT103" s="386">
        <f t="shared" si="60"/>
        <v>0</v>
      </c>
      <c r="BU103" s="386">
        <f t="shared" si="61"/>
        <v>161.474976</v>
      </c>
      <c r="BV103" s="386">
        <f t="shared" si="62"/>
        <v>131.92400000000001</v>
      </c>
      <c r="BW103" s="386">
        <f t="shared" si="63"/>
        <v>0</v>
      </c>
      <c r="BX103" s="386">
        <f t="shared" si="78"/>
        <v>11011.432432000001</v>
      </c>
      <c r="BY103" s="386">
        <f t="shared" si="79"/>
        <v>0</v>
      </c>
      <c r="BZ103" s="386">
        <f t="shared" si="80"/>
        <v>0</v>
      </c>
      <c r="CA103" s="386">
        <f t="shared" si="81"/>
        <v>0</v>
      </c>
      <c r="CB103" s="386">
        <f t="shared" si="82"/>
        <v>0</v>
      </c>
      <c r="CC103" s="386">
        <f t="shared" si="64"/>
        <v>0</v>
      </c>
      <c r="CD103" s="386">
        <f t="shared" si="65"/>
        <v>0</v>
      </c>
      <c r="CE103" s="386">
        <f t="shared" si="66"/>
        <v>0</v>
      </c>
      <c r="CF103" s="386">
        <f t="shared" si="67"/>
        <v>-258.57103999999998</v>
      </c>
      <c r="CG103" s="386">
        <f t="shared" si="68"/>
        <v>0</v>
      </c>
      <c r="CH103" s="386">
        <f t="shared" si="69"/>
        <v>5.2769600000000141</v>
      </c>
      <c r="CI103" s="386">
        <f t="shared" si="70"/>
        <v>0</v>
      </c>
      <c r="CJ103" s="386">
        <f t="shared" si="83"/>
        <v>-253.29407999999998</v>
      </c>
      <c r="CK103" s="386" t="str">
        <f t="shared" si="84"/>
        <v/>
      </c>
      <c r="CL103" s="386" t="str">
        <f t="shared" si="85"/>
        <v/>
      </c>
      <c r="CM103" s="386" t="str">
        <f t="shared" si="86"/>
        <v/>
      </c>
      <c r="CN103" s="386" t="str">
        <f t="shared" si="87"/>
        <v>0001-00</v>
      </c>
    </row>
    <row r="104" spans="1:92" ht="15.75" thickBot="1" x14ac:dyDescent="0.3">
      <c r="A104" s="375" t="s">
        <v>161</v>
      </c>
      <c r="B104" s="375" t="s">
        <v>162</v>
      </c>
      <c r="C104" s="375" t="s">
        <v>579</v>
      </c>
      <c r="D104" s="375" t="s">
        <v>561</v>
      </c>
      <c r="E104" s="375" t="s">
        <v>165</v>
      </c>
      <c r="F104" s="376" t="s">
        <v>166</v>
      </c>
      <c r="G104" s="375" t="s">
        <v>549</v>
      </c>
      <c r="H104" s="377"/>
      <c r="I104" s="377"/>
      <c r="J104" s="375" t="s">
        <v>168</v>
      </c>
      <c r="K104" s="375" t="s">
        <v>562</v>
      </c>
      <c r="L104" s="375" t="s">
        <v>170</v>
      </c>
      <c r="M104" s="375" t="s">
        <v>177</v>
      </c>
      <c r="N104" s="375" t="s">
        <v>199</v>
      </c>
      <c r="O104" s="378">
        <v>1</v>
      </c>
      <c r="P104" s="384">
        <v>1</v>
      </c>
      <c r="Q104" s="384">
        <v>1</v>
      </c>
      <c r="R104" s="379">
        <v>80</v>
      </c>
      <c r="S104" s="384">
        <v>1</v>
      </c>
      <c r="T104" s="379">
        <v>38128.6</v>
      </c>
      <c r="U104" s="379">
        <v>0</v>
      </c>
      <c r="V104" s="379">
        <v>16797.25</v>
      </c>
      <c r="W104" s="379">
        <v>42952</v>
      </c>
      <c r="X104" s="379">
        <v>20818.93</v>
      </c>
      <c r="Y104" s="379">
        <v>42952</v>
      </c>
      <c r="Z104" s="379">
        <v>20612.77</v>
      </c>
      <c r="AA104" s="375" t="s">
        <v>580</v>
      </c>
      <c r="AB104" s="375" t="s">
        <v>581</v>
      </c>
      <c r="AC104" s="375" t="s">
        <v>582</v>
      </c>
      <c r="AD104" s="375" t="s">
        <v>181</v>
      </c>
      <c r="AE104" s="375" t="s">
        <v>550</v>
      </c>
      <c r="AF104" s="375" t="s">
        <v>245</v>
      </c>
      <c r="AG104" s="375" t="s">
        <v>183</v>
      </c>
      <c r="AH104" s="380">
        <v>20.65</v>
      </c>
      <c r="AI104" s="378">
        <v>80</v>
      </c>
      <c r="AJ104" s="375" t="s">
        <v>184</v>
      </c>
      <c r="AK104" s="375" t="s">
        <v>185</v>
      </c>
      <c r="AL104" s="375" t="s">
        <v>173</v>
      </c>
      <c r="AM104" s="375" t="s">
        <v>186</v>
      </c>
      <c r="AN104" s="375" t="s">
        <v>68</v>
      </c>
      <c r="AO104" s="378">
        <v>80</v>
      </c>
      <c r="AP104" s="384">
        <v>1</v>
      </c>
      <c r="AQ104" s="384">
        <v>1</v>
      </c>
      <c r="AR104" s="383">
        <v>3</v>
      </c>
      <c r="AS104" s="386">
        <f t="shared" si="71"/>
        <v>1</v>
      </c>
      <c r="AT104">
        <f t="shared" si="72"/>
        <v>1</v>
      </c>
      <c r="AU104" s="386">
        <f>IF(AT104=0,"",IF(AND(AT104=1,M104="F",SUMIF(C2:C557,C104,AS2:AS557)&lt;=1),SUMIF(C2:C557,C104,AS2:AS557),IF(AND(AT104=1,M104="F",SUMIF(C2:C557,C104,AS2:AS557)&gt;1),1,"")))</f>
        <v>1</v>
      </c>
      <c r="AV104" s="386" t="str">
        <f>IF(AT104=0,"",IF(AND(AT104=3,M104="F",SUMIF(C2:C557,C104,AS2:AS557)&lt;=1),SUMIF(C2:C557,C104,AS2:AS557),IF(AND(AT104=3,M104="F",SUMIF(C2:C557,C104,AS2:AS557)&gt;1),1,"")))</f>
        <v/>
      </c>
      <c r="AW104" s="386">
        <f>SUMIF(C2:C557,C104,O2:O557)</f>
        <v>1</v>
      </c>
      <c r="AX104" s="386">
        <f>IF(AND(M104="F",AS104&lt;&gt;0),SUMIF(C2:C557,C104,W2:W557),0)</f>
        <v>42952</v>
      </c>
      <c r="AY104" s="386">
        <f t="shared" si="73"/>
        <v>42952</v>
      </c>
      <c r="AZ104" s="386" t="str">
        <f t="shared" si="74"/>
        <v/>
      </c>
      <c r="BA104" s="386">
        <f t="shared" si="75"/>
        <v>0</v>
      </c>
      <c r="BB104" s="386">
        <f t="shared" si="44"/>
        <v>11650</v>
      </c>
      <c r="BC104" s="386">
        <f t="shared" si="45"/>
        <v>0</v>
      </c>
      <c r="BD104" s="386">
        <f t="shared" si="46"/>
        <v>2663.0239999999999</v>
      </c>
      <c r="BE104" s="386">
        <f t="shared" si="47"/>
        <v>622.80400000000009</v>
      </c>
      <c r="BF104" s="386">
        <f t="shared" si="48"/>
        <v>5128.4688000000006</v>
      </c>
      <c r="BG104" s="386">
        <f t="shared" si="49"/>
        <v>309.68392</v>
      </c>
      <c r="BH104" s="386">
        <f t="shared" si="50"/>
        <v>210.4648</v>
      </c>
      <c r="BI104" s="386">
        <f t="shared" si="51"/>
        <v>131.43312</v>
      </c>
      <c r="BJ104" s="386">
        <f t="shared" si="52"/>
        <v>103.08479999999999</v>
      </c>
      <c r="BK104" s="386">
        <f t="shared" si="53"/>
        <v>0</v>
      </c>
      <c r="BL104" s="386">
        <f t="shared" si="76"/>
        <v>9168.9634399999995</v>
      </c>
      <c r="BM104" s="386">
        <f t="shared" si="77"/>
        <v>0</v>
      </c>
      <c r="BN104" s="386">
        <f t="shared" si="54"/>
        <v>11650</v>
      </c>
      <c r="BO104" s="386">
        <f t="shared" si="55"/>
        <v>0</v>
      </c>
      <c r="BP104" s="386">
        <f t="shared" si="56"/>
        <v>2663.0239999999999</v>
      </c>
      <c r="BQ104" s="386">
        <f t="shared" si="57"/>
        <v>622.80400000000009</v>
      </c>
      <c r="BR104" s="386">
        <f t="shared" si="58"/>
        <v>5128.4688000000006</v>
      </c>
      <c r="BS104" s="386">
        <f t="shared" si="59"/>
        <v>309.68392</v>
      </c>
      <c r="BT104" s="386">
        <f t="shared" si="60"/>
        <v>0</v>
      </c>
      <c r="BU104" s="386">
        <f t="shared" si="61"/>
        <v>131.43312</v>
      </c>
      <c r="BV104" s="386">
        <f t="shared" si="62"/>
        <v>107.38</v>
      </c>
      <c r="BW104" s="386">
        <f t="shared" si="63"/>
        <v>0</v>
      </c>
      <c r="BX104" s="386">
        <f t="shared" si="78"/>
        <v>8962.7938399999985</v>
      </c>
      <c r="BY104" s="386">
        <f t="shared" si="79"/>
        <v>0</v>
      </c>
      <c r="BZ104" s="386">
        <f t="shared" si="80"/>
        <v>0</v>
      </c>
      <c r="CA104" s="386">
        <f t="shared" si="81"/>
        <v>0</v>
      </c>
      <c r="CB104" s="386">
        <f t="shared" si="82"/>
        <v>0</v>
      </c>
      <c r="CC104" s="386">
        <f t="shared" si="64"/>
        <v>0</v>
      </c>
      <c r="CD104" s="386">
        <f t="shared" si="65"/>
        <v>0</v>
      </c>
      <c r="CE104" s="386">
        <f t="shared" si="66"/>
        <v>0</v>
      </c>
      <c r="CF104" s="386">
        <f t="shared" si="67"/>
        <v>-210.4648</v>
      </c>
      <c r="CG104" s="386">
        <f t="shared" si="68"/>
        <v>0</v>
      </c>
      <c r="CH104" s="386">
        <f t="shared" si="69"/>
        <v>4.295200000000011</v>
      </c>
      <c r="CI104" s="386">
        <f t="shared" si="70"/>
        <v>0</v>
      </c>
      <c r="CJ104" s="386">
        <f t="shared" si="83"/>
        <v>-206.16959999999997</v>
      </c>
      <c r="CK104" s="386" t="str">
        <f t="shared" si="84"/>
        <v/>
      </c>
      <c r="CL104" s="386" t="str">
        <f t="shared" si="85"/>
        <v/>
      </c>
      <c r="CM104" s="386" t="str">
        <f t="shared" si="86"/>
        <v/>
      </c>
      <c r="CN104" s="386" t="str">
        <f t="shared" si="87"/>
        <v>0001-00</v>
      </c>
    </row>
    <row r="105" spans="1:92" ht="15.75" thickBot="1" x14ac:dyDescent="0.3">
      <c r="A105" s="375" t="s">
        <v>161</v>
      </c>
      <c r="B105" s="375" t="s">
        <v>162</v>
      </c>
      <c r="C105" s="375" t="s">
        <v>583</v>
      </c>
      <c r="D105" s="375" t="s">
        <v>555</v>
      </c>
      <c r="E105" s="375" t="s">
        <v>165</v>
      </c>
      <c r="F105" s="376" t="s">
        <v>166</v>
      </c>
      <c r="G105" s="375" t="s">
        <v>549</v>
      </c>
      <c r="H105" s="377"/>
      <c r="I105" s="377"/>
      <c r="J105" s="375" t="s">
        <v>168</v>
      </c>
      <c r="K105" s="375" t="s">
        <v>556</v>
      </c>
      <c r="L105" s="375" t="s">
        <v>220</v>
      </c>
      <c r="M105" s="375" t="s">
        <v>177</v>
      </c>
      <c r="N105" s="375" t="s">
        <v>199</v>
      </c>
      <c r="O105" s="378">
        <v>1</v>
      </c>
      <c r="P105" s="384">
        <v>1</v>
      </c>
      <c r="Q105" s="384">
        <v>1</v>
      </c>
      <c r="R105" s="379">
        <v>80</v>
      </c>
      <c r="S105" s="384">
        <v>1</v>
      </c>
      <c r="T105" s="379">
        <v>60986.84</v>
      </c>
      <c r="U105" s="379">
        <v>0</v>
      </c>
      <c r="V105" s="379">
        <v>24102.02</v>
      </c>
      <c r="W105" s="379">
        <v>63273.599999999999</v>
      </c>
      <c r="X105" s="379">
        <v>25156.98</v>
      </c>
      <c r="Y105" s="379">
        <v>63273.599999999999</v>
      </c>
      <c r="Z105" s="379">
        <v>24853.27</v>
      </c>
      <c r="AA105" s="375" t="s">
        <v>584</v>
      </c>
      <c r="AB105" s="375" t="s">
        <v>585</v>
      </c>
      <c r="AC105" s="375" t="s">
        <v>586</v>
      </c>
      <c r="AD105" s="375" t="s">
        <v>181</v>
      </c>
      <c r="AE105" s="375" t="s">
        <v>556</v>
      </c>
      <c r="AF105" s="375" t="s">
        <v>252</v>
      </c>
      <c r="AG105" s="375" t="s">
        <v>183</v>
      </c>
      <c r="AH105" s="380">
        <v>30.42</v>
      </c>
      <c r="AI105" s="380">
        <v>24157.5</v>
      </c>
      <c r="AJ105" s="375" t="s">
        <v>184</v>
      </c>
      <c r="AK105" s="375" t="s">
        <v>185</v>
      </c>
      <c r="AL105" s="375" t="s">
        <v>173</v>
      </c>
      <c r="AM105" s="375" t="s">
        <v>186</v>
      </c>
      <c r="AN105" s="375" t="s">
        <v>68</v>
      </c>
      <c r="AO105" s="378">
        <v>80</v>
      </c>
      <c r="AP105" s="384">
        <v>1</v>
      </c>
      <c r="AQ105" s="384">
        <v>1</v>
      </c>
      <c r="AR105" s="383" t="s">
        <v>187</v>
      </c>
      <c r="AS105" s="386">
        <f t="shared" si="71"/>
        <v>1</v>
      </c>
      <c r="AT105">
        <f t="shared" si="72"/>
        <v>1</v>
      </c>
      <c r="AU105" s="386">
        <f>IF(AT105=0,"",IF(AND(AT105=1,M105="F",SUMIF(C2:C557,C105,AS2:AS557)&lt;=1),SUMIF(C2:C557,C105,AS2:AS557),IF(AND(AT105=1,M105="F",SUMIF(C2:C557,C105,AS2:AS557)&gt;1),1,"")))</f>
        <v>1</v>
      </c>
      <c r="AV105" s="386" t="str">
        <f>IF(AT105=0,"",IF(AND(AT105=3,M105="F",SUMIF(C2:C557,C105,AS2:AS557)&lt;=1),SUMIF(C2:C557,C105,AS2:AS557),IF(AND(AT105=3,M105="F",SUMIF(C2:C557,C105,AS2:AS557)&gt;1),1,"")))</f>
        <v/>
      </c>
      <c r="AW105" s="386">
        <f>SUMIF(C2:C557,C105,O2:O557)</f>
        <v>1</v>
      </c>
      <c r="AX105" s="386">
        <f>IF(AND(M105="F",AS105&lt;&gt;0),SUMIF(C2:C557,C105,W2:W557),0)</f>
        <v>63273.599999999999</v>
      </c>
      <c r="AY105" s="386">
        <f t="shared" si="73"/>
        <v>63273.599999999999</v>
      </c>
      <c r="AZ105" s="386" t="str">
        <f t="shared" si="74"/>
        <v/>
      </c>
      <c r="BA105" s="386">
        <f t="shared" si="75"/>
        <v>0</v>
      </c>
      <c r="BB105" s="386">
        <f t="shared" si="44"/>
        <v>11650</v>
      </c>
      <c r="BC105" s="386">
        <f t="shared" si="45"/>
        <v>0</v>
      </c>
      <c r="BD105" s="386">
        <f t="shared" si="46"/>
        <v>3922.9631999999997</v>
      </c>
      <c r="BE105" s="386">
        <f t="shared" si="47"/>
        <v>917.46720000000005</v>
      </c>
      <c r="BF105" s="386">
        <f t="shared" si="48"/>
        <v>7554.8678399999999</v>
      </c>
      <c r="BG105" s="386">
        <f t="shared" si="49"/>
        <v>456.20265599999999</v>
      </c>
      <c r="BH105" s="386">
        <f t="shared" si="50"/>
        <v>310.04064</v>
      </c>
      <c r="BI105" s="386">
        <f t="shared" si="51"/>
        <v>193.61721599999998</v>
      </c>
      <c r="BJ105" s="386">
        <f t="shared" si="52"/>
        <v>151.85663999999997</v>
      </c>
      <c r="BK105" s="386">
        <f t="shared" si="53"/>
        <v>0</v>
      </c>
      <c r="BL105" s="386">
        <f t="shared" si="76"/>
        <v>13507.015391999999</v>
      </c>
      <c r="BM105" s="386">
        <f t="shared" si="77"/>
        <v>0</v>
      </c>
      <c r="BN105" s="386">
        <f t="shared" si="54"/>
        <v>11650</v>
      </c>
      <c r="BO105" s="386">
        <f t="shared" si="55"/>
        <v>0</v>
      </c>
      <c r="BP105" s="386">
        <f t="shared" si="56"/>
        <v>3922.9631999999997</v>
      </c>
      <c r="BQ105" s="386">
        <f t="shared" si="57"/>
        <v>917.46720000000005</v>
      </c>
      <c r="BR105" s="386">
        <f t="shared" si="58"/>
        <v>7554.8678399999999</v>
      </c>
      <c r="BS105" s="386">
        <f t="shared" si="59"/>
        <v>456.20265599999999</v>
      </c>
      <c r="BT105" s="386">
        <f t="shared" si="60"/>
        <v>0</v>
      </c>
      <c r="BU105" s="386">
        <f t="shared" si="61"/>
        <v>193.61721599999998</v>
      </c>
      <c r="BV105" s="386">
        <f t="shared" si="62"/>
        <v>158.184</v>
      </c>
      <c r="BW105" s="386">
        <f t="shared" si="63"/>
        <v>0</v>
      </c>
      <c r="BX105" s="386">
        <f t="shared" si="78"/>
        <v>13203.302111999999</v>
      </c>
      <c r="BY105" s="386">
        <f t="shared" si="79"/>
        <v>0</v>
      </c>
      <c r="BZ105" s="386">
        <f t="shared" si="80"/>
        <v>0</v>
      </c>
      <c r="CA105" s="386">
        <f t="shared" si="81"/>
        <v>0</v>
      </c>
      <c r="CB105" s="386">
        <f t="shared" si="82"/>
        <v>0</v>
      </c>
      <c r="CC105" s="386">
        <f t="shared" si="64"/>
        <v>0</v>
      </c>
      <c r="CD105" s="386">
        <f t="shared" si="65"/>
        <v>0</v>
      </c>
      <c r="CE105" s="386">
        <f t="shared" si="66"/>
        <v>0</v>
      </c>
      <c r="CF105" s="386">
        <f t="shared" si="67"/>
        <v>-310.04064</v>
      </c>
      <c r="CG105" s="386">
        <f t="shared" si="68"/>
        <v>0</v>
      </c>
      <c r="CH105" s="386">
        <f t="shared" si="69"/>
        <v>6.3273600000000165</v>
      </c>
      <c r="CI105" s="386">
        <f t="shared" si="70"/>
        <v>0</v>
      </c>
      <c r="CJ105" s="386">
        <f t="shared" si="83"/>
        <v>-303.71328</v>
      </c>
      <c r="CK105" s="386" t="str">
        <f t="shared" si="84"/>
        <v/>
      </c>
      <c r="CL105" s="386" t="str">
        <f t="shared" si="85"/>
        <v/>
      </c>
      <c r="CM105" s="386" t="str">
        <f t="shared" si="86"/>
        <v/>
      </c>
      <c r="CN105" s="386" t="str">
        <f t="shared" si="87"/>
        <v>0001-00</v>
      </c>
    </row>
    <row r="106" spans="1:92" ht="15.75" thickBot="1" x14ac:dyDescent="0.3">
      <c r="A106" s="375" t="s">
        <v>161</v>
      </c>
      <c r="B106" s="375" t="s">
        <v>162</v>
      </c>
      <c r="C106" s="375" t="s">
        <v>587</v>
      </c>
      <c r="D106" s="375" t="s">
        <v>555</v>
      </c>
      <c r="E106" s="375" t="s">
        <v>165</v>
      </c>
      <c r="F106" s="376" t="s">
        <v>166</v>
      </c>
      <c r="G106" s="375" t="s">
        <v>549</v>
      </c>
      <c r="H106" s="377"/>
      <c r="I106" s="377"/>
      <c r="J106" s="375" t="s">
        <v>168</v>
      </c>
      <c r="K106" s="375" t="s">
        <v>556</v>
      </c>
      <c r="L106" s="375" t="s">
        <v>220</v>
      </c>
      <c r="M106" s="375" t="s">
        <v>177</v>
      </c>
      <c r="N106" s="375" t="s">
        <v>199</v>
      </c>
      <c r="O106" s="378">
        <v>1</v>
      </c>
      <c r="P106" s="384">
        <v>1</v>
      </c>
      <c r="Q106" s="384">
        <v>1</v>
      </c>
      <c r="R106" s="379">
        <v>80</v>
      </c>
      <c r="S106" s="384">
        <v>1</v>
      </c>
      <c r="T106" s="379">
        <v>50721.17</v>
      </c>
      <c r="U106" s="379">
        <v>0</v>
      </c>
      <c r="V106" s="379">
        <v>22142.32</v>
      </c>
      <c r="W106" s="379">
        <v>57262.400000000001</v>
      </c>
      <c r="X106" s="379">
        <v>23873.77</v>
      </c>
      <c r="Y106" s="379">
        <v>57262.400000000001</v>
      </c>
      <c r="Z106" s="379">
        <v>23598.92</v>
      </c>
      <c r="AA106" s="375" t="s">
        <v>588</v>
      </c>
      <c r="AB106" s="375" t="s">
        <v>589</v>
      </c>
      <c r="AC106" s="375" t="s">
        <v>590</v>
      </c>
      <c r="AD106" s="375" t="s">
        <v>170</v>
      </c>
      <c r="AE106" s="375" t="s">
        <v>556</v>
      </c>
      <c r="AF106" s="375" t="s">
        <v>252</v>
      </c>
      <c r="AG106" s="375" t="s">
        <v>183</v>
      </c>
      <c r="AH106" s="380">
        <v>27.53</v>
      </c>
      <c r="AI106" s="378">
        <v>8000</v>
      </c>
      <c r="AJ106" s="375" t="s">
        <v>184</v>
      </c>
      <c r="AK106" s="375" t="s">
        <v>185</v>
      </c>
      <c r="AL106" s="375" t="s">
        <v>173</v>
      </c>
      <c r="AM106" s="375" t="s">
        <v>186</v>
      </c>
      <c r="AN106" s="375" t="s">
        <v>68</v>
      </c>
      <c r="AO106" s="378">
        <v>80</v>
      </c>
      <c r="AP106" s="384">
        <v>1</v>
      </c>
      <c r="AQ106" s="384">
        <v>1</v>
      </c>
      <c r="AR106" s="383" t="s">
        <v>187</v>
      </c>
      <c r="AS106" s="386">
        <f t="shared" si="71"/>
        <v>1</v>
      </c>
      <c r="AT106">
        <f t="shared" si="72"/>
        <v>1</v>
      </c>
      <c r="AU106" s="386">
        <f>IF(AT106=0,"",IF(AND(AT106=1,M106="F",SUMIF(C2:C557,C106,AS2:AS557)&lt;=1),SUMIF(C2:C557,C106,AS2:AS557),IF(AND(AT106=1,M106="F",SUMIF(C2:C557,C106,AS2:AS557)&gt;1),1,"")))</f>
        <v>1</v>
      </c>
      <c r="AV106" s="386" t="str">
        <f>IF(AT106=0,"",IF(AND(AT106=3,M106="F",SUMIF(C2:C557,C106,AS2:AS557)&lt;=1),SUMIF(C2:C557,C106,AS2:AS557),IF(AND(AT106=3,M106="F",SUMIF(C2:C557,C106,AS2:AS557)&gt;1),1,"")))</f>
        <v/>
      </c>
      <c r="AW106" s="386">
        <f>SUMIF(C2:C557,C106,O2:O557)</f>
        <v>1</v>
      </c>
      <c r="AX106" s="386">
        <f>IF(AND(M106="F",AS106&lt;&gt;0),SUMIF(C2:C557,C106,W2:W557),0)</f>
        <v>57262.400000000001</v>
      </c>
      <c r="AY106" s="386">
        <f t="shared" si="73"/>
        <v>57262.400000000001</v>
      </c>
      <c r="AZ106" s="386" t="str">
        <f t="shared" si="74"/>
        <v/>
      </c>
      <c r="BA106" s="386">
        <f t="shared" si="75"/>
        <v>0</v>
      </c>
      <c r="BB106" s="386">
        <f t="shared" si="44"/>
        <v>11650</v>
      </c>
      <c r="BC106" s="386">
        <f t="shared" si="45"/>
        <v>0</v>
      </c>
      <c r="BD106" s="386">
        <f t="shared" si="46"/>
        <v>3550.2688000000003</v>
      </c>
      <c r="BE106" s="386">
        <f t="shared" si="47"/>
        <v>830.30480000000011</v>
      </c>
      <c r="BF106" s="386">
        <f t="shared" si="48"/>
        <v>6837.1305600000005</v>
      </c>
      <c r="BG106" s="386">
        <f t="shared" si="49"/>
        <v>412.86190400000004</v>
      </c>
      <c r="BH106" s="386">
        <f t="shared" si="50"/>
        <v>280.58575999999999</v>
      </c>
      <c r="BI106" s="386">
        <f t="shared" si="51"/>
        <v>175.22294399999998</v>
      </c>
      <c r="BJ106" s="386">
        <f t="shared" si="52"/>
        <v>137.42975999999999</v>
      </c>
      <c r="BK106" s="386">
        <f t="shared" si="53"/>
        <v>0</v>
      </c>
      <c r="BL106" s="386">
        <f t="shared" si="76"/>
        <v>12223.804528000001</v>
      </c>
      <c r="BM106" s="386">
        <f t="shared" si="77"/>
        <v>0</v>
      </c>
      <c r="BN106" s="386">
        <f t="shared" si="54"/>
        <v>11650</v>
      </c>
      <c r="BO106" s="386">
        <f t="shared" si="55"/>
        <v>0</v>
      </c>
      <c r="BP106" s="386">
        <f t="shared" si="56"/>
        <v>3550.2688000000003</v>
      </c>
      <c r="BQ106" s="386">
        <f t="shared" si="57"/>
        <v>830.30480000000011</v>
      </c>
      <c r="BR106" s="386">
        <f t="shared" si="58"/>
        <v>6837.1305600000005</v>
      </c>
      <c r="BS106" s="386">
        <f t="shared" si="59"/>
        <v>412.86190400000004</v>
      </c>
      <c r="BT106" s="386">
        <f t="shared" si="60"/>
        <v>0</v>
      </c>
      <c r="BU106" s="386">
        <f t="shared" si="61"/>
        <v>175.22294399999998</v>
      </c>
      <c r="BV106" s="386">
        <f t="shared" si="62"/>
        <v>143.15600000000001</v>
      </c>
      <c r="BW106" s="386">
        <f t="shared" si="63"/>
        <v>0</v>
      </c>
      <c r="BX106" s="386">
        <f t="shared" si="78"/>
        <v>11948.945008000001</v>
      </c>
      <c r="BY106" s="386">
        <f t="shared" si="79"/>
        <v>0</v>
      </c>
      <c r="BZ106" s="386">
        <f t="shared" si="80"/>
        <v>0</v>
      </c>
      <c r="CA106" s="386">
        <f t="shared" si="81"/>
        <v>0</v>
      </c>
      <c r="CB106" s="386">
        <f t="shared" si="82"/>
        <v>0</v>
      </c>
      <c r="CC106" s="386">
        <f t="shared" si="64"/>
        <v>0</v>
      </c>
      <c r="CD106" s="386">
        <f t="shared" si="65"/>
        <v>0</v>
      </c>
      <c r="CE106" s="386">
        <f t="shared" si="66"/>
        <v>0</v>
      </c>
      <c r="CF106" s="386">
        <f t="shared" si="67"/>
        <v>-280.58575999999999</v>
      </c>
      <c r="CG106" s="386">
        <f t="shared" si="68"/>
        <v>0</v>
      </c>
      <c r="CH106" s="386">
        <f t="shared" si="69"/>
        <v>5.7262400000000149</v>
      </c>
      <c r="CI106" s="386">
        <f t="shared" si="70"/>
        <v>0</v>
      </c>
      <c r="CJ106" s="386">
        <f t="shared" si="83"/>
        <v>-274.85951999999997</v>
      </c>
      <c r="CK106" s="386" t="str">
        <f t="shared" si="84"/>
        <v/>
      </c>
      <c r="CL106" s="386" t="str">
        <f t="shared" si="85"/>
        <v/>
      </c>
      <c r="CM106" s="386" t="str">
        <f t="shared" si="86"/>
        <v/>
      </c>
      <c r="CN106" s="386" t="str">
        <f t="shared" si="87"/>
        <v>0001-00</v>
      </c>
    </row>
    <row r="107" spans="1:92" ht="15.75" thickBot="1" x14ac:dyDescent="0.3">
      <c r="A107" s="375" t="s">
        <v>161</v>
      </c>
      <c r="B107" s="375" t="s">
        <v>162</v>
      </c>
      <c r="C107" s="375" t="s">
        <v>591</v>
      </c>
      <c r="D107" s="375" t="s">
        <v>548</v>
      </c>
      <c r="E107" s="375" t="s">
        <v>165</v>
      </c>
      <c r="F107" s="376" t="s">
        <v>166</v>
      </c>
      <c r="G107" s="375" t="s">
        <v>549</v>
      </c>
      <c r="H107" s="377"/>
      <c r="I107" s="377"/>
      <c r="J107" s="375" t="s">
        <v>168</v>
      </c>
      <c r="K107" s="375" t="s">
        <v>550</v>
      </c>
      <c r="L107" s="375" t="s">
        <v>198</v>
      </c>
      <c r="M107" s="375" t="s">
        <v>177</v>
      </c>
      <c r="N107" s="375" t="s">
        <v>199</v>
      </c>
      <c r="O107" s="378">
        <v>1</v>
      </c>
      <c r="P107" s="384">
        <v>1</v>
      </c>
      <c r="Q107" s="384">
        <v>1</v>
      </c>
      <c r="R107" s="379">
        <v>80</v>
      </c>
      <c r="S107" s="384">
        <v>1</v>
      </c>
      <c r="T107" s="379">
        <v>44466.47</v>
      </c>
      <c r="U107" s="379">
        <v>0</v>
      </c>
      <c r="V107" s="379">
        <v>20660.02</v>
      </c>
      <c r="W107" s="379">
        <v>47320</v>
      </c>
      <c r="X107" s="379">
        <v>21751.360000000001</v>
      </c>
      <c r="Y107" s="379">
        <v>47320</v>
      </c>
      <c r="Z107" s="379">
        <v>21524.240000000002</v>
      </c>
      <c r="AA107" s="375" t="s">
        <v>592</v>
      </c>
      <c r="AB107" s="375" t="s">
        <v>593</v>
      </c>
      <c r="AC107" s="375" t="s">
        <v>594</v>
      </c>
      <c r="AD107" s="375" t="s">
        <v>214</v>
      </c>
      <c r="AE107" s="375" t="s">
        <v>550</v>
      </c>
      <c r="AF107" s="375" t="s">
        <v>245</v>
      </c>
      <c r="AG107" s="375" t="s">
        <v>183</v>
      </c>
      <c r="AH107" s="380">
        <v>22.75</v>
      </c>
      <c r="AI107" s="378">
        <v>8088</v>
      </c>
      <c r="AJ107" s="375" t="s">
        <v>184</v>
      </c>
      <c r="AK107" s="375" t="s">
        <v>185</v>
      </c>
      <c r="AL107" s="375" t="s">
        <v>173</v>
      </c>
      <c r="AM107" s="375" t="s">
        <v>186</v>
      </c>
      <c r="AN107" s="375" t="s">
        <v>68</v>
      </c>
      <c r="AO107" s="378">
        <v>80</v>
      </c>
      <c r="AP107" s="384">
        <v>1</v>
      </c>
      <c r="AQ107" s="384">
        <v>1</v>
      </c>
      <c r="AR107" s="383" t="s">
        <v>187</v>
      </c>
      <c r="AS107" s="386">
        <f t="shared" si="71"/>
        <v>1</v>
      </c>
      <c r="AT107">
        <f t="shared" si="72"/>
        <v>1</v>
      </c>
      <c r="AU107" s="386">
        <f>IF(AT107=0,"",IF(AND(AT107=1,M107="F",SUMIF(C2:C557,C107,AS2:AS557)&lt;=1),SUMIF(C2:C557,C107,AS2:AS557),IF(AND(AT107=1,M107="F",SUMIF(C2:C557,C107,AS2:AS557)&gt;1),1,"")))</f>
        <v>1</v>
      </c>
      <c r="AV107" s="386" t="str">
        <f>IF(AT107=0,"",IF(AND(AT107=3,M107="F",SUMIF(C2:C557,C107,AS2:AS557)&lt;=1),SUMIF(C2:C557,C107,AS2:AS557),IF(AND(AT107=3,M107="F",SUMIF(C2:C557,C107,AS2:AS557)&gt;1),1,"")))</f>
        <v/>
      </c>
      <c r="AW107" s="386">
        <f>SUMIF(C2:C557,C107,O2:O557)</f>
        <v>1</v>
      </c>
      <c r="AX107" s="386">
        <f>IF(AND(M107="F",AS107&lt;&gt;0),SUMIF(C2:C557,C107,W2:W557),0)</f>
        <v>47320</v>
      </c>
      <c r="AY107" s="386">
        <f t="shared" si="73"/>
        <v>47320</v>
      </c>
      <c r="AZ107" s="386" t="str">
        <f t="shared" si="74"/>
        <v/>
      </c>
      <c r="BA107" s="386">
        <f t="shared" si="75"/>
        <v>0</v>
      </c>
      <c r="BB107" s="386">
        <f t="shared" si="44"/>
        <v>11650</v>
      </c>
      <c r="BC107" s="386">
        <f t="shared" si="45"/>
        <v>0</v>
      </c>
      <c r="BD107" s="386">
        <f t="shared" si="46"/>
        <v>2933.84</v>
      </c>
      <c r="BE107" s="386">
        <f t="shared" si="47"/>
        <v>686.14</v>
      </c>
      <c r="BF107" s="386">
        <f t="shared" si="48"/>
        <v>5650.0080000000007</v>
      </c>
      <c r="BG107" s="386">
        <f t="shared" si="49"/>
        <v>341.17720000000003</v>
      </c>
      <c r="BH107" s="386">
        <f t="shared" si="50"/>
        <v>231.86799999999999</v>
      </c>
      <c r="BI107" s="386">
        <f t="shared" si="51"/>
        <v>144.79919999999998</v>
      </c>
      <c r="BJ107" s="386">
        <f t="shared" si="52"/>
        <v>113.56799999999998</v>
      </c>
      <c r="BK107" s="386">
        <f t="shared" si="53"/>
        <v>0</v>
      </c>
      <c r="BL107" s="386">
        <f t="shared" si="76"/>
        <v>10101.4004</v>
      </c>
      <c r="BM107" s="386">
        <f t="shared" si="77"/>
        <v>0</v>
      </c>
      <c r="BN107" s="386">
        <f t="shared" si="54"/>
        <v>11650</v>
      </c>
      <c r="BO107" s="386">
        <f t="shared" si="55"/>
        <v>0</v>
      </c>
      <c r="BP107" s="386">
        <f t="shared" si="56"/>
        <v>2933.84</v>
      </c>
      <c r="BQ107" s="386">
        <f t="shared" si="57"/>
        <v>686.14</v>
      </c>
      <c r="BR107" s="386">
        <f t="shared" si="58"/>
        <v>5650.0080000000007</v>
      </c>
      <c r="BS107" s="386">
        <f t="shared" si="59"/>
        <v>341.17720000000003</v>
      </c>
      <c r="BT107" s="386">
        <f t="shared" si="60"/>
        <v>0</v>
      </c>
      <c r="BU107" s="386">
        <f t="shared" si="61"/>
        <v>144.79919999999998</v>
      </c>
      <c r="BV107" s="386">
        <f t="shared" si="62"/>
        <v>118.3</v>
      </c>
      <c r="BW107" s="386">
        <f t="shared" si="63"/>
        <v>0</v>
      </c>
      <c r="BX107" s="386">
        <f t="shared" si="78"/>
        <v>9874.2644</v>
      </c>
      <c r="BY107" s="386">
        <f t="shared" si="79"/>
        <v>0</v>
      </c>
      <c r="BZ107" s="386">
        <f t="shared" si="80"/>
        <v>0</v>
      </c>
      <c r="CA107" s="386">
        <f t="shared" si="81"/>
        <v>0</v>
      </c>
      <c r="CB107" s="386">
        <f t="shared" si="82"/>
        <v>0</v>
      </c>
      <c r="CC107" s="386">
        <f t="shared" si="64"/>
        <v>0</v>
      </c>
      <c r="CD107" s="386">
        <f t="shared" si="65"/>
        <v>0</v>
      </c>
      <c r="CE107" s="386">
        <f t="shared" si="66"/>
        <v>0</v>
      </c>
      <c r="CF107" s="386">
        <f t="shared" si="67"/>
        <v>-231.86799999999999</v>
      </c>
      <c r="CG107" s="386">
        <f t="shared" si="68"/>
        <v>0</v>
      </c>
      <c r="CH107" s="386">
        <f t="shared" si="69"/>
        <v>4.7320000000000126</v>
      </c>
      <c r="CI107" s="386">
        <f t="shared" si="70"/>
        <v>0</v>
      </c>
      <c r="CJ107" s="386">
        <f t="shared" si="83"/>
        <v>-227.136</v>
      </c>
      <c r="CK107" s="386" t="str">
        <f t="shared" si="84"/>
        <v/>
      </c>
      <c r="CL107" s="386" t="str">
        <f t="shared" si="85"/>
        <v/>
      </c>
      <c r="CM107" s="386" t="str">
        <f t="shared" si="86"/>
        <v/>
      </c>
      <c r="CN107" s="386" t="str">
        <f t="shared" si="87"/>
        <v>0001-00</v>
      </c>
    </row>
    <row r="108" spans="1:92" ht="15.75" thickBot="1" x14ac:dyDescent="0.3">
      <c r="A108" s="375" t="s">
        <v>161</v>
      </c>
      <c r="B108" s="375" t="s">
        <v>162</v>
      </c>
      <c r="C108" s="375" t="s">
        <v>595</v>
      </c>
      <c r="D108" s="375" t="s">
        <v>318</v>
      </c>
      <c r="E108" s="375" t="s">
        <v>165</v>
      </c>
      <c r="F108" s="376" t="s">
        <v>166</v>
      </c>
      <c r="G108" s="375" t="s">
        <v>549</v>
      </c>
      <c r="H108" s="377"/>
      <c r="I108" s="377"/>
      <c r="J108" s="375" t="s">
        <v>168</v>
      </c>
      <c r="K108" s="375" t="s">
        <v>319</v>
      </c>
      <c r="L108" s="375" t="s">
        <v>220</v>
      </c>
      <c r="M108" s="375" t="s">
        <v>177</v>
      </c>
      <c r="N108" s="375" t="s">
        <v>199</v>
      </c>
      <c r="O108" s="378">
        <v>1</v>
      </c>
      <c r="P108" s="384">
        <v>1</v>
      </c>
      <c r="Q108" s="384">
        <v>1</v>
      </c>
      <c r="R108" s="379">
        <v>80</v>
      </c>
      <c r="S108" s="384">
        <v>1</v>
      </c>
      <c r="T108" s="379">
        <v>30558.01</v>
      </c>
      <c r="U108" s="379">
        <v>0</v>
      </c>
      <c r="V108" s="379">
        <v>13202.94</v>
      </c>
      <c r="W108" s="379">
        <v>56555.199999999997</v>
      </c>
      <c r="X108" s="379">
        <v>23722.82</v>
      </c>
      <c r="Y108" s="379">
        <v>56555.199999999997</v>
      </c>
      <c r="Z108" s="379">
        <v>23451.35</v>
      </c>
      <c r="AA108" s="375" t="s">
        <v>596</v>
      </c>
      <c r="AB108" s="375" t="s">
        <v>235</v>
      </c>
      <c r="AC108" s="375" t="s">
        <v>597</v>
      </c>
      <c r="AD108" s="375" t="s">
        <v>352</v>
      </c>
      <c r="AE108" s="375" t="s">
        <v>319</v>
      </c>
      <c r="AF108" s="375" t="s">
        <v>252</v>
      </c>
      <c r="AG108" s="375" t="s">
        <v>183</v>
      </c>
      <c r="AH108" s="380">
        <v>27.19</v>
      </c>
      <c r="AI108" s="380">
        <v>2834.5</v>
      </c>
      <c r="AJ108" s="375" t="s">
        <v>184</v>
      </c>
      <c r="AK108" s="375" t="s">
        <v>185</v>
      </c>
      <c r="AL108" s="375" t="s">
        <v>173</v>
      </c>
      <c r="AM108" s="375" t="s">
        <v>186</v>
      </c>
      <c r="AN108" s="375" t="s">
        <v>68</v>
      </c>
      <c r="AO108" s="378">
        <v>80</v>
      </c>
      <c r="AP108" s="384">
        <v>1</v>
      </c>
      <c r="AQ108" s="384">
        <v>1</v>
      </c>
      <c r="AR108" s="383" t="s">
        <v>187</v>
      </c>
      <c r="AS108" s="386">
        <f t="shared" si="71"/>
        <v>1</v>
      </c>
      <c r="AT108">
        <f t="shared" si="72"/>
        <v>1</v>
      </c>
      <c r="AU108" s="386">
        <f>IF(AT108=0,"",IF(AND(AT108=1,M108="F",SUMIF(C2:C557,C108,AS2:AS557)&lt;=1),SUMIF(C2:C557,C108,AS2:AS557),IF(AND(AT108=1,M108="F",SUMIF(C2:C557,C108,AS2:AS557)&gt;1),1,"")))</f>
        <v>1</v>
      </c>
      <c r="AV108" s="386" t="str">
        <f>IF(AT108=0,"",IF(AND(AT108=3,M108="F",SUMIF(C2:C557,C108,AS2:AS557)&lt;=1),SUMIF(C2:C557,C108,AS2:AS557),IF(AND(AT108=3,M108="F",SUMIF(C2:C557,C108,AS2:AS557)&gt;1),1,"")))</f>
        <v/>
      </c>
      <c r="AW108" s="386">
        <f>SUMIF(C2:C557,C108,O2:O557)</f>
        <v>1</v>
      </c>
      <c r="AX108" s="386">
        <f>IF(AND(M108="F",AS108&lt;&gt;0),SUMIF(C2:C557,C108,W2:W557),0)</f>
        <v>56555.199999999997</v>
      </c>
      <c r="AY108" s="386">
        <f t="shared" si="73"/>
        <v>56555.199999999997</v>
      </c>
      <c r="AZ108" s="386" t="str">
        <f t="shared" si="74"/>
        <v/>
      </c>
      <c r="BA108" s="386">
        <f t="shared" si="75"/>
        <v>0</v>
      </c>
      <c r="BB108" s="386">
        <f t="shared" si="44"/>
        <v>11650</v>
      </c>
      <c r="BC108" s="386">
        <f t="shared" si="45"/>
        <v>0</v>
      </c>
      <c r="BD108" s="386">
        <f t="shared" si="46"/>
        <v>3506.4223999999999</v>
      </c>
      <c r="BE108" s="386">
        <f t="shared" si="47"/>
        <v>820.05039999999997</v>
      </c>
      <c r="BF108" s="386">
        <f t="shared" si="48"/>
        <v>6752.6908800000001</v>
      </c>
      <c r="BG108" s="386">
        <f t="shared" si="49"/>
        <v>407.762992</v>
      </c>
      <c r="BH108" s="386">
        <f t="shared" si="50"/>
        <v>277.12047999999999</v>
      </c>
      <c r="BI108" s="386">
        <f t="shared" si="51"/>
        <v>173.05891199999999</v>
      </c>
      <c r="BJ108" s="386">
        <f t="shared" si="52"/>
        <v>135.73247999999998</v>
      </c>
      <c r="BK108" s="386">
        <f t="shared" si="53"/>
        <v>0</v>
      </c>
      <c r="BL108" s="386">
        <f t="shared" si="76"/>
        <v>12072.838544</v>
      </c>
      <c r="BM108" s="386">
        <f t="shared" si="77"/>
        <v>0</v>
      </c>
      <c r="BN108" s="386">
        <f t="shared" si="54"/>
        <v>11650</v>
      </c>
      <c r="BO108" s="386">
        <f t="shared" si="55"/>
        <v>0</v>
      </c>
      <c r="BP108" s="386">
        <f t="shared" si="56"/>
        <v>3506.4223999999999</v>
      </c>
      <c r="BQ108" s="386">
        <f t="shared" si="57"/>
        <v>820.05039999999997</v>
      </c>
      <c r="BR108" s="386">
        <f t="shared" si="58"/>
        <v>6752.6908800000001</v>
      </c>
      <c r="BS108" s="386">
        <f t="shared" si="59"/>
        <v>407.762992</v>
      </c>
      <c r="BT108" s="386">
        <f t="shared" si="60"/>
        <v>0</v>
      </c>
      <c r="BU108" s="386">
        <f t="shared" si="61"/>
        <v>173.05891199999999</v>
      </c>
      <c r="BV108" s="386">
        <f t="shared" si="62"/>
        <v>141.38800000000001</v>
      </c>
      <c r="BW108" s="386">
        <f t="shared" si="63"/>
        <v>0</v>
      </c>
      <c r="BX108" s="386">
        <f t="shared" si="78"/>
        <v>11801.373584000001</v>
      </c>
      <c r="BY108" s="386">
        <f t="shared" si="79"/>
        <v>0</v>
      </c>
      <c r="BZ108" s="386">
        <f t="shared" si="80"/>
        <v>0</v>
      </c>
      <c r="CA108" s="386">
        <f t="shared" si="81"/>
        <v>0</v>
      </c>
      <c r="CB108" s="386">
        <f t="shared" si="82"/>
        <v>0</v>
      </c>
      <c r="CC108" s="386">
        <f t="shared" si="64"/>
        <v>0</v>
      </c>
      <c r="CD108" s="386">
        <f t="shared" si="65"/>
        <v>0</v>
      </c>
      <c r="CE108" s="386">
        <f t="shared" si="66"/>
        <v>0</v>
      </c>
      <c r="CF108" s="386">
        <f t="shared" si="67"/>
        <v>-277.12047999999999</v>
      </c>
      <c r="CG108" s="386">
        <f t="shared" si="68"/>
        <v>0</v>
      </c>
      <c r="CH108" s="386">
        <f t="shared" si="69"/>
        <v>5.6555200000000143</v>
      </c>
      <c r="CI108" s="386">
        <f t="shared" si="70"/>
        <v>0</v>
      </c>
      <c r="CJ108" s="386">
        <f t="shared" si="83"/>
        <v>-271.46495999999996</v>
      </c>
      <c r="CK108" s="386" t="str">
        <f t="shared" si="84"/>
        <v/>
      </c>
      <c r="CL108" s="386" t="str">
        <f t="shared" si="85"/>
        <v/>
      </c>
      <c r="CM108" s="386" t="str">
        <f t="shared" si="86"/>
        <v/>
      </c>
      <c r="CN108" s="386" t="str">
        <f t="shared" si="87"/>
        <v>0001-00</v>
      </c>
    </row>
    <row r="109" spans="1:92" ht="15.75" thickBot="1" x14ac:dyDescent="0.3">
      <c r="A109" s="375" t="s">
        <v>161</v>
      </c>
      <c r="B109" s="375" t="s">
        <v>162</v>
      </c>
      <c r="C109" s="375" t="s">
        <v>598</v>
      </c>
      <c r="D109" s="375" t="s">
        <v>561</v>
      </c>
      <c r="E109" s="375" t="s">
        <v>165</v>
      </c>
      <c r="F109" s="376" t="s">
        <v>166</v>
      </c>
      <c r="G109" s="375" t="s">
        <v>549</v>
      </c>
      <c r="H109" s="377"/>
      <c r="I109" s="377"/>
      <c r="J109" s="375" t="s">
        <v>168</v>
      </c>
      <c r="K109" s="375" t="s">
        <v>562</v>
      </c>
      <c r="L109" s="375" t="s">
        <v>170</v>
      </c>
      <c r="M109" s="375" t="s">
        <v>177</v>
      </c>
      <c r="N109" s="375" t="s">
        <v>199</v>
      </c>
      <c r="O109" s="378">
        <v>1</v>
      </c>
      <c r="P109" s="384">
        <v>1</v>
      </c>
      <c r="Q109" s="384">
        <v>1</v>
      </c>
      <c r="R109" s="379">
        <v>80</v>
      </c>
      <c r="S109" s="384">
        <v>1</v>
      </c>
      <c r="T109" s="379">
        <v>47361.3</v>
      </c>
      <c r="U109" s="379">
        <v>0</v>
      </c>
      <c r="V109" s="379">
        <v>21070.52</v>
      </c>
      <c r="W109" s="379">
        <v>52062.400000000001</v>
      </c>
      <c r="X109" s="379">
        <v>22763.72</v>
      </c>
      <c r="Y109" s="379">
        <v>52062.400000000001</v>
      </c>
      <c r="Z109" s="379">
        <v>22513.83</v>
      </c>
      <c r="AA109" s="375" t="s">
        <v>599</v>
      </c>
      <c r="AB109" s="375" t="s">
        <v>600</v>
      </c>
      <c r="AC109" s="375" t="s">
        <v>601</v>
      </c>
      <c r="AD109" s="375" t="s">
        <v>194</v>
      </c>
      <c r="AE109" s="375" t="s">
        <v>562</v>
      </c>
      <c r="AF109" s="375" t="s">
        <v>269</v>
      </c>
      <c r="AG109" s="375" t="s">
        <v>183</v>
      </c>
      <c r="AH109" s="380">
        <v>25.03</v>
      </c>
      <c r="AI109" s="378">
        <v>8400</v>
      </c>
      <c r="AJ109" s="375" t="s">
        <v>184</v>
      </c>
      <c r="AK109" s="375" t="s">
        <v>185</v>
      </c>
      <c r="AL109" s="375" t="s">
        <v>173</v>
      </c>
      <c r="AM109" s="375" t="s">
        <v>186</v>
      </c>
      <c r="AN109" s="375" t="s">
        <v>68</v>
      </c>
      <c r="AO109" s="378">
        <v>80</v>
      </c>
      <c r="AP109" s="384">
        <v>1</v>
      </c>
      <c r="AQ109" s="384">
        <v>1</v>
      </c>
      <c r="AR109" s="383" t="s">
        <v>187</v>
      </c>
      <c r="AS109" s="386">
        <f t="shared" si="71"/>
        <v>1</v>
      </c>
      <c r="AT109">
        <f t="shared" si="72"/>
        <v>1</v>
      </c>
      <c r="AU109" s="386">
        <f>IF(AT109=0,"",IF(AND(AT109=1,M109="F",SUMIF(C2:C557,C109,AS2:AS557)&lt;=1),SUMIF(C2:C557,C109,AS2:AS557),IF(AND(AT109=1,M109="F",SUMIF(C2:C557,C109,AS2:AS557)&gt;1),1,"")))</f>
        <v>1</v>
      </c>
      <c r="AV109" s="386" t="str">
        <f>IF(AT109=0,"",IF(AND(AT109=3,M109="F",SUMIF(C2:C557,C109,AS2:AS557)&lt;=1),SUMIF(C2:C557,C109,AS2:AS557),IF(AND(AT109=3,M109="F",SUMIF(C2:C557,C109,AS2:AS557)&gt;1),1,"")))</f>
        <v/>
      </c>
      <c r="AW109" s="386">
        <f>SUMIF(C2:C557,C109,O2:O557)</f>
        <v>1</v>
      </c>
      <c r="AX109" s="386">
        <f>IF(AND(M109="F",AS109&lt;&gt;0),SUMIF(C2:C557,C109,W2:W557),0)</f>
        <v>52062.400000000001</v>
      </c>
      <c r="AY109" s="386">
        <f t="shared" si="73"/>
        <v>52062.400000000001</v>
      </c>
      <c r="AZ109" s="386" t="str">
        <f t="shared" si="74"/>
        <v/>
      </c>
      <c r="BA109" s="386">
        <f t="shared" si="75"/>
        <v>0</v>
      </c>
      <c r="BB109" s="386">
        <f t="shared" si="44"/>
        <v>11650</v>
      </c>
      <c r="BC109" s="386">
        <f t="shared" si="45"/>
        <v>0</v>
      </c>
      <c r="BD109" s="386">
        <f t="shared" si="46"/>
        <v>3227.8688000000002</v>
      </c>
      <c r="BE109" s="386">
        <f t="shared" si="47"/>
        <v>754.90480000000002</v>
      </c>
      <c r="BF109" s="386">
        <f t="shared" si="48"/>
        <v>6216.2505600000004</v>
      </c>
      <c r="BG109" s="386">
        <f t="shared" si="49"/>
        <v>375.36990400000002</v>
      </c>
      <c r="BH109" s="386">
        <f t="shared" si="50"/>
        <v>255.10576</v>
      </c>
      <c r="BI109" s="386">
        <f t="shared" si="51"/>
        <v>159.31094400000001</v>
      </c>
      <c r="BJ109" s="386">
        <f t="shared" si="52"/>
        <v>124.94976</v>
      </c>
      <c r="BK109" s="386">
        <f t="shared" si="53"/>
        <v>0</v>
      </c>
      <c r="BL109" s="386">
        <f t="shared" si="76"/>
        <v>11113.760528000001</v>
      </c>
      <c r="BM109" s="386">
        <f t="shared" si="77"/>
        <v>0</v>
      </c>
      <c r="BN109" s="386">
        <f t="shared" si="54"/>
        <v>11650</v>
      </c>
      <c r="BO109" s="386">
        <f t="shared" si="55"/>
        <v>0</v>
      </c>
      <c r="BP109" s="386">
        <f t="shared" si="56"/>
        <v>3227.8688000000002</v>
      </c>
      <c r="BQ109" s="386">
        <f t="shared" si="57"/>
        <v>754.90480000000002</v>
      </c>
      <c r="BR109" s="386">
        <f t="shared" si="58"/>
        <v>6216.2505600000004</v>
      </c>
      <c r="BS109" s="386">
        <f t="shared" si="59"/>
        <v>375.36990400000002</v>
      </c>
      <c r="BT109" s="386">
        <f t="shared" si="60"/>
        <v>0</v>
      </c>
      <c r="BU109" s="386">
        <f t="shared" si="61"/>
        <v>159.31094400000001</v>
      </c>
      <c r="BV109" s="386">
        <f t="shared" si="62"/>
        <v>130.15600000000001</v>
      </c>
      <c r="BW109" s="386">
        <f t="shared" si="63"/>
        <v>0</v>
      </c>
      <c r="BX109" s="386">
        <f t="shared" si="78"/>
        <v>10863.861008000002</v>
      </c>
      <c r="BY109" s="386">
        <f t="shared" si="79"/>
        <v>0</v>
      </c>
      <c r="BZ109" s="386">
        <f t="shared" si="80"/>
        <v>0</v>
      </c>
      <c r="CA109" s="386">
        <f t="shared" si="81"/>
        <v>0</v>
      </c>
      <c r="CB109" s="386">
        <f t="shared" si="82"/>
        <v>0</v>
      </c>
      <c r="CC109" s="386">
        <f t="shared" si="64"/>
        <v>0</v>
      </c>
      <c r="CD109" s="386">
        <f t="shared" si="65"/>
        <v>0</v>
      </c>
      <c r="CE109" s="386">
        <f t="shared" si="66"/>
        <v>0</v>
      </c>
      <c r="CF109" s="386">
        <f t="shared" si="67"/>
        <v>-255.10576</v>
      </c>
      <c r="CG109" s="386">
        <f t="shared" si="68"/>
        <v>0</v>
      </c>
      <c r="CH109" s="386">
        <f t="shared" si="69"/>
        <v>5.2062400000000135</v>
      </c>
      <c r="CI109" s="386">
        <f t="shared" si="70"/>
        <v>0</v>
      </c>
      <c r="CJ109" s="386">
        <f t="shared" si="83"/>
        <v>-249.89952</v>
      </c>
      <c r="CK109" s="386" t="str">
        <f t="shared" si="84"/>
        <v/>
      </c>
      <c r="CL109" s="386" t="str">
        <f t="shared" si="85"/>
        <v/>
      </c>
      <c r="CM109" s="386" t="str">
        <f t="shared" si="86"/>
        <v/>
      </c>
      <c r="CN109" s="386" t="str">
        <f t="shared" si="87"/>
        <v>0001-00</v>
      </c>
    </row>
    <row r="110" spans="1:92" ht="15.75" thickBot="1" x14ac:dyDescent="0.3">
      <c r="A110" s="375" t="s">
        <v>161</v>
      </c>
      <c r="B110" s="375" t="s">
        <v>162</v>
      </c>
      <c r="C110" s="375" t="s">
        <v>602</v>
      </c>
      <c r="D110" s="375" t="s">
        <v>561</v>
      </c>
      <c r="E110" s="375" t="s">
        <v>165</v>
      </c>
      <c r="F110" s="376" t="s">
        <v>166</v>
      </c>
      <c r="G110" s="375" t="s">
        <v>549</v>
      </c>
      <c r="H110" s="377"/>
      <c r="I110" s="377"/>
      <c r="J110" s="375" t="s">
        <v>168</v>
      </c>
      <c r="K110" s="375" t="s">
        <v>562</v>
      </c>
      <c r="L110" s="375" t="s">
        <v>170</v>
      </c>
      <c r="M110" s="375" t="s">
        <v>177</v>
      </c>
      <c r="N110" s="375" t="s">
        <v>199</v>
      </c>
      <c r="O110" s="378">
        <v>1</v>
      </c>
      <c r="P110" s="384">
        <v>1</v>
      </c>
      <c r="Q110" s="384">
        <v>1</v>
      </c>
      <c r="R110" s="379">
        <v>80</v>
      </c>
      <c r="S110" s="384">
        <v>1</v>
      </c>
      <c r="T110" s="379">
        <v>38928.76</v>
      </c>
      <c r="U110" s="379">
        <v>0</v>
      </c>
      <c r="V110" s="379">
        <v>17593.09</v>
      </c>
      <c r="W110" s="379">
        <v>46092.800000000003</v>
      </c>
      <c r="X110" s="379">
        <v>21489.4</v>
      </c>
      <c r="Y110" s="379">
        <v>46092.800000000003</v>
      </c>
      <c r="Z110" s="379">
        <v>21268.16</v>
      </c>
      <c r="AA110" s="375" t="s">
        <v>603</v>
      </c>
      <c r="AB110" s="375" t="s">
        <v>604</v>
      </c>
      <c r="AC110" s="375" t="s">
        <v>605</v>
      </c>
      <c r="AD110" s="375" t="s">
        <v>244</v>
      </c>
      <c r="AE110" s="375" t="s">
        <v>550</v>
      </c>
      <c r="AF110" s="375" t="s">
        <v>245</v>
      </c>
      <c r="AG110" s="375" t="s">
        <v>183</v>
      </c>
      <c r="AH110" s="380">
        <v>22.16</v>
      </c>
      <c r="AI110" s="378">
        <v>7189</v>
      </c>
      <c r="AJ110" s="375" t="s">
        <v>184</v>
      </c>
      <c r="AK110" s="375" t="s">
        <v>185</v>
      </c>
      <c r="AL110" s="375" t="s">
        <v>173</v>
      </c>
      <c r="AM110" s="375" t="s">
        <v>186</v>
      </c>
      <c r="AN110" s="375" t="s">
        <v>68</v>
      </c>
      <c r="AO110" s="378">
        <v>80</v>
      </c>
      <c r="AP110" s="384">
        <v>1</v>
      </c>
      <c r="AQ110" s="384">
        <v>1</v>
      </c>
      <c r="AR110" s="383">
        <v>3</v>
      </c>
      <c r="AS110" s="386">
        <f t="shared" si="71"/>
        <v>1</v>
      </c>
      <c r="AT110">
        <f t="shared" si="72"/>
        <v>1</v>
      </c>
      <c r="AU110" s="386">
        <f>IF(AT110=0,"",IF(AND(AT110=1,M110="F",SUMIF(C2:C557,C110,AS2:AS557)&lt;=1),SUMIF(C2:C557,C110,AS2:AS557),IF(AND(AT110=1,M110="F",SUMIF(C2:C557,C110,AS2:AS557)&gt;1),1,"")))</f>
        <v>1</v>
      </c>
      <c r="AV110" s="386" t="str">
        <f>IF(AT110=0,"",IF(AND(AT110=3,M110="F",SUMIF(C2:C557,C110,AS2:AS557)&lt;=1),SUMIF(C2:C557,C110,AS2:AS557),IF(AND(AT110=3,M110="F",SUMIF(C2:C557,C110,AS2:AS557)&gt;1),1,"")))</f>
        <v/>
      </c>
      <c r="AW110" s="386">
        <f>SUMIF(C2:C557,C110,O2:O557)</f>
        <v>1</v>
      </c>
      <c r="AX110" s="386">
        <f>IF(AND(M110="F",AS110&lt;&gt;0),SUMIF(C2:C557,C110,W2:W557),0)</f>
        <v>46092.800000000003</v>
      </c>
      <c r="AY110" s="386">
        <f t="shared" si="73"/>
        <v>46092.800000000003</v>
      </c>
      <c r="AZ110" s="386" t="str">
        <f t="shared" si="74"/>
        <v/>
      </c>
      <c r="BA110" s="386">
        <f t="shared" si="75"/>
        <v>0</v>
      </c>
      <c r="BB110" s="386">
        <f t="shared" si="44"/>
        <v>11650</v>
      </c>
      <c r="BC110" s="386">
        <f t="shared" si="45"/>
        <v>0</v>
      </c>
      <c r="BD110" s="386">
        <f t="shared" si="46"/>
        <v>2857.7536</v>
      </c>
      <c r="BE110" s="386">
        <f t="shared" si="47"/>
        <v>668.3456000000001</v>
      </c>
      <c r="BF110" s="386">
        <f t="shared" si="48"/>
        <v>5503.4803200000006</v>
      </c>
      <c r="BG110" s="386">
        <f t="shared" si="49"/>
        <v>332.32908800000001</v>
      </c>
      <c r="BH110" s="386">
        <f t="shared" si="50"/>
        <v>225.85472000000001</v>
      </c>
      <c r="BI110" s="386">
        <f t="shared" si="51"/>
        <v>141.04396800000001</v>
      </c>
      <c r="BJ110" s="386">
        <f t="shared" si="52"/>
        <v>110.62272</v>
      </c>
      <c r="BK110" s="386">
        <f t="shared" si="53"/>
        <v>0</v>
      </c>
      <c r="BL110" s="386">
        <f t="shared" si="76"/>
        <v>9839.4300160000003</v>
      </c>
      <c r="BM110" s="386">
        <f t="shared" si="77"/>
        <v>0</v>
      </c>
      <c r="BN110" s="386">
        <f t="shared" si="54"/>
        <v>11650</v>
      </c>
      <c r="BO110" s="386">
        <f t="shared" si="55"/>
        <v>0</v>
      </c>
      <c r="BP110" s="386">
        <f t="shared" si="56"/>
        <v>2857.7536</v>
      </c>
      <c r="BQ110" s="386">
        <f t="shared" si="57"/>
        <v>668.3456000000001</v>
      </c>
      <c r="BR110" s="386">
        <f t="shared" si="58"/>
        <v>5503.4803200000006</v>
      </c>
      <c r="BS110" s="386">
        <f t="shared" si="59"/>
        <v>332.32908800000001</v>
      </c>
      <c r="BT110" s="386">
        <f t="shared" si="60"/>
        <v>0</v>
      </c>
      <c r="BU110" s="386">
        <f t="shared" si="61"/>
        <v>141.04396800000001</v>
      </c>
      <c r="BV110" s="386">
        <f t="shared" si="62"/>
        <v>115.23200000000001</v>
      </c>
      <c r="BW110" s="386">
        <f t="shared" si="63"/>
        <v>0</v>
      </c>
      <c r="BX110" s="386">
        <f t="shared" si="78"/>
        <v>9618.1845760000015</v>
      </c>
      <c r="BY110" s="386">
        <f t="shared" si="79"/>
        <v>0</v>
      </c>
      <c r="BZ110" s="386">
        <f t="shared" si="80"/>
        <v>0</v>
      </c>
      <c r="CA110" s="386">
        <f t="shared" si="81"/>
        <v>0</v>
      </c>
      <c r="CB110" s="386">
        <f t="shared" si="82"/>
        <v>0</v>
      </c>
      <c r="CC110" s="386">
        <f t="shared" si="64"/>
        <v>0</v>
      </c>
      <c r="CD110" s="386">
        <f t="shared" si="65"/>
        <v>0</v>
      </c>
      <c r="CE110" s="386">
        <f t="shared" si="66"/>
        <v>0</v>
      </c>
      <c r="CF110" s="386">
        <f t="shared" si="67"/>
        <v>-225.85472000000001</v>
      </c>
      <c r="CG110" s="386">
        <f t="shared" si="68"/>
        <v>0</v>
      </c>
      <c r="CH110" s="386">
        <f t="shared" si="69"/>
        <v>4.6092800000000125</v>
      </c>
      <c r="CI110" s="386">
        <f t="shared" si="70"/>
        <v>0</v>
      </c>
      <c r="CJ110" s="386">
        <f t="shared" si="83"/>
        <v>-221.24544</v>
      </c>
      <c r="CK110" s="386" t="str">
        <f t="shared" si="84"/>
        <v/>
      </c>
      <c r="CL110" s="386" t="str">
        <f t="shared" si="85"/>
        <v/>
      </c>
      <c r="CM110" s="386" t="str">
        <f t="shared" si="86"/>
        <v/>
      </c>
      <c r="CN110" s="386" t="str">
        <f t="shared" si="87"/>
        <v>0001-00</v>
      </c>
    </row>
    <row r="111" spans="1:92" ht="15.75" thickBot="1" x14ac:dyDescent="0.3">
      <c r="A111" s="375" t="s">
        <v>161</v>
      </c>
      <c r="B111" s="375" t="s">
        <v>162</v>
      </c>
      <c r="C111" s="375" t="s">
        <v>606</v>
      </c>
      <c r="D111" s="375" t="s">
        <v>247</v>
      </c>
      <c r="E111" s="375" t="s">
        <v>165</v>
      </c>
      <c r="F111" s="376" t="s">
        <v>166</v>
      </c>
      <c r="G111" s="375" t="s">
        <v>549</v>
      </c>
      <c r="H111" s="377"/>
      <c r="I111" s="377"/>
      <c r="J111" s="375" t="s">
        <v>168</v>
      </c>
      <c r="K111" s="375" t="s">
        <v>268</v>
      </c>
      <c r="L111" s="375" t="s">
        <v>170</v>
      </c>
      <c r="M111" s="375" t="s">
        <v>177</v>
      </c>
      <c r="N111" s="375" t="s">
        <v>199</v>
      </c>
      <c r="O111" s="378">
        <v>1</v>
      </c>
      <c r="P111" s="384">
        <v>1</v>
      </c>
      <c r="Q111" s="384">
        <v>1</v>
      </c>
      <c r="R111" s="379">
        <v>80</v>
      </c>
      <c r="S111" s="384">
        <v>1</v>
      </c>
      <c r="T111" s="379">
        <v>56506.43</v>
      </c>
      <c r="U111" s="379">
        <v>0</v>
      </c>
      <c r="V111" s="379">
        <v>23393.38</v>
      </c>
      <c r="W111" s="379">
        <v>58926.400000000001</v>
      </c>
      <c r="X111" s="379">
        <v>24228.98</v>
      </c>
      <c r="Y111" s="379">
        <v>58926.400000000001</v>
      </c>
      <c r="Z111" s="379">
        <v>23946.14</v>
      </c>
      <c r="AA111" s="375" t="s">
        <v>607</v>
      </c>
      <c r="AB111" s="375" t="s">
        <v>608</v>
      </c>
      <c r="AC111" s="375" t="s">
        <v>609</v>
      </c>
      <c r="AD111" s="375" t="s">
        <v>195</v>
      </c>
      <c r="AE111" s="375" t="s">
        <v>268</v>
      </c>
      <c r="AF111" s="375" t="s">
        <v>269</v>
      </c>
      <c r="AG111" s="375" t="s">
        <v>183</v>
      </c>
      <c r="AH111" s="380">
        <v>28.33</v>
      </c>
      <c r="AI111" s="378">
        <v>13320</v>
      </c>
      <c r="AJ111" s="375" t="s">
        <v>184</v>
      </c>
      <c r="AK111" s="375" t="s">
        <v>185</v>
      </c>
      <c r="AL111" s="375" t="s">
        <v>173</v>
      </c>
      <c r="AM111" s="375" t="s">
        <v>186</v>
      </c>
      <c r="AN111" s="375" t="s">
        <v>68</v>
      </c>
      <c r="AO111" s="378">
        <v>80</v>
      </c>
      <c r="AP111" s="384">
        <v>1</v>
      </c>
      <c r="AQ111" s="384">
        <v>1</v>
      </c>
      <c r="AR111" s="383" t="s">
        <v>187</v>
      </c>
      <c r="AS111" s="386">
        <f t="shared" si="71"/>
        <v>1</v>
      </c>
      <c r="AT111">
        <f t="shared" si="72"/>
        <v>1</v>
      </c>
      <c r="AU111" s="386">
        <f>IF(AT111=0,"",IF(AND(AT111=1,M111="F",SUMIF(C2:C557,C111,AS2:AS557)&lt;=1),SUMIF(C2:C557,C111,AS2:AS557),IF(AND(AT111=1,M111="F",SUMIF(C2:C557,C111,AS2:AS557)&gt;1),1,"")))</f>
        <v>1</v>
      </c>
      <c r="AV111" s="386" t="str">
        <f>IF(AT111=0,"",IF(AND(AT111=3,M111="F",SUMIF(C2:C557,C111,AS2:AS557)&lt;=1),SUMIF(C2:C557,C111,AS2:AS557),IF(AND(AT111=3,M111="F",SUMIF(C2:C557,C111,AS2:AS557)&gt;1),1,"")))</f>
        <v/>
      </c>
      <c r="AW111" s="386">
        <f>SUMIF(C2:C557,C111,O2:O557)</f>
        <v>1</v>
      </c>
      <c r="AX111" s="386">
        <f>IF(AND(M111="F",AS111&lt;&gt;0),SUMIF(C2:C557,C111,W2:W557),0)</f>
        <v>58926.400000000001</v>
      </c>
      <c r="AY111" s="386">
        <f t="shared" si="73"/>
        <v>58926.400000000001</v>
      </c>
      <c r="AZ111" s="386" t="str">
        <f t="shared" si="74"/>
        <v/>
      </c>
      <c r="BA111" s="386">
        <f t="shared" si="75"/>
        <v>0</v>
      </c>
      <c r="BB111" s="386">
        <f t="shared" si="44"/>
        <v>11650</v>
      </c>
      <c r="BC111" s="386">
        <f t="shared" si="45"/>
        <v>0</v>
      </c>
      <c r="BD111" s="386">
        <f t="shared" si="46"/>
        <v>3653.4367999999999</v>
      </c>
      <c r="BE111" s="386">
        <f t="shared" si="47"/>
        <v>854.43280000000004</v>
      </c>
      <c r="BF111" s="386">
        <f t="shared" si="48"/>
        <v>7035.8121600000004</v>
      </c>
      <c r="BG111" s="386">
        <f t="shared" si="49"/>
        <v>424.85934400000002</v>
      </c>
      <c r="BH111" s="386">
        <f t="shared" si="50"/>
        <v>288.73935999999998</v>
      </c>
      <c r="BI111" s="386">
        <f t="shared" si="51"/>
        <v>180.314784</v>
      </c>
      <c r="BJ111" s="386">
        <f t="shared" si="52"/>
        <v>141.42336</v>
      </c>
      <c r="BK111" s="386">
        <f t="shared" si="53"/>
        <v>0</v>
      </c>
      <c r="BL111" s="386">
        <f t="shared" si="76"/>
        <v>12579.018608</v>
      </c>
      <c r="BM111" s="386">
        <f t="shared" si="77"/>
        <v>0</v>
      </c>
      <c r="BN111" s="386">
        <f t="shared" si="54"/>
        <v>11650</v>
      </c>
      <c r="BO111" s="386">
        <f t="shared" si="55"/>
        <v>0</v>
      </c>
      <c r="BP111" s="386">
        <f t="shared" si="56"/>
        <v>3653.4367999999999</v>
      </c>
      <c r="BQ111" s="386">
        <f t="shared" si="57"/>
        <v>854.43280000000004</v>
      </c>
      <c r="BR111" s="386">
        <f t="shared" si="58"/>
        <v>7035.8121600000004</v>
      </c>
      <c r="BS111" s="386">
        <f t="shared" si="59"/>
        <v>424.85934400000002</v>
      </c>
      <c r="BT111" s="386">
        <f t="shared" si="60"/>
        <v>0</v>
      </c>
      <c r="BU111" s="386">
        <f t="shared" si="61"/>
        <v>180.314784</v>
      </c>
      <c r="BV111" s="386">
        <f t="shared" si="62"/>
        <v>147.316</v>
      </c>
      <c r="BW111" s="386">
        <f t="shared" si="63"/>
        <v>0</v>
      </c>
      <c r="BX111" s="386">
        <f t="shared" si="78"/>
        <v>12296.171888000001</v>
      </c>
      <c r="BY111" s="386">
        <f t="shared" si="79"/>
        <v>0</v>
      </c>
      <c r="BZ111" s="386">
        <f t="shared" si="80"/>
        <v>0</v>
      </c>
      <c r="CA111" s="386">
        <f t="shared" si="81"/>
        <v>0</v>
      </c>
      <c r="CB111" s="386">
        <f t="shared" si="82"/>
        <v>0</v>
      </c>
      <c r="CC111" s="386">
        <f t="shared" si="64"/>
        <v>0</v>
      </c>
      <c r="CD111" s="386">
        <f t="shared" si="65"/>
        <v>0</v>
      </c>
      <c r="CE111" s="386">
        <f t="shared" si="66"/>
        <v>0</v>
      </c>
      <c r="CF111" s="386">
        <f t="shared" si="67"/>
        <v>-288.73935999999998</v>
      </c>
      <c r="CG111" s="386">
        <f t="shared" si="68"/>
        <v>0</v>
      </c>
      <c r="CH111" s="386">
        <f t="shared" si="69"/>
        <v>5.8926400000000152</v>
      </c>
      <c r="CI111" s="386">
        <f t="shared" si="70"/>
        <v>0</v>
      </c>
      <c r="CJ111" s="386">
        <f t="shared" si="83"/>
        <v>-282.84671999999995</v>
      </c>
      <c r="CK111" s="386" t="str">
        <f t="shared" si="84"/>
        <v/>
      </c>
      <c r="CL111" s="386" t="str">
        <f t="shared" si="85"/>
        <v/>
      </c>
      <c r="CM111" s="386" t="str">
        <f t="shared" si="86"/>
        <v/>
      </c>
      <c r="CN111" s="386" t="str">
        <f t="shared" si="87"/>
        <v>0001-00</v>
      </c>
    </row>
    <row r="112" spans="1:92" ht="15.75" thickBot="1" x14ac:dyDescent="0.3">
      <c r="A112" s="375" t="s">
        <v>161</v>
      </c>
      <c r="B112" s="375" t="s">
        <v>162</v>
      </c>
      <c r="C112" s="375" t="s">
        <v>610</v>
      </c>
      <c r="D112" s="375" t="s">
        <v>611</v>
      </c>
      <c r="E112" s="375" t="s">
        <v>165</v>
      </c>
      <c r="F112" s="376" t="s">
        <v>166</v>
      </c>
      <c r="G112" s="375" t="s">
        <v>549</v>
      </c>
      <c r="H112" s="377"/>
      <c r="I112" s="377"/>
      <c r="J112" s="375" t="s">
        <v>168</v>
      </c>
      <c r="K112" s="375" t="s">
        <v>612</v>
      </c>
      <c r="L112" s="375" t="s">
        <v>316</v>
      </c>
      <c r="M112" s="375" t="s">
        <v>177</v>
      </c>
      <c r="N112" s="375" t="s">
        <v>199</v>
      </c>
      <c r="O112" s="378">
        <v>1</v>
      </c>
      <c r="P112" s="384">
        <v>1</v>
      </c>
      <c r="Q112" s="384">
        <v>1</v>
      </c>
      <c r="R112" s="379">
        <v>80</v>
      </c>
      <c r="S112" s="384">
        <v>1</v>
      </c>
      <c r="T112" s="379">
        <v>75078.399999999994</v>
      </c>
      <c r="U112" s="379">
        <v>0</v>
      </c>
      <c r="V112" s="379">
        <v>27118.71</v>
      </c>
      <c r="W112" s="379">
        <v>80329.600000000006</v>
      </c>
      <c r="X112" s="379">
        <v>28797.919999999998</v>
      </c>
      <c r="Y112" s="379">
        <v>80329.600000000006</v>
      </c>
      <c r="Z112" s="379">
        <v>28412.34</v>
      </c>
      <c r="AA112" s="375" t="s">
        <v>613</v>
      </c>
      <c r="AB112" s="375" t="s">
        <v>614</v>
      </c>
      <c r="AC112" s="375" t="s">
        <v>615</v>
      </c>
      <c r="AD112" s="375" t="s">
        <v>233</v>
      </c>
      <c r="AE112" s="375" t="s">
        <v>612</v>
      </c>
      <c r="AF112" s="375" t="s">
        <v>374</v>
      </c>
      <c r="AG112" s="375" t="s">
        <v>183</v>
      </c>
      <c r="AH112" s="380">
        <v>38.619999999999997</v>
      </c>
      <c r="AI112" s="380">
        <v>25036.3</v>
      </c>
      <c r="AJ112" s="375" t="s">
        <v>184</v>
      </c>
      <c r="AK112" s="375" t="s">
        <v>185</v>
      </c>
      <c r="AL112" s="375" t="s">
        <v>173</v>
      </c>
      <c r="AM112" s="375" t="s">
        <v>186</v>
      </c>
      <c r="AN112" s="375" t="s">
        <v>68</v>
      </c>
      <c r="AO112" s="378">
        <v>80</v>
      </c>
      <c r="AP112" s="384">
        <v>1</v>
      </c>
      <c r="AQ112" s="384">
        <v>1</v>
      </c>
      <c r="AR112" s="383" t="s">
        <v>187</v>
      </c>
      <c r="AS112" s="386">
        <f t="shared" si="71"/>
        <v>1</v>
      </c>
      <c r="AT112">
        <f t="shared" si="72"/>
        <v>1</v>
      </c>
      <c r="AU112" s="386">
        <f>IF(AT112=0,"",IF(AND(AT112=1,M112="F",SUMIF(C2:C557,C112,AS2:AS557)&lt;=1),SUMIF(C2:C557,C112,AS2:AS557),IF(AND(AT112=1,M112="F",SUMIF(C2:C557,C112,AS2:AS557)&gt;1),1,"")))</f>
        <v>1</v>
      </c>
      <c r="AV112" s="386" t="str">
        <f>IF(AT112=0,"",IF(AND(AT112=3,M112="F",SUMIF(C2:C557,C112,AS2:AS557)&lt;=1),SUMIF(C2:C557,C112,AS2:AS557),IF(AND(AT112=3,M112="F",SUMIF(C2:C557,C112,AS2:AS557)&gt;1),1,"")))</f>
        <v/>
      </c>
      <c r="AW112" s="386">
        <f>SUMIF(C2:C557,C112,O2:O557)</f>
        <v>1</v>
      </c>
      <c r="AX112" s="386">
        <f>IF(AND(M112="F",AS112&lt;&gt;0),SUMIF(C2:C557,C112,W2:W557),0)</f>
        <v>80329.600000000006</v>
      </c>
      <c r="AY112" s="386">
        <f t="shared" si="73"/>
        <v>80329.600000000006</v>
      </c>
      <c r="AZ112" s="386" t="str">
        <f t="shared" si="74"/>
        <v/>
      </c>
      <c r="BA112" s="386">
        <f t="shared" si="75"/>
        <v>0</v>
      </c>
      <c r="BB112" s="386">
        <f t="shared" si="44"/>
        <v>11650</v>
      </c>
      <c r="BC112" s="386">
        <f t="shared" si="45"/>
        <v>0</v>
      </c>
      <c r="BD112" s="386">
        <f t="shared" si="46"/>
        <v>4980.4351999999999</v>
      </c>
      <c r="BE112" s="386">
        <f t="shared" si="47"/>
        <v>1164.7792000000002</v>
      </c>
      <c r="BF112" s="386">
        <f t="shared" si="48"/>
        <v>9591.3542400000006</v>
      </c>
      <c r="BG112" s="386">
        <f t="shared" si="49"/>
        <v>579.17641600000002</v>
      </c>
      <c r="BH112" s="386">
        <f t="shared" si="50"/>
        <v>393.61504000000002</v>
      </c>
      <c r="BI112" s="386">
        <f t="shared" si="51"/>
        <v>245.80857599999999</v>
      </c>
      <c r="BJ112" s="386">
        <f t="shared" si="52"/>
        <v>192.79104000000001</v>
      </c>
      <c r="BK112" s="386">
        <f t="shared" si="53"/>
        <v>0</v>
      </c>
      <c r="BL112" s="386">
        <f t="shared" si="76"/>
        <v>17147.959712</v>
      </c>
      <c r="BM112" s="386">
        <f t="shared" si="77"/>
        <v>0</v>
      </c>
      <c r="BN112" s="386">
        <f t="shared" si="54"/>
        <v>11650</v>
      </c>
      <c r="BO112" s="386">
        <f t="shared" si="55"/>
        <v>0</v>
      </c>
      <c r="BP112" s="386">
        <f t="shared" si="56"/>
        <v>4980.4351999999999</v>
      </c>
      <c r="BQ112" s="386">
        <f t="shared" si="57"/>
        <v>1164.7792000000002</v>
      </c>
      <c r="BR112" s="386">
        <f t="shared" si="58"/>
        <v>9591.3542400000006</v>
      </c>
      <c r="BS112" s="386">
        <f t="shared" si="59"/>
        <v>579.17641600000002</v>
      </c>
      <c r="BT112" s="386">
        <f t="shared" si="60"/>
        <v>0</v>
      </c>
      <c r="BU112" s="386">
        <f t="shared" si="61"/>
        <v>245.80857599999999</v>
      </c>
      <c r="BV112" s="386">
        <f t="shared" si="62"/>
        <v>200.82400000000001</v>
      </c>
      <c r="BW112" s="386">
        <f t="shared" si="63"/>
        <v>0</v>
      </c>
      <c r="BX112" s="386">
        <f t="shared" si="78"/>
        <v>16762.377632000003</v>
      </c>
      <c r="BY112" s="386">
        <f t="shared" si="79"/>
        <v>0</v>
      </c>
      <c r="BZ112" s="386">
        <f t="shared" si="80"/>
        <v>0</v>
      </c>
      <c r="CA112" s="386">
        <f t="shared" si="81"/>
        <v>0</v>
      </c>
      <c r="CB112" s="386">
        <f t="shared" si="82"/>
        <v>0</v>
      </c>
      <c r="CC112" s="386">
        <f t="shared" si="64"/>
        <v>0</v>
      </c>
      <c r="CD112" s="386">
        <f t="shared" si="65"/>
        <v>0</v>
      </c>
      <c r="CE112" s="386">
        <f t="shared" si="66"/>
        <v>0</v>
      </c>
      <c r="CF112" s="386">
        <f t="shared" si="67"/>
        <v>-393.61504000000002</v>
      </c>
      <c r="CG112" s="386">
        <f t="shared" si="68"/>
        <v>0</v>
      </c>
      <c r="CH112" s="386">
        <f t="shared" si="69"/>
        <v>8.0329600000000223</v>
      </c>
      <c r="CI112" s="386">
        <f t="shared" si="70"/>
        <v>0</v>
      </c>
      <c r="CJ112" s="386">
        <f t="shared" si="83"/>
        <v>-385.58208000000002</v>
      </c>
      <c r="CK112" s="386" t="str">
        <f t="shared" si="84"/>
        <v/>
      </c>
      <c r="CL112" s="386" t="str">
        <f t="shared" si="85"/>
        <v/>
      </c>
      <c r="CM112" s="386" t="str">
        <f t="shared" si="86"/>
        <v/>
      </c>
      <c r="CN112" s="386" t="str">
        <f t="shared" si="87"/>
        <v>0001-00</v>
      </c>
    </row>
    <row r="113" spans="1:92" ht="15.75" thickBot="1" x14ac:dyDescent="0.3">
      <c r="A113" s="375" t="s">
        <v>161</v>
      </c>
      <c r="B113" s="375" t="s">
        <v>162</v>
      </c>
      <c r="C113" s="375" t="s">
        <v>616</v>
      </c>
      <c r="D113" s="375" t="s">
        <v>617</v>
      </c>
      <c r="E113" s="375" t="s">
        <v>165</v>
      </c>
      <c r="F113" s="376" t="s">
        <v>166</v>
      </c>
      <c r="G113" s="375" t="s">
        <v>549</v>
      </c>
      <c r="H113" s="377"/>
      <c r="I113" s="377"/>
      <c r="J113" s="375" t="s">
        <v>168</v>
      </c>
      <c r="K113" s="375" t="s">
        <v>618</v>
      </c>
      <c r="L113" s="375" t="s">
        <v>173</v>
      </c>
      <c r="M113" s="375" t="s">
        <v>177</v>
      </c>
      <c r="N113" s="375" t="s">
        <v>199</v>
      </c>
      <c r="O113" s="378">
        <v>1</v>
      </c>
      <c r="P113" s="384">
        <v>1</v>
      </c>
      <c r="Q113" s="384">
        <v>1</v>
      </c>
      <c r="R113" s="379">
        <v>80</v>
      </c>
      <c r="S113" s="384">
        <v>1</v>
      </c>
      <c r="T113" s="379">
        <v>71129.600000000006</v>
      </c>
      <c r="U113" s="379">
        <v>0</v>
      </c>
      <c r="V113" s="379">
        <v>26077.99</v>
      </c>
      <c r="W113" s="379">
        <v>72924.800000000003</v>
      </c>
      <c r="X113" s="379">
        <v>27217.21</v>
      </c>
      <c r="Y113" s="379">
        <v>72924.800000000003</v>
      </c>
      <c r="Z113" s="379">
        <v>26867.18</v>
      </c>
      <c r="AA113" s="375" t="s">
        <v>619</v>
      </c>
      <c r="AB113" s="375" t="s">
        <v>620</v>
      </c>
      <c r="AC113" s="375" t="s">
        <v>621</v>
      </c>
      <c r="AD113" s="375" t="s">
        <v>220</v>
      </c>
      <c r="AE113" s="375" t="s">
        <v>618</v>
      </c>
      <c r="AF113" s="375" t="s">
        <v>305</v>
      </c>
      <c r="AG113" s="375" t="s">
        <v>183</v>
      </c>
      <c r="AH113" s="380">
        <v>35.06</v>
      </c>
      <c r="AI113" s="380">
        <v>35354.199999999997</v>
      </c>
      <c r="AJ113" s="375" t="s">
        <v>184</v>
      </c>
      <c r="AK113" s="375" t="s">
        <v>185</v>
      </c>
      <c r="AL113" s="375" t="s">
        <v>173</v>
      </c>
      <c r="AM113" s="375" t="s">
        <v>186</v>
      </c>
      <c r="AN113" s="375" t="s">
        <v>68</v>
      </c>
      <c r="AO113" s="378">
        <v>80</v>
      </c>
      <c r="AP113" s="384">
        <v>1</v>
      </c>
      <c r="AQ113" s="384">
        <v>1</v>
      </c>
      <c r="AR113" s="383" t="s">
        <v>187</v>
      </c>
      <c r="AS113" s="386">
        <f t="shared" si="71"/>
        <v>1</v>
      </c>
      <c r="AT113">
        <f t="shared" si="72"/>
        <v>1</v>
      </c>
      <c r="AU113" s="386">
        <f>IF(AT113=0,"",IF(AND(AT113=1,M113="F",SUMIF(C2:C557,C113,AS2:AS557)&lt;=1),SUMIF(C2:C557,C113,AS2:AS557),IF(AND(AT113=1,M113="F",SUMIF(C2:C557,C113,AS2:AS557)&gt;1),1,"")))</f>
        <v>1</v>
      </c>
      <c r="AV113" s="386" t="str">
        <f>IF(AT113=0,"",IF(AND(AT113=3,M113="F",SUMIF(C2:C557,C113,AS2:AS557)&lt;=1),SUMIF(C2:C557,C113,AS2:AS557),IF(AND(AT113=3,M113="F",SUMIF(C2:C557,C113,AS2:AS557)&gt;1),1,"")))</f>
        <v/>
      </c>
      <c r="AW113" s="386">
        <f>SUMIF(C2:C557,C113,O2:O557)</f>
        <v>1</v>
      </c>
      <c r="AX113" s="386">
        <f>IF(AND(M113="F",AS113&lt;&gt;0),SUMIF(C2:C557,C113,W2:W557),0)</f>
        <v>72924.800000000003</v>
      </c>
      <c r="AY113" s="386">
        <f t="shared" si="73"/>
        <v>72924.800000000003</v>
      </c>
      <c r="AZ113" s="386" t="str">
        <f t="shared" si="74"/>
        <v/>
      </c>
      <c r="BA113" s="386">
        <f t="shared" si="75"/>
        <v>0</v>
      </c>
      <c r="BB113" s="386">
        <f t="shared" si="44"/>
        <v>11650</v>
      </c>
      <c r="BC113" s="386">
        <f t="shared" si="45"/>
        <v>0</v>
      </c>
      <c r="BD113" s="386">
        <f t="shared" si="46"/>
        <v>4521.3375999999998</v>
      </c>
      <c r="BE113" s="386">
        <f t="shared" si="47"/>
        <v>1057.4096000000002</v>
      </c>
      <c r="BF113" s="386">
        <f t="shared" si="48"/>
        <v>8707.2211200000002</v>
      </c>
      <c r="BG113" s="386">
        <f t="shared" si="49"/>
        <v>525.78780800000004</v>
      </c>
      <c r="BH113" s="386">
        <f t="shared" si="50"/>
        <v>357.33152000000001</v>
      </c>
      <c r="BI113" s="386">
        <f t="shared" si="51"/>
        <v>223.149888</v>
      </c>
      <c r="BJ113" s="386">
        <f t="shared" si="52"/>
        <v>175.01952</v>
      </c>
      <c r="BK113" s="386">
        <f t="shared" si="53"/>
        <v>0</v>
      </c>
      <c r="BL113" s="386">
        <f t="shared" si="76"/>
        <v>15567.257056</v>
      </c>
      <c r="BM113" s="386">
        <f t="shared" si="77"/>
        <v>0</v>
      </c>
      <c r="BN113" s="386">
        <f t="shared" si="54"/>
        <v>11650</v>
      </c>
      <c r="BO113" s="386">
        <f t="shared" si="55"/>
        <v>0</v>
      </c>
      <c r="BP113" s="386">
        <f t="shared" si="56"/>
        <v>4521.3375999999998</v>
      </c>
      <c r="BQ113" s="386">
        <f t="shared" si="57"/>
        <v>1057.4096000000002</v>
      </c>
      <c r="BR113" s="386">
        <f t="shared" si="58"/>
        <v>8707.2211200000002</v>
      </c>
      <c r="BS113" s="386">
        <f t="shared" si="59"/>
        <v>525.78780800000004</v>
      </c>
      <c r="BT113" s="386">
        <f t="shared" si="60"/>
        <v>0</v>
      </c>
      <c r="BU113" s="386">
        <f t="shared" si="61"/>
        <v>223.149888</v>
      </c>
      <c r="BV113" s="386">
        <f t="shared" si="62"/>
        <v>182.31200000000001</v>
      </c>
      <c r="BW113" s="386">
        <f t="shared" si="63"/>
        <v>0</v>
      </c>
      <c r="BX113" s="386">
        <f t="shared" si="78"/>
        <v>15217.218016000001</v>
      </c>
      <c r="BY113" s="386">
        <f t="shared" si="79"/>
        <v>0</v>
      </c>
      <c r="BZ113" s="386">
        <f t="shared" si="80"/>
        <v>0</v>
      </c>
      <c r="CA113" s="386">
        <f t="shared" si="81"/>
        <v>0</v>
      </c>
      <c r="CB113" s="386">
        <f t="shared" si="82"/>
        <v>0</v>
      </c>
      <c r="CC113" s="386">
        <f t="shared" si="64"/>
        <v>0</v>
      </c>
      <c r="CD113" s="386">
        <f t="shared" si="65"/>
        <v>0</v>
      </c>
      <c r="CE113" s="386">
        <f t="shared" si="66"/>
        <v>0</v>
      </c>
      <c r="CF113" s="386">
        <f t="shared" si="67"/>
        <v>-357.33152000000001</v>
      </c>
      <c r="CG113" s="386">
        <f t="shared" si="68"/>
        <v>0</v>
      </c>
      <c r="CH113" s="386">
        <f t="shared" si="69"/>
        <v>7.2924800000000198</v>
      </c>
      <c r="CI113" s="386">
        <f t="shared" si="70"/>
        <v>0</v>
      </c>
      <c r="CJ113" s="386">
        <f t="shared" si="83"/>
        <v>-350.03904</v>
      </c>
      <c r="CK113" s="386" t="str">
        <f t="shared" si="84"/>
        <v/>
      </c>
      <c r="CL113" s="386" t="str">
        <f t="shared" si="85"/>
        <v/>
      </c>
      <c r="CM113" s="386" t="str">
        <f t="shared" si="86"/>
        <v/>
      </c>
      <c r="CN113" s="386" t="str">
        <f t="shared" si="87"/>
        <v>0001-00</v>
      </c>
    </row>
    <row r="114" spans="1:92" ht="15.75" thickBot="1" x14ac:dyDescent="0.3">
      <c r="A114" s="375" t="s">
        <v>161</v>
      </c>
      <c r="B114" s="375" t="s">
        <v>162</v>
      </c>
      <c r="C114" s="375" t="s">
        <v>622</v>
      </c>
      <c r="D114" s="375" t="s">
        <v>561</v>
      </c>
      <c r="E114" s="375" t="s">
        <v>165</v>
      </c>
      <c r="F114" s="376" t="s">
        <v>166</v>
      </c>
      <c r="G114" s="375" t="s">
        <v>549</v>
      </c>
      <c r="H114" s="377"/>
      <c r="I114" s="377"/>
      <c r="J114" s="375" t="s">
        <v>168</v>
      </c>
      <c r="K114" s="375" t="s">
        <v>562</v>
      </c>
      <c r="L114" s="375" t="s">
        <v>170</v>
      </c>
      <c r="M114" s="375" t="s">
        <v>177</v>
      </c>
      <c r="N114" s="375" t="s">
        <v>199</v>
      </c>
      <c r="O114" s="378">
        <v>1</v>
      </c>
      <c r="P114" s="384">
        <v>1</v>
      </c>
      <c r="Q114" s="384">
        <v>1</v>
      </c>
      <c r="R114" s="379">
        <v>80</v>
      </c>
      <c r="S114" s="384">
        <v>1</v>
      </c>
      <c r="T114" s="379">
        <v>47146.879999999997</v>
      </c>
      <c r="U114" s="379">
        <v>0</v>
      </c>
      <c r="V114" s="379">
        <v>21339.75</v>
      </c>
      <c r="W114" s="379">
        <v>50668.800000000003</v>
      </c>
      <c r="X114" s="379">
        <v>22466.23</v>
      </c>
      <c r="Y114" s="379">
        <v>50668.800000000003</v>
      </c>
      <c r="Z114" s="379">
        <v>22223.03</v>
      </c>
      <c r="AA114" s="375" t="s">
        <v>623</v>
      </c>
      <c r="AB114" s="375" t="s">
        <v>624</v>
      </c>
      <c r="AC114" s="375" t="s">
        <v>625</v>
      </c>
      <c r="AD114" s="375" t="s">
        <v>366</v>
      </c>
      <c r="AE114" s="375" t="s">
        <v>562</v>
      </c>
      <c r="AF114" s="375" t="s">
        <v>269</v>
      </c>
      <c r="AG114" s="375" t="s">
        <v>183</v>
      </c>
      <c r="AH114" s="380">
        <v>24.36</v>
      </c>
      <c r="AI114" s="378">
        <v>4240</v>
      </c>
      <c r="AJ114" s="375" t="s">
        <v>184</v>
      </c>
      <c r="AK114" s="375" t="s">
        <v>185</v>
      </c>
      <c r="AL114" s="375" t="s">
        <v>173</v>
      </c>
      <c r="AM114" s="375" t="s">
        <v>186</v>
      </c>
      <c r="AN114" s="375" t="s">
        <v>68</v>
      </c>
      <c r="AO114" s="378">
        <v>80</v>
      </c>
      <c r="AP114" s="384">
        <v>1</v>
      </c>
      <c r="AQ114" s="384">
        <v>1</v>
      </c>
      <c r="AR114" s="383" t="s">
        <v>187</v>
      </c>
      <c r="AS114" s="386">
        <f t="shared" si="71"/>
        <v>1</v>
      </c>
      <c r="AT114">
        <f t="shared" si="72"/>
        <v>1</v>
      </c>
      <c r="AU114" s="386">
        <f>IF(AT114=0,"",IF(AND(AT114=1,M114="F",SUMIF(C2:C557,C114,AS2:AS557)&lt;=1),SUMIF(C2:C557,C114,AS2:AS557),IF(AND(AT114=1,M114="F",SUMIF(C2:C557,C114,AS2:AS557)&gt;1),1,"")))</f>
        <v>1</v>
      </c>
      <c r="AV114" s="386" t="str">
        <f>IF(AT114=0,"",IF(AND(AT114=3,M114="F",SUMIF(C2:C557,C114,AS2:AS557)&lt;=1),SUMIF(C2:C557,C114,AS2:AS557),IF(AND(AT114=3,M114="F",SUMIF(C2:C557,C114,AS2:AS557)&gt;1),1,"")))</f>
        <v/>
      </c>
      <c r="AW114" s="386">
        <f>SUMIF(C2:C557,C114,O2:O557)</f>
        <v>1</v>
      </c>
      <c r="AX114" s="386">
        <f>IF(AND(M114="F",AS114&lt;&gt;0),SUMIF(C2:C557,C114,W2:W557),0)</f>
        <v>50668.800000000003</v>
      </c>
      <c r="AY114" s="386">
        <f t="shared" si="73"/>
        <v>50668.800000000003</v>
      </c>
      <c r="AZ114" s="386" t="str">
        <f t="shared" si="74"/>
        <v/>
      </c>
      <c r="BA114" s="386">
        <f t="shared" si="75"/>
        <v>0</v>
      </c>
      <c r="BB114" s="386">
        <f t="shared" si="44"/>
        <v>11650</v>
      </c>
      <c r="BC114" s="386">
        <f t="shared" si="45"/>
        <v>0</v>
      </c>
      <c r="BD114" s="386">
        <f t="shared" si="46"/>
        <v>3141.4656</v>
      </c>
      <c r="BE114" s="386">
        <f t="shared" si="47"/>
        <v>734.69760000000008</v>
      </c>
      <c r="BF114" s="386">
        <f t="shared" si="48"/>
        <v>6049.8547200000003</v>
      </c>
      <c r="BG114" s="386">
        <f t="shared" si="49"/>
        <v>365.32204800000005</v>
      </c>
      <c r="BH114" s="386">
        <f t="shared" si="50"/>
        <v>248.27712</v>
      </c>
      <c r="BI114" s="386">
        <f t="shared" si="51"/>
        <v>155.046528</v>
      </c>
      <c r="BJ114" s="386">
        <f t="shared" si="52"/>
        <v>121.60512</v>
      </c>
      <c r="BK114" s="386">
        <f t="shared" si="53"/>
        <v>0</v>
      </c>
      <c r="BL114" s="386">
        <f t="shared" si="76"/>
        <v>10816.268736000002</v>
      </c>
      <c r="BM114" s="386">
        <f t="shared" si="77"/>
        <v>0</v>
      </c>
      <c r="BN114" s="386">
        <f t="shared" si="54"/>
        <v>11650</v>
      </c>
      <c r="BO114" s="386">
        <f t="shared" si="55"/>
        <v>0</v>
      </c>
      <c r="BP114" s="386">
        <f t="shared" si="56"/>
        <v>3141.4656</v>
      </c>
      <c r="BQ114" s="386">
        <f t="shared" si="57"/>
        <v>734.69760000000008</v>
      </c>
      <c r="BR114" s="386">
        <f t="shared" si="58"/>
        <v>6049.8547200000003</v>
      </c>
      <c r="BS114" s="386">
        <f t="shared" si="59"/>
        <v>365.32204800000005</v>
      </c>
      <c r="BT114" s="386">
        <f t="shared" si="60"/>
        <v>0</v>
      </c>
      <c r="BU114" s="386">
        <f t="shared" si="61"/>
        <v>155.046528</v>
      </c>
      <c r="BV114" s="386">
        <f t="shared" si="62"/>
        <v>126.67200000000001</v>
      </c>
      <c r="BW114" s="386">
        <f t="shared" si="63"/>
        <v>0</v>
      </c>
      <c r="BX114" s="386">
        <f t="shared" si="78"/>
        <v>10573.058496000001</v>
      </c>
      <c r="BY114" s="386">
        <f t="shared" si="79"/>
        <v>0</v>
      </c>
      <c r="BZ114" s="386">
        <f t="shared" si="80"/>
        <v>0</v>
      </c>
      <c r="CA114" s="386">
        <f t="shared" si="81"/>
        <v>0</v>
      </c>
      <c r="CB114" s="386">
        <f t="shared" si="82"/>
        <v>0</v>
      </c>
      <c r="CC114" s="386">
        <f t="shared" si="64"/>
        <v>0</v>
      </c>
      <c r="CD114" s="386">
        <f t="shared" si="65"/>
        <v>0</v>
      </c>
      <c r="CE114" s="386">
        <f t="shared" si="66"/>
        <v>0</v>
      </c>
      <c r="CF114" s="386">
        <f t="shared" si="67"/>
        <v>-248.27712</v>
      </c>
      <c r="CG114" s="386">
        <f t="shared" si="68"/>
        <v>0</v>
      </c>
      <c r="CH114" s="386">
        <f t="shared" si="69"/>
        <v>5.0668800000000136</v>
      </c>
      <c r="CI114" s="386">
        <f t="shared" si="70"/>
        <v>0</v>
      </c>
      <c r="CJ114" s="386">
        <f t="shared" si="83"/>
        <v>-243.21023999999997</v>
      </c>
      <c r="CK114" s="386" t="str">
        <f t="shared" si="84"/>
        <v/>
      </c>
      <c r="CL114" s="386" t="str">
        <f t="shared" si="85"/>
        <v/>
      </c>
      <c r="CM114" s="386" t="str">
        <f t="shared" si="86"/>
        <v/>
      </c>
      <c r="CN114" s="386" t="str">
        <f t="shared" si="87"/>
        <v>0001-00</v>
      </c>
    </row>
    <row r="115" spans="1:92" ht="15.75" thickBot="1" x14ac:dyDescent="0.3">
      <c r="A115" s="375" t="s">
        <v>161</v>
      </c>
      <c r="B115" s="375" t="s">
        <v>162</v>
      </c>
      <c r="C115" s="375" t="s">
        <v>626</v>
      </c>
      <c r="D115" s="375" t="s">
        <v>548</v>
      </c>
      <c r="E115" s="375" t="s">
        <v>165</v>
      </c>
      <c r="F115" s="376" t="s">
        <v>166</v>
      </c>
      <c r="G115" s="375" t="s">
        <v>549</v>
      </c>
      <c r="H115" s="377"/>
      <c r="I115" s="377"/>
      <c r="J115" s="375" t="s">
        <v>168</v>
      </c>
      <c r="K115" s="375" t="s">
        <v>550</v>
      </c>
      <c r="L115" s="375" t="s">
        <v>198</v>
      </c>
      <c r="M115" s="375" t="s">
        <v>171</v>
      </c>
      <c r="N115" s="375" t="s">
        <v>199</v>
      </c>
      <c r="O115" s="378">
        <v>0</v>
      </c>
      <c r="P115" s="384">
        <v>1</v>
      </c>
      <c r="Q115" s="384">
        <v>1</v>
      </c>
      <c r="R115" s="379">
        <v>80</v>
      </c>
      <c r="S115" s="384">
        <v>1</v>
      </c>
      <c r="T115" s="379">
        <v>36654.370000000003</v>
      </c>
      <c r="U115" s="379">
        <v>0</v>
      </c>
      <c r="V115" s="379">
        <v>17864.650000000001</v>
      </c>
      <c r="W115" s="379">
        <v>47403.199999999997</v>
      </c>
      <c r="X115" s="379">
        <v>20762.599999999999</v>
      </c>
      <c r="Y115" s="379">
        <v>47403.199999999997</v>
      </c>
      <c r="Z115" s="379">
        <v>20525.580000000002</v>
      </c>
      <c r="AA115" s="377"/>
      <c r="AB115" s="375" t="s">
        <v>45</v>
      </c>
      <c r="AC115" s="375" t="s">
        <v>45</v>
      </c>
      <c r="AD115" s="377"/>
      <c r="AE115" s="377"/>
      <c r="AF115" s="377"/>
      <c r="AG115" s="377"/>
      <c r="AH115" s="378">
        <v>0</v>
      </c>
      <c r="AI115" s="378">
        <v>0</v>
      </c>
      <c r="AJ115" s="377"/>
      <c r="AK115" s="377"/>
      <c r="AL115" s="375" t="s">
        <v>173</v>
      </c>
      <c r="AM115" s="377"/>
      <c r="AN115" s="377"/>
      <c r="AO115" s="378">
        <v>0</v>
      </c>
      <c r="AP115" s="384">
        <v>0</v>
      </c>
      <c r="AQ115" s="384">
        <v>0</v>
      </c>
      <c r="AR115" s="382"/>
      <c r="AS115" s="386">
        <f t="shared" si="71"/>
        <v>0</v>
      </c>
      <c r="AT115">
        <f t="shared" si="72"/>
        <v>0</v>
      </c>
      <c r="AU115" s="386" t="str">
        <f>IF(AT115=0,"",IF(AND(AT115=1,M115="F",SUMIF(C2:C557,C115,AS2:AS557)&lt;=1),SUMIF(C2:C557,C115,AS2:AS557),IF(AND(AT115=1,M115="F",SUMIF(C2:C557,C115,AS2:AS557)&gt;1),1,"")))</f>
        <v/>
      </c>
      <c r="AV115" s="386" t="str">
        <f>IF(AT115=0,"",IF(AND(AT115=3,M115="F",SUMIF(C2:C557,C115,AS2:AS557)&lt;=1),SUMIF(C2:C557,C115,AS2:AS557),IF(AND(AT115=3,M115="F",SUMIF(C2:C557,C115,AS2:AS557)&gt;1),1,"")))</f>
        <v/>
      </c>
      <c r="AW115" s="386">
        <f>SUMIF(C2:C557,C115,O2:O557)</f>
        <v>0</v>
      </c>
      <c r="AX115" s="386">
        <f>IF(AND(M115="F",AS115&lt;&gt;0),SUMIF(C2:C557,C115,W2:W557),0)</f>
        <v>0</v>
      </c>
      <c r="AY115" s="386" t="str">
        <f t="shared" si="73"/>
        <v/>
      </c>
      <c r="AZ115" s="386" t="str">
        <f t="shared" si="74"/>
        <v/>
      </c>
      <c r="BA115" s="386">
        <f t="shared" si="75"/>
        <v>0</v>
      </c>
      <c r="BB115" s="386">
        <f t="shared" si="44"/>
        <v>0</v>
      </c>
      <c r="BC115" s="386">
        <f t="shared" si="45"/>
        <v>0</v>
      </c>
      <c r="BD115" s="386">
        <f t="shared" si="46"/>
        <v>0</v>
      </c>
      <c r="BE115" s="386">
        <f t="shared" si="47"/>
        <v>0</v>
      </c>
      <c r="BF115" s="386">
        <f t="shared" si="48"/>
        <v>0</v>
      </c>
      <c r="BG115" s="386">
        <f t="shared" si="49"/>
        <v>0</v>
      </c>
      <c r="BH115" s="386">
        <f t="shared" si="50"/>
        <v>0</v>
      </c>
      <c r="BI115" s="386">
        <f t="shared" si="51"/>
        <v>0</v>
      </c>
      <c r="BJ115" s="386">
        <f t="shared" si="52"/>
        <v>0</v>
      </c>
      <c r="BK115" s="386">
        <f t="shared" si="53"/>
        <v>0</v>
      </c>
      <c r="BL115" s="386">
        <f t="shared" si="76"/>
        <v>0</v>
      </c>
      <c r="BM115" s="386">
        <f t="shared" si="77"/>
        <v>0</v>
      </c>
      <c r="BN115" s="386">
        <f t="shared" si="54"/>
        <v>0</v>
      </c>
      <c r="BO115" s="386">
        <f t="shared" si="55"/>
        <v>0</v>
      </c>
      <c r="BP115" s="386">
        <f t="shared" si="56"/>
        <v>0</v>
      </c>
      <c r="BQ115" s="386">
        <f t="shared" si="57"/>
        <v>0</v>
      </c>
      <c r="BR115" s="386">
        <f t="shared" si="58"/>
        <v>0</v>
      </c>
      <c r="BS115" s="386">
        <f t="shared" si="59"/>
        <v>0</v>
      </c>
      <c r="BT115" s="386">
        <f t="shared" si="60"/>
        <v>0</v>
      </c>
      <c r="BU115" s="386">
        <f t="shared" si="61"/>
        <v>0</v>
      </c>
      <c r="BV115" s="386">
        <f t="shared" si="62"/>
        <v>0</v>
      </c>
      <c r="BW115" s="386">
        <f t="shared" si="63"/>
        <v>0</v>
      </c>
      <c r="BX115" s="386">
        <f t="shared" si="78"/>
        <v>0</v>
      </c>
      <c r="BY115" s="386">
        <f t="shared" si="79"/>
        <v>0</v>
      </c>
      <c r="BZ115" s="386">
        <f t="shared" si="80"/>
        <v>0</v>
      </c>
      <c r="CA115" s="386">
        <f t="shared" si="81"/>
        <v>0</v>
      </c>
      <c r="CB115" s="386">
        <f t="shared" si="82"/>
        <v>0</v>
      </c>
      <c r="CC115" s="386">
        <f t="shared" si="64"/>
        <v>0</v>
      </c>
      <c r="CD115" s="386">
        <f t="shared" si="65"/>
        <v>0</v>
      </c>
      <c r="CE115" s="386">
        <f t="shared" si="66"/>
        <v>0</v>
      </c>
      <c r="CF115" s="386">
        <f t="shared" si="67"/>
        <v>0</v>
      </c>
      <c r="CG115" s="386">
        <f t="shared" si="68"/>
        <v>0</v>
      </c>
      <c r="CH115" s="386">
        <f t="shared" si="69"/>
        <v>0</v>
      </c>
      <c r="CI115" s="386">
        <f t="shared" si="70"/>
        <v>0</v>
      </c>
      <c r="CJ115" s="386">
        <f t="shared" si="83"/>
        <v>0</v>
      </c>
      <c r="CK115" s="386" t="str">
        <f t="shared" si="84"/>
        <v/>
      </c>
      <c r="CL115" s="386" t="str">
        <f t="shared" si="85"/>
        <v/>
      </c>
      <c r="CM115" s="386" t="str">
        <f t="shared" si="86"/>
        <v/>
      </c>
      <c r="CN115" s="386" t="str">
        <f t="shared" si="87"/>
        <v>0001-00</v>
      </c>
    </row>
    <row r="116" spans="1:92" ht="15.75" thickBot="1" x14ac:dyDescent="0.3">
      <c r="A116" s="375" t="s">
        <v>161</v>
      </c>
      <c r="B116" s="375" t="s">
        <v>162</v>
      </c>
      <c r="C116" s="375" t="s">
        <v>627</v>
      </c>
      <c r="D116" s="375" t="s">
        <v>628</v>
      </c>
      <c r="E116" s="375" t="s">
        <v>165</v>
      </c>
      <c r="F116" s="376" t="s">
        <v>166</v>
      </c>
      <c r="G116" s="375" t="s">
        <v>549</v>
      </c>
      <c r="H116" s="377"/>
      <c r="I116" s="377"/>
      <c r="J116" s="375" t="s">
        <v>168</v>
      </c>
      <c r="K116" s="375" t="s">
        <v>629</v>
      </c>
      <c r="L116" s="375" t="s">
        <v>173</v>
      </c>
      <c r="M116" s="375" t="s">
        <v>177</v>
      </c>
      <c r="N116" s="375" t="s">
        <v>199</v>
      </c>
      <c r="O116" s="378">
        <v>1</v>
      </c>
      <c r="P116" s="384">
        <v>1</v>
      </c>
      <c r="Q116" s="384">
        <v>1</v>
      </c>
      <c r="R116" s="379">
        <v>80</v>
      </c>
      <c r="S116" s="384">
        <v>1</v>
      </c>
      <c r="T116" s="379">
        <v>83222.399999999994</v>
      </c>
      <c r="U116" s="379">
        <v>0</v>
      </c>
      <c r="V116" s="379">
        <v>28561</v>
      </c>
      <c r="W116" s="379">
        <v>86091.199999999997</v>
      </c>
      <c r="X116" s="379">
        <v>30027.84</v>
      </c>
      <c r="Y116" s="379">
        <v>86091.199999999997</v>
      </c>
      <c r="Z116" s="379">
        <v>29614.61</v>
      </c>
      <c r="AA116" s="375" t="s">
        <v>630</v>
      </c>
      <c r="AB116" s="375" t="s">
        <v>631</v>
      </c>
      <c r="AC116" s="375" t="s">
        <v>170</v>
      </c>
      <c r="AD116" s="375" t="s">
        <v>361</v>
      </c>
      <c r="AE116" s="375" t="s">
        <v>629</v>
      </c>
      <c r="AF116" s="375" t="s">
        <v>305</v>
      </c>
      <c r="AG116" s="375" t="s">
        <v>183</v>
      </c>
      <c r="AH116" s="380">
        <v>41.39</v>
      </c>
      <c r="AI116" s="380">
        <v>78736.5</v>
      </c>
      <c r="AJ116" s="375" t="s">
        <v>184</v>
      </c>
      <c r="AK116" s="375" t="s">
        <v>185</v>
      </c>
      <c r="AL116" s="375" t="s">
        <v>173</v>
      </c>
      <c r="AM116" s="375" t="s">
        <v>186</v>
      </c>
      <c r="AN116" s="375" t="s">
        <v>68</v>
      </c>
      <c r="AO116" s="378">
        <v>80</v>
      </c>
      <c r="AP116" s="384">
        <v>1</v>
      </c>
      <c r="AQ116" s="384">
        <v>1</v>
      </c>
      <c r="AR116" s="383" t="s">
        <v>187</v>
      </c>
      <c r="AS116" s="386">
        <f t="shared" si="71"/>
        <v>1</v>
      </c>
      <c r="AT116">
        <f t="shared" si="72"/>
        <v>1</v>
      </c>
      <c r="AU116" s="386">
        <f>IF(AT116=0,"",IF(AND(AT116=1,M116="F",SUMIF(C2:C557,C116,AS2:AS557)&lt;=1),SUMIF(C2:C557,C116,AS2:AS557),IF(AND(AT116=1,M116="F",SUMIF(C2:C557,C116,AS2:AS557)&gt;1),1,"")))</f>
        <v>1</v>
      </c>
      <c r="AV116" s="386" t="str">
        <f>IF(AT116=0,"",IF(AND(AT116=3,M116="F",SUMIF(C2:C557,C116,AS2:AS557)&lt;=1),SUMIF(C2:C557,C116,AS2:AS557),IF(AND(AT116=3,M116="F",SUMIF(C2:C557,C116,AS2:AS557)&gt;1),1,"")))</f>
        <v/>
      </c>
      <c r="AW116" s="386">
        <f>SUMIF(C2:C557,C116,O2:O557)</f>
        <v>1</v>
      </c>
      <c r="AX116" s="386">
        <f>IF(AND(M116="F",AS116&lt;&gt;0),SUMIF(C2:C557,C116,W2:W557),0)</f>
        <v>86091.199999999997</v>
      </c>
      <c r="AY116" s="386">
        <f t="shared" si="73"/>
        <v>86091.199999999997</v>
      </c>
      <c r="AZ116" s="386" t="str">
        <f t="shared" si="74"/>
        <v/>
      </c>
      <c r="BA116" s="386">
        <f t="shared" si="75"/>
        <v>0</v>
      </c>
      <c r="BB116" s="386">
        <f t="shared" si="44"/>
        <v>11650</v>
      </c>
      <c r="BC116" s="386">
        <f t="shared" si="45"/>
        <v>0</v>
      </c>
      <c r="BD116" s="386">
        <f t="shared" si="46"/>
        <v>5337.6543999999994</v>
      </c>
      <c r="BE116" s="386">
        <f t="shared" si="47"/>
        <v>1248.3224</v>
      </c>
      <c r="BF116" s="386">
        <f t="shared" si="48"/>
        <v>10279.289280000001</v>
      </c>
      <c r="BG116" s="386">
        <f t="shared" si="49"/>
        <v>620.71755199999996</v>
      </c>
      <c r="BH116" s="386">
        <f t="shared" si="50"/>
        <v>421.84688</v>
      </c>
      <c r="BI116" s="386">
        <f t="shared" si="51"/>
        <v>263.43907199999995</v>
      </c>
      <c r="BJ116" s="386">
        <f t="shared" si="52"/>
        <v>206.61887999999996</v>
      </c>
      <c r="BK116" s="386">
        <f t="shared" si="53"/>
        <v>0</v>
      </c>
      <c r="BL116" s="386">
        <f t="shared" si="76"/>
        <v>18377.888464</v>
      </c>
      <c r="BM116" s="386">
        <f t="shared" si="77"/>
        <v>0</v>
      </c>
      <c r="BN116" s="386">
        <f t="shared" si="54"/>
        <v>11650</v>
      </c>
      <c r="BO116" s="386">
        <f t="shared" si="55"/>
        <v>0</v>
      </c>
      <c r="BP116" s="386">
        <f t="shared" si="56"/>
        <v>5337.6543999999994</v>
      </c>
      <c r="BQ116" s="386">
        <f t="shared" si="57"/>
        <v>1248.3224</v>
      </c>
      <c r="BR116" s="386">
        <f t="shared" si="58"/>
        <v>10279.289280000001</v>
      </c>
      <c r="BS116" s="386">
        <f t="shared" si="59"/>
        <v>620.71755199999996</v>
      </c>
      <c r="BT116" s="386">
        <f t="shared" si="60"/>
        <v>0</v>
      </c>
      <c r="BU116" s="386">
        <f t="shared" si="61"/>
        <v>263.43907199999995</v>
      </c>
      <c r="BV116" s="386">
        <f t="shared" si="62"/>
        <v>215.22800000000001</v>
      </c>
      <c r="BW116" s="386">
        <f t="shared" si="63"/>
        <v>0</v>
      </c>
      <c r="BX116" s="386">
        <f t="shared" si="78"/>
        <v>17964.650704</v>
      </c>
      <c r="BY116" s="386">
        <f t="shared" si="79"/>
        <v>0</v>
      </c>
      <c r="BZ116" s="386">
        <f t="shared" si="80"/>
        <v>0</v>
      </c>
      <c r="CA116" s="386">
        <f t="shared" si="81"/>
        <v>0</v>
      </c>
      <c r="CB116" s="386">
        <f t="shared" si="82"/>
        <v>0</v>
      </c>
      <c r="CC116" s="386">
        <f t="shared" si="64"/>
        <v>0</v>
      </c>
      <c r="CD116" s="386">
        <f t="shared" si="65"/>
        <v>0</v>
      </c>
      <c r="CE116" s="386">
        <f t="shared" si="66"/>
        <v>0</v>
      </c>
      <c r="CF116" s="386">
        <f t="shared" si="67"/>
        <v>-421.84688</v>
      </c>
      <c r="CG116" s="386">
        <f t="shared" si="68"/>
        <v>0</v>
      </c>
      <c r="CH116" s="386">
        <f t="shared" si="69"/>
        <v>8.6091200000000221</v>
      </c>
      <c r="CI116" s="386">
        <f t="shared" si="70"/>
        <v>0</v>
      </c>
      <c r="CJ116" s="386">
        <f t="shared" si="83"/>
        <v>-413.23775999999998</v>
      </c>
      <c r="CK116" s="386" t="str">
        <f t="shared" si="84"/>
        <v/>
      </c>
      <c r="CL116" s="386" t="str">
        <f t="shared" si="85"/>
        <v/>
      </c>
      <c r="CM116" s="386" t="str">
        <f t="shared" si="86"/>
        <v/>
      </c>
      <c r="CN116" s="386" t="str">
        <f t="shared" si="87"/>
        <v>0001-00</v>
      </c>
    </row>
    <row r="117" spans="1:92" ht="15.75" thickBot="1" x14ac:dyDescent="0.3">
      <c r="A117" s="375" t="s">
        <v>161</v>
      </c>
      <c r="B117" s="375" t="s">
        <v>162</v>
      </c>
      <c r="C117" s="375" t="s">
        <v>632</v>
      </c>
      <c r="D117" s="375" t="s">
        <v>617</v>
      </c>
      <c r="E117" s="375" t="s">
        <v>165</v>
      </c>
      <c r="F117" s="376" t="s">
        <v>166</v>
      </c>
      <c r="G117" s="375" t="s">
        <v>549</v>
      </c>
      <c r="H117" s="377"/>
      <c r="I117" s="377"/>
      <c r="J117" s="375" t="s">
        <v>168</v>
      </c>
      <c r="K117" s="375" t="s">
        <v>618</v>
      </c>
      <c r="L117" s="375" t="s">
        <v>173</v>
      </c>
      <c r="M117" s="375" t="s">
        <v>177</v>
      </c>
      <c r="N117" s="375" t="s">
        <v>199</v>
      </c>
      <c r="O117" s="378">
        <v>1</v>
      </c>
      <c r="P117" s="384">
        <v>1</v>
      </c>
      <c r="Q117" s="384">
        <v>1</v>
      </c>
      <c r="R117" s="379">
        <v>80</v>
      </c>
      <c r="S117" s="384">
        <v>1</v>
      </c>
      <c r="T117" s="379">
        <v>62323.24</v>
      </c>
      <c r="U117" s="379">
        <v>0</v>
      </c>
      <c r="V117" s="379">
        <v>24509.72</v>
      </c>
      <c r="W117" s="379">
        <v>66040</v>
      </c>
      <c r="X117" s="379">
        <v>25747.53</v>
      </c>
      <c r="Y117" s="379">
        <v>66040</v>
      </c>
      <c r="Z117" s="379">
        <v>25430.55</v>
      </c>
      <c r="AA117" s="375" t="s">
        <v>633</v>
      </c>
      <c r="AB117" s="375" t="s">
        <v>634</v>
      </c>
      <c r="AC117" s="375" t="s">
        <v>635</v>
      </c>
      <c r="AD117" s="375" t="s">
        <v>214</v>
      </c>
      <c r="AE117" s="375" t="s">
        <v>618</v>
      </c>
      <c r="AF117" s="375" t="s">
        <v>305</v>
      </c>
      <c r="AG117" s="375" t="s">
        <v>183</v>
      </c>
      <c r="AH117" s="380">
        <v>31.75</v>
      </c>
      <c r="AI117" s="380">
        <v>19914.2</v>
      </c>
      <c r="AJ117" s="375" t="s">
        <v>184</v>
      </c>
      <c r="AK117" s="375" t="s">
        <v>185</v>
      </c>
      <c r="AL117" s="375" t="s">
        <v>173</v>
      </c>
      <c r="AM117" s="375" t="s">
        <v>186</v>
      </c>
      <c r="AN117" s="375" t="s">
        <v>68</v>
      </c>
      <c r="AO117" s="378">
        <v>80</v>
      </c>
      <c r="AP117" s="384">
        <v>1</v>
      </c>
      <c r="AQ117" s="384">
        <v>1</v>
      </c>
      <c r="AR117" s="383" t="s">
        <v>187</v>
      </c>
      <c r="AS117" s="386">
        <f t="shared" si="71"/>
        <v>1</v>
      </c>
      <c r="AT117">
        <f t="shared" si="72"/>
        <v>1</v>
      </c>
      <c r="AU117" s="386">
        <f>IF(AT117=0,"",IF(AND(AT117=1,M117="F",SUMIF(C2:C557,C117,AS2:AS557)&lt;=1),SUMIF(C2:C557,C117,AS2:AS557),IF(AND(AT117=1,M117="F",SUMIF(C2:C557,C117,AS2:AS557)&gt;1),1,"")))</f>
        <v>1</v>
      </c>
      <c r="AV117" s="386" t="str">
        <f>IF(AT117=0,"",IF(AND(AT117=3,M117="F",SUMIF(C2:C557,C117,AS2:AS557)&lt;=1),SUMIF(C2:C557,C117,AS2:AS557),IF(AND(AT117=3,M117="F",SUMIF(C2:C557,C117,AS2:AS557)&gt;1),1,"")))</f>
        <v/>
      </c>
      <c r="AW117" s="386">
        <f>SUMIF(C2:C557,C117,O2:O557)</f>
        <v>1</v>
      </c>
      <c r="AX117" s="386">
        <f>IF(AND(M117="F",AS117&lt;&gt;0),SUMIF(C2:C557,C117,W2:W557),0)</f>
        <v>66040</v>
      </c>
      <c r="AY117" s="386">
        <f t="shared" si="73"/>
        <v>66040</v>
      </c>
      <c r="AZ117" s="386" t="str">
        <f t="shared" si="74"/>
        <v/>
      </c>
      <c r="BA117" s="386">
        <f t="shared" si="75"/>
        <v>0</v>
      </c>
      <c r="BB117" s="386">
        <f t="shared" si="44"/>
        <v>11650</v>
      </c>
      <c r="BC117" s="386">
        <f t="shared" si="45"/>
        <v>0</v>
      </c>
      <c r="BD117" s="386">
        <f t="shared" si="46"/>
        <v>4094.48</v>
      </c>
      <c r="BE117" s="386">
        <f t="shared" si="47"/>
        <v>957.58</v>
      </c>
      <c r="BF117" s="386">
        <f t="shared" si="48"/>
        <v>7885.1760000000004</v>
      </c>
      <c r="BG117" s="386">
        <f t="shared" si="49"/>
        <v>476.14840000000004</v>
      </c>
      <c r="BH117" s="386">
        <f t="shared" si="50"/>
        <v>323.596</v>
      </c>
      <c r="BI117" s="386">
        <f t="shared" si="51"/>
        <v>202.08239999999998</v>
      </c>
      <c r="BJ117" s="386">
        <f t="shared" si="52"/>
        <v>158.49599999999998</v>
      </c>
      <c r="BK117" s="386">
        <f t="shared" si="53"/>
        <v>0</v>
      </c>
      <c r="BL117" s="386">
        <f t="shared" si="76"/>
        <v>14097.558799999999</v>
      </c>
      <c r="BM117" s="386">
        <f t="shared" si="77"/>
        <v>0</v>
      </c>
      <c r="BN117" s="386">
        <f t="shared" si="54"/>
        <v>11650</v>
      </c>
      <c r="BO117" s="386">
        <f t="shared" si="55"/>
        <v>0</v>
      </c>
      <c r="BP117" s="386">
        <f t="shared" si="56"/>
        <v>4094.48</v>
      </c>
      <c r="BQ117" s="386">
        <f t="shared" si="57"/>
        <v>957.58</v>
      </c>
      <c r="BR117" s="386">
        <f t="shared" si="58"/>
        <v>7885.1760000000004</v>
      </c>
      <c r="BS117" s="386">
        <f t="shared" si="59"/>
        <v>476.14840000000004</v>
      </c>
      <c r="BT117" s="386">
        <f t="shared" si="60"/>
        <v>0</v>
      </c>
      <c r="BU117" s="386">
        <f t="shared" si="61"/>
        <v>202.08239999999998</v>
      </c>
      <c r="BV117" s="386">
        <f t="shared" si="62"/>
        <v>165.1</v>
      </c>
      <c r="BW117" s="386">
        <f t="shared" si="63"/>
        <v>0</v>
      </c>
      <c r="BX117" s="386">
        <f t="shared" si="78"/>
        <v>13780.566800000001</v>
      </c>
      <c r="BY117" s="386">
        <f t="shared" si="79"/>
        <v>0</v>
      </c>
      <c r="BZ117" s="386">
        <f t="shared" si="80"/>
        <v>0</v>
      </c>
      <c r="CA117" s="386">
        <f t="shared" si="81"/>
        <v>0</v>
      </c>
      <c r="CB117" s="386">
        <f t="shared" si="82"/>
        <v>0</v>
      </c>
      <c r="CC117" s="386">
        <f t="shared" si="64"/>
        <v>0</v>
      </c>
      <c r="CD117" s="386">
        <f t="shared" si="65"/>
        <v>0</v>
      </c>
      <c r="CE117" s="386">
        <f t="shared" si="66"/>
        <v>0</v>
      </c>
      <c r="CF117" s="386">
        <f t="shared" si="67"/>
        <v>-323.596</v>
      </c>
      <c r="CG117" s="386">
        <f t="shared" si="68"/>
        <v>0</v>
      </c>
      <c r="CH117" s="386">
        <f t="shared" si="69"/>
        <v>6.604000000000017</v>
      </c>
      <c r="CI117" s="386">
        <f t="shared" si="70"/>
        <v>0</v>
      </c>
      <c r="CJ117" s="386">
        <f t="shared" si="83"/>
        <v>-316.99199999999996</v>
      </c>
      <c r="CK117" s="386" t="str">
        <f t="shared" si="84"/>
        <v/>
      </c>
      <c r="CL117" s="386" t="str">
        <f t="shared" si="85"/>
        <v/>
      </c>
      <c r="CM117" s="386" t="str">
        <f t="shared" si="86"/>
        <v/>
      </c>
      <c r="CN117" s="386" t="str">
        <f t="shared" si="87"/>
        <v>0001-00</v>
      </c>
    </row>
    <row r="118" spans="1:92" ht="15.75" thickBot="1" x14ac:dyDescent="0.3">
      <c r="A118" s="375" t="s">
        <v>161</v>
      </c>
      <c r="B118" s="375" t="s">
        <v>162</v>
      </c>
      <c r="C118" s="375" t="s">
        <v>636</v>
      </c>
      <c r="D118" s="375" t="s">
        <v>561</v>
      </c>
      <c r="E118" s="375" t="s">
        <v>165</v>
      </c>
      <c r="F118" s="376" t="s">
        <v>166</v>
      </c>
      <c r="G118" s="375" t="s">
        <v>549</v>
      </c>
      <c r="H118" s="377"/>
      <c r="I118" s="377"/>
      <c r="J118" s="375" t="s">
        <v>168</v>
      </c>
      <c r="K118" s="375" t="s">
        <v>562</v>
      </c>
      <c r="L118" s="375" t="s">
        <v>170</v>
      </c>
      <c r="M118" s="375" t="s">
        <v>177</v>
      </c>
      <c r="N118" s="375" t="s">
        <v>199</v>
      </c>
      <c r="O118" s="378">
        <v>1</v>
      </c>
      <c r="P118" s="384">
        <v>1</v>
      </c>
      <c r="Q118" s="384">
        <v>1</v>
      </c>
      <c r="R118" s="379">
        <v>80</v>
      </c>
      <c r="S118" s="384">
        <v>1</v>
      </c>
      <c r="T118" s="379">
        <v>47258.89</v>
      </c>
      <c r="U118" s="379">
        <v>0</v>
      </c>
      <c r="V118" s="379">
        <v>20935.150000000001</v>
      </c>
      <c r="W118" s="379">
        <v>51396.800000000003</v>
      </c>
      <c r="X118" s="379">
        <v>22621.65</v>
      </c>
      <c r="Y118" s="379">
        <v>51396.800000000003</v>
      </c>
      <c r="Z118" s="379">
        <v>22374.95</v>
      </c>
      <c r="AA118" s="375" t="s">
        <v>637</v>
      </c>
      <c r="AB118" s="375" t="s">
        <v>638</v>
      </c>
      <c r="AC118" s="375" t="s">
        <v>351</v>
      </c>
      <c r="AD118" s="375" t="s">
        <v>195</v>
      </c>
      <c r="AE118" s="375" t="s">
        <v>562</v>
      </c>
      <c r="AF118" s="375" t="s">
        <v>269</v>
      </c>
      <c r="AG118" s="375" t="s">
        <v>183</v>
      </c>
      <c r="AH118" s="380">
        <v>24.71</v>
      </c>
      <c r="AI118" s="378">
        <v>5765</v>
      </c>
      <c r="AJ118" s="375" t="s">
        <v>184</v>
      </c>
      <c r="AK118" s="375" t="s">
        <v>185</v>
      </c>
      <c r="AL118" s="375" t="s">
        <v>173</v>
      </c>
      <c r="AM118" s="375" t="s">
        <v>186</v>
      </c>
      <c r="AN118" s="375" t="s">
        <v>68</v>
      </c>
      <c r="AO118" s="378">
        <v>80</v>
      </c>
      <c r="AP118" s="384">
        <v>1</v>
      </c>
      <c r="AQ118" s="384">
        <v>1</v>
      </c>
      <c r="AR118" s="383" t="s">
        <v>187</v>
      </c>
      <c r="AS118" s="386">
        <f t="shared" si="71"/>
        <v>1</v>
      </c>
      <c r="AT118">
        <f t="shared" si="72"/>
        <v>1</v>
      </c>
      <c r="AU118" s="386">
        <f>IF(AT118=0,"",IF(AND(AT118=1,M118="F",SUMIF(C2:C557,C118,AS2:AS557)&lt;=1),SUMIF(C2:C557,C118,AS2:AS557),IF(AND(AT118=1,M118="F",SUMIF(C2:C557,C118,AS2:AS557)&gt;1),1,"")))</f>
        <v>1</v>
      </c>
      <c r="AV118" s="386" t="str">
        <f>IF(AT118=0,"",IF(AND(AT118=3,M118="F",SUMIF(C2:C557,C118,AS2:AS557)&lt;=1),SUMIF(C2:C557,C118,AS2:AS557),IF(AND(AT118=3,M118="F",SUMIF(C2:C557,C118,AS2:AS557)&gt;1),1,"")))</f>
        <v/>
      </c>
      <c r="AW118" s="386">
        <f>SUMIF(C2:C557,C118,O2:O557)</f>
        <v>1</v>
      </c>
      <c r="AX118" s="386">
        <f>IF(AND(M118="F",AS118&lt;&gt;0),SUMIF(C2:C557,C118,W2:W557),0)</f>
        <v>51396.800000000003</v>
      </c>
      <c r="AY118" s="386">
        <f t="shared" si="73"/>
        <v>51396.800000000003</v>
      </c>
      <c r="AZ118" s="386" t="str">
        <f t="shared" si="74"/>
        <v/>
      </c>
      <c r="BA118" s="386">
        <f t="shared" si="75"/>
        <v>0</v>
      </c>
      <c r="BB118" s="386">
        <f t="shared" si="44"/>
        <v>11650</v>
      </c>
      <c r="BC118" s="386">
        <f t="shared" si="45"/>
        <v>0</v>
      </c>
      <c r="BD118" s="386">
        <f t="shared" si="46"/>
        <v>3186.6016</v>
      </c>
      <c r="BE118" s="386">
        <f t="shared" si="47"/>
        <v>745.25360000000012</v>
      </c>
      <c r="BF118" s="386">
        <f t="shared" si="48"/>
        <v>6136.7779200000004</v>
      </c>
      <c r="BG118" s="386">
        <f t="shared" si="49"/>
        <v>370.57092800000004</v>
      </c>
      <c r="BH118" s="386">
        <f t="shared" si="50"/>
        <v>251.84432000000001</v>
      </c>
      <c r="BI118" s="386">
        <f t="shared" si="51"/>
        <v>157.27420799999999</v>
      </c>
      <c r="BJ118" s="386">
        <f t="shared" si="52"/>
        <v>123.35231999999999</v>
      </c>
      <c r="BK118" s="386">
        <f t="shared" si="53"/>
        <v>0</v>
      </c>
      <c r="BL118" s="386">
        <f t="shared" si="76"/>
        <v>10971.674896</v>
      </c>
      <c r="BM118" s="386">
        <f t="shared" si="77"/>
        <v>0</v>
      </c>
      <c r="BN118" s="386">
        <f t="shared" si="54"/>
        <v>11650</v>
      </c>
      <c r="BO118" s="386">
        <f t="shared" si="55"/>
        <v>0</v>
      </c>
      <c r="BP118" s="386">
        <f t="shared" si="56"/>
        <v>3186.6016</v>
      </c>
      <c r="BQ118" s="386">
        <f t="shared" si="57"/>
        <v>745.25360000000012</v>
      </c>
      <c r="BR118" s="386">
        <f t="shared" si="58"/>
        <v>6136.7779200000004</v>
      </c>
      <c r="BS118" s="386">
        <f t="shared" si="59"/>
        <v>370.57092800000004</v>
      </c>
      <c r="BT118" s="386">
        <f t="shared" si="60"/>
        <v>0</v>
      </c>
      <c r="BU118" s="386">
        <f t="shared" si="61"/>
        <v>157.27420799999999</v>
      </c>
      <c r="BV118" s="386">
        <f t="shared" si="62"/>
        <v>128.49200000000002</v>
      </c>
      <c r="BW118" s="386">
        <f t="shared" si="63"/>
        <v>0</v>
      </c>
      <c r="BX118" s="386">
        <f t="shared" si="78"/>
        <v>10724.970256000001</v>
      </c>
      <c r="BY118" s="386">
        <f t="shared" si="79"/>
        <v>0</v>
      </c>
      <c r="BZ118" s="386">
        <f t="shared" si="80"/>
        <v>0</v>
      </c>
      <c r="CA118" s="386">
        <f t="shared" si="81"/>
        <v>0</v>
      </c>
      <c r="CB118" s="386">
        <f t="shared" si="82"/>
        <v>0</v>
      </c>
      <c r="CC118" s="386">
        <f t="shared" si="64"/>
        <v>0</v>
      </c>
      <c r="CD118" s="386">
        <f t="shared" si="65"/>
        <v>0</v>
      </c>
      <c r="CE118" s="386">
        <f t="shared" si="66"/>
        <v>0</v>
      </c>
      <c r="CF118" s="386">
        <f t="shared" si="67"/>
        <v>-251.84432000000001</v>
      </c>
      <c r="CG118" s="386">
        <f t="shared" si="68"/>
        <v>0</v>
      </c>
      <c r="CH118" s="386">
        <f t="shared" si="69"/>
        <v>5.1396800000000136</v>
      </c>
      <c r="CI118" s="386">
        <f t="shared" si="70"/>
        <v>0</v>
      </c>
      <c r="CJ118" s="386">
        <f t="shared" si="83"/>
        <v>-246.70463999999998</v>
      </c>
      <c r="CK118" s="386" t="str">
        <f t="shared" si="84"/>
        <v/>
      </c>
      <c r="CL118" s="386" t="str">
        <f t="shared" si="85"/>
        <v/>
      </c>
      <c r="CM118" s="386" t="str">
        <f t="shared" si="86"/>
        <v/>
      </c>
      <c r="CN118" s="386" t="str">
        <f t="shared" si="87"/>
        <v>0001-00</v>
      </c>
    </row>
    <row r="119" spans="1:92" ht="15.75" thickBot="1" x14ac:dyDescent="0.3">
      <c r="A119" s="375" t="s">
        <v>161</v>
      </c>
      <c r="B119" s="375" t="s">
        <v>162</v>
      </c>
      <c r="C119" s="375" t="s">
        <v>639</v>
      </c>
      <c r="D119" s="375" t="s">
        <v>561</v>
      </c>
      <c r="E119" s="375" t="s">
        <v>165</v>
      </c>
      <c r="F119" s="376" t="s">
        <v>166</v>
      </c>
      <c r="G119" s="375" t="s">
        <v>549</v>
      </c>
      <c r="H119" s="377"/>
      <c r="I119" s="377"/>
      <c r="J119" s="375" t="s">
        <v>168</v>
      </c>
      <c r="K119" s="375" t="s">
        <v>562</v>
      </c>
      <c r="L119" s="375" t="s">
        <v>170</v>
      </c>
      <c r="M119" s="375" t="s">
        <v>171</v>
      </c>
      <c r="N119" s="375" t="s">
        <v>199</v>
      </c>
      <c r="O119" s="378">
        <v>0</v>
      </c>
      <c r="P119" s="384">
        <v>1</v>
      </c>
      <c r="Q119" s="384">
        <v>1</v>
      </c>
      <c r="R119" s="379">
        <v>80</v>
      </c>
      <c r="S119" s="384">
        <v>1</v>
      </c>
      <c r="T119" s="379">
        <v>41781.72</v>
      </c>
      <c r="U119" s="379">
        <v>0</v>
      </c>
      <c r="V119" s="379">
        <v>19070.7</v>
      </c>
      <c r="W119" s="379">
        <v>53476.800000000003</v>
      </c>
      <c r="X119" s="379">
        <v>23422.83</v>
      </c>
      <c r="Y119" s="379">
        <v>53476.800000000003</v>
      </c>
      <c r="Z119" s="379">
        <v>23155.45</v>
      </c>
      <c r="AA119" s="377"/>
      <c r="AB119" s="375" t="s">
        <v>45</v>
      </c>
      <c r="AC119" s="375" t="s">
        <v>45</v>
      </c>
      <c r="AD119" s="377"/>
      <c r="AE119" s="377"/>
      <c r="AF119" s="377"/>
      <c r="AG119" s="377"/>
      <c r="AH119" s="378">
        <v>0</v>
      </c>
      <c r="AI119" s="378">
        <v>0</v>
      </c>
      <c r="AJ119" s="377"/>
      <c r="AK119" s="377"/>
      <c r="AL119" s="375" t="s">
        <v>173</v>
      </c>
      <c r="AM119" s="377"/>
      <c r="AN119" s="377"/>
      <c r="AO119" s="378">
        <v>0</v>
      </c>
      <c r="AP119" s="384">
        <v>0</v>
      </c>
      <c r="AQ119" s="384">
        <v>0</v>
      </c>
      <c r="AR119" s="382"/>
      <c r="AS119" s="386">
        <f t="shared" si="71"/>
        <v>0</v>
      </c>
      <c r="AT119">
        <f t="shared" si="72"/>
        <v>0</v>
      </c>
      <c r="AU119" s="386" t="str">
        <f>IF(AT119=0,"",IF(AND(AT119=1,M119="F",SUMIF(C2:C557,C119,AS2:AS557)&lt;=1),SUMIF(C2:C557,C119,AS2:AS557),IF(AND(AT119=1,M119="F",SUMIF(C2:C557,C119,AS2:AS557)&gt;1),1,"")))</f>
        <v/>
      </c>
      <c r="AV119" s="386" t="str">
        <f>IF(AT119=0,"",IF(AND(AT119=3,M119="F",SUMIF(C2:C557,C119,AS2:AS557)&lt;=1),SUMIF(C2:C557,C119,AS2:AS557),IF(AND(AT119=3,M119="F",SUMIF(C2:C557,C119,AS2:AS557)&gt;1),1,"")))</f>
        <v/>
      </c>
      <c r="AW119" s="386">
        <f>SUMIF(C2:C557,C119,O2:O557)</f>
        <v>0</v>
      </c>
      <c r="AX119" s="386">
        <f>IF(AND(M119="F",AS119&lt;&gt;0),SUMIF(C2:C557,C119,W2:W557),0)</f>
        <v>0</v>
      </c>
      <c r="AY119" s="386" t="str">
        <f t="shared" si="73"/>
        <v/>
      </c>
      <c r="AZ119" s="386" t="str">
        <f t="shared" si="74"/>
        <v/>
      </c>
      <c r="BA119" s="386">
        <f t="shared" si="75"/>
        <v>0</v>
      </c>
      <c r="BB119" s="386">
        <f t="shared" si="44"/>
        <v>0</v>
      </c>
      <c r="BC119" s="386">
        <f t="shared" si="45"/>
        <v>0</v>
      </c>
      <c r="BD119" s="386">
        <f t="shared" si="46"/>
        <v>0</v>
      </c>
      <c r="BE119" s="386">
        <f t="shared" si="47"/>
        <v>0</v>
      </c>
      <c r="BF119" s="386">
        <f t="shared" si="48"/>
        <v>0</v>
      </c>
      <c r="BG119" s="386">
        <f t="shared" si="49"/>
        <v>0</v>
      </c>
      <c r="BH119" s="386">
        <f t="shared" si="50"/>
        <v>0</v>
      </c>
      <c r="BI119" s="386">
        <f t="shared" si="51"/>
        <v>0</v>
      </c>
      <c r="BJ119" s="386">
        <f t="shared" si="52"/>
        <v>0</v>
      </c>
      <c r="BK119" s="386">
        <f t="shared" si="53"/>
        <v>0</v>
      </c>
      <c r="BL119" s="386">
        <f t="shared" si="76"/>
        <v>0</v>
      </c>
      <c r="BM119" s="386">
        <f t="shared" si="77"/>
        <v>0</v>
      </c>
      <c r="BN119" s="386">
        <f t="shared" si="54"/>
        <v>0</v>
      </c>
      <c r="BO119" s="386">
        <f t="shared" si="55"/>
        <v>0</v>
      </c>
      <c r="BP119" s="386">
        <f t="shared" si="56"/>
        <v>0</v>
      </c>
      <c r="BQ119" s="386">
        <f t="shared" si="57"/>
        <v>0</v>
      </c>
      <c r="BR119" s="386">
        <f t="shared" si="58"/>
        <v>0</v>
      </c>
      <c r="BS119" s="386">
        <f t="shared" si="59"/>
        <v>0</v>
      </c>
      <c r="BT119" s="386">
        <f t="shared" si="60"/>
        <v>0</v>
      </c>
      <c r="BU119" s="386">
        <f t="shared" si="61"/>
        <v>0</v>
      </c>
      <c r="BV119" s="386">
        <f t="shared" si="62"/>
        <v>0</v>
      </c>
      <c r="BW119" s="386">
        <f t="shared" si="63"/>
        <v>0</v>
      </c>
      <c r="BX119" s="386">
        <f t="shared" si="78"/>
        <v>0</v>
      </c>
      <c r="BY119" s="386">
        <f t="shared" si="79"/>
        <v>0</v>
      </c>
      <c r="BZ119" s="386">
        <f t="shared" si="80"/>
        <v>0</v>
      </c>
      <c r="CA119" s="386">
        <f t="shared" si="81"/>
        <v>0</v>
      </c>
      <c r="CB119" s="386">
        <f t="shared" si="82"/>
        <v>0</v>
      </c>
      <c r="CC119" s="386">
        <f t="shared" si="64"/>
        <v>0</v>
      </c>
      <c r="CD119" s="386">
        <f t="shared" si="65"/>
        <v>0</v>
      </c>
      <c r="CE119" s="386">
        <f t="shared" si="66"/>
        <v>0</v>
      </c>
      <c r="CF119" s="386">
        <f t="shared" si="67"/>
        <v>0</v>
      </c>
      <c r="CG119" s="386">
        <f t="shared" si="68"/>
        <v>0</v>
      </c>
      <c r="CH119" s="386">
        <f t="shared" si="69"/>
        <v>0</v>
      </c>
      <c r="CI119" s="386">
        <f t="shared" si="70"/>
        <v>0</v>
      </c>
      <c r="CJ119" s="386">
        <f t="shared" si="83"/>
        <v>0</v>
      </c>
      <c r="CK119" s="386" t="str">
        <f t="shared" si="84"/>
        <v/>
      </c>
      <c r="CL119" s="386" t="str">
        <f t="shared" si="85"/>
        <v/>
      </c>
      <c r="CM119" s="386" t="str">
        <f t="shared" si="86"/>
        <v/>
      </c>
      <c r="CN119" s="386" t="str">
        <f t="shared" si="87"/>
        <v>0001-00</v>
      </c>
    </row>
    <row r="120" spans="1:92" ht="15.75" thickBot="1" x14ac:dyDescent="0.3">
      <c r="A120" s="375" t="s">
        <v>161</v>
      </c>
      <c r="B120" s="375" t="s">
        <v>162</v>
      </c>
      <c r="C120" s="375" t="s">
        <v>640</v>
      </c>
      <c r="D120" s="375" t="s">
        <v>555</v>
      </c>
      <c r="E120" s="375" t="s">
        <v>165</v>
      </c>
      <c r="F120" s="376" t="s">
        <v>166</v>
      </c>
      <c r="G120" s="375" t="s">
        <v>549</v>
      </c>
      <c r="H120" s="377"/>
      <c r="I120" s="377"/>
      <c r="J120" s="375" t="s">
        <v>168</v>
      </c>
      <c r="K120" s="375" t="s">
        <v>556</v>
      </c>
      <c r="L120" s="375" t="s">
        <v>220</v>
      </c>
      <c r="M120" s="375" t="s">
        <v>177</v>
      </c>
      <c r="N120" s="375" t="s">
        <v>199</v>
      </c>
      <c r="O120" s="378">
        <v>1</v>
      </c>
      <c r="P120" s="384">
        <v>1</v>
      </c>
      <c r="Q120" s="384">
        <v>1</v>
      </c>
      <c r="R120" s="379">
        <v>80</v>
      </c>
      <c r="S120" s="384">
        <v>1</v>
      </c>
      <c r="T120" s="379">
        <v>55412.32</v>
      </c>
      <c r="U120" s="379">
        <v>0</v>
      </c>
      <c r="V120" s="379">
        <v>22946.61</v>
      </c>
      <c r="W120" s="379">
        <v>61526.400000000001</v>
      </c>
      <c r="X120" s="379">
        <v>24784.01</v>
      </c>
      <c r="Y120" s="379">
        <v>61526.400000000001</v>
      </c>
      <c r="Z120" s="379">
        <v>24488.69</v>
      </c>
      <c r="AA120" s="375" t="s">
        <v>641</v>
      </c>
      <c r="AB120" s="375" t="s">
        <v>642</v>
      </c>
      <c r="AC120" s="375" t="s">
        <v>643</v>
      </c>
      <c r="AD120" s="375" t="s">
        <v>181</v>
      </c>
      <c r="AE120" s="375" t="s">
        <v>556</v>
      </c>
      <c r="AF120" s="375" t="s">
        <v>252</v>
      </c>
      <c r="AG120" s="375" t="s">
        <v>183</v>
      </c>
      <c r="AH120" s="380">
        <v>29.58</v>
      </c>
      <c r="AI120" s="380">
        <v>12480.2</v>
      </c>
      <c r="AJ120" s="375" t="s">
        <v>184</v>
      </c>
      <c r="AK120" s="375" t="s">
        <v>185</v>
      </c>
      <c r="AL120" s="375" t="s">
        <v>173</v>
      </c>
      <c r="AM120" s="375" t="s">
        <v>186</v>
      </c>
      <c r="AN120" s="375" t="s">
        <v>68</v>
      </c>
      <c r="AO120" s="378">
        <v>80</v>
      </c>
      <c r="AP120" s="384">
        <v>1</v>
      </c>
      <c r="AQ120" s="384">
        <v>1</v>
      </c>
      <c r="AR120" s="383" t="s">
        <v>187</v>
      </c>
      <c r="AS120" s="386">
        <f t="shared" si="71"/>
        <v>1</v>
      </c>
      <c r="AT120">
        <f t="shared" si="72"/>
        <v>1</v>
      </c>
      <c r="AU120" s="386">
        <f>IF(AT120=0,"",IF(AND(AT120=1,M120="F",SUMIF(C2:C557,C120,AS2:AS557)&lt;=1),SUMIF(C2:C557,C120,AS2:AS557),IF(AND(AT120=1,M120="F",SUMIF(C2:C557,C120,AS2:AS557)&gt;1),1,"")))</f>
        <v>1</v>
      </c>
      <c r="AV120" s="386" t="str">
        <f>IF(AT120=0,"",IF(AND(AT120=3,M120="F",SUMIF(C2:C557,C120,AS2:AS557)&lt;=1),SUMIF(C2:C557,C120,AS2:AS557),IF(AND(AT120=3,M120="F",SUMIF(C2:C557,C120,AS2:AS557)&gt;1),1,"")))</f>
        <v/>
      </c>
      <c r="AW120" s="386">
        <f>SUMIF(C2:C557,C120,O2:O557)</f>
        <v>1</v>
      </c>
      <c r="AX120" s="386">
        <f>IF(AND(M120="F",AS120&lt;&gt;0),SUMIF(C2:C557,C120,W2:W557),0)</f>
        <v>61526.400000000001</v>
      </c>
      <c r="AY120" s="386">
        <f t="shared" si="73"/>
        <v>61526.400000000001</v>
      </c>
      <c r="AZ120" s="386" t="str">
        <f t="shared" si="74"/>
        <v/>
      </c>
      <c r="BA120" s="386">
        <f t="shared" si="75"/>
        <v>0</v>
      </c>
      <c r="BB120" s="386">
        <f t="shared" si="44"/>
        <v>11650</v>
      </c>
      <c r="BC120" s="386">
        <f t="shared" si="45"/>
        <v>0</v>
      </c>
      <c r="BD120" s="386">
        <f t="shared" si="46"/>
        <v>3814.6368000000002</v>
      </c>
      <c r="BE120" s="386">
        <f t="shared" si="47"/>
        <v>892.13280000000009</v>
      </c>
      <c r="BF120" s="386">
        <f t="shared" si="48"/>
        <v>7346.2521600000009</v>
      </c>
      <c r="BG120" s="386">
        <f t="shared" si="49"/>
        <v>443.605344</v>
      </c>
      <c r="BH120" s="386">
        <f t="shared" si="50"/>
        <v>301.47935999999999</v>
      </c>
      <c r="BI120" s="386">
        <f t="shared" si="51"/>
        <v>188.27078399999999</v>
      </c>
      <c r="BJ120" s="386">
        <f t="shared" si="52"/>
        <v>147.66335999999998</v>
      </c>
      <c r="BK120" s="386">
        <f t="shared" si="53"/>
        <v>0</v>
      </c>
      <c r="BL120" s="386">
        <f t="shared" si="76"/>
        <v>13134.040608000001</v>
      </c>
      <c r="BM120" s="386">
        <f t="shared" si="77"/>
        <v>0</v>
      </c>
      <c r="BN120" s="386">
        <f t="shared" si="54"/>
        <v>11650</v>
      </c>
      <c r="BO120" s="386">
        <f t="shared" si="55"/>
        <v>0</v>
      </c>
      <c r="BP120" s="386">
        <f t="shared" si="56"/>
        <v>3814.6368000000002</v>
      </c>
      <c r="BQ120" s="386">
        <f t="shared" si="57"/>
        <v>892.13280000000009</v>
      </c>
      <c r="BR120" s="386">
        <f t="shared" si="58"/>
        <v>7346.2521600000009</v>
      </c>
      <c r="BS120" s="386">
        <f t="shared" si="59"/>
        <v>443.605344</v>
      </c>
      <c r="BT120" s="386">
        <f t="shared" si="60"/>
        <v>0</v>
      </c>
      <c r="BU120" s="386">
        <f t="shared" si="61"/>
        <v>188.27078399999999</v>
      </c>
      <c r="BV120" s="386">
        <f t="shared" si="62"/>
        <v>153.816</v>
      </c>
      <c r="BW120" s="386">
        <f t="shared" si="63"/>
        <v>0</v>
      </c>
      <c r="BX120" s="386">
        <f t="shared" si="78"/>
        <v>12838.713888000002</v>
      </c>
      <c r="BY120" s="386">
        <f t="shared" si="79"/>
        <v>0</v>
      </c>
      <c r="BZ120" s="386">
        <f t="shared" si="80"/>
        <v>0</v>
      </c>
      <c r="CA120" s="386">
        <f t="shared" si="81"/>
        <v>0</v>
      </c>
      <c r="CB120" s="386">
        <f t="shared" si="82"/>
        <v>0</v>
      </c>
      <c r="CC120" s="386">
        <f t="shared" si="64"/>
        <v>0</v>
      </c>
      <c r="CD120" s="386">
        <f t="shared" si="65"/>
        <v>0</v>
      </c>
      <c r="CE120" s="386">
        <f t="shared" si="66"/>
        <v>0</v>
      </c>
      <c r="CF120" s="386">
        <f t="shared" si="67"/>
        <v>-301.47935999999999</v>
      </c>
      <c r="CG120" s="386">
        <f t="shared" si="68"/>
        <v>0</v>
      </c>
      <c r="CH120" s="386">
        <f t="shared" si="69"/>
        <v>6.1526400000000159</v>
      </c>
      <c r="CI120" s="386">
        <f t="shared" si="70"/>
        <v>0</v>
      </c>
      <c r="CJ120" s="386">
        <f t="shared" si="83"/>
        <v>-295.32671999999997</v>
      </c>
      <c r="CK120" s="386" t="str">
        <f t="shared" si="84"/>
        <v/>
      </c>
      <c r="CL120" s="386" t="str">
        <f t="shared" si="85"/>
        <v/>
      </c>
      <c r="CM120" s="386" t="str">
        <f t="shared" si="86"/>
        <v/>
      </c>
      <c r="CN120" s="386" t="str">
        <f t="shared" si="87"/>
        <v>0001-00</v>
      </c>
    </row>
    <row r="121" spans="1:92" ht="15.75" thickBot="1" x14ac:dyDescent="0.3">
      <c r="A121" s="375" t="s">
        <v>161</v>
      </c>
      <c r="B121" s="375" t="s">
        <v>162</v>
      </c>
      <c r="C121" s="375" t="s">
        <v>644</v>
      </c>
      <c r="D121" s="375" t="s">
        <v>561</v>
      </c>
      <c r="E121" s="375" t="s">
        <v>165</v>
      </c>
      <c r="F121" s="376" t="s">
        <v>166</v>
      </c>
      <c r="G121" s="375" t="s">
        <v>549</v>
      </c>
      <c r="H121" s="377"/>
      <c r="I121" s="377"/>
      <c r="J121" s="375" t="s">
        <v>168</v>
      </c>
      <c r="K121" s="375" t="s">
        <v>562</v>
      </c>
      <c r="L121" s="375" t="s">
        <v>170</v>
      </c>
      <c r="M121" s="375" t="s">
        <v>177</v>
      </c>
      <c r="N121" s="375" t="s">
        <v>199</v>
      </c>
      <c r="O121" s="378">
        <v>1</v>
      </c>
      <c r="P121" s="384">
        <v>1</v>
      </c>
      <c r="Q121" s="384">
        <v>1</v>
      </c>
      <c r="R121" s="379">
        <v>80</v>
      </c>
      <c r="S121" s="384">
        <v>1</v>
      </c>
      <c r="T121" s="379">
        <v>49877.440000000002</v>
      </c>
      <c r="U121" s="379">
        <v>0</v>
      </c>
      <c r="V121" s="379">
        <v>21684.99</v>
      </c>
      <c r="W121" s="379">
        <v>52769.599999999999</v>
      </c>
      <c r="X121" s="379">
        <v>22914.69</v>
      </c>
      <c r="Y121" s="379">
        <v>52769.599999999999</v>
      </c>
      <c r="Z121" s="379">
        <v>22661.4</v>
      </c>
      <c r="AA121" s="375" t="s">
        <v>645</v>
      </c>
      <c r="AB121" s="375" t="s">
        <v>646</v>
      </c>
      <c r="AC121" s="375" t="s">
        <v>257</v>
      </c>
      <c r="AD121" s="375" t="s">
        <v>647</v>
      </c>
      <c r="AE121" s="375" t="s">
        <v>562</v>
      </c>
      <c r="AF121" s="375" t="s">
        <v>269</v>
      </c>
      <c r="AG121" s="375" t="s">
        <v>183</v>
      </c>
      <c r="AH121" s="380">
        <v>25.37</v>
      </c>
      <c r="AI121" s="380">
        <v>14429.4</v>
      </c>
      <c r="AJ121" s="375" t="s">
        <v>184</v>
      </c>
      <c r="AK121" s="375" t="s">
        <v>185</v>
      </c>
      <c r="AL121" s="375" t="s">
        <v>173</v>
      </c>
      <c r="AM121" s="375" t="s">
        <v>186</v>
      </c>
      <c r="AN121" s="375" t="s">
        <v>68</v>
      </c>
      <c r="AO121" s="378">
        <v>80</v>
      </c>
      <c r="AP121" s="384">
        <v>1</v>
      </c>
      <c r="AQ121" s="384">
        <v>1</v>
      </c>
      <c r="AR121" s="383" t="s">
        <v>187</v>
      </c>
      <c r="AS121" s="386">
        <f t="shared" si="71"/>
        <v>1</v>
      </c>
      <c r="AT121">
        <f t="shared" si="72"/>
        <v>1</v>
      </c>
      <c r="AU121" s="386">
        <f>IF(AT121=0,"",IF(AND(AT121=1,M121="F",SUMIF(C2:C557,C121,AS2:AS557)&lt;=1),SUMIF(C2:C557,C121,AS2:AS557),IF(AND(AT121=1,M121="F",SUMIF(C2:C557,C121,AS2:AS557)&gt;1),1,"")))</f>
        <v>1</v>
      </c>
      <c r="AV121" s="386" t="str">
        <f>IF(AT121=0,"",IF(AND(AT121=3,M121="F",SUMIF(C2:C557,C121,AS2:AS557)&lt;=1),SUMIF(C2:C557,C121,AS2:AS557),IF(AND(AT121=3,M121="F",SUMIF(C2:C557,C121,AS2:AS557)&gt;1),1,"")))</f>
        <v/>
      </c>
      <c r="AW121" s="386">
        <f>SUMIF(C2:C557,C121,O2:O557)</f>
        <v>1</v>
      </c>
      <c r="AX121" s="386">
        <f>IF(AND(M121="F",AS121&lt;&gt;0),SUMIF(C2:C557,C121,W2:W557),0)</f>
        <v>52769.599999999999</v>
      </c>
      <c r="AY121" s="386">
        <f t="shared" si="73"/>
        <v>52769.599999999999</v>
      </c>
      <c r="AZ121" s="386" t="str">
        <f t="shared" si="74"/>
        <v/>
      </c>
      <c r="BA121" s="386">
        <f t="shared" si="75"/>
        <v>0</v>
      </c>
      <c r="BB121" s="386">
        <f t="shared" si="44"/>
        <v>11650</v>
      </c>
      <c r="BC121" s="386">
        <f t="shared" si="45"/>
        <v>0</v>
      </c>
      <c r="BD121" s="386">
        <f t="shared" si="46"/>
        <v>3271.7152000000001</v>
      </c>
      <c r="BE121" s="386">
        <f t="shared" si="47"/>
        <v>765.15920000000006</v>
      </c>
      <c r="BF121" s="386">
        <f t="shared" si="48"/>
        <v>6300.6902399999999</v>
      </c>
      <c r="BG121" s="386">
        <f t="shared" si="49"/>
        <v>380.468816</v>
      </c>
      <c r="BH121" s="386">
        <f t="shared" si="50"/>
        <v>258.57103999999998</v>
      </c>
      <c r="BI121" s="386">
        <f t="shared" si="51"/>
        <v>161.474976</v>
      </c>
      <c r="BJ121" s="386">
        <f t="shared" si="52"/>
        <v>126.64703999999999</v>
      </c>
      <c r="BK121" s="386">
        <f t="shared" si="53"/>
        <v>0</v>
      </c>
      <c r="BL121" s="386">
        <f t="shared" si="76"/>
        <v>11264.726512000001</v>
      </c>
      <c r="BM121" s="386">
        <f t="shared" si="77"/>
        <v>0</v>
      </c>
      <c r="BN121" s="386">
        <f t="shared" si="54"/>
        <v>11650</v>
      </c>
      <c r="BO121" s="386">
        <f t="shared" si="55"/>
        <v>0</v>
      </c>
      <c r="BP121" s="386">
        <f t="shared" si="56"/>
        <v>3271.7152000000001</v>
      </c>
      <c r="BQ121" s="386">
        <f t="shared" si="57"/>
        <v>765.15920000000006</v>
      </c>
      <c r="BR121" s="386">
        <f t="shared" si="58"/>
        <v>6300.6902399999999</v>
      </c>
      <c r="BS121" s="386">
        <f t="shared" si="59"/>
        <v>380.468816</v>
      </c>
      <c r="BT121" s="386">
        <f t="shared" si="60"/>
        <v>0</v>
      </c>
      <c r="BU121" s="386">
        <f t="shared" si="61"/>
        <v>161.474976</v>
      </c>
      <c r="BV121" s="386">
        <f t="shared" si="62"/>
        <v>131.92400000000001</v>
      </c>
      <c r="BW121" s="386">
        <f t="shared" si="63"/>
        <v>0</v>
      </c>
      <c r="BX121" s="386">
        <f t="shared" si="78"/>
        <v>11011.432432000001</v>
      </c>
      <c r="BY121" s="386">
        <f t="shared" si="79"/>
        <v>0</v>
      </c>
      <c r="BZ121" s="386">
        <f t="shared" si="80"/>
        <v>0</v>
      </c>
      <c r="CA121" s="386">
        <f t="shared" si="81"/>
        <v>0</v>
      </c>
      <c r="CB121" s="386">
        <f t="shared" si="82"/>
        <v>0</v>
      </c>
      <c r="CC121" s="386">
        <f t="shared" si="64"/>
        <v>0</v>
      </c>
      <c r="CD121" s="386">
        <f t="shared" si="65"/>
        <v>0</v>
      </c>
      <c r="CE121" s="386">
        <f t="shared" si="66"/>
        <v>0</v>
      </c>
      <c r="CF121" s="386">
        <f t="shared" si="67"/>
        <v>-258.57103999999998</v>
      </c>
      <c r="CG121" s="386">
        <f t="shared" si="68"/>
        <v>0</v>
      </c>
      <c r="CH121" s="386">
        <f t="shared" si="69"/>
        <v>5.2769600000000141</v>
      </c>
      <c r="CI121" s="386">
        <f t="shared" si="70"/>
        <v>0</v>
      </c>
      <c r="CJ121" s="386">
        <f t="shared" si="83"/>
        <v>-253.29407999999998</v>
      </c>
      <c r="CK121" s="386" t="str">
        <f t="shared" si="84"/>
        <v/>
      </c>
      <c r="CL121" s="386" t="str">
        <f t="shared" si="85"/>
        <v/>
      </c>
      <c r="CM121" s="386" t="str">
        <f t="shared" si="86"/>
        <v/>
      </c>
      <c r="CN121" s="386" t="str">
        <f t="shared" si="87"/>
        <v>0001-00</v>
      </c>
    </row>
    <row r="122" spans="1:92" ht="15.75" thickBot="1" x14ac:dyDescent="0.3">
      <c r="A122" s="375" t="s">
        <v>161</v>
      </c>
      <c r="B122" s="375" t="s">
        <v>162</v>
      </c>
      <c r="C122" s="375" t="s">
        <v>648</v>
      </c>
      <c r="D122" s="375" t="s">
        <v>555</v>
      </c>
      <c r="E122" s="375" t="s">
        <v>165</v>
      </c>
      <c r="F122" s="376" t="s">
        <v>166</v>
      </c>
      <c r="G122" s="375" t="s">
        <v>549</v>
      </c>
      <c r="H122" s="377"/>
      <c r="I122" s="377"/>
      <c r="J122" s="375" t="s">
        <v>168</v>
      </c>
      <c r="K122" s="375" t="s">
        <v>556</v>
      </c>
      <c r="L122" s="375" t="s">
        <v>220</v>
      </c>
      <c r="M122" s="375" t="s">
        <v>177</v>
      </c>
      <c r="N122" s="375" t="s">
        <v>199</v>
      </c>
      <c r="O122" s="378">
        <v>1</v>
      </c>
      <c r="P122" s="384">
        <v>1</v>
      </c>
      <c r="Q122" s="384">
        <v>1</v>
      </c>
      <c r="R122" s="379">
        <v>80</v>
      </c>
      <c r="S122" s="384">
        <v>1</v>
      </c>
      <c r="T122" s="379">
        <v>58174.080000000002</v>
      </c>
      <c r="U122" s="379">
        <v>0</v>
      </c>
      <c r="V122" s="379">
        <v>22999.72</v>
      </c>
      <c r="W122" s="379">
        <v>61443.199999999997</v>
      </c>
      <c r="X122" s="379">
        <v>24766.240000000002</v>
      </c>
      <c r="Y122" s="379">
        <v>61443.199999999997</v>
      </c>
      <c r="Z122" s="379">
        <v>24471.31</v>
      </c>
      <c r="AA122" s="375" t="s">
        <v>649</v>
      </c>
      <c r="AB122" s="375" t="s">
        <v>650</v>
      </c>
      <c r="AC122" s="375" t="s">
        <v>651</v>
      </c>
      <c r="AD122" s="375" t="s">
        <v>352</v>
      </c>
      <c r="AE122" s="375" t="s">
        <v>556</v>
      </c>
      <c r="AF122" s="375" t="s">
        <v>252</v>
      </c>
      <c r="AG122" s="375" t="s">
        <v>183</v>
      </c>
      <c r="AH122" s="380">
        <v>29.54</v>
      </c>
      <c r="AI122" s="378">
        <v>19421</v>
      </c>
      <c r="AJ122" s="375" t="s">
        <v>184</v>
      </c>
      <c r="AK122" s="375" t="s">
        <v>185</v>
      </c>
      <c r="AL122" s="375" t="s">
        <v>173</v>
      </c>
      <c r="AM122" s="375" t="s">
        <v>186</v>
      </c>
      <c r="AN122" s="375" t="s">
        <v>68</v>
      </c>
      <c r="AO122" s="378">
        <v>80</v>
      </c>
      <c r="AP122" s="384">
        <v>1</v>
      </c>
      <c r="AQ122" s="384">
        <v>1</v>
      </c>
      <c r="AR122" s="383" t="s">
        <v>187</v>
      </c>
      <c r="AS122" s="386">
        <f t="shared" si="71"/>
        <v>1</v>
      </c>
      <c r="AT122">
        <f t="shared" si="72"/>
        <v>1</v>
      </c>
      <c r="AU122" s="386">
        <f>IF(AT122=0,"",IF(AND(AT122=1,M122="F",SUMIF(C2:C557,C122,AS2:AS557)&lt;=1),SUMIF(C2:C557,C122,AS2:AS557),IF(AND(AT122=1,M122="F",SUMIF(C2:C557,C122,AS2:AS557)&gt;1),1,"")))</f>
        <v>1</v>
      </c>
      <c r="AV122" s="386" t="str">
        <f>IF(AT122=0,"",IF(AND(AT122=3,M122="F",SUMIF(C2:C557,C122,AS2:AS557)&lt;=1),SUMIF(C2:C557,C122,AS2:AS557),IF(AND(AT122=3,M122="F",SUMIF(C2:C557,C122,AS2:AS557)&gt;1),1,"")))</f>
        <v/>
      </c>
      <c r="AW122" s="386">
        <f>SUMIF(C2:C557,C122,O2:O557)</f>
        <v>1</v>
      </c>
      <c r="AX122" s="386">
        <f>IF(AND(M122="F",AS122&lt;&gt;0),SUMIF(C2:C557,C122,W2:W557),0)</f>
        <v>61443.199999999997</v>
      </c>
      <c r="AY122" s="386">
        <f t="shared" si="73"/>
        <v>61443.199999999997</v>
      </c>
      <c r="AZ122" s="386" t="str">
        <f t="shared" si="74"/>
        <v/>
      </c>
      <c r="BA122" s="386">
        <f t="shared" si="75"/>
        <v>0</v>
      </c>
      <c r="BB122" s="386">
        <f t="shared" si="44"/>
        <v>11650</v>
      </c>
      <c r="BC122" s="386">
        <f t="shared" si="45"/>
        <v>0</v>
      </c>
      <c r="BD122" s="386">
        <f t="shared" si="46"/>
        <v>3809.4784</v>
      </c>
      <c r="BE122" s="386">
        <f t="shared" si="47"/>
        <v>890.92640000000006</v>
      </c>
      <c r="BF122" s="386">
        <f t="shared" si="48"/>
        <v>7336.31808</v>
      </c>
      <c r="BG122" s="386">
        <f t="shared" si="49"/>
        <v>443.005472</v>
      </c>
      <c r="BH122" s="386">
        <f t="shared" si="50"/>
        <v>301.07167999999996</v>
      </c>
      <c r="BI122" s="386">
        <f t="shared" si="51"/>
        <v>188.01619199999999</v>
      </c>
      <c r="BJ122" s="386">
        <f t="shared" si="52"/>
        <v>147.46367999999998</v>
      </c>
      <c r="BK122" s="386">
        <f t="shared" si="53"/>
        <v>0</v>
      </c>
      <c r="BL122" s="386">
        <f t="shared" si="76"/>
        <v>13116.279904000001</v>
      </c>
      <c r="BM122" s="386">
        <f t="shared" si="77"/>
        <v>0</v>
      </c>
      <c r="BN122" s="386">
        <f t="shared" si="54"/>
        <v>11650</v>
      </c>
      <c r="BO122" s="386">
        <f t="shared" si="55"/>
        <v>0</v>
      </c>
      <c r="BP122" s="386">
        <f t="shared" si="56"/>
        <v>3809.4784</v>
      </c>
      <c r="BQ122" s="386">
        <f t="shared" si="57"/>
        <v>890.92640000000006</v>
      </c>
      <c r="BR122" s="386">
        <f t="shared" si="58"/>
        <v>7336.31808</v>
      </c>
      <c r="BS122" s="386">
        <f t="shared" si="59"/>
        <v>443.005472</v>
      </c>
      <c r="BT122" s="386">
        <f t="shared" si="60"/>
        <v>0</v>
      </c>
      <c r="BU122" s="386">
        <f t="shared" si="61"/>
        <v>188.01619199999999</v>
      </c>
      <c r="BV122" s="386">
        <f t="shared" si="62"/>
        <v>153.608</v>
      </c>
      <c r="BW122" s="386">
        <f t="shared" si="63"/>
        <v>0</v>
      </c>
      <c r="BX122" s="386">
        <f t="shared" si="78"/>
        <v>12821.352544000001</v>
      </c>
      <c r="BY122" s="386">
        <f t="shared" si="79"/>
        <v>0</v>
      </c>
      <c r="BZ122" s="386">
        <f t="shared" si="80"/>
        <v>0</v>
      </c>
      <c r="CA122" s="386">
        <f t="shared" si="81"/>
        <v>0</v>
      </c>
      <c r="CB122" s="386">
        <f t="shared" si="82"/>
        <v>0</v>
      </c>
      <c r="CC122" s="386">
        <f t="shared" si="64"/>
        <v>0</v>
      </c>
      <c r="CD122" s="386">
        <f t="shared" si="65"/>
        <v>0</v>
      </c>
      <c r="CE122" s="386">
        <f t="shared" si="66"/>
        <v>0</v>
      </c>
      <c r="CF122" s="386">
        <f t="shared" si="67"/>
        <v>-301.07167999999996</v>
      </c>
      <c r="CG122" s="386">
        <f t="shared" si="68"/>
        <v>0</v>
      </c>
      <c r="CH122" s="386">
        <f t="shared" si="69"/>
        <v>6.1443200000000155</v>
      </c>
      <c r="CI122" s="386">
        <f t="shared" si="70"/>
        <v>0</v>
      </c>
      <c r="CJ122" s="386">
        <f t="shared" si="83"/>
        <v>-294.92735999999996</v>
      </c>
      <c r="CK122" s="386" t="str">
        <f t="shared" si="84"/>
        <v/>
      </c>
      <c r="CL122" s="386" t="str">
        <f t="shared" si="85"/>
        <v/>
      </c>
      <c r="CM122" s="386" t="str">
        <f t="shared" si="86"/>
        <v/>
      </c>
      <c r="CN122" s="386" t="str">
        <f t="shared" si="87"/>
        <v>0001-00</v>
      </c>
    </row>
    <row r="123" spans="1:92" ht="15.75" thickBot="1" x14ac:dyDescent="0.3">
      <c r="A123" s="375" t="s">
        <v>161</v>
      </c>
      <c r="B123" s="375" t="s">
        <v>162</v>
      </c>
      <c r="C123" s="375" t="s">
        <v>652</v>
      </c>
      <c r="D123" s="375" t="s">
        <v>561</v>
      </c>
      <c r="E123" s="375" t="s">
        <v>165</v>
      </c>
      <c r="F123" s="376" t="s">
        <v>166</v>
      </c>
      <c r="G123" s="375" t="s">
        <v>549</v>
      </c>
      <c r="H123" s="377"/>
      <c r="I123" s="377"/>
      <c r="J123" s="375" t="s">
        <v>168</v>
      </c>
      <c r="K123" s="375" t="s">
        <v>562</v>
      </c>
      <c r="L123" s="375" t="s">
        <v>170</v>
      </c>
      <c r="M123" s="375" t="s">
        <v>177</v>
      </c>
      <c r="N123" s="375" t="s">
        <v>199</v>
      </c>
      <c r="O123" s="378">
        <v>1</v>
      </c>
      <c r="P123" s="384">
        <v>1</v>
      </c>
      <c r="Q123" s="384">
        <v>1</v>
      </c>
      <c r="R123" s="379">
        <v>80</v>
      </c>
      <c r="S123" s="384">
        <v>1</v>
      </c>
      <c r="T123" s="379">
        <v>47466.879999999997</v>
      </c>
      <c r="U123" s="379">
        <v>0</v>
      </c>
      <c r="V123" s="379">
        <v>20978.32</v>
      </c>
      <c r="W123" s="379">
        <v>52748.800000000003</v>
      </c>
      <c r="X123" s="379">
        <v>22910.240000000002</v>
      </c>
      <c r="Y123" s="379">
        <v>52748.800000000003</v>
      </c>
      <c r="Z123" s="379">
        <v>22657.06</v>
      </c>
      <c r="AA123" s="375" t="s">
        <v>653</v>
      </c>
      <c r="AB123" s="375" t="s">
        <v>654</v>
      </c>
      <c r="AC123" s="375" t="s">
        <v>655</v>
      </c>
      <c r="AD123" s="375" t="s">
        <v>195</v>
      </c>
      <c r="AE123" s="375" t="s">
        <v>562</v>
      </c>
      <c r="AF123" s="375" t="s">
        <v>269</v>
      </c>
      <c r="AG123" s="375" t="s">
        <v>183</v>
      </c>
      <c r="AH123" s="380">
        <v>25.36</v>
      </c>
      <c r="AI123" s="380">
        <v>24285.599999999999</v>
      </c>
      <c r="AJ123" s="375" t="s">
        <v>184</v>
      </c>
      <c r="AK123" s="375" t="s">
        <v>185</v>
      </c>
      <c r="AL123" s="375" t="s">
        <v>173</v>
      </c>
      <c r="AM123" s="375" t="s">
        <v>186</v>
      </c>
      <c r="AN123" s="375" t="s">
        <v>68</v>
      </c>
      <c r="AO123" s="378">
        <v>80</v>
      </c>
      <c r="AP123" s="384">
        <v>1</v>
      </c>
      <c r="AQ123" s="384">
        <v>1</v>
      </c>
      <c r="AR123" s="383" t="s">
        <v>187</v>
      </c>
      <c r="AS123" s="386">
        <f t="shared" si="71"/>
        <v>1</v>
      </c>
      <c r="AT123">
        <f t="shared" si="72"/>
        <v>1</v>
      </c>
      <c r="AU123" s="386">
        <f>IF(AT123=0,"",IF(AND(AT123=1,M123="F",SUMIF(C2:C557,C123,AS2:AS557)&lt;=1),SUMIF(C2:C557,C123,AS2:AS557),IF(AND(AT123=1,M123="F",SUMIF(C2:C557,C123,AS2:AS557)&gt;1),1,"")))</f>
        <v>1</v>
      </c>
      <c r="AV123" s="386" t="str">
        <f>IF(AT123=0,"",IF(AND(AT123=3,M123="F",SUMIF(C2:C557,C123,AS2:AS557)&lt;=1),SUMIF(C2:C557,C123,AS2:AS557),IF(AND(AT123=3,M123="F",SUMIF(C2:C557,C123,AS2:AS557)&gt;1),1,"")))</f>
        <v/>
      </c>
      <c r="AW123" s="386">
        <f>SUMIF(C2:C557,C123,O2:O557)</f>
        <v>1</v>
      </c>
      <c r="AX123" s="386">
        <f>IF(AND(M123="F",AS123&lt;&gt;0),SUMIF(C2:C557,C123,W2:W557),0)</f>
        <v>52748.800000000003</v>
      </c>
      <c r="AY123" s="386">
        <f t="shared" si="73"/>
        <v>52748.800000000003</v>
      </c>
      <c r="AZ123" s="386" t="str">
        <f t="shared" si="74"/>
        <v/>
      </c>
      <c r="BA123" s="386">
        <f t="shared" si="75"/>
        <v>0</v>
      </c>
      <c r="BB123" s="386">
        <f t="shared" si="44"/>
        <v>11650</v>
      </c>
      <c r="BC123" s="386">
        <f t="shared" si="45"/>
        <v>0</v>
      </c>
      <c r="BD123" s="386">
        <f t="shared" si="46"/>
        <v>3270.4256</v>
      </c>
      <c r="BE123" s="386">
        <f t="shared" si="47"/>
        <v>764.85760000000005</v>
      </c>
      <c r="BF123" s="386">
        <f t="shared" si="48"/>
        <v>6298.206720000001</v>
      </c>
      <c r="BG123" s="386">
        <f t="shared" si="49"/>
        <v>380.31884800000006</v>
      </c>
      <c r="BH123" s="386">
        <f t="shared" si="50"/>
        <v>258.46912000000003</v>
      </c>
      <c r="BI123" s="386">
        <f t="shared" si="51"/>
        <v>161.411328</v>
      </c>
      <c r="BJ123" s="386">
        <f t="shared" si="52"/>
        <v>126.59711999999999</v>
      </c>
      <c r="BK123" s="386">
        <f t="shared" si="53"/>
        <v>0</v>
      </c>
      <c r="BL123" s="386">
        <f t="shared" si="76"/>
        <v>11260.286336000001</v>
      </c>
      <c r="BM123" s="386">
        <f t="shared" si="77"/>
        <v>0</v>
      </c>
      <c r="BN123" s="386">
        <f t="shared" si="54"/>
        <v>11650</v>
      </c>
      <c r="BO123" s="386">
        <f t="shared" si="55"/>
        <v>0</v>
      </c>
      <c r="BP123" s="386">
        <f t="shared" si="56"/>
        <v>3270.4256</v>
      </c>
      <c r="BQ123" s="386">
        <f t="shared" si="57"/>
        <v>764.85760000000005</v>
      </c>
      <c r="BR123" s="386">
        <f t="shared" si="58"/>
        <v>6298.206720000001</v>
      </c>
      <c r="BS123" s="386">
        <f t="shared" si="59"/>
        <v>380.31884800000006</v>
      </c>
      <c r="BT123" s="386">
        <f t="shared" si="60"/>
        <v>0</v>
      </c>
      <c r="BU123" s="386">
        <f t="shared" si="61"/>
        <v>161.411328</v>
      </c>
      <c r="BV123" s="386">
        <f t="shared" si="62"/>
        <v>131.87200000000001</v>
      </c>
      <c r="BW123" s="386">
        <f t="shared" si="63"/>
        <v>0</v>
      </c>
      <c r="BX123" s="386">
        <f t="shared" si="78"/>
        <v>11007.092096</v>
      </c>
      <c r="BY123" s="386">
        <f t="shared" si="79"/>
        <v>0</v>
      </c>
      <c r="BZ123" s="386">
        <f t="shared" si="80"/>
        <v>0</v>
      </c>
      <c r="CA123" s="386">
        <f t="shared" si="81"/>
        <v>0</v>
      </c>
      <c r="CB123" s="386">
        <f t="shared" si="82"/>
        <v>0</v>
      </c>
      <c r="CC123" s="386">
        <f t="shared" si="64"/>
        <v>0</v>
      </c>
      <c r="CD123" s="386">
        <f t="shared" si="65"/>
        <v>0</v>
      </c>
      <c r="CE123" s="386">
        <f t="shared" si="66"/>
        <v>0</v>
      </c>
      <c r="CF123" s="386">
        <f t="shared" si="67"/>
        <v>-258.46912000000003</v>
      </c>
      <c r="CG123" s="386">
        <f t="shared" si="68"/>
        <v>0</v>
      </c>
      <c r="CH123" s="386">
        <f t="shared" si="69"/>
        <v>5.2748800000000138</v>
      </c>
      <c r="CI123" s="386">
        <f t="shared" si="70"/>
        <v>0</v>
      </c>
      <c r="CJ123" s="386">
        <f t="shared" si="83"/>
        <v>-253.19424000000001</v>
      </c>
      <c r="CK123" s="386" t="str">
        <f t="shared" si="84"/>
        <v/>
      </c>
      <c r="CL123" s="386" t="str">
        <f t="shared" si="85"/>
        <v/>
      </c>
      <c r="CM123" s="386" t="str">
        <f t="shared" si="86"/>
        <v/>
      </c>
      <c r="CN123" s="386" t="str">
        <f t="shared" si="87"/>
        <v>0001-00</v>
      </c>
    </row>
    <row r="124" spans="1:92" ht="15.75" thickBot="1" x14ac:dyDescent="0.3">
      <c r="A124" s="375" t="s">
        <v>161</v>
      </c>
      <c r="B124" s="375" t="s">
        <v>162</v>
      </c>
      <c r="C124" s="375" t="s">
        <v>656</v>
      </c>
      <c r="D124" s="375" t="s">
        <v>548</v>
      </c>
      <c r="E124" s="375" t="s">
        <v>165</v>
      </c>
      <c r="F124" s="376" t="s">
        <v>166</v>
      </c>
      <c r="G124" s="375" t="s">
        <v>549</v>
      </c>
      <c r="H124" s="377"/>
      <c r="I124" s="377"/>
      <c r="J124" s="375" t="s">
        <v>168</v>
      </c>
      <c r="K124" s="375" t="s">
        <v>550</v>
      </c>
      <c r="L124" s="375" t="s">
        <v>198</v>
      </c>
      <c r="M124" s="375" t="s">
        <v>177</v>
      </c>
      <c r="N124" s="375" t="s">
        <v>199</v>
      </c>
      <c r="O124" s="378">
        <v>1</v>
      </c>
      <c r="P124" s="384">
        <v>1</v>
      </c>
      <c r="Q124" s="384">
        <v>1</v>
      </c>
      <c r="R124" s="379">
        <v>80</v>
      </c>
      <c r="S124" s="384">
        <v>1</v>
      </c>
      <c r="T124" s="379">
        <v>39863.360000000001</v>
      </c>
      <c r="U124" s="379">
        <v>0</v>
      </c>
      <c r="V124" s="379">
        <v>19803.88</v>
      </c>
      <c r="W124" s="379">
        <v>44304</v>
      </c>
      <c r="X124" s="379">
        <v>21107.53</v>
      </c>
      <c r="Y124" s="379">
        <v>44304</v>
      </c>
      <c r="Z124" s="379">
        <v>20894.89</v>
      </c>
      <c r="AA124" s="375" t="s">
        <v>657</v>
      </c>
      <c r="AB124" s="375" t="s">
        <v>658</v>
      </c>
      <c r="AC124" s="375" t="s">
        <v>315</v>
      </c>
      <c r="AD124" s="375" t="s">
        <v>659</v>
      </c>
      <c r="AE124" s="375" t="s">
        <v>550</v>
      </c>
      <c r="AF124" s="375" t="s">
        <v>245</v>
      </c>
      <c r="AG124" s="375" t="s">
        <v>183</v>
      </c>
      <c r="AH124" s="380">
        <v>21.3</v>
      </c>
      <c r="AI124" s="380">
        <v>9249.4</v>
      </c>
      <c r="AJ124" s="375" t="s">
        <v>184</v>
      </c>
      <c r="AK124" s="375" t="s">
        <v>185</v>
      </c>
      <c r="AL124" s="375" t="s">
        <v>173</v>
      </c>
      <c r="AM124" s="375" t="s">
        <v>186</v>
      </c>
      <c r="AN124" s="375" t="s">
        <v>68</v>
      </c>
      <c r="AO124" s="378">
        <v>80</v>
      </c>
      <c r="AP124" s="384">
        <v>1</v>
      </c>
      <c r="AQ124" s="384">
        <v>1</v>
      </c>
      <c r="AR124" s="383" t="s">
        <v>187</v>
      </c>
      <c r="AS124" s="386">
        <f t="shared" si="71"/>
        <v>1</v>
      </c>
      <c r="AT124">
        <f t="shared" si="72"/>
        <v>1</v>
      </c>
      <c r="AU124" s="386">
        <f>IF(AT124=0,"",IF(AND(AT124=1,M124="F",SUMIF(C2:C557,C124,AS2:AS557)&lt;=1),SUMIF(C2:C557,C124,AS2:AS557),IF(AND(AT124=1,M124="F",SUMIF(C2:C557,C124,AS2:AS557)&gt;1),1,"")))</f>
        <v>1</v>
      </c>
      <c r="AV124" s="386" t="str">
        <f>IF(AT124=0,"",IF(AND(AT124=3,M124="F",SUMIF(C2:C557,C124,AS2:AS557)&lt;=1),SUMIF(C2:C557,C124,AS2:AS557),IF(AND(AT124=3,M124="F",SUMIF(C2:C557,C124,AS2:AS557)&gt;1),1,"")))</f>
        <v/>
      </c>
      <c r="AW124" s="386">
        <f>SUMIF(C2:C557,C124,O2:O557)</f>
        <v>1</v>
      </c>
      <c r="AX124" s="386">
        <f>IF(AND(M124="F",AS124&lt;&gt;0),SUMIF(C2:C557,C124,W2:W557),0)</f>
        <v>44304</v>
      </c>
      <c r="AY124" s="386">
        <f t="shared" si="73"/>
        <v>44304</v>
      </c>
      <c r="AZ124" s="386" t="str">
        <f t="shared" si="74"/>
        <v/>
      </c>
      <c r="BA124" s="386">
        <f t="shared" si="75"/>
        <v>0</v>
      </c>
      <c r="BB124" s="386">
        <f t="shared" si="44"/>
        <v>11650</v>
      </c>
      <c r="BC124" s="386">
        <f t="shared" si="45"/>
        <v>0</v>
      </c>
      <c r="BD124" s="386">
        <f t="shared" si="46"/>
        <v>2746.848</v>
      </c>
      <c r="BE124" s="386">
        <f t="shared" si="47"/>
        <v>642.40800000000002</v>
      </c>
      <c r="BF124" s="386">
        <f t="shared" si="48"/>
        <v>5289.8976000000002</v>
      </c>
      <c r="BG124" s="386">
        <f t="shared" si="49"/>
        <v>319.43184000000002</v>
      </c>
      <c r="BH124" s="386">
        <f t="shared" si="50"/>
        <v>217.08959999999999</v>
      </c>
      <c r="BI124" s="386">
        <f t="shared" si="51"/>
        <v>135.57023999999998</v>
      </c>
      <c r="BJ124" s="386">
        <f t="shared" si="52"/>
        <v>106.32959999999999</v>
      </c>
      <c r="BK124" s="386">
        <f t="shared" si="53"/>
        <v>0</v>
      </c>
      <c r="BL124" s="386">
        <f t="shared" si="76"/>
        <v>9457.5748799999965</v>
      </c>
      <c r="BM124" s="386">
        <f t="shared" si="77"/>
        <v>0</v>
      </c>
      <c r="BN124" s="386">
        <f t="shared" si="54"/>
        <v>11650</v>
      </c>
      <c r="BO124" s="386">
        <f t="shared" si="55"/>
        <v>0</v>
      </c>
      <c r="BP124" s="386">
        <f t="shared" si="56"/>
        <v>2746.848</v>
      </c>
      <c r="BQ124" s="386">
        <f t="shared" si="57"/>
        <v>642.40800000000002</v>
      </c>
      <c r="BR124" s="386">
        <f t="shared" si="58"/>
        <v>5289.8976000000002</v>
      </c>
      <c r="BS124" s="386">
        <f t="shared" si="59"/>
        <v>319.43184000000002</v>
      </c>
      <c r="BT124" s="386">
        <f t="shared" si="60"/>
        <v>0</v>
      </c>
      <c r="BU124" s="386">
        <f t="shared" si="61"/>
        <v>135.57023999999998</v>
      </c>
      <c r="BV124" s="386">
        <f t="shared" si="62"/>
        <v>110.76</v>
      </c>
      <c r="BW124" s="386">
        <f t="shared" si="63"/>
        <v>0</v>
      </c>
      <c r="BX124" s="386">
        <f t="shared" si="78"/>
        <v>9244.9156799999982</v>
      </c>
      <c r="BY124" s="386">
        <f t="shared" si="79"/>
        <v>0</v>
      </c>
      <c r="BZ124" s="386">
        <f t="shared" si="80"/>
        <v>0</v>
      </c>
      <c r="CA124" s="386">
        <f t="shared" si="81"/>
        <v>0</v>
      </c>
      <c r="CB124" s="386">
        <f t="shared" si="82"/>
        <v>0</v>
      </c>
      <c r="CC124" s="386">
        <f t="shared" si="64"/>
        <v>0</v>
      </c>
      <c r="CD124" s="386">
        <f t="shared" si="65"/>
        <v>0</v>
      </c>
      <c r="CE124" s="386">
        <f t="shared" si="66"/>
        <v>0</v>
      </c>
      <c r="CF124" s="386">
        <f t="shared" si="67"/>
        <v>-217.08959999999999</v>
      </c>
      <c r="CG124" s="386">
        <f t="shared" si="68"/>
        <v>0</v>
      </c>
      <c r="CH124" s="386">
        <f t="shared" si="69"/>
        <v>4.4304000000000112</v>
      </c>
      <c r="CI124" s="386">
        <f t="shared" si="70"/>
        <v>0</v>
      </c>
      <c r="CJ124" s="386">
        <f t="shared" si="83"/>
        <v>-212.65919999999997</v>
      </c>
      <c r="CK124" s="386" t="str">
        <f t="shared" si="84"/>
        <v/>
      </c>
      <c r="CL124" s="386" t="str">
        <f t="shared" si="85"/>
        <v/>
      </c>
      <c r="CM124" s="386" t="str">
        <f t="shared" si="86"/>
        <v/>
      </c>
      <c r="CN124" s="386" t="str">
        <f t="shared" si="87"/>
        <v>0001-00</v>
      </c>
    </row>
    <row r="125" spans="1:92" ht="15.75" thickBot="1" x14ac:dyDescent="0.3">
      <c r="A125" s="375" t="s">
        <v>161</v>
      </c>
      <c r="B125" s="375" t="s">
        <v>162</v>
      </c>
      <c r="C125" s="375" t="s">
        <v>660</v>
      </c>
      <c r="D125" s="375" t="s">
        <v>555</v>
      </c>
      <c r="E125" s="375" t="s">
        <v>165</v>
      </c>
      <c r="F125" s="376" t="s">
        <v>166</v>
      </c>
      <c r="G125" s="375" t="s">
        <v>549</v>
      </c>
      <c r="H125" s="377"/>
      <c r="I125" s="377"/>
      <c r="J125" s="375" t="s">
        <v>168</v>
      </c>
      <c r="K125" s="375" t="s">
        <v>556</v>
      </c>
      <c r="L125" s="375" t="s">
        <v>220</v>
      </c>
      <c r="M125" s="375" t="s">
        <v>177</v>
      </c>
      <c r="N125" s="375" t="s">
        <v>199</v>
      </c>
      <c r="O125" s="378">
        <v>1</v>
      </c>
      <c r="P125" s="384">
        <v>1</v>
      </c>
      <c r="Q125" s="384">
        <v>1</v>
      </c>
      <c r="R125" s="379">
        <v>80</v>
      </c>
      <c r="S125" s="384">
        <v>1</v>
      </c>
      <c r="T125" s="379">
        <v>56925.24</v>
      </c>
      <c r="U125" s="379">
        <v>0</v>
      </c>
      <c r="V125" s="379">
        <v>23048.31</v>
      </c>
      <c r="W125" s="379">
        <v>59051.199999999997</v>
      </c>
      <c r="X125" s="379">
        <v>24255.63</v>
      </c>
      <c r="Y125" s="379">
        <v>59051.199999999997</v>
      </c>
      <c r="Z125" s="379">
        <v>23972.18</v>
      </c>
      <c r="AA125" s="375" t="s">
        <v>661</v>
      </c>
      <c r="AB125" s="375" t="s">
        <v>662</v>
      </c>
      <c r="AC125" s="375" t="s">
        <v>663</v>
      </c>
      <c r="AD125" s="375" t="s">
        <v>195</v>
      </c>
      <c r="AE125" s="375" t="s">
        <v>556</v>
      </c>
      <c r="AF125" s="375" t="s">
        <v>252</v>
      </c>
      <c r="AG125" s="375" t="s">
        <v>183</v>
      </c>
      <c r="AH125" s="380">
        <v>28.39</v>
      </c>
      <c r="AI125" s="378">
        <v>15328</v>
      </c>
      <c r="AJ125" s="375" t="s">
        <v>184</v>
      </c>
      <c r="AK125" s="375" t="s">
        <v>185</v>
      </c>
      <c r="AL125" s="375" t="s">
        <v>173</v>
      </c>
      <c r="AM125" s="375" t="s">
        <v>186</v>
      </c>
      <c r="AN125" s="375" t="s">
        <v>68</v>
      </c>
      <c r="AO125" s="378">
        <v>80</v>
      </c>
      <c r="AP125" s="384">
        <v>1</v>
      </c>
      <c r="AQ125" s="384">
        <v>1</v>
      </c>
      <c r="AR125" s="383" t="s">
        <v>187</v>
      </c>
      <c r="AS125" s="386">
        <f t="shared" si="71"/>
        <v>1</v>
      </c>
      <c r="AT125">
        <f t="shared" si="72"/>
        <v>1</v>
      </c>
      <c r="AU125" s="386">
        <f>IF(AT125=0,"",IF(AND(AT125=1,M125="F",SUMIF(C2:C557,C125,AS2:AS557)&lt;=1),SUMIF(C2:C557,C125,AS2:AS557),IF(AND(AT125=1,M125="F",SUMIF(C2:C557,C125,AS2:AS557)&gt;1),1,"")))</f>
        <v>1</v>
      </c>
      <c r="AV125" s="386" t="str">
        <f>IF(AT125=0,"",IF(AND(AT125=3,M125="F",SUMIF(C2:C557,C125,AS2:AS557)&lt;=1),SUMIF(C2:C557,C125,AS2:AS557),IF(AND(AT125=3,M125="F",SUMIF(C2:C557,C125,AS2:AS557)&gt;1),1,"")))</f>
        <v/>
      </c>
      <c r="AW125" s="386">
        <f>SUMIF(C2:C557,C125,O2:O557)</f>
        <v>1</v>
      </c>
      <c r="AX125" s="386">
        <f>IF(AND(M125="F",AS125&lt;&gt;0),SUMIF(C2:C557,C125,W2:W557),0)</f>
        <v>59051.199999999997</v>
      </c>
      <c r="AY125" s="386">
        <f t="shared" si="73"/>
        <v>59051.199999999997</v>
      </c>
      <c r="AZ125" s="386" t="str">
        <f t="shared" si="74"/>
        <v/>
      </c>
      <c r="BA125" s="386">
        <f t="shared" si="75"/>
        <v>0</v>
      </c>
      <c r="BB125" s="386">
        <f t="shared" si="44"/>
        <v>11650</v>
      </c>
      <c r="BC125" s="386">
        <f t="shared" si="45"/>
        <v>0</v>
      </c>
      <c r="BD125" s="386">
        <f t="shared" si="46"/>
        <v>3661.1743999999999</v>
      </c>
      <c r="BE125" s="386">
        <f t="shared" si="47"/>
        <v>856.24239999999998</v>
      </c>
      <c r="BF125" s="386">
        <f t="shared" si="48"/>
        <v>7050.7132799999999</v>
      </c>
      <c r="BG125" s="386">
        <f t="shared" si="49"/>
        <v>425.75915199999997</v>
      </c>
      <c r="BH125" s="386">
        <f t="shared" si="50"/>
        <v>289.35087999999996</v>
      </c>
      <c r="BI125" s="386">
        <f t="shared" si="51"/>
        <v>180.69667199999998</v>
      </c>
      <c r="BJ125" s="386">
        <f t="shared" si="52"/>
        <v>141.72287999999998</v>
      </c>
      <c r="BK125" s="386">
        <f t="shared" si="53"/>
        <v>0</v>
      </c>
      <c r="BL125" s="386">
        <f t="shared" si="76"/>
        <v>12605.659663999999</v>
      </c>
      <c r="BM125" s="386">
        <f t="shared" si="77"/>
        <v>0</v>
      </c>
      <c r="BN125" s="386">
        <f t="shared" si="54"/>
        <v>11650</v>
      </c>
      <c r="BO125" s="386">
        <f t="shared" si="55"/>
        <v>0</v>
      </c>
      <c r="BP125" s="386">
        <f t="shared" si="56"/>
        <v>3661.1743999999999</v>
      </c>
      <c r="BQ125" s="386">
        <f t="shared" si="57"/>
        <v>856.24239999999998</v>
      </c>
      <c r="BR125" s="386">
        <f t="shared" si="58"/>
        <v>7050.7132799999999</v>
      </c>
      <c r="BS125" s="386">
        <f t="shared" si="59"/>
        <v>425.75915199999997</v>
      </c>
      <c r="BT125" s="386">
        <f t="shared" si="60"/>
        <v>0</v>
      </c>
      <c r="BU125" s="386">
        <f t="shared" si="61"/>
        <v>180.69667199999998</v>
      </c>
      <c r="BV125" s="386">
        <f t="shared" si="62"/>
        <v>147.62799999999999</v>
      </c>
      <c r="BW125" s="386">
        <f t="shared" si="63"/>
        <v>0</v>
      </c>
      <c r="BX125" s="386">
        <f t="shared" si="78"/>
        <v>12322.213904</v>
      </c>
      <c r="BY125" s="386">
        <f t="shared" si="79"/>
        <v>0</v>
      </c>
      <c r="BZ125" s="386">
        <f t="shared" si="80"/>
        <v>0</v>
      </c>
      <c r="CA125" s="386">
        <f t="shared" si="81"/>
        <v>0</v>
      </c>
      <c r="CB125" s="386">
        <f t="shared" si="82"/>
        <v>0</v>
      </c>
      <c r="CC125" s="386">
        <f t="shared" si="64"/>
        <v>0</v>
      </c>
      <c r="CD125" s="386">
        <f t="shared" si="65"/>
        <v>0</v>
      </c>
      <c r="CE125" s="386">
        <f t="shared" si="66"/>
        <v>0</v>
      </c>
      <c r="CF125" s="386">
        <f t="shared" si="67"/>
        <v>-289.35087999999996</v>
      </c>
      <c r="CG125" s="386">
        <f t="shared" si="68"/>
        <v>0</v>
      </c>
      <c r="CH125" s="386">
        <f t="shared" si="69"/>
        <v>5.9051200000000152</v>
      </c>
      <c r="CI125" s="386">
        <f t="shared" si="70"/>
        <v>0</v>
      </c>
      <c r="CJ125" s="386">
        <f t="shared" si="83"/>
        <v>-283.44575999999995</v>
      </c>
      <c r="CK125" s="386" t="str">
        <f t="shared" si="84"/>
        <v/>
      </c>
      <c r="CL125" s="386" t="str">
        <f t="shared" si="85"/>
        <v/>
      </c>
      <c r="CM125" s="386" t="str">
        <f t="shared" si="86"/>
        <v/>
      </c>
      <c r="CN125" s="386" t="str">
        <f t="shared" si="87"/>
        <v>0001-00</v>
      </c>
    </row>
    <row r="126" spans="1:92" ht="15.75" thickBot="1" x14ac:dyDescent="0.3">
      <c r="A126" s="375" t="s">
        <v>161</v>
      </c>
      <c r="B126" s="375" t="s">
        <v>162</v>
      </c>
      <c r="C126" s="375" t="s">
        <v>664</v>
      </c>
      <c r="D126" s="375" t="s">
        <v>665</v>
      </c>
      <c r="E126" s="375" t="s">
        <v>165</v>
      </c>
      <c r="F126" s="376" t="s">
        <v>166</v>
      </c>
      <c r="G126" s="375" t="s">
        <v>549</v>
      </c>
      <c r="H126" s="377"/>
      <c r="I126" s="377"/>
      <c r="J126" s="375" t="s">
        <v>218</v>
      </c>
      <c r="K126" s="375" t="s">
        <v>666</v>
      </c>
      <c r="L126" s="375" t="s">
        <v>183</v>
      </c>
      <c r="M126" s="375" t="s">
        <v>177</v>
      </c>
      <c r="N126" s="375" t="s">
        <v>199</v>
      </c>
      <c r="O126" s="378">
        <v>1</v>
      </c>
      <c r="P126" s="384">
        <v>0.85</v>
      </c>
      <c r="Q126" s="384">
        <v>0.85</v>
      </c>
      <c r="R126" s="379">
        <v>80</v>
      </c>
      <c r="S126" s="384">
        <v>0.85</v>
      </c>
      <c r="T126" s="379">
        <v>31724.85</v>
      </c>
      <c r="U126" s="379">
        <v>0</v>
      </c>
      <c r="V126" s="379">
        <v>16461.73</v>
      </c>
      <c r="W126" s="379">
        <v>32831.760000000002</v>
      </c>
      <c r="X126" s="379">
        <v>16911.07</v>
      </c>
      <c r="Y126" s="379">
        <v>32831.760000000002</v>
      </c>
      <c r="Z126" s="379">
        <v>16753.48</v>
      </c>
      <c r="AA126" s="375" t="s">
        <v>667</v>
      </c>
      <c r="AB126" s="375" t="s">
        <v>668</v>
      </c>
      <c r="AC126" s="375" t="s">
        <v>669</v>
      </c>
      <c r="AD126" s="375" t="s">
        <v>670</v>
      </c>
      <c r="AE126" s="375" t="s">
        <v>666</v>
      </c>
      <c r="AF126" s="375" t="s">
        <v>206</v>
      </c>
      <c r="AG126" s="375" t="s">
        <v>183</v>
      </c>
      <c r="AH126" s="380">
        <v>18.57</v>
      </c>
      <c r="AI126" s="380">
        <v>56696.1</v>
      </c>
      <c r="AJ126" s="375" t="s">
        <v>184</v>
      </c>
      <c r="AK126" s="375" t="s">
        <v>185</v>
      </c>
      <c r="AL126" s="375" t="s">
        <v>173</v>
      </c>
      <c r="AM126" s="375" t="s">
        <v>186</v>
      </c>
      <c r="AN126" s="375" t="s">
        <v>68</v>
      </c>
      <c r="AO126" s="378">
        <v>80</v>
      </c>
      <c r="AP126" s="384">
        <v>1</v>
      </c>
      <c r="AQ126" s="384">
        <v>0.85</v>
      </c>
      <c r="AR126" s="383" t="s">
        <v>187</v>
      </c>
      <c r="AS126" s="386">
        <f t="shared" si="71"/>
        <v>0.85</v>
      </c>
      <c r="AT126">
        <f t="shared" si="72"/>
        <v>1</v>
      </c>
      <c r="AU126" s="386">
        <f>IF(AT126=0,"",IF(AND(AT126=1,M126="F",SUMIF(C2:C557,C126,AS2:AS557)&lt;=1),SUMIF(C2:C557,C126,AS2:AS557),IF(AND(AT126=1,M126="F",SUMIF(C2:C557,C126,AS2:AS557)&gt;1),1,"")))</f>
        <v>1</v>
      </c>
      <c r="AV126" s="386" t="str">
        <f>IF(AT126=0,"",IF(AND(AT126=3,M126="F",SUMIF(C2:C557,C126,AS2:AS557)&lt;=1),SUMIF(C2:C557,C126,AS2:AS557),IF(AND(AT126=3,M126="F",SUMIF(C2:C557,C126,AS2:AS557)&gt;1),1,"")))</f>
        <v/>
      </c>
      <c r="AW126" s="386">
        <f>SUMIF(C2:C557,C126,O2:O557)</f>
        <v>2</v>
      </c>
      <c r="AX126" s="386">
        <f>IF(AND(M126="F",AS126&lt;&gt;0),SUMIF(C2:C557,C126,W2:W557),0)</f>
        <v>38625.600000000006</v>
      </c>
      <c r="AY126" s="386">
        <f t="shared" si="73"/>
        <v>32831.760000000002</v>
      </c>
      <c r="AZ126" s="386" t="str">
        <f t="shared" si="74"/>
        <v/>
      </c>
      <c r="BA126" s="386">
        <f t="shared" si="75"/>
        <v>0</v>
      </c>
      <c r="BB126" s="386">
        <f t="shared" si="44"/>
        <v>9902.5</v>
      </c>
      <c r="BC126" s="386">
        <f t="shared" si="45"/>
        <v>0</v>
      </c>
      <c r="BD126" s="386">
        <f t="shared" si="46"/>
        <v>2035.5691200000001</v>
      </c>
      <c r="BE126" s="386">
        <f t="shared" si="47"/>
        <v>476.06052000000005</v>
      </c>
      <c r="BF126" s="386">
        <f t="shared" si="48"/>
        <v>3920.1121440000006</v>
      </c>
      <c r="BG126" s="386">
        <f t="shared" si="49"/>
        <v>236.71698960000003</v>
      </c>
      <c r="BH126" s="386">
        <f t="shared" si="50"/>
        <v>160.87562400000002</v>
      </c>
      <c r="BI126" s="386">
        <f t="shared" si="51"/>
        <v>100.4651856</v>
      </c>
      <c r="BJ126" s="386">
        <f t="shared" si="52"/>
        <v>78.796223999999995</v>
      </c>
      <c r="BK126" s="386">
        <f t="shared" si="53"/>
        <v>0</v>
      </c>
      <c r="BL126" s="386">
        <f t="shared" si="76"/>
        <v>7008.5958072000012</v>
      </c>
      <c r="BM126" s="386">
        <f t="shared" si="77"/>
        <v>0</v>
      </c>
      <c r="BN126" s="386">
        <f t="shared" si="54"/>
        <v>9902.5</v>
      </c>
      <c r="BO126" s="386">
        <f t="shared" si="55"/>
        <v>0</v>
      </c>
      <c r="BP126" s="386">
        <f t="shared" si="56"/>
        <v>2035.5691200000001</v>
      </c>
      <c r="BQ126" s="386">
        <f t="shared" si="57"/>
        <v>476.06052000000005</v>
      </c>
      <c r="BR126" s="386">
        <f t="shared" si="58"/>
        <v>3920.1121440000006</v>
      </c>
      <c r="BS126" s="386">
        <f t="shared" si="59"/>
        <v>236.71698960000003</v>
      </c>
      <c r="BT126" s="386">
        <f t="shared" si="60"/>
        <v>0</v>
      </c>
      <c r="BU126" s="386">
        <f t="shared" si="61"/>
        <v>100.4651856</v>
      </c>
      <c r="BV126" s="386">
        <f t="shared" si="62"/>
        <v>82.079400000000007</v>
      </c>
      <c r="BW126" s="386">
        <f t="shared" si="63"/>
        <v>0</v>
      </c>
      <c r="BX126" s="386">
        <f t="shared" si="78"/>
        <v>6851.0033592000009</v>
      </c>
      <c r="BY126" s="386">
        <f t="shared" si="79"/>
        <v>0</v>
      </c>
      <c r="BZ126" s="386">
        <f t="shared" si="80"/>
        <v>0</v>
      </c>
      <c r="CA126" s="386">
        <f t="shared" si="81"/>
        <v>0</v>
      </c>
      <c r="CB126" s="386">
        <f t="shared" si="82"/>
        <v>0</v>
      </c>
      <c r="CC126" s="386">
        <f t="shared" si="64"/>
        <v>0</v>
      </c>
      <c r="CD126" s="386">
        <f t="shared" si="65"/>
        <v>0</v>
      </c>
      <c r="CE126" s="386">
        <f t="shared" si="66"/>
        <v>0</v>
      </c>
      <c r="CF126" s="386">
        <f t="shared" si="67"/>
        <v>-160.87562400000002</v>
      </c>
      <c r="CG126" s="386">
        <f t="shared" si="68"/>
        <v>0</v>
      </c>
      <c r="CH126" s="386">
        <f t="shared" si="69"/>
        <v>3.283176000000009</v>
      </c>
      <c r="CI126" s="386">
        <f t="shared" si="70"/>
        <v>0</v>
      </c>
      <c r="CJ126" s="386">
        <f t="shared" si="83"/>
        <v>-157.59244800000002</v>
      </c>
      <c r="CK126" s="386" t="str">
        <f t="shared" si="84"/>
        <v/>
      </c>
      <c r="CL126" s="386" t="str">
        <f t="shared" si="85"/>
        <v/>
      </c>
      <c r="CM126" s="386" t="str">
        <f t="shared" si="86"/>
        <v/>
      </c>
      <c r="CN126" s="386" t="str">
        <f t="shared" si="87"/>
        <v>0001-00</v>
      </c>
    </row>
    <row r="127" spans="1:92" ht="15.75" thickBot="1" x14ac:dyDescent="0.3">
      <c r="A127" s="375" t="s">
        <v>161</v>
      </c>
      <c r="B127" s="375" t="s">
        <v>162</v>
      </c>
      <c r="C127" s="375" t="s">
        <v>671</v>
      </c>
      <c r="D127" s="375" t="s">
        <v>561</v>
      </c>
      <c r="E127" s="375" t="s">
        <v>165</v>
      </c>
      <c r="F127" s="376" t="s">
        <v>166</v>
      </c>
      <c r="G127" s="375" t="s">
        <v>549</v>
      </c>
      <c r="H127" s="377"/>
      <c r="I127" s="377"/>
      <c r="J127" s="375" t="s">
        <v>168</v>
      </c>
      <c r="K127" s="375" t="s">
        <v>562</v>
      </c>
      <c r="L127" s="375" t="s">
        <v>170</v>
      </c>
      <c r="M127" s="375" t="s">
        <v>177</v>
      </c>
      <c r="N127" s="375" t="s">
        <v>199</v>
      </c>
      <c r="O127" s="378">
        <v>1</v>
      </c>
      <c r="P127" s="384">
        <v>1</v>
      </c>
      <c r="Q127" s="384">
        <v>1</v>
      </c>
      <c r="R127" s="379">
        <v>80</v>
      </c>
      <c r="S127" s="384">
        <v>1</v>
      </c>
      <c r="T127" s="379">
        <v>44036.76</v>
      </c>
      <c r="U127" s="379">
        <v>0</v>
      </c>
      <c r="V127" s="379">
        <v>20700.59</v>
      </c>
      <c r="W127" s="379">
        <v>50024</v>
      </c>
      <c r="X127" s="379">
        <v>22328.58</v>
      </c>
      <c r="Y127" s="379">
        <v>50024</v>
      </c>
      <c r="Z127" s="379">
        <v>22088.48</v>
      </c>
      <c r="AA127" s="375" t="s">
        <v>672</v>
      </c>
      <c r="AB127" s="375" t="s">
        <v>673</v>
      </c>
      <c r="AC127" s="375" t="s">
        <v>674</v>
      </c>
      <c r="AD127" s="375" t="s">
        <v>181</v>
      </c>
      <c r="AE127" s="375" t="s">
        <v>562</v>
      </c>
      <c r="AF127" s="375" t="s">
        <v>269</v>
      </c>
      <c r="AG127" s="375" t="s">
        <v>183</v>
      </c>
      <c r="AH127" s="380">
        <v>24.05</v>
      </c>
      <c r="AI127" s="380">
        <v>5150.5</v>
      </c>
      <c r="AJ127" s="375" t="s">
        <v>184</v>
      </c>
      <c r="AK127" s="375" t="s">
        <v>185</v>
      </c>
      <c r="AL127" s="375" t="s">
        <v>173</v>
      </c>
      <c r="AM127" s="375" t="s">
        <v>186</v>
      </c>
      <c r="AN127" s="375" t="s">
        <v>68</v>
      </c>
      <c r="AO127" s="378">
        <v>80</v>
      </c>
      <c r="AP127" s="384">
        <v>1</v>
      </c>
      <c r="AQ127" s="384">
        <v>1</v>
      </c>
      <c r="AR127" s="383" t="s">
        <v>187</v>
      </c>
      <c r="AS127" s="386">
        <f t="shared" si="71"/>
        <v>1</v>
      </c>
      <c r="AT127">
        <f t="shared" si="72"/>
        <v>1</v>
      </c>
      <c r="AU127" s="386">
        <f>IF(AT127=0,"",IF(AND(AT127=1,M127="F",SUMIF(C2:C557,C127,AS2:AS557)&lt;=1),SUMIF(C2:C557,C127,AS2:AS557),IF(AND(AT127=1,M127="F",SUMIF(C2:C557,C127,AS2:AS557)&gt;1),1,"")))</f>
        <v>1</v>
      </c>
      <c r="AV127" s="386" t="str">
        <f>IF(AT127=0,"",IF(AND(AT127=3,M127="F",SUMIF(C2:C557,C127,AS2:AS557)&lt;=1),SUMIF(C2:C557,C127,AS2:AS557),IF(AND(AT127=3,M127="F",SUMIF(C2:C557,C127,AS2:AS557)&gt;1),1,"")))</f>
        <v/>
      </c>
      <c r="AW127" s="386">
        <f>SUMIF(C2:C557,C127,O2:O557)</f>
        <v>1</v>
      </c>
      <c r="AX127" s="386">
        <f>IF(AND(M127="F",AS127&lt;&gt;0),SUMIF(C2:C557,C127,W2:W557),0)</f>
        <v>50024</v>
      </c>
      <c r="AY127" s="386">
        <f t="shared" si="73"/>
        <v>50024</v>
      </c>
      <c r="AZ127" s="386" t="str">
        <f t="shared" si="74"/>
        <v/>
      </c>
      <c r="BA127" s="386">
        <f t="shared" si="75"/>
        <v>0</v>
      </c>
      <c r="BB127" s="386">
        <f t="shared" si="44"/>
        <v>11650</v>
      </c>
      <c r="BC127" s="386">
        <f t="shared" si="45"/>
        <v>0</v>
      </c>
      <c r="BD127" s="386">
        <f t="shared" si="46"/>
        <v>3101.4879999999998</v>
      </c>
      <c r="BE127" s="386">
        <f t="shared" si="47"/>
        <v>725.34800000000007</v>
      </c>
      <c r="BF127" s="386">
        <f t="shared" si="48"/>
        <v>5972.8656000000001</v>
      </c>
      <c r="BG127" s="386">
        <f t="shared" si="49"/>
        <v>360.67304000000001</v>
      </c>
      <c r="BH127" s="386">
        <f t="shared" si="50"/>
        <v>245.11759999999998</v>
      </c>
      <c r="BI127" s="386">
        <f t="shared" si="51"/>
        <v>153.07343999999998</v>
      </c>
      <c r="BJ127" s="386">
        <f t="shared" si="52"/>
        <v>120.05759999999999</v>
      </c>
      <c r="BK127" s="386">
        <f t="shared" si="53"/>
        <v>0</v>
      </c>
      <c r="BL127" s="386">
        <f t="shared" si="76"/>
        <v>10678.62328</v>
      </c>
      <c r="BM127" s="386">
        <f t="shared" si="77"/>
        <v>0</v>
      </c>
      <c r="BN127" s="386">
        <f t="shared" si="54"/>
        <v>11650</v>
      </c>
      <c r="BO127" s="386">
        <f t="shared" si="55"/>
        <v>0</v>
      </c>
      <c r="BP127" s="386">
        <f t="shared" si="56"/>
        <v>3101.4879999999998</v>
      </c>
      <c r="BQ127" s="386">
        <f t="shared" si="57"/>
        <v>725.34800000000007</v>
      </c>
      <c r="BR127" s="386">
        <f t="shared" si="58"/>
        <v>5972.8656000000001</v>
      </c>
      <c r="BS127" s="386">
        <f t="shared" si="59"/>
        <v>360.67304000000001</v>
      </c>
      <c r="BT127" s="386">
        <f t="shared" si="60"/>
        <v>0</v>
      </c>
      <c r="BU127" s="386">
        <f t="shared" si="61"/>
        <v>153.07343999999998</v>
      </c>
      <c r="BV127" s="386">
        <f t="shared" si="62"/>
        <v>125.06</v>
      </c>
      <c r="BW127" s="386">
        <f t="shared" si="63"/>
        <v>0</v>
      </c>
      <c r="BX127" s="386">
        <f t="shared" si="78"/>
        <v>10438.50808</v>
      </c>
      <c r="BY127" s="386">
        <f t="shared" si="79"/>
        <v>0</v>
      </c>
      <c r="BZ127" s="386">
        <f t="shared" si="80"/>
        <v>0</v>
      </c>
      <c r="CA127" s="386">
        <f t="shared" si="81"/>
        <v>0</v>
      </c>
      <c r="CB127" s="386">
        <f t="shared" si="82"/>
        <v>0</v>
      </c>
      <c r="CC127" s="386">
        <f t="shared" si="64"/>
        <v>0</v>
      </c>
      <c r="CD127" s="386">
        <f t="shared" si="65"/>
        <v>0</v>
      </c>
      <c r="CE127" s="386">
        <f t="shared" si="66"/>
        <v>0</v>
      </c>
      <c r="CF127" s="386">
        <f t="shared" si="67"/>
        <v>-245.11759999999998</v>
      </c>
      <c r="CG127" s="386">
        <f t="shared" si="68"/>
        <v>0</v>
      </c>
      <c r="CH127" s="386">
        <f t="shared" si="69"/>
        <v>5.0024000000000131</v>
      </c>
      <c r="CI127" s="386">
        <f t="shared" si="70"/>
        <v>0</v>
      </c>
      <c r="CJ127" s="386">
        <f t="shared" si="83"/>
        <v>-240.11519999999996</v>
      </c>
      <c r="CK127" s="386" t="str">
        <f t="shared" si="84"/>
        <v/>
      </c>
      <c r="CL127" s="386" t="str">
        <f t="shared" si="85"/>
        <v/>
      </c>
      <c r="CM127" s="386" t="str">
        <f t="shared" si="86"/>
        <v/>
      </c>
      <c r="CN127" s="386" t="str">
        <f t="shared" si="87"/>
        <v>0001-00</v>
      </c>
    </row>
    <row r="128" spans="1:92" ht="15.75" thickBot="1" x14ac:dyDescent="0.3">
      <c r="A128" s="375" t="s">
        <v>161</v>
      </c>
      <c r="B128" s="375" t="s">
        <v>162</v>
      </c>
      <c r="C128" s="375" t="s">
        <v>675</v>
      </c>
      <c r="D128" s="375" t="s">
        <v>555</v>
      </c>
      <c r="E128" s="375" t="s">
        <v>165</v>
      </c>
      <c r="F128" s="376" t="s">
        <v>166</v>
      </c>
      <c r="G128" s="375" t="s">
        <v>549</v>
      </c>
      <c r="H128" s="377"/>
      <c r="I128" s="377"/>
      <c r="J128" s="375" t="s">
        <v>168</v>
      </c>
      <c r="K128" s="375" t="s">
        <v>556</v>
      </c>
      <c r="L128" s="375" t="s">
        <v>220</v>
      </c>
      <c r="M128" s="375" t="s">
        <v>177</v>
      </c>
      <c r="N128" s="375" t="s">
        <v>199</v>
      </c>
      <c r="O128" s="378">
        <v>1</v>
      </c>
      <c r="P128" s="384">
        <v>1</v>
      </c>
      <c r="Q128" s="384">
        <v>1</v>
      </c>
      <c r="R128" s="379">
        <v>80</v>
      </c>
      <c r="S128" s="384">
        <v>1</v>
      </c>
      <c r="T128" s="379">
        <v>53565.919999999998</v>
      </c>
      <c r="U128" s="379">
        <v>0</v>
      </c>
      <c r="V128" s="379">
        <v>22666.76</v>
      </c>
      <c r="W128" s="379">
        <v>57262.400000000001</v>
      </c>
      <c r="X128" s="379">
        <v>23873.77</v>
      </c>
      <c r="Y128" s="379">
        <v>57262.400000000001</v>
      </c>
      <c r="Z128" s="379">
        <v>23598.92</v>
      </c>
      <c r="AA128" s="375" t="s">
        <v>676</v>
      </c>
      <c r="AB128" s="375" t="s">
        <v>677</v>
      </c>
      <c r="AC128" s="375" t="s">
        <v>678</v>
      </c>
      <c r="AD128" s="375" t="s">
        <v>647</v>
      </c>
      <c r="AE128" s="375" t="s">
        <v>556</v>
      </c>
      <c r="AF128" s="375" t="s">
        <v>252</v>
      </c>
      <c r="AG128" s="375" t="s">
        <v>183</v>
      </c>
      <c r="AH128" s="380">
        <v>27.53</v>
      </c>
      <c r="AI128" s="380">
        <v>45264.1</v>
      </c>
      <c r="AJ128" s="375" t="s">
        <v>184</v>
      </c>
      <c r="AK128" s="375" t="s">
        <v>185</v>
      </c>
      <c r="AL128" s="375" t="s">
        <v>173</v>
      </c>
      <c r="AM128" s="375" t="s">
        <v>186</v>
      </c>
      <c r="AN128" s="375" t="s">
        <v>68</v>
      </c>
      <c r="AO128" s="378">
        <v>80</v>
      </c>
      <c r="AP128" s="384">
        <v>1</v>
      </c>
      <c r="AQ128" s="384">
        <v>1</v>
      </c>
      <c r="AR128" s="383" t="s">
        <v>187</v>
      </c>
      <c r="AS128" s="386">
        <f t="shared" si="71"/>
        <v>1</v>
      </c>
      <c r="AT128">
        <f t="shared" si="72"/>
        <v>1</v>
      </c>
      <c r="AU128" s="386">
        <f>IF(AT128=0,"",IF(AND(AT128=1,M128="F",SUMIF(C2:C557,C128,AS2:AS557)&lt;=1),SUMIF(C2:C557,C128,AS2:AS557),IF(AND(AT128=1,M128="F",SUMIF(C2:C557,C128,AS2:AS557)&gt;1),1,"")))</f>
        <v>1</v>
      </c>
      <c r="AV128" s="386" t="str">
        <f>IF(AT128=0,"",IF(AND(AT128=3,M128="F",SUMIF(C2:C557,C128,AS2:AS557)&lt;=1),SUMIF(C2:C557,C128,AS2:AS557),IF(AND(AT128=3,M128="F",SUMIF(C2:C557,C128,AS2:AS557)&gt;1),1,"")))</f>
        <v/>
      </c>
      <c r="AW128" s="386">
        <f>SUMIF(C2:C557,C128,O2:O557)</f>
        <v>1</v>
      </c>
      <c r="AX128" s="386">
        <f>IF(AND(M128="F",AS128&lt;&gt;0),SUMIF(C2:C557,C128,W2:W557),0)</f>
        <v>57262.400000000001</v>
      </c>
      <c r="AY128" s="386">
        <f t="shared" si="73"/>
        <v>57262.400000000001</v>
      </c>
      <c r="AZ128" s="386" t="str">
        <f t="shared" si="74"/>
        <v/>
      </c>
      <c r="BA128" s="386">
        <f t="shared" si="75"/>
        <v>0</v>
      </c>
      <c r="BB128" s="386">
        <f t="shared" si="44"/>
        <v>11650</v>
      </c>
      <c r="BC128" s="386">
        <f t="shared" si="45"/>
        <v>0</v>
      </c>
      <c r="BD128" s="386">
        <f t="shared" si="46"/>
        <v>3550.2688000000003</v>
      </c>
      <c r="BE128" s="386">
        <f t="shared" si="47"/>
        <v>830.30480000000011</v>
      </c>
      <c r="BF128" s="386">
        <f t="shared" si="48"/>
        <v>6837.1305600000005</v>
      </c>
      <c r="BG128" s="386">
        <f t="shared" si="49"/>
        <v>412.86190400000004</v>
      </c>
      <c r="BH128" s="386">
        <f t="shared" si="50"/>
        <v>280.58575999999999</v>
      </c>
      <c r="BI128" s="386">
        <f t="shared" si="51"/>
        <v>175.22294399999998</v>
      </c>
      <c r="BJ128" s="386">
        <f t="shared" si="52"/>
        <v>137.42975999999999</v>
      </c>
      <c r="BK128" s="386">
        <f t="shared" si="53"/>
        <v>0</v>
      </c>
      <c r="BL128" s="386">
        <f t="shared" si="76"/>
        <v>12223.804528000001</v>
      </c>
      <c r="BM128" s="386">
        <f t="shared" si="77"/>
        <v>0</v>
      </c>
      <c r="BN128" s="386">
        <f t="shared" si="54"/>
        <v>11650</v>
      </c>
      <c r="BO128" s="386">
        <f t="shared" si="55"/>
        <v>0</v>
      </c>
      <c r="BP128" s="386">
        <f t="shared" si="56"/>
        <v>3550.2688000000003</v>
      </c>
      <c r="BQ128" s="386">
        <f t="shared" si="57"/>
        <v>830.30480000000011</v>
      </c>
      <c r="BR128" s="386">
        <f t="shared" si="58"/>
        <v>6837.1305600000005</v>
      </c>
      <c r="BS128" s="386">
        <f t="shared" si="59"/>
        <v>412.86190400000004</v>
      </c>
      <c r="BT128" s="386">
        <f t="shared" si="60"/>
        <v>0</v>
      </c>
      <c r="BU128" s="386">
        <f t="shared" si="61"/>
        <v>175.22294399999998</v>
      </c>
      <c r="BV128" s="386">
        <f t="shared" si="62"/>
        <v>143.15600000000001</v>
      </c>
      <c r="BW128" s="386">
        <f t="shared" si="63"/>
        <v>0</v>
      </c>
      <c r="BX128" s="386">
        <f t="shared" si="78"/>
        <v>11948.945008000001</v>
      </c>
      <c r="BY128" s="386">
        <f t="shared" si="79"/>
        <v>0</v>
      </c>
      <c r="BZ128" s="386">
        <f t="shared" si="80"/>
        <v>0</v>
      </c>
      <c r="CA128" s="386">
        <f t="shared" si="81"/>
        <v>0</v>
      </c>
      <c r="CB128" s="386">
        <f t="shared" si="82"/>
        <v>0</v>
      </c>
      <c r="CC128" s="386">
        <f t="shared" si="64"/>
        <v>0</v>
      </c>
      <c r="CD128" s="386">
        <f t="shared" si="65"/>
        <v>0</v>
      </c>
      <c r="CE128" s="386">
        <f t="shared" si="66"/>
        <v>0</v>
      </c>
      <c r="CF128" s="386">
        <f t="shared" si="67"/>
        <v>-280.58575999999999</v>
      </c>
      <c r="CG128" s="386">
        <f t="shared" si="68"/>
        <v>0</v>
      </c>
      <c r="CH128" s="386">
        <f t="shared" si="69"/>
        <v>5.7262400000000149</v>
      </c>
      <c r="CI128" s="386">
        <f t="shared" si="70"/>
        <v>0</v>
      </c>
      <c r="CJ128" s="386">
        <f t="shared" si="83"/>
        <v>-274.85951999999997</v>
      </c>
      <c r="CK128" s="386" t="str">
        <f t="shared" si="84"/>
        <v/>
      </c>
      <c r="CL128" s="386" t="str">
        <f t="shared" si="85"/>
        <v/>
      </c>
      <c r="CM128" s="386" t="str">
        <f t="shared" si="86"/>
        <v/>
      </c>
      <c r="CN128" s="386" t="str">
        <f t="shared" si="87"/>
        <v>0001-00</v>
      </c>
    </row>
    <row r="129" spans="1:92" ht="15.75" thickBot="1" x14ac:dyDescent="0.3">
      <c r="A129" s="375" t="s">
        <v>161</v>
      </c>
      <c r="B129" s="375" t="s">
        <v>162</v>
      </c>
      <c r="C129" s="375" t="s">
        <v>679</v>
      </c>
      <c r="D129" s="375" t="s">
        <v>665</v>
      </c>
      <c r="E129" s="375" t="s">
        <v>165</v>
      </c>
      <c r="F129" s="376" t="s">
        <v>166</v>
      </c>
      <c r="G129" s="375" t="s">
        <v>549</v>
      </c>
      <c r="H129" s="377"/>
      <c r="I129" s="377"/>
      <c r="J129" s="375" t="s">
        <v>218</v>
      </c>
      <c r="K129" s="375" t="s">
        <v>666</v>
      </c>
      <c r="L129" s="375" t="s">
        <v>183</v>
      </c>
      <c r="M129" s="375" t="s">
        <v>177</v>
      </c>
      <c r="N129" s="375" t="s">
        <v>199</v>
      </c>
      <c r="O129" s="378">
        <v>1</v>
      </c>
      <c r="P129" s="384">
        <v>0.9</v>
      </c>
      <c r="Q129" s="384">
        <v>0.9</v>
      </c>
      <c r="R129" s="379">
        <v>80</v>
      </c>
      <c r="S129" s="384">
        <v>0.9</v>
      </c>
      <c r="T129" s="379">
        <v>29950.61</v>
      </c>
      <c r="U129" s="379">
        <v>0</v>
      </c>
      <c r="V129" s="379">
        <v>16679.919999999998</v>
      </c>
      <c r="W129" s="379">
        <v>31075.200000000001</v>
      </c>
      <c r="X129" s="379">
        <v>17118.580000000002</v>
      </c>
      <c r="Y129" s="379">
        <v>31075.200000000001</v>
      </c>
      <c r="Z129" s="379">
        <v>16969.43</v>
      </c>
      <c r="AA129" s="375" t="s">
        <v>680</v>
      </c>
      <c r="AB129" s="375" t="s">
        <v>681</v>
      </c>
      <c r="AC129" s="375" t="s">
        <v>682</v>
      </c>
      <c r="AD129" s="375" t="s">
        <v>220</v>
      </c>
      <c r="AE129" s="375" t="s">
        <v>666</v>
      </c>
      <c r="AF129" s="375" t="s">
        <v>206</v>
      </c>
      <c r="AG129" s="375" t="s">
        <v>183</v>
      </c>
      <c r="AH129" s="380">
        <v>16.600000000000001</v>
      </c>
      <c r="AI129" s="378">
        <v>19354</v>
      </c>
      <c r="AJ129" s="375" t="s">
        <v>184</v>
      </c>
      <c r="AK129" s="375" t="s">
        <v>185</v>
      </c>
      <c r="AL129" s="375" t="s">
        <v>173</v>
      </c>
      <c r="AM129" s="375" t="s">
        <v>186</v>
      </c>
      <c r="AN129" s="375" t="s">
        <v>68</v>
      </c>
      <c r="AO129" s="378">
        <v>80</v>
      </c>
      <c r="AP129" s="384">
        <v>1</v>
      </c>
      <c r="AQ129" s="384">
        <v>0.9</v>
      </c>
      <c r="AR129" s="383" t="s">
        <v>187</v>
      </c>
      <c r="AS129" s="386">
        <f t="shared" si="71"/>
        <v>0.9</v>
      </c>
      <c r="AT129">
        <f t="shared" si="72"/>
        <v>1</v>
      </c>
      <c r="AU129" s="386">
        <f>IF(AT129=0,"",IF(AND(AT129=1,M129="F",SUMIF(C2:C557,C129,AS2:AS557)&lt;=1),SUMIF(C2:C557,C129,AS2:AS557),IF(AND(AT129=1,M129="F",SUMIF(C2:C557,C129,AS2:AS557)&gt;1),1,"")))</f>
        <v>1</v>
      </c>
      <c r="AV129" s="386" t="str">
        <f>IF(AT129=0,"",IF(AND(AT129=3,M129="F",SUMIF(C2:C557,C129,AS2:AS557)&lt;=1),SUMIF(C2:C557,C129,AS2:AS557),IF(AND(AT129=3,M129="F",SUMIF(C2:C557,C129,AS2:AS557)&gt;1),1,"")))</f>
        <v/>
      </c>
      <c r="AW129" s="386">
        <f>SUMIF(C2:C557,C129,O2:O557)</f>
        <v>2</v>
      </c>
      <c r="AX129" s="386">
        <f>IF(AND(M129="F",AS129&lt;&gt;0),SUMIF(C2:C557,C129,W2:W557),0)</f>
        <v>34528</v>
      </c>
      <c r="AY129" s="386">
        <f t="shared" si="73"/>
        <v>31075.200000000001</v>
      </c>
      <c r="AZ129" s="386" t="str">
        <f t="shared" si="74"/>
        <v/>
      </c>
      <c r="BA129" s="386">
        <f t="shared" si="75"/>
        <v>0</v>
      </c>
      <c r="BB129" s="386">
        <f t="shared" si="44"/>
        <v>10485</v>
      </c>
      <c r="BC129" s="386">
        <f t="shared" si="45"/>
        <v>0</v>
      </c>
      <c r="BD129" s="386">
        <f t="shared" si="46"/>
        <v>1926.6623999999999</v>
      </c>
      <c r="BE129" s="386">
        <f t="shared" si="47"/>
        <v>450.59040000000005</v>
      </c>
      <c r="BF129" s="386">
        <f t="shared" si="48"/>
        <v>3710.3788800000002</v>
      </c>
      <c r="BG129" s="386">
        <f t="shared" si="49"/>
        <v>224.05219200000002</v>
      </c>
      <c r="BH129" s="386">
        <f t="shared" si="50"/>
        <v>152.26848000000001</v>
      </c>
      <c r="BI129" s="386">
        <f t="shared" si="51"/>
        <v>95.090111999999991</v>
      </c>
      <c r="BJ129" s="386">
        <f t="shared" si="52"/>
        <v>74.580479999999994</v>
      </c>
      <c r="BK129" s="386">
        <f t="shared" si="53"/>
        <v>0</v>
      </c>
      <c r="BL129" s="386">
        <f t="shared" si="76"/>
        <v>6633.6229439999997</v>
      </c>
      <c r="BM129" s="386">
        <f t="shared" si="77"/>
        <v>0</v>
      </c>
      <c r="BN129" s="386">
        <f t="shared" si="54"/>
        <v>10485</v>
      </c>
      <c r="BO129" s="386">
        <f t="shared" si="55"/>
        <v>0</v>
      </c>
      <c r="BP129" s="386">
        <f t="shared" si="56"/>
        <v>1926.6623999999999</v>
      </c>
      <c r="BQ129" s="386">
        <f t="shared" si="57"/>
        <v>450.59040000000005</v>
      </c>
      <c r="BR129" s="386">
        <f t="shared" si="58"/>
        <v>3710.3788800000002</v>
      </c>
      <c r="BS129" s="386">
        <f t="shared" si="59"/>
        <v>224.05219200000002</v>
      </c>
      <c r="BT129" s="386">
        <f t="shared" si="60"/>
        <v>0</v>
      </c>
      <c r="BU129" s="386">
        <f t="shared" si="61"/>
        <v>95.090111999999991</v>
      </c>
      <c r="BV129" s="386">
        <f t="shared" si="62"/>
        <v>77.688000000000002</v>
      </c>
      <c r="BW129" s="386">
        <f t="shared" si="63"/>
        <v>0</v>
      </c>
      <c r="BX129" s="386">
        <f t="shared" si="78"/>
        <v>6484.4619840000005</v>
      </c>
      <c r="BY129" s="386">
        <f t="shared" si="79"/>
        <v>0</v>
      </c>
      <c r="BZ129" s="386">
        <f t="shared" si="80"/>
        <v>0</v>
      </c>
      <c r="CA129" s="386">
        <f t="shared" si="81"/>
        <v>0</v>
      </c>
      <c r="CB129" s="386">
        <f t="shared" si="82"/>
        <v>0</v>
      </c>
      <c r="CC129" s="386">
        <f t="shared" si="64"/>
        <v>0</v>
      </c>
      <c r="CD129" s="386">
        <f t="shared" si="65"/>
        <v>0</v>
      </c>
      <c r="CE129" s="386">
        <f t="shared" si="66"/>
        <v>0</v>
      </c>
      <c r="CF129" s="386">
        <f t="shared" si="67"/>
        <v>-152.26848000000001</v>
      </c>
      <c r="CG129" s="386">
        <f t="shared" si="68"/>
        <v>0</v>
      </c>
      <c r="CH129" s="386">
        <f t="shared" si="69"/>
        <v>3.1075200000000081</v>
      </c>
      <c r="CI129" s="386">
        <f t="shared" si="70"/>
        <v>0</v>
      </c>
      <c r="CJ129" s="386">
        <f t="shared" si="83"/>
        <v>-149.16095999999999</v>
      </c>
      <c r="CK129" s="386" t="str">
        <f t="shared" si="84"/>
        <v/>
      </c>
      <c r="CL129" s="386" t="str">
        <f t="shared" si="85"/>
        <v/>
      </c>
      <c r="CM129" s="386" t="str">
        <f t="shared" si="86"/>
        <v/>
      </c>
      <c r="CN129" s="386" t="str">
        <f t="shared" si="87"/>
        <v>0001-00</v>
      </c>
    </row>
    <row r="130" spans="1:92" ht="15.75" thickBot="1" x14ac:dyDescent="0.3">
      <c r="A130" s="375" t="s">
        <v>161</v>
      </c>
      <c r="B130" s="375" t="s">
        <v>162</v>
      </c>
      <c r="C130" s="375" t="s">
        <v>683</v>
      </c>
      <c r="D130" s="375" t="s">
        <v>561</v>
      </c>
      <c r="E130" s="375" t="s">
        <v>165</v>
      </c>
      <c r="F130" s="376" t="s">
        <v>166</v>
      </c>
      <c r="G130" s="375" t="s">
        <v>549</v>
      </c>
      <c r="H130" s="377"/>
      <c r="I130" s="377"/>
      <c r="J130" s="375" t="s">
        <v>168</v>
      </c>
      <c r="K130" s="375" t="s">
        <v>562</v>
      </c>
      <c r="L130" s="375" t="s">
        <v>170</v>
      </c>
      <c r="M130" s="375" t="s">
        <v>177</v>
      </c>
      <c r="N130" s="375" t="s">
        <v>199</v>
      </c>
      <c r="O130" s="378">
        <v>1</v>
      </c>
      <c r="P130" s="384">
        <v>1</v>
      </c>
      <c r="Q130" s="384">
        <v>1</v>
      </c>
      <c r="R130" s="379">
        <v>80</v>
      </c>
      <c r="S130" s="384">
        <v>1</v>
      </c>
      <c r="T130" s="379">
        <v>53912.99</v>
      </c>
      <c r="U130" s="379">
        <v>0</v>
      </c>
      <c r="V130" s="379">
        <v>22307.49</v>
      </c>
      <c r="W130" s="379">
        <v>55931.199999999997</v>
      </c>
      <c r="X130" s="379">
        <v>23589.599999999999</v>
      </c>
      <c r="Y130" s="379">
        <v>55931.199999999997</v>
      </c>
      <c r="Z130" s="379">
        <v>23321.13</v>
      </c>
      <c r="AA130" s="375" t="s">
        <v>684</v>
      </c>
      <c r="AB130" s="375" t="s">
        <v>685</v>
      </c>
      <c r="AC130" s="375" t="s">
        <v>686</v>
      </c>
      <c r="AD130" s="375" t="s">
        <v>233</v>
      </c>
      <c r="AE130" s="375" t="s">
        <v>562</v>
      </c>
      <c r="AF130" s="375" t="s">
        <v>269</v>
      </c>
      <c r="AG130" s="375" t="s">
        <v>183</v>
      </c>
      <c r="AH130" s="380">
        <v>26.89</v>
      </c>
      <c r="AI130" s="380">
        <v>24267.599999999999</v>
      </c>
      <c r="AJ130" s="375" t="s">
        <v>184</v>
      </c>
      <c r="AK130" s="375" t="s">
        <v>185</v>
      </c>
      <c r="AL130" s="375" t="s">
        <v>173</v>
      </c>
      <c r="AM130" s="375" t="s">
        <v>186</v>
      </c>
      <c r="AN130" s="375" t="s">
        <v>68</v>
      </c>
      <c r="AO130" s="378">
        <v>80</v>
      </c>
      <c r="AP130" s="384">
        <v>1</v>
      </c>
      <c r="AQ130" s="384">
        <v>1</v>
      </c>
      <c r="AR130" s="383" t="s">
        <v>187</v>
      </c>
      <c r="AS130" s="386">
        <f t="shared" si="71"/>
        <v>1</v>
      </c>
      <c r="AT130">
        <f t="shared" si="72"/>
        <v>1</v>
      </c>
      <c r="AU130" s="386">
        <f>IF(AT130=0,"",IF(AND(AT130=1,M130="F",SUMIF(C2:C557,C130,AS2:AS557)&lt;=1),SUMIF(C2:C557,C130,AS2:AS557),IF(AND(AT130=1,M130="F",SUMIF(C2:C557,C130,AS2:AS557)&gt;1),1,"")))</f>
        <v>1</v>
      </c>
      <c r="AV130" s="386" t="str">
        <f>IF(AT130=0,"",IF(AND(AT130=3,M130="F",SUMIF(C2:C557,C130,AS2:AS557)&lt;=1),SUMIF(C2:C557,C130,AS2:AS557),IF(AND(AT130=3,M130="F",SUMIF(C2:C557,C130,AS2:AS557)&gt;1),1,"")))</f>
        <v/>
      </c>
      <c r="AW130" s="386">
        <f>SUMIF(C2:C557,C130,O2:O557)</f>
        <v>1</v>
      </c>
      <c r="AX130" s="386">
        <f>IF(AND(M130="F",AS130&lt;&gt;0),SUMIF(C2:C557,C130,W2:W557),0)</f>
        <v>55931.199999999997</v>
      </c>
      <c r="AY130" s="386">
        <f t="shared" si="73"/>
        <v>55931.199999999997</v>
      </c>
      <c r="AZ130" s="386" t="str">
        <f t="shared" si="74"/>
        <v/>
      </c>
      <c r="BA130" s="386">
        <f t="shared" si="75"/>
        <v>0</v>
      </c>
      <c r="BB130" s="386">
        <f t="shared" ref="BB130:BB193" si="88">IF(AND(AT130=1,AK130="E",AU130&gt;=0.75,AW130=1),Health,IF(AND(AT130=1,AK130="E",AU130&gt;=0.75),Health*P130,IF(AND(AT130=1,AK130="E",AU130&gt;=0.5,AW130=1),PTHealth,IF(AND(AT130=1,AK130="E",AU130&gt;=0.5),PTHealth*P130,0))))</f>
        <v>11650</v>
      </c>
      <c r="BC130" s="386">
        <f t="shared" ref="BC130:BC193" si="89">IF(AND(AT130=3,AK130="E",AV130&gt;=0.75,AW130=1),Health,IF(AND(AT130=3,AK130="E",AV130&gt;=0.75),Health*P130,IF(AND(AT130=3,AK130="E",AV130&gt;=0.5,AW130=1),PTHealth,IF(AND(AT130=3,AK130="E",AV130&gt;=0.5),PTHealth*P130,0))))</f>
        <v>0</v>
      </c>
      <c r="BD130" s="386">
        <f t="shared" ref="BD130:BD193" si="90">IF(AND(AT130&lt;&gt;0,AX130&gt;=MAXSSDI),SSDI*MAXSSDI*P130,IF(AT130&lt;&gt;0,SSDI*W130,0))</f>
        <v>3467.7343999999998</v>
      </c>
      <c r="BE130" s="386">
        <f t="shared" ref="BE130:BE193" si="91">IF(AT130&lt;&gt;0,SSHI*W130,0)</f>
        <v>811.00239999999997</v>
      </c>
      <c r="BF130" s="386">
        <f t="shared" ref="BF130:BF193" si="92">IF(AND(AT130&lt;&gt;0,AN130&lt;&gt;"NE"),VLOOKUP(AN130,Retirement_Rates,3,FALSE)*W130,0)</f>
        <v>6678.1852799999997</v>
      </c>
      <c r="BG130" s="386">
        <f t="shared" ref="BG130:BG193" si="93">IF(AND(AT130&lt;&gt;0,AJ130&lt;&gt;"PF"),Life*W130,0)</f>
        <v>403.26395200000002</v>
      </c>
      <c r="BH130" s="386">
        <f t="shared" ref="BH130:BH193" si="94">IF(AND(AT130&lt;&gt;0,AM130="Y"),UI*W130,0)</f>
        <v>274.06287999999995</v>
      </c>
      <c r="BI130" s="386">
        <f t="shared" ref="BI130:BI193" si="95">IF(AND(AT130&lt;&gt;0,N130&lt;&gt;"NR"),DHR*W130,0)</f>
        <v>171.14947199999997</v>
      </c>
      <c r="BJ130" s="386">
        <f t="shared" ref="BJ130:BJ193" si="96">IF(AT130&lt;&gt;0,WC*W130,0)</f>
        <v>134.23487999999998</v>
      </c>
      <c r="BK130" s="386">
        <f t="shared" ref="BK130:BK193" si="97">IF(OR(AND(AT130&lt;&gt;0,AJ130&lt;&gt;"PF",AN130&lt;&gt;"NE",AG130&lt;&gt;"A"),AND(AL130="E",OR(AT130=1,AT130=3))),Sick*W130,0)</f>
        <v>0</v>
      </c>
      <c r="BL130" s="386">
        <f t="shared" si="76"/>
        <v>11939.633263999998</v>
      </c>
      <c r="BM130" s="386">
        <f t="shared" si="77"/>
        <v>0</v>
      </c>
      <c r="BN130" s="386">
        <f t="shared" ref="BN130:BN193" si="98">IF(AND(AT130=1,AK130="E",AU130&gt;=0.75,AW130=1),HealthBY,IF(AND(AT130=1,AK130="E",AU130&gt;=0.75),HealthBY*P130,IF(AND(AT130=1,AK130="E",AU130&gt;=0.5,AW130=1),PTHealthBY,IF(AND(AT130=1,AK130="E",AU130&gt;=0.5),PTHealthBY*P130,0))))</f>
        <v>11650</v>
      </c>
      <c r="BO130" s="386">
        <f t="shared" ref="BO130:BO193" si="99">IF(AND(AT130=3,AK130="E",AV130&gt;=0.75,AW130=1),HealthBY,IF(AND(AT130=3,AK130="E",AV130&gt;=0.75),HealthBY*P130,IF(AND(AT130=3,AK130="E",AV130&gt;=0.5,AW130=1),PTHealthBY,IF(AND(AT130=3,AK130="E",AV130&gt;=0.5),PTHealthBY*P130,0))))</f>
        <v>0</v>
      </c>
      <c r="BP130" s="386">
        <f t="shared" ref="BP130:BP193" si="100">IF(AND(AT130&lt;&gt;0,(AX130+BA130)&gt;=MAXSSDIBY),SSDIBY*MAXSSDIBY*P130,IF(AT130&lt;&gt;0,SSDIBY*W130,0))</f>
        <v>3467.7343999999998</v>
      </c>
      <c r="BQ130" s="386">
        <f t="shared" ref="BQ130:BQ193" si="101">IF(AT130&lt;&gt;0,SSHIBY*W130,0)</f>
        <v>811.00239999999997</v>
      </c>
      <c r="BR130" s="386">
        <f t="shared" ref="BR130:BR193" si="102">IF(AND(AT130&lt;&gt;0,AN130&lt;&gt;"NE"),VLOOKUP(AN130,Retirement_Rates,4,FALSE)*W130,0)</f>
        <v>6678.1852799999997</v>
      </c>
      <c r="BS130" s="386">
        <f t="shared" ref="BS130:BS193" si="103">IF(AND(AT130&lt;&gt;0,AJ130&lt;&gt;"PF"),LifeBY*W130,0)</f>
        <v>403.26395200000002</v>
      </c>
      <c r="BT130" s="386">
        <f t="shared" ref="BT130:BT193" si="104">IF(AND(AT130&lt;&gt;0,AM130="Y"),UIBY*W130,0)</f>
        <v>0</v>
      </c>
      <c r="BU130" s="386">
        <f t="shared" ref="BU130:BU193" si="105">IF(AND(AT130&lt;&gt;0,N130&lt;&gt;"NR"),DHRBY*W130,0)</f>
        <v>171.14947199999997</v>
      </c>
      <c r="BV130" s="386">
        <f t="shared" ref="BV130:BV193" si="106">IF(AT130&lt;&gt;0,WCBY*W130,0)</f>
        <v>139.828</v>
      </c>
      <c r="BW130" s="386">
        <f t="shared" ref="BW130:BW193" si="107">IF(OR(AND(AT130&lt;&gt;0,AJ130&lt;&gt;"PF",AN130&lt;&gt;"NE",AG130&lt;&gt;"A"),AND(AL130="E",OR(AT130=1,AT130=3))),SickBY*W130,0)</f>
        <v>0</v>
      </c>
      <c r="BX130" s="386">
        <f t="shared" si="78"/>
        <v>11671.163503999998</v>
      </c>
      <c r="BY130" s="386">
        <f t="shared" si="79"/>
        <v>0</v>
      </c>
      <c r="BZ130" s="386">
        <f t="shared" si="80"/>
        <v>0</v>
      </c>
      <c r="CA130" s="386">
        <f t="shared" si="81"/>
        <v>0</v>
      </c>
      <c r="CB130" s="386">
        <f t="shared" si="82"/>
        <v>0</v>
      </c>
      <c r="CC130" s="386">
        <f t="shared" ref="CC130:CC193" si="108">IF(AT130&lt;&gt;0,SSHICHG*Y130,0)</f>
        <v>0</v>
      </c>
      <c r="CD130" s="386">
        <f t="shared" ref="CD130:CD193" si="109">IF(AND(AT130&lt;&gt;0,AN130&lt;&gt;"NE"),VLOOKUP(AN130,Retirement_Rates,5,FALSE)*Y130,0)</f>
        <v>0</v>
      </c>
      <c r="CE130" s="386">
        <f t="shared" ref="CE130:CE193" si="110">IF(AND(AT130&lt;&gt;0,AJ130&lt;&gt;"PF"),LifeCHG*Y130,0)</f>
        <v>0</v>
      </c>
      <c r="CF130" s="386">
        <f t="shared" ref="CF130:CF193" si="111">IF(AND(AT130&lt;&gt;0,AM130="Y"),UICHG*Y130,0)</f>
        <v>-274.06287999999995</v>
      </c>
      <c r="CG130" s="386">
        <f t="shared" ref="CG130:CG193" si="112">IF(AND(AT130&lt;&gt;0,N130&lt;&gt;"NR"),DHRCHG*Y130,0)</f>
        <v>0</v>
      </c>
      <c r="CH130" s="386">
        <f t="shared" ref="CH130:CH193" si="113">IF(AT130&lt;&gt;0,WCCHG*Y130,0)</f>
        <v>5.5931200000000141</v>
      </c>
      <c r="CI130" s="386">
        <f t="shared" ref="CI130:CI193" si="114">IF(OR(AND(AT130&lt;&gt;0,AJ130&lt;&gt;"PF",AN130&lt;&gt;"NE",AG130&lt;&gt;"A"),AND(AL130="E",OR(AT130=1,AT130=3))),SickCHG*Y130,0)</f>
        <v>0</v>
      </c>
      <c r="CJ130" s="386">
        <f t="shared" si="83"/>
        <v>-268.46975999999995</v>
      </c>
      <c r="CK130" s="386" t="str">
        <f t="shared" si="84"/>
        <v/>
      </c>
      <c r="CL130" s="386" t="str">
        <f t="shared" si="85"/>
        <v/>
      </c>
      <c r="CM130" s="386" t="str">
        <f t="shared" si="86"/>
        <v/>
      </c>
      <c r="CN130" s="386" t="str">
        <f t="shared" si="87"/>
        <v>0001-00</v>
      </c>
    </row>
    <row r="131" spans="1:92" ht="15.75" thickBot="1" x14ac:dyDescent="0.3">
      <c r="A131" s="375" t="s">
        <v>161</v>
      </c>
      <c r="B131" s="375" t="s">
        <v>162</v>
      </c>
      <c r="C131" s="375" t="s">
        <v>687</v>
      </c>
      <c r="D131" s="375" t="s">
        <v>561</v>
      </c>
      <c r="E131" s="375" t="s">
        <v>165</v>
      </c>
      <c r="F131" s="376" t="s">
        <v>166</v>
      </c>
      <c r="G131" s="375" t="s">
        <v>549</v>
      </c>
      <c r="H131" s="377"/>
      <c r="I131" s="377"/>
      <c r="J131" s="375" t="s">
        <v>168</v>
      </c>
      <c r="K131" s="375" t="s">
        <v>562</v>
      </c>
      <c r="L131" s="375" t="s">
        <v>170</v>
      </c>
      <c r="M131" s="375" t="s">
        <v>177</v>
      </c>
      <c r="N131" s="375" t="s">
        <v>199</v>
      </c>
      <c r="O131" s="378">
        <v>1</v>
      </c>
      <c r="P131" s="384">
        <v>1</v>
      </c>
      <c r="Q131" s="384">
        <v>1</v>
      </c>
      <c r="R131" s="379">
        <v>80</v>
      </c>
      <c r="S131" s="384">
        <v>1</v>
      </c>
      <c r="T131" s="379">
        <v>11676</v>
      </c>
      <c r="U131" s="379">
        <v>0</v>
      </c>
      <c r="V131" s="379">
        <v>5324.18</v>
      </c>
      <c r="W131" s="379">
        <v>44304</v>
      </c>
      <c r="X131" s="379">
        <v>21107.53</v>
      </c>
      <c r="Y131" s="379">
        <v>44304</v>
      </c>
      <c r="Z131" s="379">
        <v>20894.89</v>
      </c>
      <c r="AA131" s="375" t="s">
        <v>688</v>
      </c>
      <c r="AB131" s="375" t="s">
        <v>689</v>
      </c>
      <c r="AC131" s="375" t="s">
        <v>690</v>
      </c>
      <c r="AD131" s="375" t="s">
        <v>181</v>
      </c>
      <c r="AE131" s="375" t="s">
        <v>550</v>
      </c>
      <c r="AF131" s="375" t="s">
        <v>245</v>
      </c>
      <c r="AG131" s="375" t="s">
        <v>183</v>
      </c>
      <c r="AH131" s="380">
        <v>21.3</v>
      </c>
      <c r="AI131" s="378">
        <v>640</v>
      </c>
      <c r="AJ131" s="375" t="s">
        <v>184</v>
      </c>
      <c r="AK131" s="375" t="s">
        <v>185</v>
      </c>
      <c r="AL131" s="375" t="s">
        <v>173</v>
      </c>
      <c r="AM131" s="375" t="s">
        <v>186</v>
      </c>
      <c r="AN131" s="375" t="s">
        <v>68</v>
      </c>
      <c r="AO131" s="378">
        <v>80</v>
      </c>
      <c r="AP131" s="384">
        <v>1</v>
      </c>
      <c r="AQ131" s="384">
        <v>1</v>
      </c>
      <c r="AR131" s="383">
        <v>3</v>
      </c>
      <c r="AS131" s="386">
        <f t="shared" ref="AS131:AS194" si="115">IF(((AO131/80)*AP131*P131)&gt;1,AQ131,((AO131/80)*AP131*P131))</f>
        <v>1</v>
      </c>
      <c r="AT131">
        <f t="shared" ref="AT131:AT194" si="116">IF(AND(M131="F",N131&lt;&gt;"NG",AS131&lt;&gt;0,AND(AR131&lt;&gt;6,AR131&lt;&gt;36,AR131&lt;&gt;56),AG131&lt;&gt;"A",OR(AG131="H",AJ131="FS")),1,IF(AND(M131="F",N131&lt;&gt;"NG",AS131&lt;&gt;0,AG131="A"),3,0))</f>
        <v>1</v>
      </c>
      <c r="AU131" s="386">
        <f>IF(AT131=0,"",IF(AND(AT131=1,M131="F",SUMIF(C2:C557,C131,AS2:AS557)&lt;=1),SUMIF(C2:C557,C131,AS2:AS557),IF(AND(AT131=1,M131="F",SUMIF(C2:C557,C131,AS2:AS557)&gt;1),1,"")))</f>
        <v>1</v>
      </c>
      <c r="AV131" s="386" t="str">
        <f>IF(AT131=0,"",IF(AND(AT131=3,M131="F",SUMIF(C2:C557,C131,AS2:AS557)&lt;=1),SUMIF(C2:C557,C131,AS2:AS557),IF(AND(AT131=3,M131="F",SUMIF(C2:C557,C131,AS2:AS557)&gt;1),1,"")))</f>
        <v/>
      </c>
      <c r="AW131" s="386">
        <f>SUMIF(C2:C557,C131,O2:O557)</f>
        <v>1</v>
      </c>
      <c r="AX131" s="386">
        <f>IF(AND(M131="F",AS131&lt;&gt;0),SUMIF(C2:C557,C131,W2:W557),0)</f>
        <v>44304</v>
      </c>
      <c r="AY131" s="386">
        <f t="shared" ref="AY131:AY194" si="117">IF(AT131=1,W131,"")</f>
        <v>44304</v>
      </c>
      <c r="AZ131" s="386" t="str">
        <f t="shared" ref="AZ131:AZ194" si="118">IF(AT131=3,W131,"")</f>
        <v/>
      </c>
      <c r="BA131" s="386">
        <f t="shared" ref="BA131:BA194" si="119">IF(AT131=1,Y131-W131,0)</f>
        <v>0</v>
      </c>
      <c r="BB131" s="386">
        <f t="shared" si="88"/>
        <v>11650</v>
      </c>
      <c r="BC131" s="386">
        <f t="shared" si="89"/>
        <v>0</v>
      </c>
      <c r="BD131" s="386">
        <f t="shared" si="90"/>
        <v>2746.848</v>
      </c>
      <c r="BE131" s="386">
        <f t="shared" si="91"/>
        <v>642.40800000000002</v>
      </c>
      <c r="BF131" s="386">
        <f t="shared" si="92"/>
        <v>5289.8976000000002</v>
      </c>
      <c r="BG131" s="386">
        <f t="shared" si="93"/>
        <v>319.43184000000002</v>
      </c>
      <c r="BH131" s="386">
        <f t="shared" si="94"/>
        <v>217.08959999999999</v>
      </c>
      <c r="BI131" s="386">
        <f t="shared" si="95"/>
        <v>135.57023999999998</v>
      </c>
      <c r="BJ131" s="386">
        <f t="shared" si="96"/>
        <v>106.32959999999999</v>
      </c>
      <c r="BK131" s="386">
        <f t="shared" si="97"/>
        <v>0</v>
      </c>
      <c r="BL131" s="386">
        <f t="shared" ref="BL131:BL194" si="120">IF(AT131=1,SUM(BD131:BK131),0)</f>
        <v>9457.5748799999965</v>
      </c>
      <c r="BM131" s="386">
        <f t="shared" ref="BM131:BM194" si="121">IF(AT131=3,SUM(BD131:BK131),0)</f>
        <v>0</v>
      </c>
      <c r="BN131" s="386">
        <f t="shared" si="98"/>
        <v>11650</v>
      </c>
      <c r="BO131" s="386">
        <f t="shared" si="99"/>
        <v>0</v>
      </c>
      <c r="BP131" s="386">
        <f t="shared" si="100"/>
        <v>2746.848</v>
      </c>
      <c r="BQ131" s="386">
        <f t="shared" si="101"/>
        <v>642.40800000000002</v>
      </c>
      <c r="BR131" s="386">
        <f t="shared" si="102"/>
        <v>5289.8976000000002</v>
      </c>
      <c r="BS131" s="386">
        <f t="shared" si="103"/>
        <v>319.43184000000002</v>
      </c>
      <c r="BT131" s="386">
        <f t="shared" si="104"/>
        <v>0</v>
      </c>
      <c r="BU131" s="386">
        <f t="shared" si="105"/>
        <v>135.57023999999998</v>
      </c>
      <c r="BV131" s="386">
        <f t="shared" si="106"/>
        <v>110.76</v>
      </c>
      <c r="BW131" s="386">
        <f t="shared" si="107"/>
        <v>0</v>
      </c>
      <c r="BX131" s="386">
        <f t="shared" ref="BX131:BX194" si="122">IF(AT131=1,SUM(BP131:BW131),0)</f>
        <v>9244.9156799999982</v>
      </c>
      <c r="BY131" s="386">
        <f t="shared" ref="BY131:BY194" si="123">IF(AT131=3,SUM(BP131:BW131),0)</f>
        <v>0</v>
      </c>
      <c r="BZ131" s="386">
        <f t="shared" ref="BZ131:BZ194" si="124">IF(AT131=1,BN131-BB131,0)</f>
        <v>0</v>
      </c>
      <c r="CA131" s="386">
        <f t="shared" ref="CA131:CA194" si="125">IF(AT131=3,BO131-BC131,0)</f>
        <v>0</v>
      </c>
      <c r="CB131" s="386">
        <f t="shared" ref="CB131:CB194" si="126">BP131-BD131</f>
        <v>0</v>
      </c>
      <c r="CC131" s="386">
        <f t="shared" si="108"/>
        <v>0</v>
      </c>
      <c r="CD131" s="386">
        <f t="shared" si="109"/>
        <v>0</v>
      </c>
      <c r="CE131" s="386">
        <f t="shared" si="110"/>
        <v>0</v>
      </c>
      <c r="CF131" s="386">
        <f t="shared" si="111"/>
        <v>-217.08959999999999</v>
      </c>
      <c r="CG131" s="386">
        <f t="shared" si="112"/>
        <v>0</v>
      </c>
      <c r="CH131" s="386">
        <f t="shared" si="113"/>
        <v>4.4304000000000112</v>
      </c>
      <c r="CI131" s="386">
        <f t="shared" si="114"/>
        <v>0</v>
      </c>
      <c r="CJ131" s="386">
        <f t="shared" ref="CJ131:CJ194" si="127">IF(AT131=1,SUM(CB131:CI131),0)</f>
        <v>-212.65919999999997</v>
      </c>
      <c r="CK131" s="386" t="str">
        <f t="shared" ref="CK131:CK194" si="128">IF(AT131=3,SUM(CB131:CI131),"")</f>
        <v/>
      </c>
      <c r="CL131" s="386" t="str">
        <f t="shared" ref="CL131:CL194" si="129">IF(OR(N131="NG",AG131="D"),(T131+U131),"")</f>
        <v/>
      </c>
      <c r="CM131" s="386" t="str">
        <f t="shared" ref="CM131:CM194" si="130">IF(OR(N131="NG",AG131="D"),V131,"")</f>
        <v/>
      </c>
      <c r="CN131" s="386" t="str">
        <f t="shared" ref="CN131:CN194" si="131">E131 &amp; "-" &amp; F131</f>
        <v>0001-00</v>
      </c>
    </row>
    <row r="132" spans="1:92" ht="15.75" thickBot="1" x14ac:dyDescent="0.3">
      <c r="A132" s="375" t="s">
        <v>161</v>
      </c>
      <c r="B132" s="375" t="s">
        <v>162</v>
      </c>
      <c r="C132" s="375" t="s">
        <v>691</v>
      </c>
      <c r="D132" s="375" t="s">
        <v>561</v>
      </c>
      <c r="E132" s="375" t="s">
        <v>165</v>
      </c>
      <c r="F132" s="376" t="s">
        <v>166</v>
      </c>
      <c r="G132" s="375" t="s">
        <v>549</v>
      </c>
      <c r="H132" s="377"/>
      <c r="I132" s="377"/>
      <c r="J132" s="375" t="s">
        <v>168</v>
      </c>
      <c r="K132" s="375" t="s">
        <v>562</v>
      </c>
      <c r="L132" s="375" t="s">
        <v>170</v>
      </c>
      <c r="M132" s="375" t="s">
        <v>177</v>
      </c>
      <c r="N132" s="375" t="s">
        <v>199</v>
      </c>
      <c r="O132" s="378">
        <v>1</v>
      </c>
      <c r="P132" s="384">
        <v>1</v>
      </c>
      <c r="Q132" s="384">
        <v>1</v>
      </c>
      <c r="R132" s="379">
        <v>80</v>
      </c>
      <c r="S132" s="384">
        <v>1</v>
      </c>
      <c r="T132" s="379">
        <v>50458.51</v>
      </c>
      <c r="U132" s="379">
        <v>0</v>
      </c>
      <c r="V132" s="379">
        <v>21594.34</v>
      </c>
      <c r="W132" s="379">
        <v>51792</v>
      </c>
      <c r="X132" s="379">
        <v>22706.02</v>
      </c>
      <c r="Y132" s="379">
        <v>51792</v>
      </c>
      <c r="Z132" s="379">
        <v>22457.42</v>
      </c>
      <c r="AA132" s="375" t="s">
        <v>692</v>
      </c>
      <c r="AB132" s="375" t="s">
        <v>693</v>
      </c>
      <c r="AC132" s="375" t="s">
        <v>694</v>
      </c>
      <c r="AD132" s="375" t="s">
        <v>170</v>
      </c>
      <c r="AE132" s="375" t="s">
        <v>562</v>
      </c>
      <c r="AF132" s="375" t="s">
        <v>269</v>
      </c>
      <c r="AG132" s="375" t="s">
        <v>183</v>
      </c>
      <c r="AH132" s="380">
        <v>24.9</v>
      </c>
      <c r="AI132" s="380">
        <v>16907.400000000001</v>
      </c>
      <c r="AJ132" s="375" t="s">
        <v>184</v>
      </c>
      <c r="AK132" s="375" t="s">
        <v>185</v>
      </c>
      <c r="AL132" s="375" t="s">
        <v>173</v>
      </c>
      <c r="AM132" s="375" t="s">
        <v>186</v>
      </c>
      <c r="AN132" s="375" t="s">
        <v>68</v>
      </c>
      <c r="AO132" s="378">
        <v>80</v>
      </c>
      <c r="AP132" s="384">
        <v>1</v>
      </c>
      <c r="AQ132" s="384">
        <v>1</v>
      </c>
      <c r="AR132" s="383" t="s">
        <v>187</v>
      </c>
      <c r="AS132" s="386">
        <f t="shared" si="115"/>
        <v>1</v>
      </c>
      <c r="AT132">
        <f t="shared" si="116"/>
        <v>1</v>
      </c>
      <c r="AU132" s="386">
        <f>IF(AT132=0,"",IF(AND(AT132=1,M132="F",SUMIF(C2:C557,C132,AS2:AS557)&lt;=1),SUMIF(C2:C557,C132,AS2:AS557),IF(AND(AT132=1,M132="F",SUMIF(C2:C557,C132,AS2:AS557)&gt;1),1,"")))</f>
        <v>1</v>
      </c>
      <c r="AV132" s="386" t="str">
        <f>IF(AT132=0,"",IF(AND(AT132=3,M132="F",SUMIF(C2:C557,C132,AS2:AS557)&lt;=1),SUMIF(C2:C557,C132,AS2:AS557),IF(AND(AT132=3,M132="F",SUMIF(C2:C557,C132,AS2:AS557)&gt;1),1,"")))</f>
        <v/>
      </c>
      <c r="AW132" s="386">
        <f>SUMIF(C2:C557,C132,O2:O557)</f>
        <v>1</v>
      </c>
      <c r="AX132" s="386">
        <f>IF(AND(M132="F",AS132&lt;&gt;0),SUMIF(C2:C557,C132,W2:W557),0)</f>
        <v>51792</v>
      </c>
      <c r="AY132" s="386">
        <f t="shared" si="117"/>
        <v>51792</v>
      </c>
      <c r="AZ132" s="386" t="str">
        <f t="shared" si="118"/>
        <v/>
      </c>
      <c r="BA132" s="386">
        <f t="shared" si="119"/>
        <v>0</v>
      </c>
      <c r="BB132" s="386">
        <f t="shared" si="88"/>
        <v>11650</v>
      </c>
      <c r="BC132" s="386">
        <f t="shared" si="89"/>
        <v>0</v>
      </c>
      <c r="BD132" s="386">
        <f t="shared" si="90"/>
        <v>3211.1039999999998</v>
      </c>
      <c r="BE132" s="386">
        <f t="shared" si="91"/>
        <v>750.98400000000004</v>
      </c>
      <c r="BF132" s="386">
        <f t="shared" si="92"/>
        <v>6183.9648000000007</v>
      </c>
      <c r="BG132" s="386">
        <f t="shared" si="93"/>
        <v>373.42032</v>
      </c>
      <c r="BH132" s="386">
        <f t="shared" si="94"/>
        <v>253.7808</v>
      </c>
      <c r="BI132" s="386">
        <f t="shared" si="95"/>
        <v>158.48352</v>
      </c>
      <c r="BJ132" s="386">
        <f t="shared" si="96"/>
        <v>124.3008</v>
      </c>
      <c r="BK132" s="386">
        <f t="shared" si="97"/>
        <v>0</v>
      </c>
      <c r="BL132" s="386">
        <f t="shared" si="120"/>
        <v>11056.038240000002</v>
      </c>
      <c r="BM132" s="386">
        <f t="shared" si="121"/>
        <v>0</v>
      </c>
      <c r="BN132" s="386">
        <f t="shared" si="98"/>
        <v>11650</v>
      </c>
      <c r="BO132" s="386">
        <f t="shared" si="99"/>
        <v>0</v>
      </c>
      <c r="BP132" s="386">
        <f t="shared" si="100"/>
        <v>3211.1039999999998</v>
      </c>
      <c r="BQ132" s="386">
        <f t="shared" si="101"/>
        <v>750.98400000000004</v>
      </c>
      <c r="BR132" s="386">
        <f t="shared" si="102"/>
        <v>6183.9648000000007</v>
      </c>
      <c r="BS132" s="386">
        <f t="shared" si="103"/>
        <v>373.42032</v>
      </c>
      <c r="BT132" s="386">
        <f t="shared" si="104"/>
        <v>0</v>
      </c>
      <c r="BU132" s="386">
        <f t="shared" si="105"/>
        <v>158.48352</v>
      </c>
      <c r="BV132" s="386">
        <f t="shared" si="106"/>
        <v>129.47999999999999</v>
      </c>
      <c r="BW132" s="386">
        <f t="shared" si="107"/>
        <v>0</v>
      </c>
      <c r="BX132" s="386">
        <f t="shared" si="122"/>
        <v>10807.43664</v>
      </c>
      <c r="BY132" s="386">
        <f t="shared" si="123"/>
        <v>0</v>
      </c>
      <c r="BZ132" s="386">
        <f t="shared" si="124"/>
        <v>0</v>
      </c>
      <c r="CA132" s="386">
        <f t="shared" si="125"/>
        <v>0</v>
      </c>
      <c r="CB132" s="386">
        <f t="shared" si="126"/>
        <v>0</v>
      </c>
      <c r="CC132" s="386">
        <f t="shared" si="108"/>
        <v>0</v>
      </c>
      <c r="CD132" s="386">
        <f t="shared" si="109"/>
        <v>0</v>
      </c>
      <c r="CE132" s="386">
        <f t="shared" si="110"/>
        <v>0</v>
      </c>
      <c r="CF132" s="386">
        <f t="shared" si="111"/>
        <v>-253.7808</v>
      </c>
      <c r="CG132" s="386">
        <f t="shared" si="112"/>
        <v>0</v>
      </c>
      <c r="CH132" s="386">
        <f t="shared" si="113"/>
        <v>5.179200000000014</v>
      </c>
      <c r="CI132" s="386">
        <f t="shared" si="114"/>
        <v>0</v>
      </c>
      <c r="CJ132" s="386">
        <f t="shared" si="127"/>
        <v>-248.60159999999999</v>
      </c>
      <c r="CK132" s="386" t="str">
        <f t="shared" si="128"/>
        <v/>
      </c>
      <c r="CL132" s="386" t="str">
        <f t="shared" si="129"/>
        <v/>
      </c>
      <c r="CM132" s="386" t="str">
        <f t="shared" si="130"/>
        <v/>
      </c>
      <c r="CN132" s="386" t="str">
        <f t="shared" si="131"/>
        <v>0001-00</v>
      </c>
    </row>
    <row r="133" spans="1:92" ht="15.75" thickBot="1" x14ac:dyDescent="0.3">
      <c r="A133" s="375" t="s">
        <v>161</v>
      </c>
      <c r="B133" s="375" t="s">
        <v>162</v>
      </c>
      <c r="C133" s="375" t="s">
        <v>695</v>
      </c>
      <c r="D133" s="375" t="s">
        <v>555</v>
      </c>
      <c r="E133" s="375" t="s">
        <v>165</v>
      </c>
      <c r="F133" s="376" t="s">
        <v>166</v>
      </c>
      <c r="G133" s="375" t="s">
        <v>549</v>
      </c>
      <c r="H133" s="377"/>
      <c r="I133" s="377"/>
      <c r="J133" s="375" t="s">
        <v>168</v>
      </c>
      <c r="K133" s="375" t="s">
        <v>556</v>
      </c>
      <c r="L133" s="375" t="s">
        <v>220</v>
      </c>
      <c r="M133" s="375" t="s">
        <v>177</v>
      </c>
      <c r="N133" s="375" t="s">
        <v>199</v>
      </c>
      <c r="O133" s="378">
        <v>1</v>
      </c>
      <c r="P133" s="384">
        <v>1</v>
      </c>
      <c r="Q133" s="384">
        <v>1</v>
      </c>
      <c r="R133" s="379">
        <v>80</v>
      </c>
      <c r="S133" s="384">
        <v>1</v>
      </c>
      <c r="T133" s="379">
        <v>64363.75</v>
      </c>
      <c r="U133" s="379">
        <v>0</v>
      </c>
      <c r="V133" s="379">
        <v>24719.279999999999</v>
      </c>
      <c r="W133" s="379">
        <v>66684.800000000003</v>
      </c>
      <c r="X133" s="379">
        <v>25885.16</v>
      </c>
      <c r="Y133" s="379">
        <v>66684.800000000003</v>
      </c>
      <c r="Z133" s="379">
        <v>25565.08</v>
      </c>
      <c r="AA133" s="375" t="s">
        <v>696</v>
      </c>
      <c r="AB133" s="375" t="s">
        <v>697</v>
      </c>
      <c r="AC133" s="375" t="s">
        <v>698</v>
      </c>
      <c r="AD133" s="375" t="s">
        <v>185</v>
      </c>
      <c r="AE133" s="375" t="s">
        <v>556</v>
      </c>
      <c r="AF133" s="375" t="s">
        <v>252</v>
      </c>
      <c r="AG133" s="375" t="s">
        <v>183</v>
      </c>
      <c r="AH133" s="380">
        <v>32.06</v>
      </c>
      <c r="AI133" s="380">
        <v>29254.3</v>
      </c>
      <c r="AJ133" s="375" t="s">
        <v>184</v>
      </c>
      <c r="AK133" s="375" t="s">
        <v>185</v>
      </c>
      <c r="AL133" s="375" t="s">
        <v>173</v>
      </c>
      <c r="AM133" s="375" t="s">
        <v>186</v>
      </c>
      <c r="AN133" s="375" t="s">
        <v>68</v>
      </c>
      <c r="AO133" s="378">
        <v>80</v>
      </c>
      <c r="AP133" s="384">
        <v>1</v>
      </c>
      <c r="AQ133" s="384">
        <v>1</v>
      </c>
      <c r="AR133" s="383" t="s">
        <v>187</v>
      </c>
      <c r="AS133" s="386">
        <f t="shared" si="115"/>
        <v>1</v>
      </c>
      <c r="AT133">
        <f t="shared" si="116"/>
        <v>1</v>
      </c>
      <c r="AU133" s="386">
        <f>IF(AT133=0,"",IF(AND(AT133=1,M133="F",SUMIF(C2:C557,C133,AS2:AS557)&lt;=1),SUMIF(C2:C557,C133,AS2:AS557),IF(AND(AT133=1,M133="F",SUMIF(C2:C557,C133,AS2:AS557)&gt;1),1,"")))</f>
        <v>1</v>
      </c>
      <c r="AV133" s="386" t="str">
        <f>IF(AT133=0,"",IF(AND(AT133=3,M133="F",SUMIF(C2:C557,C133,AS2:AS557)&lt;=1),SUMIF(C2:C557,C133,AS2:AS557),IF(AND(AT133=3,M133="F",SUMIF(C2:C557,C133,AS2:AS557)&gt;1),1,"")))</f>
        <v/>
      </c>
      <c r="AW133" s="386">
        <f>SUMIF(C2:C557,C133,O2:O557)</f>
        <v>1</v>
      </c>
      <c r="AX133" s="386">
        <f>IF(AND(M133="F",AS133&lt;&gt;0),SUMIF(C2:C557,C133,W2:W557),0)</f>
        <v>66684.800000000003</v>
      </c>
      <c r="AY133" s="386">
        <f t="shared" si="117"/>
        <v>66684.800000000003</v>
      </c>
      <c r="AZ133" s="386" t="str">
        <f t="shared" si="118"/>
        <v/>
      </c>
      <c r="BA133" s="386">
        <f t="shared" si="119"/>
        <v>0</v>
      </c>
      <c r="BB133" s="386">
        <f t="shared" si="88"/>
        <v>11650</v>
      </c>
      <c r="BC133" s="386">
        <f t="shared" si="89"/>
        <v>0</v>
      </c>
      <c r="BD133" s="386">
        <f t="shared" si="90"/>
        <v>4134.4575999999997</v>
      </c>
      <c r="BE133" s="386">
        <f t="shared" si="91"/>
        <v>966.92960000000005</v>
      </c>
      <c r="BF133" s="386">
        <f t="shared" si="92"/>
        <v>7962.1651200000006</v>
      </c>
      <c r="BG133" s="386">
        <f t="shared" si="93"/>
        <v>480.79740800000002</v>
      </c>
      <c r="BH133" s="386">
        <f t="shared" si="94"/>
        <v>326.75551999999999</v>
      </c>
      <c r="BI133" s="386">
        <f t="shared" si="95"/>
        <v>204.055488</v>
      </c>
      <c r="BJ133" s="386">
        <f t="shared" si="96"/>
        <v>160.04352</v>
      </c>
      <c r="BK133" s="386">
        <f t="shared" si="97"/>
        <v>0</v>
      </c>
      <c r="BL133" s="386">
        <f t="shared" si="120"/>
        <v>14235.204256000001</v>
      </c>
      <c r="BM133" s="386">
        <f t="shared" si="121"/>
        <v>0</v>
      </c>
      <c r="BN133" s="386">
        <f t="shared" si="98"/>
        <v>11650</v>
      </c>
      <c r="BO133" s="386">
        <f t="shared" si="99"/>
        <v>0</v>
      </c>
      <c r="BP133" s="386">
        <f t="shared" si="100"/>
        <v>4134.4575999999997</v>
      </c>
      <c r="BQ133" s="386">
        <f t="shared" si="101"/>
        <v>966.92960000000005</v>
      </c>
      <c r="BR133" s="386">
        <f t="shared" si="102"/>
        <v>7962.1651200000006</v>
      </c>
      <c r="BS133" s="386">
        <f t="shared" si="103"/>
        <v>480.79740800000002</v>
      </c>
      <c r="BT133" s="386">
        <f t="shared" si="104"/>
        <v>0</v>
      </c>
      <c r="BU133" s="386">
        <f t="shared" si="105"/>
        <v>204.055488</v>
      </c>
      <c r="BV133" s="386">
        <f t="shared" si="106"/>
        <v>166.71200000000002</v>
      </c>
      <c r="BW133" s="386">
        <f t="shared" si="107"/>
        <v>0</v>
      </c>
      <c r="BX133" s="386">
        <f t="shared" si="122"/>
        <v>13915.117216000001</v>
      </c>
      <c r="BY133" s="386">
        <f t="shared" si="123"/>
        <v>0</v>
      </c>
      <c r="BZ133" s="386">
        <f t="shared" si="124"/>
        <v>0</v>
      </c>
      <c r="CA133" s="386">
        <f t="shared" si="125"/>
        <v>0</v>
      </c>
      <c r="CB133" s="386">
        <f t="shared" si="126"/>
        <v>0</v>
      </c>
      <c r="CC133" s="386">
        <f t="shared" si="108"/>
        <v>0</v>
      </c>
      <c r="CD133" s="386">
        <f t="shared" si="109"/>
        <v>0</v>
      </c>
      <c r="CE133" s="386">
        <f t="shared" si="110"/>
        <v>0</v>
      </c>
      <c r="CF133" s="386">
        <f t="shared" si="111"/>
        <v>-326.75551999999999</v>
      </c>
      <c r="CG133" s="386">
        <f t="shared" si="112"/>
        <v>0</v>
      </c>
      <c r="CH133" s="386">
        <f t="shared" si="113"/>
        <v>6.6684800000000175</v>
      </c>
      <c r="CI133" s="386">
        <f t="shared" si="114"/>
        <v>0</v>
      </c>
      <c r="CJ133" s="386">
        <f t="shared" si="127"/>
        <v>-320.08703999999994</v>
      </c>
      <c r="CK133" s="386" t="str">
        <f t="shared" si="128"/>
        <v/>
      </c>
      <c r="CL133" s="386" t="str">
        <f t="shared" si="129"/>
        <v/>
      </c>
      <c r="CM133" s="386" t="str">
        <f t="shared" si="130"/>
        <v/>
      </c>
      <c r="CN133" s="386" t="str">
        <f t="shared" si="131"/>
        <v>0001-00</v>
      </c>
    </row>
    <row r="134" spans="1:92" ht="15.75" thickBot="1" x14ac:dyDescent="0.3">
      <c r="A134" s="375" t="s">
        <v>161</v>
      </c>
      <c r="B134" s="375" t="s">
        <v>162</v>
      </c>
      <c r="C134" s="375" t="s">
        <v>699</v>
      </c>
      <c r="D134" s="375" t="s">
        <v>611</v>
      </c>
      <c r="E134" s="375" t="s">
        <v>165</v>
      </c>
      <c r="F134" s="376" t="s">
        <v>166</v>
      </c>
      <c r="G134" s="375" t="s">
        <v>549</v>
      </c>
      <c r="H134" s="377"/>
      <c r="I134" s="377"/>
      <c r="J134" s="375" t="s">
        <v>218</v>
      </c>
      <c r="K134" s="375" t="s">
        <v>612</v>
      </c>
      <c r="L134" s="375" t="s">
        <v>316</v>
      </c>
      <c r="M134" s="375" t="s">
        <v>177</v>
      </c>
      <c r="N134" s="375" t="s">
        <v>199</v>
      </c>
      <c r="O134" s="378">
        <v>1</v>
      </c>
      <c r="P134" s="384">
        <v>0.35</v>
      </c>
      <c r="Q134" s="384">
        <v>0.35</v>
      </c>
      <c r="R134" s="379">
        <v>80</v>
      </c>
      <c r="S134" s="384">
        <v>0.35</v>
      </c>
      <c r="T134" s="379">
        <v>31669.68</v>
      </c>
      <c r="U134" s="379">
        <v>0</v>
      </c>
      <c r="V134" s="379">
        <v>10576.39</v>
      </c>
      <c r="W134" s="379">
        <v>32840.080000000002</v>
      </c>
      <c r="X134" s="379">
        <v>11087.85</v>
      </c>
      <c r="Y134" s="379">
        <v>32840.080000000002</v>
      </c>
      <c r="Z134" s="379">
        <v>10930.22</v>
      </c>
      <c r="AA134" s="375" t="s">
        <v>700</v>
      </c>
      <c r="AB134" s="375" t="s">
        <v>701</v>
      </c>
      <c r="AC134" s="375" t="s">
        <v>257</v>
      </c>
      <c r="AD134" s="375" t="s">
        <v>351</v>
      </c>
      <c r="AE134" s="375" t="s">
        <v>612</v>
      </c>
      <c r="AF134" s="375" t="s">
        <v>374</v>
      </c>
      <c r="AG134" s="375" t="s">
        <v>183</v>
      </c>
      <c r="AH134" s="380">
        <v>45.11</v>
      </c>
      <c r="AI134" s="378">
        <v>64640</v>
      </c>
      <c r="AJ134" s="375" t="s">
        <v>184</v>
      </c>
      <c r="AK134" s="375" t="s">
        <v>185</v>
      </c>
      <c r="AL134" s="375" t="s">
        <v>173</v>
      </c>
      <c r="AM134" s="375" t="s">
        <v>186</v>
      </c>
      <c r="AN134" s="375" t="s">
        <v>68</v>
      </c>
      <c r="AO134" s="378">
        <v>80</v>
      </c>
      <c r="AP134" s="384">
        <v>1</v>
      </c>
      <c r="AQ134" s="384">
        <v>0.35</v>
      </c>
      <c r="AR134" s="383" t="s">
        <v>187</v>
      </c>
      <c r="AS134" s="386">
        <f t="shared" si="115"/>
        <v>0.35</v>
      </c>
      <c r="AT134">
        <f t="shared" si="116"/>
        <v>1</v>
      </c>
      <c r="AU134" s="386">
        <f>IF(AT134=0,"",IF(AND(AT134=1,M134="F",SUMIF(C2:C557,C134,AS2:AS557)&lt;=1),SUMIF(C2:C557,C134,AS2:AS557),IF(AND(AT134=1,M134="F",SUMIF(C2:C557,C134,AS2:AS557)&gt;1),1,"")))</f>
        <v>1</v>
      </c>
      <c r="AV134" s="386" t="str">
        <f>IF(AT134=0,"",IF(AND(AT134=3,M134="F",SUMIF(C2:C557,C134,AS2:AS557)&lt;=1),SUMIF(C2:C557,C134,AS2:AS557),IF(AND(AT134=3,M134="F",SUMIF(C2:C557,C134,AS2:AS557)&gt;1),1,"")))</f>
        <v/>
      </c>
      <c r="AW134" s="386">
        <f>SUMIF(C2:C557,C134,O2:O557)</f>
        <v>2</v>
      </c>
      <c r="AX134" s="386">
        <f>IF(AND(M134="F",AS134&lt;&gt;0),SUMIF(C2:C557,C134,W2:W557),0)</f>
        <v>93828.800000000003</v>
      </c>
      <c r="AY134" s="386">
        <f t="shared" si="117"/>
        <v>32840.080000000002</v>
      </c>
      <c r="AZ134" s="386" t="str">
        <f t="shared" si="118"/>
        <v/>
      </c>
      <c r="BA134" s="386">
        <f t="shared" si="119"/>
        <v>0</v>
      </c>
      <c r="BB134" s="386">
        <f t="shared" si="88"/>
        <v>4077.4999999999995</v>
      </c>
      <c r="BC134" s="386">
        <f t="shared" si="89"/>
        <v>0</v>
      </c>
      <c r="BD134" s="386">
        <f t="shared" si="90"/>
        <v>2036.0849600000001</v>
      </c>
      <c r="BE134" s="386">
        <f t="shared" si="91"/>
        <v>476.18116000000003</v>
      </c>
      <c r="BF134" s="386">
        <f t="shared" si="92"/>
        <v>3921.1055520000004</v>
      </c>
      <c r="BG134" s="386">
        <f t="shared" si="93"/>
        <v>236.77697680000003</v>
      </c>
      <c r="BH134" s="386">
        <f t="shared" si="94"/>
        <v>160.916392</v>
      </c>
      <c r="BI134" s="386">
        <f t="shared" si="95"/>
        <v>100.4906448</v>
      </c>
      <c r="BJ134" s="386">
        <f t="shared" si="96"/>
        <v>78.816192000000001</v>
      </c>
      <c r="BK134" s="386">
        <f t="shared" si="97"/>
        <v>0</v>
      </c>
      <c r="BL134" s="386">
        <f t="shared" si="120"/>
        <v>7010.3718776000014</v>
      </c>
      <c r="BM134" s="386">
        <f t="shared" si="121"/>
        <v>0</v>
      </c>
      <c r="BN134" s="386">
        <f t="shared" si="98"/>
        <v>4077.4999999999995</v>
      </c>
      <c r="BO134" s="386">
        <f t="shared" si="99"/>
        <v>0</v>
      </c>
      <c r="BP134" s="386">
        <f t="shared" si="100"/>
        <v>2036.0849600000001</v>
      </c>
      <c r="BQ134" s="386">
        <f t="shared" si="101"/>
        <v>476.18116000000003</v>
      </c>
      <c r="BR134" s="386">
        <f t="shared" si="102"/>
        <v>3921.1055520000004</v>
      </c>
      <c r="BS134" s="386">
        <f t="shared" si="103"/>
        <v>236.77697680000003</v>
      </c>
      <c r="BT134" s="386">
        <f t="shared" si="104"/>
        <v>0</v>
      </c>
      <c r="BU134" s="386">
        <f t="shared" si="105"/>
        <v>100.4906448</v>
      </c>
      <c r="BV134" s="386">
        <f t="shared" si="106"/>
        <v>82.100200000000001</v>
      </c>
      <c r="BW134" s="386">
        <f t="shared" si="107"/>
        <v>0</v>
      </c>
      <c r="BX134" s="386">
        <f t="shared" si="122"/>
        <v>6852.739493600001</v>
      </c>
      <c r="BY134" s="386">
        <f t="shared" si="123"/>
        <v>0</v>
      </c>
      <c r="BZ134" s="386">
        <f t="shared" si="124"/>
        <v>0</v>
      </c>
      <c r="CA134" s="386">
        <f t="shared" si="125"/>
        <v>0</v>
      </c>
      <c r="CB134" s="386">
        <f t="shared" si="126"/>
        <v>0</v>
      </c>
      <c r="CC134" s="386">
        <f t="shared" si="108"/>
        <v>0</v>
      </c>
      <c r="CD134" s="386">
        <f t="shared" si="109"/>
        <v>0</v>
      </c>
      <c r="CE134" s="386">
        <f t="shared" si="110"/>
        <v>0</v>
      </c>
      <c r="CF134" s="386">
        <f t="shared" si="111"/>
        <v>-160.916392</v>
      </c>
      <c r="CG134" s="386">
        <f t="shared" si="112"/>
        <v>0</v>
      </c>
      <c r="CH134" s="386">
        <f t="shared" si="113"/>
        <v>3.2840080000000089</v>
      </c>
      <c r="CI134" s="386">
        <f t="shared" si="114"/>
        <v>0</v>
      </c>
      <c r="CJ134" s="386">
        <f t="shared" si="127"/>
        <v>-157.632384</v>
      </c>
      <c r="CK134" s="386" t="str">
        <f t="shared" si="128"/>
        <v/>
      </c>
      <c r="CL134" s="386" t="str">
        <f t="shared" si="129"/>
        <v/>
      </c>
      <c r="CM134" s="386" t="str">
        <f t="shared" si="130"/>
        <v/>
      </c>
      <c r="CN134" s="386" t="str">
        <f t="shared" si="131"/>
        <v>0001-00</v>
      </c>
    </row>
    <row r="135" spans="1:92" ht="15.75" thickBot="1" x14ac:dyDescent="0.3">
      <c r="A135" s="375" t="s">
        <v>161</v>
      </c>
      <c r="B135" s="375" t="s">
        <v>162</v>
      </c>
      <c r="C135" s="375" t="s">
        <v>702</v>
      </c>
      <c r="D135" s="375" t="s">
        <v>555</v>
      </c>
      <c r="E135" s="375" t="s">
        <v>165</v>
      </c>
      <c r="F135" s="376" t="s">
        <v>166</v>
      </c>
      <c r="G135" s="375" t="s">
        <v>549</v>
      </c>
      <c r="H135" s="377"/>
      <c r="I135" s="377"/>
      <c r="J135" s="375" t="s">
        <v>168</v>
      </c>
      <c r="K135" s="375" t="s">
        <v>556</v>
      </c>
      <c r="L135" s="375" t="s">
        <v>220</v>
      </c>
      <c r="M135" s="375" t="s">
        <v>177</v>
      </c>
      <c r="N135" s="375" t="s">
        <v>199</v>
      </c>
      <c r="O135" s="378">
        <v>1</v>
      </c>
      <c r="P135" s="384">
        <v>1</v>
      </c>
      <c r="Q135" s="384">
        <v>1</v>
      </c>
      <c r="R135" s="379">
        <v>80</v>
      </c>
      <c r="S135" s="384">
        <v>1</v>
      </c>
      <c r="T135" s="379">
        <v>53313.97</v>
      </c>
      <c r="U135" s="379">
        <v>0</v>
      </c>
      <c r="V135" s="379">
        <v>22322.75</v>
      </c>
      <c r="W135" s="379">
        <v>57408</v>
      </c>
      <c r="X135" s="379">
        <v>23904.84</v>
      </c>
      <c r="Y135" s="379">
        <v>57408</v>
      </c>
      <c r="Z135" s="379">
        <v>23629.3</v>
      </c>
      <c r="AA135" s="375" t="s">
        <v>703</v>
      </c>
      <c r="AB135" s="375" t="s">
        <v>704</v>
      </c>
      <c r="AC135" s="375" t="s">
        <v>705</v>
      </c>
      <c r="AD135" s="375" t="s">
        <v>220</v>
      </c>
      <c r="AE135" s="375" t="s">
        <v>556</v>
      </c>
      <c r="AF135" s="375" t="s">
        <v>252</v>
      </c>
      <c r="AG135" s="375" t="s">
        <v>183</v>
      </c>
      <c r="AH135" s="380">
        <v>27.6</v>
      </c>
      <c r="AI135" s="380">
        <v>18682.099999999999</v>
      </c>
      <c r="AJ135" s="375" t="s">
        <v>184</v>
      </c>
      <c r="AK135" s="375" t="s">
        <v>185</v>
      </c>
      <c r="AL135" s="375" t="s">
        <v>173</v>
      </c>
      <c r="AM135" s="375" t="s">
        <v>186</v>
      </c>
      <c r="AN135" s="375" t="s">
        <v>68</v>
      </c>
      <c r="AO135" s="378">
        <v>80</v>
      </c>
      <c r="AP135" s="384">
        <v>1</v>
      </c>
      <c r="AQ135" s="384">
        <v>1</v>
      </c>
      <c r="AR135" s="383" t="s">
        <v>187</v>
      </c>
      <c r="AS135" s="386">
        <f t="shared" si="115"/>
        <v>1</v>
      </c>
      <c r="AT135">
        <f t="shared" si="116"/>
        <v>1</v>
      </c>
      <c r="AU135" s="386">
        <f>IF(AT135=0,"",IF(AND(AT135=1,M135="F",SUMIF(C2:C557,C135,AS2:AS557)&lt;=1),SUMIF(C2:C557,C135,AS2:AS557),IF(AND(AT135=1,M135="F",SUMIF(C2:C557,C135,AS2:AS557)&gt;1),1,"")))</f>
        <v>1</v>
      </c>
      <c r="AV135" s="386" t="str">
        <f>IF(AT135=0,"",IF(AND(AT135=3,M135="F",SUMIF(C2:C557,C135,AS2:AS557)&lt;=1),SUMIF(C2:C557,C135,AS2:AS557),IF(AND(AT135=3,M135="F",SUMIF(C2:C557,C135,AS2:AS557)&gt;1),1,"")))</f>
        <v/>
      </c>
      <c r="AW135" s="386">
        <f>SUMIF(C2:C557,C135,O2:O557)</f>
        <v>1</v>
      </c>
      <c r="AX135" s="386">
        <f>IF(AND(M135="F",AS135&lt;&gt;0),SUMIF(C2:C557,C135,W2:W557),0)</f>
        <v>57408</v>
      </c>
      <c r="AY135" s="386">
        <f t="shared" si="117"/>
        <v>57408</v>
      </c>
      <c r="AZ135" s="386" t="str">
        <f t="shared" si="118"/>
        <v/>
      </c>
      <c r="BA135" s="386">
        <f t="shared" si="119"/>
        <v>0</v>
      </c>
      <c r="BB135" s="386">
        <f t="shared" si="88"/>
        <v>11650</v>
      </c>
      <c r="BC135" s="386">
        <f t="shared" si="89"/>
        <v>0</v>
      </c>
      <c r="BD135" s="386">
        <f t="shared" si="90"/>
        <v>3559.2959999999998</v>
      </c>
      <c r="BE135" s="386">
        <f t="shared" si="91"/>
        <v>832.41600000000005</v>
      </c>
      <c r="BF135" s="386">
        <f t="shared" si="92"/>
        <v>6854.5152000000007</v>
      </c>
      <c r="BG135" s="386">
        <f t="shared" si="93"/>
        <v>413.91167999999999</v>
      </c>
      <c r="BH135" s="386">
        <f t="shared" si="94"/>
        <v>281.29919999999998</v>
      </c>
      <c r="BI135" s="386">
        <f t="shared" si="95"/>
        <v>175.66847999999999</v>
      </c>
      <c r="BJ135" s="386">
        <f t="shared" si="96"/>
        <v>137.77919999999997</v>
      </c>
      <c r="BK135" s="386">
        <f t="shared" si="97"/>
        <v>0</v>
      </c>
      <c r="BL135" s="386">
        <f t="shared" si="120"/>
        <v>12254.885760000001</v>
      </c>
      <c r="BM135" s="386">
        <f t="shared" si="121"/>
        <v>0</v>
      </c>
      <c r="BN135" s="386">
        <f t="shared" si="98"/>
        <v>11650</v>
      </c>
      <c r="BO135" s="386">
        <f t="shared" si="99"/>
        <v>0</v>
      </c>
      <c r="BP135" s="386">
        <f t="shared" si="100"/>
        <v>3559.2959999999998</v>
      </c>
      <c r="BQ135" s="386">
        <f t="shared" si="101"/>
        <v>832.41600000000005</v>
      </c>
      <c r="BR135" s="386">
        <f t="shared" si="102"/>
        <v>6854.5152000000007</v>
      </c>
      <c r="BS135" s="386">
        <f t="shared" si="103"/>
        <v>413.91167999999999</v>
      </c>
      <c r="BT135" s="386">
        <f t="shared" si="104"/>
        <v>0</v>
      </c>
      <c r="BU135" s="386">
        <f t="shared" si="105"/>
        <v>175.66847999999999</v>
      </c>
      <c r="BV135" s="386">
        <f t="shared" si="106"/>
        <v>143.52000000000001</v>
      </c>
      <c r="BW135" s="386">
        <f t="shared" si="107"/>
        <v>0</v>
      </c>
      <c r="BX135" s="386">
        <f t="shared" si="122"/>
        <v>11979.327360000001</v>
      </c>
      <c r="BY135" s="386">
        <f t="shared" si="123"/>
        <v>0</v>
      </c>
      <c r="BZ135" s="386">
        <f t="shared" si="124"/>
        <v>0</v>
      </c>
      <c r="CA135" s="386">
        <f t="shared" si="125"/>
        <v>0</v>
      </c>
      <c r="CB135" s="386">
        <f t="shared" si="126"/>
        <v>0</v>
      </c>
      <c r="CC135" s="386">
        <f t="shared" si="108"/>
        <v>0</v>
      </c>
      <c r="CD135" s="386">
        <f t="shared" si="109"/>
        <v>0</v>
      </c>
      <c r="CE135" s="386">
        <f t="shared" si="110"/>
        <v>0</v>
      </c>
      <c r="CF135" s="386">
        <f t="shared" si="111"/>
        <v>-281.29919999999998</v>
      </c>
      <c r="CG135" s="386">
        <f t="shared" si="112"/>
        <v>0</v>
      </c>
      <c r="CH135" s="386">
        <f t="shared" si="113"/>
        <v>5.7408000000000152</v>
      </c>
      <c r="CI135" s="386">
        <f t="shared" si="114"/>
        <v>0</v>
      </c>
      <c r="CJ135" s="386">
        <f t="shared" si="127"/>
        <v>-275.55839999999995</v>
      </c>
      <c r="CK135" s="386" t="str">
        <f t="shared" si="128"/>
        <v/>
      </c>
      <c r="CL135" s="386" t="str">
        <f t="shared" si="129"/>
        <v/>
      </c>
      <c r="CM135" s="386" t="str">
        <f t="shared" si="130"/>
        <v/>
      </c>
      <c r="CN135" s="386" t="str">
        <f t="shared" si="131"/>
        <v>0001-00</v>
      </c>
    </row>
    <row r="136" spans="1:92" ht="15.75" thickBot="1" x14ac:dyDescent="0.3">
      <c r="A136" s="375" t="s">
        <v>161</v>
      </c>
      <c r="B136" s="375" t="s">
        <v>162</v>
      </c>
      <c r="C136" s="375" t="s">
        <v>706</v>
      </c>
      <c r="D136" s="375" t="s">
        <v>555</v>
      </c>
      <c r="E136" s="375" t="s">
        <v>165</v>
      </c>
      <c r="F136" s="376" t="s">
        <v>166</v>
      </c>
      <c r="G136" s="375" t="s">
        <v>549</v>
      </c>
      <c r="H136" s="377"/>
      <c r="I136" s="377"/>
      <c r="J136" s="375" t="s">
        <v>168</v>
      </c>
      <c r="K136" s="375" t="s">
        <v>556</v>
      </c>
      <c r="L136" s="375" t="s">
        <v>220</v>
      </c>
      <c r="M136" s="375" t="s">
        <v>177</v>
      </c>
      <c r="N136" s="375" t="s">
        <v>199</v>
      </c>
      <c r="O136" s="378">
        <v>1</v>
      </c>
      <c r="P136" s="384">
        <v>1</v>
      </c>
      <c r="Q136" s="384">
        <v>1</v>
      </c>
      <c r="R136" s="379">
        <v>80</v>
      </c>
      <c r="S136" s="384">
        <v>1</v>
      </c>
      <c r="T136" s="379">
        <v>53007.07</v>
      </c>
      <c r="U136" s="379">
        <v>0</v>
      </c>
      <c r="V136" s="379">
        <v>22337.94</v>
      </c>
      <c r="W136" s="379">
        <v>56971.199999999997</v>
      </c>
      <c r="X136" s="379">
        <v>23811.62</v>
      </c>
      <c r="Y136" s="379">
        <v>56971.199999999997</v>
      </c>
      <c r="Z136" s="379">
        <v>23538.16</v>
      </c>
      <c r="AA136" s="375" t="s">
        <v>707</v>
      </c>
      <c r="AB136" s="375" t="s">
        <v>708</v>
      </c>
      <c r="AC136" s="375" t="s">
        <v>328</v>
      </c>
      <c r="AD136" s="375" t="s">
        <v>170</v>
      </c>
      <c r="AE136" s="375" t="s">
        <v>556</v>
      </c>
      <c r="AF136" s="375" t="s">
        <v>252</v>
      </c>
      <c r="AG136" s="375" t="s">
        <v>183</v>
      </c>
      <c r="AH136" s="380">
        <v>27.39</v>
      </c>
      <c r="AI136" s="380">
        <v>12380.5</v>
      </c>
      <c r="AJ136" s="375" t="s">
        <v>184</v>
      </c>
      <c r="AK136" s="375" t="s">
        <v>185</v>
      </c>
      <c r="AL136" s="375" t="s">
        <v>173</v>
      </c>
      <c r="AM136" s="375" t="s">
        <v>186</v>
      </c>
      <c r="AN136" s="375" t="s">
        <v>68</v>
      </c>
      <c r="AO136" s="378">
        <v>80</v>
      </c>
      <c r="AP136" s="384">
        <v>1</v>
      </c>
      <c r="AQ136" s="384">
        <v>1</v>
      </c>
      <c r="AR136" s="383" t="s">
        <v>187</v>
      </c>
      <c r="AS136" s="386">
        <f t="shared" si="115"/>
        <v>1</v>
      </c>
      <c r="AT136">
        <f t="shared" si="116"/>
        <v>1</v>
      </c>
      <c r="AU136" s="386">
        <f>IF(AT136=0,"",IF(AND(AT136=1,M136="F",SUMIF(C2:C557,C136,AS2:AS557)&lt;=1),SUMIF(C2:C557,C136,AS2:AS557),IF(AND(AT136=1,M136="F",SUMIF(C2:C557,C136,AS2:AS557)&gt;1),1,"")))</f>
        <v>1</v>
      </c>
      <c r="AV136" s="386" t="str">
        <f>IF(AT136=0,"",IF(AND(AT136=3,M136="F",SUMIF(C2:C557,C136,AS2:AS557)&lt;=1),SUMIF(C2:C557,C136,AS2:AS557),IF(AND(AT136=3,M136="F",SUMIF(C2:C557,C136,AS2:AS557)&gt;1),1,"")))</f>
        <v/>
      </c>
      <c r="AW136" s="386">
        <f>SUMIF(C2:C557,C136,O2:O557)</f>
        <v>1</v>
      </c>
      <c r="AX136" s="386">
        <f>IF(AND(M136="F",AS136&lt;&gt;0),SUMIF(C2:C557,C136,W2:W557),0)</f>
        <v>56971.199999999997</v>
      </c>
      <c r="AY136" s="386">
        <f t="shared" si="117"/>
        <v>56971.199999999997</v>
      </c>
      <c r="AZ136" s="386" t="str">
        <f t="shared" si="118"/>
        <v/>
      </c>
      <c r="BA136" s="386">
        <f t="shared" si="119"/>
        <v>0</v>
      </c>
      <c r="BB136" s="386">
        <f t="shared" si="88"/>
        <v>11650</v>
      </c>
      <c r="BC136" s="386">
        <f t="shared" si="89"/>
        <v>0</v>
      </c>
      <c r="BD136" s="386">
        <f t="shared" si="90"/>
        <v>3532.2143999999998</v>
      </c>
      <c r="BE136" s="386">
        <f t="shared" si="91"/>
        <v>826.08240000000001</v>
      </c>
      <c r="BF136" s="386">
        <f t="shared" si="92"/>
        <v>6802.3612800000001</v>
      </c>
      <c r="BG136" s="386">
        <f t="shared" si="93"/>
        <v>410.76235200000002</v>
      </c>
      <c r="BH136" s="386">
        <f t="shared" si="94"/>
        <v>279.15887999999995</v>
      </c>
      <c r="BI136" s="386">
        <f t="shared" si="95"/>
        <v>174.33187199999998</v>
      </c>
      <c r="BJ136" s="386">
        <f t="shared" si="96"/>
        <v>136.73087999999998</v>
      </c>
      <c r="BK136" s="386">
        <f t="shared" si="97"/>
        <v>0</v>
      </c>
      <c r="BL136" s="386">
        <f t="shared" si="120"/>
        <v>12161.642064000001</v>
      </c>
      <c r="BM136" s="386">
        <f t="shared" si="121"/>
        <v>0</v>
      </c>
      <c r="BN136" s="386">
        <f t="shared" si="98"/>
        <v>11650</v>
      </c>
      <c r="BO136" s="386">
        <f t="shared" si="99"/>
        <v>0</v>
      </c>
      <c r="BP136" s="386">
        <f t="shared" si="100"/>
        <v>3532.2143999999998</v>
      </c>
      <c r="BQ136" s="386">
        <f t="shared" si="101"/>
        <v>826.08240000000001</v>
      </c>
      <c r="BR136" s="386">
        <f t="shared" si="102"/>
        <v>6802.3612800000001</v>
      </c>
      <c r="BS136" s="386">
        <f t="shared" si="103"/>
        <v>410.76235200000002</v>
      </c>
      <c r="BT136" s="386">
        <f t="shared" si="104"/>
        <v>0</v>
      </c>
      <c r="BU136" s="386">
        <f t="shared" si="105"/>
        <v>174.33187199999998</v>
      </c>
      <c r="BV136" s="386">
        <f t="shared" si="106"/>
        <v>142.428</v>
      </c>
      <c r="BW136" s="386">
        <f t="shared" si="107"/>
        <v>0</v>
      </c>
      <c r="BX136" s="386">
        <f t="shared" si="122"/>
        <v>11888.180304000001</v>
      </c>
      <c r="BY136" s="386">
        <f t="shared" si="123"/>
        <v>0</v>
      </c>
      <c r="BZ136" s="386">
        <f t="shared" si="124"/>
        <v>0</v>
      </c>
      <c r="CA136" s="386">
        <f t="shared" si="125"/>
        <v>0</v>
      </c>
      <c r="CB136" s="386">
        <f t="shared" si="126"/>
        <v>0</v>
      </c>
      <c r="CC136" s="386">
        <f t="shared" si="108"/>
        <v>0</v>
      </c>
      <c r="CD136" s="386">
        <f t="shared" si="109"/>
        <v>0</v>
      </c>
      <c r="CE136" s="386">
        <f t="shared" si="110"/>
        <v>0</v>
      </c>
      <c r="CF136" s="386">
        <f t="shared" si="111"/>
        <v>-279.15887999999995</v>
      </c>
      <c r="CG136" s="386">
        <f t="shared" si="112"/>
        <v>0</v>
      </c>
      <c r="CH136" s="386">
        <f t="shared" si="113"/>
        <v>5.6971200000000151</v>
      </c>
      <c r="CI136" s="386">
        <f t="shared" si="114"/>
        <v>0</v>
      </c>
      <c r="CJ136" s="386">
        <f t="shared" si="127"/>
        <v>-273.46175999999991</v>
      </c>
      <c r="CK136" s="386" t="str">
        <f t="shared" si="128"/>
        <v/>
      </c>
      <c r="CL136" s="386" t="str">
        <f t="shared" si="129"/>
        <v/>
      </c>
      <c r="CM136" s="386" t="str">
        <f t="shared" si="130"/>
        <v/>
      </c>
      <c r="CN136" s="386" t="str">
        <f t="shared" si="131"/>
        <v>0001-00</v>
      </c>
    </row>
    <row r="137" spans="1:92" ht="15.75" thickBot="1" x14ac:dyDescent="0.3">
      <c r="A137" s="375" t="s">
        <v>161</v>
      </c>
      <c r="B137" s="375" t="s">
        <v>162</v>
      </c>
      <c r="C137" s="375" t="s">
        <v>709</v>
      </c>
      <c r="D137" s="375" t="s">
        <v>710</v>
      </c>
      <c r="E137" s="375" t="s">
        <v>165</v>
      </c>
      <c r="F137" s="376" t="s">
        <v>166</v>
      </c>
      <c r="G137" s="375" t="s">
        <v>549</v>
      </c>
      <c r="H137" s="377"/>
      <c r="I137" s="377"/>
      <c r="J137" s="375" t="s">
        <v>168</v>
      </c>
      <c r="K137" s="375" t="s">
        <v>711</v>
      </c>
      <c r="L137" s="375" t="s">
        <v>183</v>
      </c>
      <c r="M137" s="375" t="s">
        <v>171</v>
      </c>
      <c r="N137" s="375" t="s">
        <v>199</v>
      </c>
      <c r="O137" s="378">
        <v>0</v>
      </c>
      <c r="P137" s="384">
        <v>1</v>
      </c>
      <c r="Q137" s="384">
        <v>0.75</v>
      </c>
      <c r="R137" s="379">
        <v>60</v>
      </c>
      <c r="S137" s="384">
        <v>0.56000000000000005</v>
      </c>
      <c r="T137" s="379">
        <v>11515.81</v>
      </c>
      <c r="U137" s="379">
        <v>0</v>
      </c>
      <c r="V137" s="379">
        <v>8232.0400000000009</v>
      </c>
      <c r="W137" s="379">
        <v>18053.099999999999</v>
      </c>
      <c r="X137" s="379">
        <v>7907.25</v>
      </c>
      <c r="Y137" s="379">
        <v>18053.099999999999</v>
      </c>
      <c r="Z137" s="379">
        <v>7816.99</v>
      </c>
      <c r="AA137" s="377"/>
      <c r="AB137" s="375" t="s">
        <v>45</v>
      </c>
      <c r="AC137" s="375" t="s">
        <v>45</v>
      </c>
      <c r="AD137" s="377"/>
      <c r="AE137" s="377"/>
      <c r="AF137" s="377"/>
      <c r="AG137" s="377"/>
      <c r="AH137" s="378">
        <v>0</v>
      </c>
      <c r="AI137" s="378">
        <v>0</v>
      </c>
      <c r="AJ137" s="377"/>
      <c r="AK137" s="377"/>
      <c r="AL137" s="375" t="s">
        <v>173</v>
      </c>
      <c r="AM137" s="377"/>
      <c r="AN137" s="377"/>
      <c r="AO137" s="378">
        <v>0</v>
      </c>
      <c r="AP137" s="384">
        <v>0</v>
      </c>
      <c r="AQ137" s="384">
        <v>0</v>
      </c>
      <c r="AR137" s="382"/>
      <c r="AS137" s="386">
        <f t="shared" si="115"/>
        <v>0</v>
      </c>
      <c r="AT137">
        <f t="shared" si="116"/>
        <v>0</v>
      </c>
      <c r="AU137" s="386" t="str">
        <f>IF(AT137=0,"",IF(AND(AT137=1,M137="F",SUMIF(C2:C557,C137,AS2:AS557)&lt;=1),SUMIF(C2:C557,C137,AS2:AS557),IF(AND(AT137=1,M137="F",SUMIF(C2:C557,C137,AS2:AS557)&gt;1),1,"")))</f>
        <v/>
      </c>
      <c r="AV137" s="386" t="str">
        <f>IF(AT137=0,"",IF(AND(AT137=3,M137="F",SUMIF(C2:C557,C137,AS2:AS557)&lt;=1),SUMIF(C2:C557,C137,AS2:AS557),IF(AND(AT137=3,M137="F",SUMIF(C2:C557,C137,AS2:AS557)&gt;1),1,"")))</f>
        <v/>
      </c>
      <c r="AW137" s="386">
        <f>SUMIF(C2:C557,C137,O2:O557)</f>
        <v>0</v>
      </c>
      <c r="AX137" s="386">
        <f>IF(AND(M137="F",AS137&lt;&gt;0),SUMIF(C2:C557,C137,W2:W557),0)</f>
        <v>0</v>
      </c>
      <c r="AY137" s="386" t="str">
        <f t="shared" si="117"/>
        <v/>
      </c>
      <c r="AZ137" s="386" t="str">
        <f t="shared" si="118"/>
        <v/>
      </c>
      <c r="BA137" s="386">
        <f t="shared" si="119"/>
        <v>0</v>
      </c>
      <c r="BB137" s="386">
        <f t="shared" si="88"/>
        <v>0</v>
      </c>
      <c r="BC137" s="386">
        <f t="shared" si="89"/>
        <v>0</v>
      </c>
      <c r="BD137" s="386">
        <f t="shared" si="90"/>
        <v>0</v>
      </c>
      <c r="BE137" s="386">
        <f t="shared" si="91"/>
        <v>0</v>
      </c>
      <c r="BF137" s="386">
        <f t="shared" si="92"/>
        <v>0</v>
      </c>
      <c r="BG137" s="386">
        <f t="shared" si="93"/>
        <v>0</v>
      </c>
      <c r="BH137" s="386">
        <f t="shared" si="94"/>
        <v>0</v>
      </c>
      <c r="BI137" s="386">
        <f t="shared" si="95"/>
        <v>0</v>
      </c>
      <c r="BJ137" s="386">
        <f t="shared" si="96"/>
        <v>0</v>
      </c>
      <c r="BK137" s="386">
        <f t="shared" si="97"/>
        <v>0</v>
      </c>
      <c r="BL137" s="386">
        <f t="shared" si="120"/>
        <v>0</v>
      </c>
      <c r="BM137" s="386">
        <f t="shared" si="121"/>
        <v>0</v>
      </c>
      <c r="BN137" s="386">
        <f t="shared" si="98"/>
        <v>0</v>
      </c>
      <c r="BO137" s="386">
        <f t="shared" si="99"/>
        <v>0</v>
      </c>
      <c r="BP137" s="386">
        <f t="shared" si="100"/>
        <v>0</v>
      </c>
      <c r="BQ137" s="386">
        <f t="shared" si="101"/>
        <v>0</v>
      </c>
      <c r="BR137" s="386">
        <f t="shared" si="102"/>
        <v>0</v>
      </c>
      <c r="BS137" s="386">
        <f t="shared" si="103"/>
        <v>0</v>
      </c>
      <c r="BT137" s="386">
        <f t="shared" si="104"/>
        <v>0</v>
      </c>
      <c r="BU137" s="386">
        <f t="shared" si="105"/>
        <v>0</v>
      </c>
      <c r="BV137" s="386">
        <f t="shared" si="106"/>
        <v>0</v>
      </c>
      <c r="BW137" s="386">
        <f t="shared" si="107"/>
        <v>0</v>
      </c>
      <c r="BX137" s="386">
        <f t="shared" si="122"/>
        <v>0</v>
      </c>
      <c r="BY137" s="386">
        <f t="shared" si="123"/>
        <v>0</v>
      </c>
      <c r="BZ137" s="386">
        <f t="shared" si="124"/>
        <v>0</v>
      </c>
      <c r="CA137" s="386">
        <f t="shared" si="125"/>
        <v>0</v>
      </c>
      <c r="CB137" s="386">
        <f t="shared" si="126"/>
        <v>0</v>
      </c>
      <c r="CC137" s="386">
        <f t="shared" si="108"/>
        <v>0</v>
      </c>
      <c r="CD137" s="386">
        <f t="shared" si="109"/>
        <v>0</v>
      </c>
      <c r="CE137" s="386">
        <f t="shared" si="110"/>
        <v>0</v>
      </c>
      <c r="CF137" s="386">
        <f t="shared" si="111"/>
        <v>0</v>
      </c>
      <c r="CG137" s="386">
        <f t="shared" si="112"/>
        <v>0</v>
      </c>
      <c r="CH137" s="386">
        <f t="shared" si="113"/>
        <v>0</v>
      </c>
      <c r="CI137" s="386">
        <f t="shared" si="114"/>
        <v>0</v>
      </c>
      <c r="CJ137" s="386">
        <f t="shared" si="127"/>
        <v>0</v>
      </c>
      <c r="CK137" s="386" t="str">
        <f t="shared" si="128"/>
        <v/>
      </c>
      <c r="CL137" s="386" t="str">
        <f t="shared" si="129"/>
        <v/>
      </c>
      <c r="CM137" s="386" t="str">
        <f t="shared" si="130"/>
        <v/>
      </c>
      <c r="CN137" s="386" t="str">
        <f t="shared" si="131"/>
        <v>0001-00</v>
      </c>
    </row>
    <row r="138" spans="1:92" ht="15.75" thickBot="1" x14ac:dyDescent="0.3">
      <c r="A138" s="375" t="s">
        <v>161</v>
      </c>
      <c r="B138" s="375" t="s">
        <v>162</v>
      </c>
      <c r="C138" s="375" t="s">
        <v>329</v>
      </c>
      <c r="D138" s="375" t="s">
        <v>330</v>
      </c>
      <c r="E138" s="375" t="s">
        <v>165</v>
      </c>
      <c r="F138" s="376" t="s">
        <v>166</v>
      </c>
      <c r="G138" s="375" t="s">
        <v>549</v>
      </c>
      <c r="H138" s="377"/>
      <c r="I138" s="377"/>
      <c r="J138" s="375" t="s">
        <v>218</v>
      </c>
      <c r="K138" s="375" t="s">
        <v>331</v>
      </c>
      <c r="L138" s="375" t="s">
        <v>173</v>
      </c>
      <c r="M138" s="375" t="s">
        <v>177</v>
      </c>
      <c r="N138" s="375" t="s">
        <v>199</v>
      </c>
      <c r="O138" s="378">
        <v>1</v>
      </c>
      <c r="P138" s="384">
        <v>0</v>
      </c>
      <c r="Q138" s="384">
        <v>0</v>
      </c>
      <c r="R138" s="379">
        <v>80</v>
      </c>
      <c r="S138" s="384">
        <v>0</v>
      </c>
      <c r="T138" s="379">
        <v>67014.509999999995</v>
      </c>
      <c r="U138" s="379">
        <v>0</v>
      </c>
      <c r="V138" s="379">
        <v>24171.69</v>
      </c>
      <c r="W138" s="379">
        <v>0</v>
      </c>
      <c r="X138" s="379">
        <v>0</v>
      </c>
      <c r="Y138" s="379">
        <v>0</v>
      </c>
      <c r="Z138" s="379">
        <v>0</v>
      </c>
      <c r="AA138" s="375" t="s">
        <v>332</v>
      </c>
      <c r="AB138" s="375" t="s">
        <v>333</v>
      </c>
      <c r="AC138" s="375" t="s">
        <v>257</v>
      </c>
      <c r="AD138" s="375" t="s">
        <v>195</v>
      </c>
      <c r="AE138" s="375" t="s">
        <v>331</v>
      </c>
      <c r="AF138" s="375" t="s">
        <v>305</v>
      </c>
      <c r="AG138" s="375" t="s">
        <v>183</v>
      </c>
      <c r="AH138" s="380">
        <v>37.450000000000003</v>
      </c>
      <c r="AI138" s="380">
        <v>16447.5</v>
      </c>
      <c r="AJ138" s="375" t="s">
        <v>184</v>
      </c>
      <c r="AK138" s="375" t="s">
        <v>185</v>
      </c>
      <c r="AL138" s="375" t="s">
        <v>173</v>
      </c>
      <c r="AM138" s="375" t="s">
        <v>186</v>
      </c>
      <c r="AN138" s="375" t="s">
        <v>68</v>
      </c>
      <c r="AO138" s="378">
        <v>80</v>
      </c>
      <c r="AP138" s="384">
        <v>1</v>
      </c>
      <c r="AQ138" s="384">
        <v>0</v>
      </c>
      <c r="AR138" s="383" t="s">
        <v>187</v>
      </c>
      <c r="AS138" s="386">
        <f t="shared" si="115"/>
        <v>0</v>
      </c>
      <c r="AT138">
        <f t="shared" si="116"/>
        <v>0</v>
      </c>
      <c r="AU138" s="386" t="str">
        <f>IF(AT138=0,"",IF(AND(AT138=1,M138="F",SUMIF(C2:C557,C138,AS2:AS557)&lt;=1),SUMIF(C2:C557,C138,AS2:AS557),IF(AND(AT138=1,M138="F",SUMIF(C2:C557,C138,AS2:AS557)&gt;1),1,"")))</f>
        <v/>
      </c>
      <c r="AV138" s="386" t="str">
        <f>IF(AT138=0,"",IF(AND(AT138=3,M138="F",SUMIF(C2:C557,C138,AS2:AS557)&lt;=1),SUMIF(C2:C557,C138,AS2:AS557),IF(AND(AT138=3,M138="F",SUMIF(C2:C557,C138,AS2:AS557)&gt;1),1,"")))</f>
        <v/>
      </c>
      <c r="AW138" s="386">
        <f>SUMIF(C2:C557,C138,O2:O557)</f>
        <v>4</v>
      </c>
      <c r="AX138" s="386">
        <f>IF(AND(M138="F",AS138&lt;&gt;0),SUMIF(C2:C557,C138,W2:W557),0)</f>
        <v>0</v>
      </c>
      <c r="AY138" s="386" t="str">
        <f t="shared" si="117"/>
        <v/>
      </c>
      <c r="AZ138" s="386" t="str">
        <f t="shared" si="118"/>
        <v/>
      </c>
      <c r="BA138" s="386">
        <f t="shared" si="119"/>
        <v>0</v>
      </c>
      <c r="BB138" s="386">
        <f t="shared" si="88"/>
        <v>0</v>
      </c>
      <c r="BC138" s="386">
        <f t="shared" si="89"/>
        <v>0</v>
      </c>
      <c r="BD138" s="386">
        <f t="shared" si="90"/>
        <v>0</v>
      </c>
      <c r="BE138" s="386">
        <f t="shared" si="91"/>
        <v>0</v>
      </c>
      <c r="BF138" s="386">
        <f t="shared" si="92"/>
        <v>0</v>
      </c>
      <c r="BG138" s="386">
        <f t="shared" si="93"/>
        <v>0</v>
      </c>
      <c r="BH138" s="386">
        <f t="shared" si="94"/>
        <v>0</v>
      </c>
      <c r="BI138" s="386">
        <f t="shared" si="95"/>
        <v>0</v>
      </c>
      <c r="BJ138" s="386">
        <f t="shared" si="96"/>
        <v>0</v>
      </c>
      <c r="BK138" s="386">
        <f t="shared" si="97"/>
        <v>0</v>
      </c>
      <c r="BL138" s="386">
        <f t="shared" si="120"/>
        <v>0</v>
      </c>
      <c r="BM138" s="386">
        <f t="shared" si="121"/>
        <v>0</v>
      </c>
      <c r="BN138" s="386">
        <f t="shared" si="98"/>
        <v>0</v>
      </c>
      <c r="BO138" s="386">
        <f t="shared" si="99"/>
        <v>0</v>
      </c>
      <c r="BP138" s="386">
        <f t="shared" si="100"/>
        <v>0</v>
      </c>
      <c r="BQ138" s="386">
        <f t="shared" si="101"/>
        <v>0</v>
      </c>
      <c r="BR138" s="386">
        <f t="shared" si="102"/>
        <v>0</v>
      </c>
      <c r="BS138" s="386">
        <f t="shared" si="103"/>
        <v>0</v>
      </c>
      <c r="BT138" s="386">
        <f t="shared" si="104"/>
        <v>0</v>
      </c>
      <c r="BU138" s="386">
        <f t="shared" si="105"/>
        <v>0</v>
      </c>
      <c r="BV138" s="386">
        <f t="shared" si="106"/>
        <v>0</v>
      </c>
      <c r="BW138" s="386">
        <f t="shared" si="107"/>
        <v>0</v>
      </c>
      <c r="BX138" s="386">
        <f t="shared" si="122"/>
        <v>0</v>
      </c>
      <c r="BY138" s="386">
        <f t="shared" si="123"/>
        <v>0</v>
      </c>
      <c r="BZ138" s="386">
        <f t="shared" si="124"/>
        <v>0</v>
      </c>
      <c r="CA138" s="386">
        <f t="shared" si="125"/>
        <v>0</v>
      </c>
      <c r="CB138" s="386">
        <f t="shared" si="126"/>
        <v>0</v>
      </c>
      <c r="CC138" s="386">
        <f t="shared" si="108"/>
        <v>0</v>
      </c>
      <c r="CD138" s="386">
        <f t="shared" si="109"/>
        <v>0</v>
      </c>
      <c r="CE138" s="386">
        <f t="shared" si="110"/>
        <v>0</v>
      </c>
      <c r="CF138" s="386">
        <f t="shared" si="111"/>
        <v>0</v>
      </c>
      <c r="CG138" s="386">
        <f t="shared" si="112"/>
        <v>0</v>
      </c>
      <c r="CH138" s="386">
        <f t="shared" si="113"/>
        <v>0</v>
      </c>
      <c r="CI138" s="386">
        <f t="shared" si="114"/>
        <v>0</v>
      </c>
      <c r="CJ138" s="386">
        <f t="shared" si="127"/>
        <v>0</v>
      </c>
      <c r="CK138" s="386" t="str">
        <f t="shared" si="128"/>
        <v/>
      </c>
      <c r="CL138" s="386" t="str">
        <f t="shared" si="129"/>
        <v/>
      </c>
      <c r="CM138" s="386" t="str">
        <f t="shared" si="130"/>
        <v/>
      </c>
      <c r="CN138" s="386" t="str">
        <f t="shared" si="131"/>
        <v>0001-00</v>
      </c>
    </row>
    <row r="139" spans="1:92" ht="15.75" thickBot="1" x14ac:dyDescent="0.3">
      <c r="A139" s="375" t="s">
        <v>161</v>
      </c>
      <c r="B139" s="375" t="s">
        <v>162</v>
      </c>
      <c r="C139" s="375" t="s">
        <v>712</v>
      </c>
      <c r="D139" s="375" t="s">
        <v>259</v>
      </c>
      <c r="E139" s="375" t="s">
        <v>165</v>
      </c>
      <c r="F139" s="376" t="s">
        <v>166</v>
      </c>
      <c r="G139" s="375" t="s">
        <v>549</v>
      </c>
      <c r="H139" s="377"/>
      <c r="I139" s="377"/>
      <c r="J139" s="375" t="s">
        <v>168</v>
      </c>
      <c r="K139" s="375" t="s">
        <v>260</v>
      </c>
      <c r="L139" s="375" t="s">
        <v>261</v>
      </c>
      <c r="M139" s="375" t="s">
        <v>171</v>
      </c>
      <c r="N139" s="375" t="s">
        <v>262</v>
      </c>
      <c r="O139" s="378">
        <v>0</v>
      </c>
      <c r="P139" s="384">
        <v>1</v>
      </c>
      <c r="Q139" s="384">
        <v>0</v>
      </c>
      <c r="R139" s="379">
        <v>0</v>
      </c>
      <c r="S139" s="384">
        <v>0</v>
      </c>
      <c r="T139" s="379">
        <v>0</v>
      </c>
      <c r="U139" s="379">
        <v>0</v>
      </c>
      <c r="V139" s="379">
        <v>0</v>
      </c>
      <c r="W139" s="379">
        <v>0</v>
      </c>
      <c r="X139" s="379">
        <v>0</v>
      </c>
      <c r="Y139" s="379">
        <v>0</v>
      </c>
      <c r="Z139" s="379">
        <v>0</v>
      </c>
      <c r="AA139" s="377"/>
      <c r="AB139" s="375" t="s">
        <v>45</v>
      </c>
      <c r="AC139" s="375" t="s">
        <v>45</v>
      </c>
      <c r="AD139" s="377"/>
      <c r="AE139" s="377"/>
      <c r="AF139" s="377"/>
      <c r="AG139" s="377"/>
      <c r="AH139" s="378">
        <v>0</v>
      </c>
      <c r="AI139" s="378">
        <v>0</v>
      </c>
      <c r="AJ139" s="377"/>
      <c r="AK139" s="377"/>
      <c r="AL139" s="375" t="s">
        <v>173</v>
      </c>
      <c r="AM139" s="377"/>
      <c r="AN139" s="377"/>
      <c r="AO139" s="378">
        <v>0</v>
      </c>
      <c r="AP139" s="384">
        <v>0</v>
      </c>
      <c r="AQ139" s="384">
        <v>0</v>
      </c>
      <c r="AR139" s="382"/>
      <c r="AS139" s="386">
        <f t="shared" si="115"/>
        <v>0</v>
      </c>
      <c r="AT139">
        <f t="shared" si="116"/>
        <v>0</v>
      </c>
      <c r="AU139" s="386" t="str">
        <f>IF(AT139=0,"",IF(AND(AT139=1,M139="F",SUMIF(C2:C557,C139,AS2:AS557)&lt;=1),SUMIF(C2:C557,C139,AS2:AS557),IF(AND(AT139=1,M139="F",SUMIF(C2:C557,C139,AS2:AS557)&gt;1),1,"")))</f>
        <v/>
      </c>
      <c r="AV139" s="386" t="str">
        <f>IF(AT139=0,"",IF(AND(AT139=3,M139="F",SUMIF(C2:C557,C139,AS2:AS557)&lt;=1),SUMIF(C2:C557,C139,AS2:AS557),IF(AND(AT139=3,M139="F",SUMIF(C2:C557,C139,AS2:AS557)&gt;1),1,"")))</f>
        <v/>
      </c>
      <c r="AW139" s="386">
        <f>SUMIF(C2:C557,C139,O2:O557)</f>
        <v>0</v>
      </c>
      <c r="AX139" s="386">
        <f>IF(AND(M139="F",AS139&lt;&gt;0),SUMIF(C2:C557,C139,W2:W557),0)</f>
        <v>0</v>
      </c>
      <c r="AY139" s="386" t="str">
        <f t="shared" si="117"/>
        <v/>
      </c>
      <c r="AZ139" s="386" t="str">
        <f t="shared" si="118"/>
        <v/>
      </c>
      <c r="BA139" s="386">
        <f t="shared" si="119"/>
        <v>0</v>
      </c>
      <c r="BB139" s="386">
        <f t="shared" si="88"/>
        <v>0</v>
      </c>
      <c r="BC139" s="386">
        <f t="shared" si="89"/>
        <v>0</v>
      </c>
      <c r="BD139" s="386">
        <f t="shared" si="90"/>
        <v>0</v>
      </c>
      <c r="BE139" s="386">
        <f t="shared" si="91"/>
        <v>0</v>
      </c>
      <c r="BF139" s="386">
        <f t="shared" si="92"/>
        <v>0</v>
      </c>
      <c r="BG139" s="386">
        <f t="shared" si="93"/>
        <v>0</v>
      </c>
      <c r="BH139" s="386">
        <f t="shared" si="94"/>
        <v>0</v>
      </c>
      <c r="BI139" s="386">
        <f t="shared" si="95"/>
        <v>0</v>
      </c>
      <c r="BJ139" s="386">
        <f t="shared" si="96"/>
        <v>0</v>
      </c>
      <c r="BK139" s="386">
        <f t="shared" si="97"/>
        <v>0</v>
      </c>
      <c r="BL139" s="386">
        <f t="shared" si="120"/>
        <v>0</v>
      </c>
      <c r="BM139" s="386">
        <f t="shared" si="121"/>
        <v>0</v>
      </c>
      <c r="BN139" s="386">
        <f t="shared" si="98"/>
        <v>0</v>
      </c>
      <c r="BO139" s="386">
        <f t="shared" si="99"/>
        <v>0</v>
      </c>
      <c r="BP139" s="386">
        <f t="shared" si="100"/>
        <v>0</v>
      </c>
      <c r="BQ139" s="386">
        <f t="shared" si="101"/>
        <v>0</v>
      </c>
      <c r="BR139" s="386">
        <f t="shared" si="102"/>
        <v>0</v>
      </c>
      <c r="BS139" s="386">
        <f t="shared" si="103"/>
        <v>0</v>
      </c>
      <c r="BT139" s="386">
        <f t="shared" si="104"/>
        <v>0</v>
      </c>
      <c r="BU139" s="386">
        <f t="shared" si="105"/>
        <v>0</v>
      </c>
      <c r="BV139" s="386">
        <f t="shared" si="106"/>
        <v>0</v>
      </c>
      <c r="BW139" s="386">
        <f t="shared" si="107"/>
        <v>0</v>
      </c>
      <c r="BX139" s="386">
        <f t="shared" si="122"/>
        <v>0</v>
      </c>
      <c r="BY139" s="386">
        <f t="shared" si="123"/>
        <v>0</v>
      </c>
      <c r="BZ139" s="386">
        <f t="shared" si="124"/>
        <v>0</v>
      </c>
      <c r="CA139" s="386">
        <f t="shared" si="125"/>
        <v>0</v>
      </c>
      <c r="CB139" s="386">
        <f t="shared" si="126"/>
        <v>0</v>
      </c>
      <c r="CC139" s="386">
        <f t="shared" si="108"/>
        <v>0</v>
      </c>
      <c r="CD139" s="386">
        <f t="shared" si="109"/>
        <v>0</v>
      </c>
      <c r="CE139" s="386">
        <f t="shared" si="110"/>
        <v>0</v>
      </c>
      <c r="CF139" s="386">
        <f t="shared" si="111"/>
        <v>0</v>
      </c>
      <c r="CG139" s="386">
        <f t="shared" si="112"/>
        <v>0</v>
      </c>
      <c r="CH139" s="386">
        <f t="shared" si="113"/>
        <v>0</v>
      </c>
      <c r="CI139" s="386">
        <f t="shared" si="114"/>
        <v>0</v>
      </c>
      <c r="CJ139" s="386">
        <f t="shared" si="127"/>
        <v>0</v>
      </c>
      <c r="CK139" s="386" t="str">
        <f t="shared" si="128"/>
        <v/>
      </c>
      <c r="CL139" s="386">
        <f t="shared" si="129"/>
        <v>0</v>
      </c>
      <c r="CM139" s="386">
        <f t="shared" si="130"/>
        <v>0</v>
      </c>
      <c r="CN139" s="386" t="str">
        <f t="shared" si="131"/>
        <v>0001-00</v>
      </c>
    </row>
    <row r="140" spans="1:92" ht="15.75" thickBot="1" x14ac:dyDescent="0.3">
      <c r="A140" s="375" t="s">
        <v>161</v>
      </c>
      <c r="B140" s="375" t="s">
        <v>162</v>
      </c>
      <c r="C140" s="375" t="s">
        <v>713</v>
      </c>
      <c r="D140" s="375" t="s">
        <v>611</v>
      </c>
      <c r="E140" s="375" t="s">
        <v>165</v>
      </c>
      <c r="F140" s="376" t="s">
        <v>166</v>
      </c>
      <c r="G140" s="375" t="s">
        <v>549</v>
      </c>
      <c r="H140" s="377"/>
      <c r="I140" s="377"/>
      <c r="J140" s="375" t="s">
        <v>218</v>
      </c>
      <c r="K140" s="375" t="s">
        <v>612</v>
      </c>
      <c r="L140" s="375" t="s">
        <v>316</v>
      </c>
      <c r="M140" s="375" t="s">
        <v>177</v>
      </c>
      <c r="N140" s="375" t="s">
        <v>199</v>
      </c>
      <c r="O140" s="378">
        <v>1</v>
      </c>
      <c r="P140" s="384">
        <v>0.8</v>
      </c>
      <c r="Q140" s="384">
        <v>0.8</v>
      </c>
      <c r="R140" s="379">
        <v>80</v>
      </c>
      <c r="S140" s="384">
        <v>0.8</v>
      </c>
      <c r="T140" s="379">
        <v>81934.070000000007</v>
      </c>
      <c r="U140" s="379">
        <v>0</v>
      </c>
      <c r="V140" s="379">
        <v>26208.51</v>
      </c>
      <c r="W140" s="379">
        <v>84764.160000000003</v>
      </c>
      <c r="X140" s="379">
        <v>27414.59</v>
      </c>
      <c r="Y140" s="379">
        <v>84764.160000000003</v>
      </c>
      <c r="Z140" s="379">
        <v>27007.72</v>
      </c>
      <c r="AA140" s="375" t="s">
        <v>714</v>
      </c>
      <c r="AB140" s="375" t="s">
        <v>715</v>
      </c>
      <c r="AC140" s="375" t="s">
        <v>716</v>
      </c>
      <c r="AD140" s="375" t="s">
        <v>170</v>
      </c>
      <c r="AE140" s="375" t="s">
        <v>612</v>
      </c>
      <c r="AF140" s="375" t="s">
        <v>374</v>
      </c>
      <c r="AG140" s="375" t="s">
        <v>183</v>
      </c>
      <c r="AH140" s="380">
        <v>50.94</v>
      </c>
      <c r="AI140" s="380">
        <v>70789.399999999994</v>
      </c>
      <c r="AJ140" s="375" t="s">
        <v>184</v>
      </c>
      <c r="AK140" s="375" t="s">
        <v>185</v>
      </c>
      <c r="AL140" s="375" t="s">
        <v>173</v>
      </c>
      <c r="AM140" s="375" t="s">
        <v>186</v>
      </c>
      <c r="AN140" s="375" t="s">
        <v>68</v>
      </c>
      <c r="AO140" s="378">
        <v>80</v>
      </c>
      <c r="AP140" s="384">
        <v>1</v>
      </c>
      <c r="AQ140" s="384">
        <v>0.8</v>
      </c>
      <c r="AR140" s="383" t="s">
        <v>187</v>
      </c>
      <c r="AS140" s="386">
        <f t="shared" si="115"/>
        <v>0.8</v>
      </c>
      <c r="AT140">
        <f t="shared" si="116"/>
        <v>1</v>
      </c>
      <c r="AU140" s="386">
        <f>IF(AT140=0,"",IF(AND(AT140=1,M140="F",SUMIF(C2:C557,C140,AS2:AS557)&lt;=1),SUMIF(C2:C557,C140,AS2:AS557),IF(AND(AT140=1,M140="F",SUMIF(C2:C557,C140,AS2:AS557)&gt;1),1,"")))</f>
        <v>1</v>
      </c>
      <c r="AV140" s="386" t="str">
        <f>IF(AT140=0,"",IF(AND(AT140=3,M140="F",SUMIF(C2:C557,C140,AS2:AS557)&lt;=1),SUMIF(C2:C557,C140,AS2:AS557),IF(AND(AT140=3,M140="F",SUMIF(C2:C557,C140,AS2:AS557)&gt;1),1,"")))</f>
        <v/>
      </c>
      <c r="AW140" s="386">
        <f>SUMIF(C2:C557,C140,O2:O557)</f>
        <v>2</v>
      </c>
      <c r="AX140" s="386">
        <f>IF(AND(M140="F",AS140&lt;&gt;0),SUMIF(C2:C557,C140,W2:W557),0)</f>
        <v>105955.20000000001</v>
      </c>
      <c r="AY140" s="386">
        <f t="shared" si="117"/>
        <v>84764.160000000003</v>
      </c>
      <c r="AZ140" s="386" t="str">
        <f t="shared" si="118"/>
        <v/>
      </c>
      <c r="BA140" s="386">
        <f t="shared" si="119"/>
        <v>0</v>
      </c>
      <c r="BB140" s="386">
        <f t="shared" si="88"/>
        <v>9320</v>
      </c>
      <c r="BC140" s="386">
        <f t="shared" si="89"/>
        <v>0</v>
      </c>
      <c r="BD140" s="386">
        <f t="shared" si="90"/>
        <v>5255.3779199999999</v>
      </c>
      <c r="BE140" s="386">
        <f t="shared" si="91"/>
        <v>1229.08032</v>
      </c>
      <c r="BF140" s="386">
        <f t="shared" si="92"/>
        <v>10120.840704</v>
      </c>
      <c r="BG140" s="386">
        <f t="shared" si="93"/>
        <v>611.1495936</v>
      </c>
      <c r="BH140" s="386">
        <f t="shared" si="94"/>
        <v>415.34438399999999</v>
      </c>
      <c r="BI140" s="386">
        <f t="shared" si="95"/>
        <v>259.37832959999997</v>
      </c>
      <c r="BJ140" s="386">
        <f t="shared" si="96"/>
        <v>203.43398399999998</v>
      </c>
      <c r="BK140" s="386">
        <f t="shared" si="97"/>
        <v>0</v>
      </c>
      <c r="BL140" s="386">
        <f t="shared" si="120"/>
        <v>18094.605235200001</v>
      </c>
      <c r="BM140" s="386">
        <f t="shared" si="121"/>
        <v>0</v>
      </c>
      <c r="BN140" s="386">
        <f t="shared" si="98"/>
        <v>9320</v>
      </c>
      <c r="BO140" s="386">
        <f t="shared" si="99"/>
        <v>0</v>
      </c>
      <c r="BP140" s="386">
        <f t="shared" si="100"/>
        <v>5255.3779199999999</v>
      </c>
      <c r="BQ140" s="386">
        <f t="shared" si="101"/>
        <v>1229.08032</v>
      </c>
      <c r="BR140" s="386">
        <f t="shared" si="102"/>
        <v>10120.840704</v>
      </c>
      <c r="BS140" s="386">
        <f t="shared" si="103"/>
        <v>611.1495936</v>
      </c>
      <c r="BT140" s="386">
        <f t="shared" si="104"/>
        <v>0</v>
      </c>
      <c r="BU140" s="386">
        <f t="shared" si="105"/>
        <v>259.37832959999997</v>
      </c>
      <c r="BV140" s="386">
        <f t="shared" si="106"/>
        <v>211.91040000000001</v>
      </c>
      <c r="BW140" s="386">
        <f t="shared" si="107"/>
        <v>0</v>
      </c>
      <c r="BX140" s="386">
        <f t="shared" si="122"/>
        <v>17687.737267200002</v>
      </c>
      <c r="BY140" s="386">
        <f t="shared" si="123"/>
        <v>0</v>
      </c>
      <c r="BZ140" s="386">
        <f t="shared" si="124"/>
        <v>0</v>
      </c>
      <c r="CA140" s="386">
        <f t="shared" si="125"/>
        <v>0</v>
      </c>
      <c r="CB140" s="386">
        <f t="shared" si="126"/>
        <v>0</v>
      </c>
      <c r="CC140" s="386">
        <f t="shared" si="108"/>
        <v>0</v>
      </c>
      <c r="CD140" s="386">
        <f t="shared" si="109"/>
        <v>0</v>
      </c>
      <c r="CE140" s="386">
        <f t="shared" si="110"/>
        <v>0</v>
      </c>
      <c r="CF140" s="386">
        <f t="shared" si="111"/>
        <v>-415.34438399999999</v>
      </c>
      <c r="CG140" s="386">
        <f t="shared" si="112"/>
        <v>0</v>
      </c>
      <c r="CH140" s="386">
        <f t="shared" si="113"/>
        <v>8.4764160000000217</v>
      </c>
      <c r="CI140" s="386">
        <f t="shared" si="114"/>
        <v>0</v>
      </c>
      <c r="CJ140" s="386">
        <f t="shared" si="127"/>
        <v>-406.86796799999996</v>
      </c>
      <c r="CK140" s="386" t="str">
        <f t="shared" si="128"/>
        <v/>
      </c>
      <c r="CL140" s="386" t="str">
        <f t="shared" si="129"/>
        <v/>
      </c>
      <c r="CM140" s="386" t="str">
        <f t="shared" si="130"/>
        <v/>
      </c>
      <c r="CN140" s="386" t="str">
        <f t="shared" si="131"/>
        <v>0001-00</v>
      </c>
    </row>
    <row r="141" spans="1:92" ht="15.75" thickBot="1" x14ac:dyDescent="0.3">
      <c r="A141" s="375" t="s">
        <v>161</v>
      </c>
      <c r="B141" s="375" t="s">
        <v>162</v>
      </c>
      <c r="C141" s="375" t="s">
        <v>717</v>
      </c>
      <c r="D141" s="375" t="s">
        <v>555</v>
      </c>
      <c r="E141" s="375" t="s">
        <v>165</v>
      </c>
      <c r="F141" s="376" t="s">
        <v>166</v>
      </c>
      <c r="G141" s="375" t="s">
        <v>549</v>
      </c>
      <c r="H141" s="377"/>
      <c r="I141" s="377"/>
      <c r="J141" s="375" t="s">
        <v>168</v>
      </c>
      <c r="K141" s="375" t="s">
        <v>556</v>
      </c>
      <c r="L141" s="375" t="s">
        <v>220</v>
      </c>
      <c r="M141" s="375" t="s">
        <v>177</v>
      </c>
      <c r="N141" s="375" t="s">
        <v>199</v>
      </c>
      <c r="O141" s="378">
        <v>1</v>
      </c>
      <c r="P141" s="384">
        <v>1</v>
      </c>
      <c r="Q141" s="384">
        <v>1</v>
      </c>
      <c r="R141" s="379">
        <v>80</v>
      </c>
      <c r="S141" s="384">
        <v>1</v>
      </c>
      <c r="T141" s="379">
        <v>58362.1</v>
      </c>
      <c r="U141" s="379">
        <v>0</v>
      </c>
      <c r="V141" s="379">
        <v>23435.32</v>
      </c>
      <c r="W141" s="379">
        <v>60548.800000000003</v>
      </c>
      <c r="X141" s="379">
        <v>24575.3</v>
      </c>
      <c r="Y141" s="379">
        <v>60548.800000000003</v>
      </c>
      <c r="Z141" s="379">
        <v>24284.68</v>
      </c>
      <c r="AA141" s="375" t="s">
        <v>718</v>
      </c>
      <c r="AB141" s="375" t="s">
        <v>719</v>
      </c>
      <c r="AC141" s="375" t="s">
        <v>720</v>
      </c>
      <c r="AD141" s="375" t="s">
        <v>721</v>
      </c>
      <c r="AE141" s="375" t="s">
        <v>556</v>
      </c>
      <c r="AF141" s="375" t="s">
        <v>252</v>
      </c>
      <c r="AG141" s="375" t="s">
        <v>183</v>
      </c>
      <c r="AH141" s="380">
        <v>29.11</v>
      </c>
      <c r="AI141" s="378">
        <v>22316</v>
      </c>
      <c r="AJ141" s="375" t="s">
        <v>184</v>
      </c>
      <c r="AK141" s="375" t="s">
        <v>185</v>
      </c>
      <c r="AL141" s="375" t="s">
        <v>173</v>
      </c>
      <c r="AM141" s="375" t="s">
        <v>186</v>
      </c>
      <c r="AN141" s="375" t="s">
        <v>68</v>
      </c>
      <c r="AO141" s="378">
        <v>80</v>
      </c>
      <c r="AP141" s="384">
        <v>1</v>
      </c>
      <c r="AQ141" s="384">
        <v>1</v>
      </c>
      <c r="AR141" s="383" t="s">
        <v>187</v>
      </c>
      <c r="AS141" s="386">
        <f t="shared" si="115"/>
        <v>1</v>
      </c>
      <c r="AT141">
        <f t="shared" si="116"/>
        <v>1</v>
      </c>
      <c r="AU141" s="386">
        <f>IF(AT141=0,"",IF(AND(AT141=1,M141="F",SUMIF(C2:C557,C141,AS2:AS557)&lt;=1),SUMIF(C2:C557,C141,AS2:AS557),IF(AND(AT141=1,M141="F",SUMIF(C2:C557,C141,AS2:AS557)&gt;1),1,"")))</f>
        <v>1</v>
      </c>
      <c r="AV141" s="386" t="str">
        <f>IF(AT141=0,"",IF(AND(AT141=3,M141="F",SUMIF(C2:C557,C141,AS2:AS557)&lt;=1),SUMIF(C2:C557,C141,AS2:AS557),IF(AND(AT141=3,M141="F",SUMIF(C2:C557,C141,AS2:AS557)&gt;1),1,"")))</f>
        <v/>
      </c>
      <c r="AW141" s="386">
        <f>SUMIF(C2:C557,C141,O2:O557)</f>
        <v>1</v>
      </c>
      <c r="AX141" s="386">
        <f>IF(AND(M141="F",AS141&lt;&gt;0),SUMIF(C2:C557,C141,W2:W557),0)</f>
        <v>60548.800000000003</v>
      </c>
      <c r="AY141" s="386">
        <f t="shared" si="117"/>
        <v>60548.800000000003</v>
      </c>
      <c r="AZ141" s="386" t="str">
        <f t="shared" si="118"/>
        <v/>
      </c>
      <c r="BA141" s="386">
        <f t="shared" si="119"/>
        <v>0</v>
      </c>
      <c r="BB141" s="386">
        <f t="shared" si="88"/>
        <v>11650</v>
      </c>
      <c r="BC141" s="386">
        <f t="shared" si="89"/>
        <v>0</v>
      </c>
      <c r="BD141" s="386">
        <f t="shared" si="90"/>
        <v>3754.0255999999999</v>
      </c>
      <c r="BE141" s="386">
        <f t="shared" si="91"/>
        <v>877.95760000000007</v>
      </c>
      <c r="BF141" s="386">
        <f t="shared" si="92"/>
        <v>7229.5267200000008</v>
      </c>
      <c r="BG141" s="386">
        <f t="shared" si="93"/>
        <v>436.55684800000006</v>
      </c>
      <c r="BH141" s="386">
        <f t="shared" si="94"/>
        <v>296.68912</v>
      </c>
      <c r="BI141" s="386">
        <f t="shared" si="95"/>
        <v>185.27932799999999</v>
      </c>
      <c r="BJ141" s="386">
        <f t="shared" si="96"/>
        <v>145.31711999999999</v>
      </c>
      <c r="BK141" s="386">
        <f t="shared" si="97"/>
        <v>0</v>
      </c>
      <c r="BL141" s="386">
        <f t="shared" si="120"/>
        <v>12925.352336</v>
      </c>
      <c r="BM141" s="386">
        <f t="shared" si="121"/>
        <v>0</v>
      </c>
      <c r="BN141" s="386">
        <f t="shared" si="98"/>
        <v>11650</v>
      </c>
      <c r="BO141" s="386">
        <f t="shared" si="99"/>
        <v>0</v>
      </c>
      <c r="BP141" s="386">
        <f t="shared" si="100"/>
        <v>3754.0255999999999</v>
      </c>
      <c r="BQ141" s="386">
        <f t="shared" si="101"/>
        <v>877.95760000000007</v>
      </c>
      <c r="BR141" s="386">
        <f t="shared" si="102"/>
        <v>7229.5267200000008</v>
      </c>
      <c r="BS141" s="386">
        <f t="shared" si="103"/>
        <v>436.55684800000006</v>
      </c>
      <c r="BT141" s="386">
        <f t="shared" si="104"/>
        <v>0</v>
      </c>
      <c r="BU141" s="386">
        <f t="shared" si="105"/>
        <v>185.27932799999999</v>
      </c>
      <c r="BV141" s="386">
        <f t="shared" si="106"/>
        <v>151.37200000000001</v>
      </c>
      <c r="BW141" s="386">
        <f t="shared" si="107"/>
        <v>0</v>
      </c>
      <c r="BX141" s="386">
        <f t="shared" si="122"/>
        <v>12634.718096000001</v>
      </c>
      <c r="BY141" s="386">
        <f t="shared" si="123"/>
        <v>0</v>
      </c>
      <c r="BZ141" s="386">
        <f t="shared" si="124"/>
        <v>0</v>
      </c>
      <c r="CA141" s="386">
        <f t="shared" si="125"/>
        <v>0</v>
      </c>
      <c r="CB141" s="386">
        <f t="shared" si="126"/>
        <v>0</v>
      </c>
      <c r="CC141" s="386">
        <f t="shared" si="108"/>
        <v>0</v>
      </c>
      <c r="CD141" s="386">
        <f t="shared" si="109"/>
        <v>0</v>
      </c>
      <c r="CE141" s="386">
        <f t="shared" si="110"/>
        <v>0</v>
      </c>
      <c r="CF141" s="386">
        <f t="shared" si="111"/>
        <v>-296.68912</v>
      </c>
      <c r="CG141" s="386">
        <f t="shared" si="112"/>
        <v>0</v>
      </c>
      <c r="CH141" s="386">
        <f t="shared" si="113"/>
        <v>6.0548800000000158</v>
      </c>
      <c r="CI141" s="386">
        <f t="shared" si="114"/>
        <v>0</v>
      </c>
      <c r="CJ141" s="386">
        <f t="shared" si="127"/>
        <v>-290.63423999999998</v>
      </c>
      <c r="CK141" s="386" t="str">
        <f t="shared" si="128"/>
        <v/>
      </c>
      <c r="CL141" s="386" t="str">
        <f t="shared" si="129"/>
        <v/>
      </c>
      <c r="CM141" s="386" t="str">
        <f t="shared" si="130"/>
        <v/>
      </c>
      <c r="CN141" s="386" t="str">
        <f t="shared" si="131"/>
        <v>0001-00</v>
      </c>
    </row>
    <row r="142" spans="1:92" ht="15.75" thickBot="1" x14ac:dyDescent="0.3">
      <c r="A142" s="375" t="s">
        <v>161</v>
      </c>
      <c r="B142" s="375" t="s">
        <v>162</v>
      </c>
      <c r="C142" s="375" t="s">
        <v>722</v>
      </c>
      <c r="D142" s="375" t="s">
        <v>617</v>
      </c>
      <c r="E142" s="375" t="s">
        <v>165</v>
      </c>
      <c r="F142" s="376" t="s">
        <v>166</v>
      </c>
      <c r="G142" s="375" t="s">
        <v>549</v>
      </c>
      <c r="H142" s="377"/>
      <c r="I142" s="377"/>
      <c r="J142" s="375" t="s">
        <v>272</v>
      </c>
      <c r="K142" s="375" t="s">
        <v>618</v>
      </c>
      <c r="L142" s="375" t="s">
        <v>173</v>
      </c>
      <c r="M142" s="375" t="s">
        <v>177</v>
      </c>
      <c r="N142" s="375" t="s">
        <v>199</v>
      </c>
      <c r="O142" s="378">
        <v>1</v>
      </c>
      <c r="P142" s="384">
        <v>0.85</v>
      </c>
      <c r="Q142" s="384">
        <v>0.85</v>
      </c>
      <c r="R142" s="379">
        <v>80</v>
      </c>
      <c r="S142" s="384">
        <v>0.85</v>
      </c>
      <c r="T142" s="379">
        <v>52406.26</v>
      </c>
      <c r="U142" s="379">
        <v>0</v>
      </c>
      <c r="V142" s="379">
        <v>20700.82</v>
      </c>
      <c r="W142" s="379">
        <v>54366</v>
      </c>
      <c r="X142" s="379">
        <v>21507.99</v>
      </c>
      <c r="Y142" s="379">
        <v>54366</v>
      </c>
      <c r="Z142" s="379">
        <v>21247.040000000001</v>
      </c>
      <c r="AA142" s="375" t="s">
        <v>723</v>
      </c>
      <c r="AB142" s="375" t="s">
        <v>471</v>
      </c>
      <c r="AC142" s="375" t="s">
        <v>724</v>
      </c>
      <c r="AD142" s="375" t="s">
        <v>233</v>
      </c>
      <c r="AE142" s="375" t="s">
        <v>618</v>
      </c>
      <c r="AF142" s="375" t="s">
        <v>305</v>
      </c>
      <c r="AG142" s="375" t="s">
        <v>183</v>
      </c>
      <c r="AH142" s="380">
        <v>30.75</v>
      </c>
      <c r="AI142" s="380">
        <v>51663.7</v>
      </c>
      <c r="AJ142" s="375" t="s">
        <v>184</v>
      </c>
      <c r="AK142" s="375" t="s">
        <v>185</v>
      </c>
      <c r="AL142" s="375" t="s">
        <v>173</v>
      </c>
      <c r="AM142" s="375" t="s">
        <v>186</v>
      </c>
      <c r="AN142" s="375" t="s">
        <v>68</v>
      </c>
      <c r="AO142" s="378">
        <v>80</v>
      </c>
      <c r="AP142" s="384">
        <v>1</v>
      </c>
      <c r="AQ142" s="384">
        <v>0.85</v>
      </c>
      <c r="AR142" s="383" t="s">
        <v>187</v>
      </c>
      <c r="AS142" s="386">
        <f t="shared" si="115"/>
        <v>0.85</v>
      </c>
      <c r="AT142">
        <f t="shared" si="116"/>
        <v>1</v>
      </c>
      <c r="AU142" s="386">
        <f>IF(AT142=0,"",IF(AND(AT142=1,M142="F",SUMIF(C2:C557,C142,AS2:AS557)&lt;=1),SUMIF(C2:C557,C142,AS2:AS557),IF(AND(AT142=1,M142="F",SUMIF(C2:C557,C142,AS2:AS557)&gt;1),1,"")))</f>
        <v>1</v>
      </c>
      <c r="AV142" s="386" t="str">
        <f>IF(AT142=0,"",IF(AND(AT142=3,M142="F",SUMIF(C2:C557,C142,AS2:AS557)&lt;=1),SUMIF(C2:C557,C142,AS2:AS557),IF(AND(AT142=3,M142="F",SUMIF(C2:C557,C142,AS2:AS557)&gt;1),1,"")))</f>
        <v/>
      </c>
      <c r="AW142" s="386">
        <f>SUMIF(C2:C557,C142,O2:O557)</f>
        <v>3</v>
      </c>
      <c r="AX142" s="386">
        <f>IF(AND(M142="F",AS142&lt;&gt;0),SUMIF(C2:C557,C142,W2:W557),0)</f>
        <v>63960</v>
      </c>
      <c r="AY142" s="386">
        <f t="shared" si="117"/>
        <v>54366</v>
      </c>
      <c r="AZ142" s="386" t="str">
        <f t="shared" si="118"/>
        <v/>
      </c>
      <c r="BA142" s="386">
        <f t="shared" si="119"/>
        <v>0</v>
      </c>
      <c r="BB142" s="386">
        <f t="shared" si="88"/>
        <v>9902.5</v>
      </c>
      <c r="BC142" s="386">
        <f t="shared" si="89"/>
        <v>0</v>
      </c>
      <c r="BD142" s="386">
        <f t="shared" si="90"/>
        <v>3370.692</v>
      </c>
      <c r="BE142" s="386">
        <f t="shared" si="91"/>
        <v>788.30700000000002</v>
      </c>
      <c r="BF142" s="386">
        <f t="shared" si="92"/>
        <v>6491.3004000000001</v>
      </c>
      <c r="BG142" s="386">
        <f t="shared" si="93"/>
        <v>391.97886</v>
      </c>
      <c r="BH142" s="386">
        <f t="shared" si="94"/>
        <v>266.39339999999999</v>
      </c>
      <c r="BI142" s="386">
        <f t="shared" si="95"/>
        <v>166.35996</v>
      </c>
      <c r="BJ142" s="386">
        <f t="shared" si="96"/>
        <v>130.47839999999999</v>
      </c>
      <c r="BK142" s="386">
        <f t="shared" si="97"/>
        <v>0</v>
      </c>
      <c r="BL142" s="386">
        <f t="shared" si="120"/>
        <v>11605.51002</v>
      </c>
      <c r="BM142" s="386">
        <f t="shared" si="121"/>
        <v>0</v>
      </c>
      <c r="BN142" s="386">
        <f t="shared" si="98"/>
        <v>9902.5</v>
      </c>
      <c r="BO142" s="386">
        <f t="shared" si="99"/>
        <v>0</v>
      </c>
      <c r="BP142" s="386">
        <f t="shared" si="100"/>
        <v>3370.692</v>
      </c>
      <c r="BQ142" s="386">
        <f t="shared" si="101"/>
        <v>788.30700000000002</v>
      </c>
      <c r="BR142" s="386">
        <f t="shared" si="102"/>
        <v>6491.3004000000001</v>
      </c>
      <c r="BS142" s="386">
        <f t="shared" si="103"/>
        <v>391.97886</v>
      </c>
      <c r="BT142" s="386">
        <f t="shared" si="104"/>
        <v>0</v>
      </c>
      <c r="BU142" s="386">
        <f t="shared" si="105"/>
        <v>166.35996</v>
      </c>
      <c r="BV142" s="386">
        <f t="shared" si="106"/>
        <v>135.91499999999999</v>
      </c>
      <c r="BW142" s="386">
        <f t="shared" si="107"/>
        <v>0</v>
      </c>
      <c r="BX142" s="386">
        <f t="shared" si="122"/>
        <v>11344.55322</v>
      </c>
      <c r="BY142" s="386">
        <f t="shared" si="123"/>
        <v>0</v>
      </c>
      <c r="BZ142" s="386">
        <f t="shared" si="124"/>
        <v>0</v>
      </c>
      <c r="CA142" s="386">
        <f t="shared" si="125"/>
        <v>0</v>
      </c>
      <c r="CB142" s="386">
        <f t="shared" si="126"/>
        <v>0</v>
      </c>
      <c r="CC142" s="386">
        <f t="shared" si="108"/>
        <v>0</v>
      </c>
      <c r="CD142" s="386">
        <f t="shared" si="109"/>
        <v>0</v>
      </c>
      <c r="CE142" s="386">
        <f t="shared" si="110"/>
        <v>0</v>
      </c>
      <c r="CF142" s="386">
        <f t="shared" si="111"/>
        <v>-266.39339999999999</v>
      </c>
      <c r="CG142" s="386">
        <f t="shared" si="112"/>
        <v>0</v>
      </c>
      <c r="CH142" s="386">
        <f t="shared" si="113"/>
        <v>5.4366000000000145</v>
      </c>
      <c r="CI142" s="386">
        <f t="shared" si="114"/>
        <v>0</v>
      </c>
      <c r="CJ142" s="386">
        <f t="shared" si="127"/>
        <v>-260.95679999999999</v>
      </c>
      <c r="CK142" s="386" t="str">
        <f t="shared" si="128"/>
        <v/>
      </c>
      <c r="CL142" s="386" t="str">
        <f t="shared" si="129"/>
        <v/>
      </c>
      <c r="CM142" s="386" t="str">
        <f t="shared" si="130"/>
        <v/>
      </c>
      <c r="CN142" s="386" t="str">
        <f t="shared" si="131"/>
        <v>0001-00</v>
      </c>
    </row>
    <row r="143" spans="1:92" ht="15.75" thickBot="1" x14ac:dyDescent="0.3">
      <c r="A143" s="375" t="s">
        <v>161</v>
      </c>
      <c r="B143" s="375" t="s">
        <v>162</v>
      </c>
      <c r="C143" s="375" t="s">
        <v>725</v>
      </c>
      <c r="D143" s="375" t="s">
        <v>561</v>
      </c>
      <c r="E143" s="375" t="s">
        <v>165</v>
      </c>
      <c r="F143" s="376" t="s">
        <v>166</v>
      </c>
      <c r="G143" s="375" t="s">
        <v>549</v>
      </c>
      <c r="H143" s="377"/>
      <c r="I143" s="377"/>
      <c r="J143" s="375" t="s">
        <v>168</v>
      </c>
      <c r="K143" s="375" t="s">
        <v>562</v>
      </c>
      <c r="L143" s="375" t="s">
        <v>170</v>
      </c>
      <c r="M143" s="375" t="s">
        <v>177</v>
      </c>
      <c r="N143" s="375" t="s">
        <v>199</v>
      </c>
      <c r="O143" s="378">
        <v>1</v>
      </c>
      <c r="P143" s="384">
        <v>1</v>
      </c>
      <c r="Q143" s="384">
        <v>1</v>
      </c>
      <c r="R143" s="379">
        <v>80</v>
      </c>
      <c r="S143" s="384">
        <v>1</v>
      </c>
      <c r="T143" s="379">
        <v>47572.49</v>
      </c>
      <c r="U143" s="379">
        <v>0</v>
      </c>
      <c r="V143" s="379">
        <v>21142.99</v>
      </c>
      <c r="W143" s="379">
        <v>53435.199999999997</v>
      </c>
      <c r="X143" s="379">
        <v>23056.79</v>
      </c>
      <c r="Y143" s="379">
        <v>53435.199999999997</v>
      </c>
      <c r="Z143" s="379">
        <v>22800.3</v>
      </c>
      <c r="AA143" s="375" t="s">
        <v>726</v>
      </c>
      <c r="AB143" s="375" t="s">
        <v>727</v>
      </c>
      <c r="AC143" s="375" t="s">
        <v>621</v>
      </c>
      <c r="AD143" s="375" t="s">
        <v>316</v>
      </c>
      <c r="AE143" s="375" t="s">
        <v>562</v>
      </c>
      <c r="AF143" s="375" t="s">
        <v>269</v>
      </c>
      <c r="AG143" s="375" t="s">
        <v>183</v>
      </c>
      <c r="AH143" s="380">
        <v>25.69</v>
      </c>
      <c r="AI143" s="380">
        <v>11122.7</v>
      </c>
      <c r="AJ143" s="375" t="s">
        <v>184</v>
      </c>
      <c r="AK143" s="375" t="s">
        <v>185</v>
      </c>
      <c r="AL143" s="375" t="s">
        <v>173</v>
      </c>
      <c r="AM143" s="375" t="s">
        <v>186</v>
      </c>
      <c r="AN143" s="375" t="s">
        <v>68</v>
      </c>
      <c r="AO143" s="378">
        <v>80</v>
      </c>
      <c r="AP143" s="384">
        <v>1</v>
      </c>
      <c r="AQ143" s="384">
        <v>1</v>
      </c>
      <c r="AR143" s="383" t="s">
        <v>187</v>
      </c>
      <c r="AS143" s="386">
        <f t="shared" si="115"/>
        <v>1</v>
      </c>
      <c r="AT143">
        <f t="shared" si="116"/>
        <v>1</v>
      </c>
      <c r="AU143" s="386">
        <f>IF(AT143=0,"",IF(AND(AT143=1,M143="F",SUMIF(C2:C557,C143,AS2:AS557)&lt;=1),SUMIF(C2:C557,C143,AS2:AS557),IF(AND(AT143=1,M143="F",SUMIF(C2:C557,C143,AS2:AS557)&gt;1),1,"")))</f>
        <v>1</v>
      </c>
      <c r="AV143" s="386" t="str">
        <f>IF(AT143=0,"",IF(AND(AT143=3,M143="F",SUMIF(C2:C557,C143,AS2:AS557)&lt;=1),SUMIF(C2:C557,C143,AS2:AS557),IF(AND(AT143=3,M143="F",SUMIF(C2:C557,C143,AS2:AS557)&gt;1),1,"")))</f>
        <v/>
      </c>
      <c r="AW143" s="386">
        <f>SUMIF(C2:C557,C143,O2:O557)</f>
        <v>1</v>
      </c>
      <c r="AX143" s="386">
        <f>IF(AND(M143="F",AS143&lt;&gt;0),SUMIF(C2:C557,C143,W2:W557),0)</f>
        <v>53435.199999999997</v>
      </c>
      <c r="AY143" s="386">
        <f t="shared" si="117"/>
        <v>53435.199999999997</v>
      </c>
      <c r="AZ143" s="386" t="str">
        <f t="shared" si="118"/>
        <v/>
      </c>
      <c r="BA143" s="386">
        <f t="shared" si="119"/>
        <v>0</v>
      </c>
      <c r="BB143" s="386">
        <f t="shared" si="88"/>
        <v>11650</v>
      </c>
      <c r="BC143" s="386">
        <f t="shared" si="89"/>
        <v>0</v>
      </c>
      <c r="BD143" s="386">
        <f t="shared" si="90"/>
        <v>3312.9823999999999</v>
      </c>
      <c r="BE143" s="386">
        <f t="shared" si="91"/>
        <v>774.81039999999996</v>
      </c>
      <c r="BF143" s="386">
        <f t="shared" si="92"/>
        <v>6380.1628799999999</v>
      </c>
      <c r="BG143" s="386">
        <f t="shared" si="93"/>
        <v>385.26779199999999</v>
      </c>
      <c r="BH143" s="386">
        <f t="shared" si="94"/>
        <v>261.83247999999998</v>
      </c>
      <c r="BI143" s="386">
        <f t="shared" si="95"/>
        <v>163.51171199999999</v>
      </c>
      <c r="BJ143" s="386">
        <f t="shared" si="96"/>
        <v>128.24447999999998</v>
      </c>
      <c r="BK143" s="386">
        <f t="shared" si="97"/>
        <v>0</v>
      </c>
      <c r="BL143" s="386">
        <f t="shared" si="120"/>
        <v>11406.812143999998</v>
      </c>
      <c r="BM143" s="386">
        <f t="shared" si="121"/>
        <v>0</v>
      </c>
      <c r="BN143" s="386">
        <f t="shared" si="98"/>
        <v>11650</v>
      </c>
      <c r="BO143" s="386">
        <f t="shared" si="99"/>
        <v>0</v>
      </c>
      <c r="BP143" s="386">
        <f t="shared" si="100"/>
        <v>3312.9823999999999</v>
      </c>
      <c r="BQ143" s="386">
        <f t="shared" si="101"/>
        <v>774.81039999999996</v>
      </c>
      <c r="BR143" s="386">
        <f t="shared" si="102"/>
        <v>6380.1628799999999</v>
      </c>
      <c r="BS143" s="386">
        <f t="shared" si="103"/>
        <v>385.26779199999999</v>
      </c>
      <c r="BT143" s="386">
        <f t="shared" si="104"/>
        <v>0</v>
      </c>
      <c r="BU143" s="386">
        <f t="shared" si="105"/>
        <v>163.51171199999999</v>
      </c>
      <c r="BV143" s="386">
        <f t="shared" si="106"/>
        <v>133.58799999999999</v>
      </c>
      <c r="BW143" s="386">
        <f t="shared" si="107"/>
        <v>0</v>
      </c>
      <c r="BX143" s="386">
        <f t="shared" si="122"/>
        <v>11150.323183999999</v>
      </c>
      <c r="BY143" s="386">
        <f t="shared" si="123"/>
        <v>0</v>
      </c>
      <c r="BZ143" s="386">
        <f t="shared" si="124"/>
        <v>0</v>
      </c>
      <c r="CA143" s="386">
        <f t="shared" si="125"/>
        <v>0</v>
      </c>
      <c r="CB143" s="386">
        <f t="shared" si="126"/>
        <v>0</v>
      </c>
      <c r="CC143" s="386">
        <f t="shared" si="108"/>
        <v>0</v>
      </c>
      <c r="CD143" s="386">
        <f t="shared" si="109"/>
        <v>0</v>
      </c>
      <c r="CE143" s="386">
        <f t="shared" si="110"/>
        <v>0</v>
      </c>
      <c r="CF143" s="386">
        <f t="shared" si="111"/>
        <v>-261.83247999999998</v>
      </c>
      <c r="CG143" s="386">
        <f t="shared" si="112"/>
        <v>0</v>
      </c>
      <c r="CH143" s="386">
        <f t="shared" si="113"/>
        <v>5.343520000000014</v>
      </c>
      <c r="CI143" s="386">
        <f t="shared" si="114"/>
        <v>0</v>
      </c>
      <c r="CJ143" s="386">
        <f t="shared" si="127"/>
        <v>-256.48895999999996</v>
      </c>
      <c r="CK143" s="386" t="str">
        <f t="shared" si="128"/>
        <v/>
      </c>
      <c r="CL143" s="386" t="str">
        <f t="shared" si="129"/>
        <v/>
      </c>
      <c r="CM143" s="386" t="str">
        <f t="shared" si="130"/>
        <v/>
      </c>
      <c r="CN143" s="386" t="str">
        <f t="shared" si="131"/>
        <v>0001-00</v>
      </c>
    </row>
    <row r="144" spans="1:92" ht="15.75" thickBot="1" x14ac:dyDescent="0.3">
      <c r="A144" s="375" t="s">
        <v>161</v>
      </c>
      <c r="B144" s="375" t="s">
        <v>162</v>
      </c>
      <c r="C144" s="375" t="s">
        <v>728</v>
      </c>
      <c r="D144" s="375" t="s">
        <v>729</v>
      </c>
      <c r="E144" s="375" t="s">
        <v>165</v>
      </c>
      <c r="F144" s="376" t="s">
        <v>166</v>
      </c>
      <c r="G144" s="375" t="s">
        <v>549</v>
      </c>
      <c r="H144" s="377"/>
      <c r="I144" s="377"/>
      <c r="J144" s="375" t="s">
        <v>218</v>
      </c>
      <c r="K144" s="375" t="s">
        <v>730</v>
      </c>
      <c r="L144" s="375" t="s">
        <v>731</v>
      </c>
      <c r="M144" s="375" t="s">
        <v>177</v>
      </c>
      <c r="N144" s="375" t="s">
        <v>172</v>
      </c>
      <c r="O144" s="378">
        <v>1</v>
      </c>
      <c r="P144" s="384">
        <v>0.5</v>
      </c>
      <c r="Q144" s="384">
        <v>0.5</v>
      </c>
      <c r="R144" s="379">
        <v>80</v>
      </c>
      <c r="S144" s="384">
        <v>0.5</v>
      </c>
      <c r="T144" s="379">
        <v>46764.800000000003</v>
      </c>
      <c r="U144" s="379">
        <v>0</v>
      </c>
      <c r="V144" s="379">
        <v>15203.03</v>
      </c>
      <c r="W144" s="379">
        <v>50138.400000000001</v>
      </c>
      <c r="X144" s="379">
        <v>16374.6</v>
      </c>
      <c r="Y144" s="379">
        <v>50138.400000000001</v>
      </c>
      <c r="Z144" s="379">
        <v>16133.94</v>
      </c>
      <c r="AA144" s="375" t="s">
        <v>732</v>
      </c>
      <c r="AB144" s="375" t="s">
        <v>733</v>
      </c>
      <c r="AC144" s="375" t="s">
        <v>734</v>
      </c>
      <c r="AD144" s="375" t="s">
        <v>214</v>
      </c>
      <c r="AE144" s="375" t="s">
        <v>730</v>
      </c>
      <c r="AF144" s="375" t="s">
        <v>182</v>
      </c>
      <c r="AG144" s="375" t="s">
        <v>183</v>
      </c>
      <c r="AH144" s="380">
        <v>48.21</v>
      </c>
      <c r="AI144" s="380">
        <v>24206.2</v>
      </c>
      <c r="AJ144" s="375" t="s">
        <v>184</v>
      </c>
      <c r="AK144" s="375" t="s">
        <v>185</v>
      </c>
      <c r="AL144" s="375" t="s">
        <v>173</v>
      </c>
      <c r="AM144" s="375" t="s">
        <v>186</v>
      </c>
      <c r="AN144" s="375" t="s">
        <v>68</v>
      </c>
      <c r="AO144" s="378">
        <v>80</v>
      </c>
      <c r="AP144" s="384">
        <v>1</v>
      </c>
      <c r="AQ144" s="384">
        <v>0.5</v>
      </c>
      <c r="AR144" s="383" t="s">
        <v>187</v>
      </c>
      <c r="AS144" s="386">
        <f t="shared" si="115"/>
        <v>0.5</v>
      </c>
      <c r="AT144">
        <f t="shared" si="116"/>
        <v>1</v>
      </c>
      <c r="AU144" s="386">
        <f>IF(AT144=0,"",IF(AND(AT144=1,M144="F",SUMIF(C2:C557,C144,AS2:AS557)&lt;=1),SUMIF(C2:C557,C144,AS2:AS557),IF(AND(AT144=1,M144="F",SUMIF(C2:C557,C144,AS2:AS557)&gt;1),1,"")))</f>
        <v>1</v>
      </c>
      <c r="AV144" s="386" t="str">
        <f>IF(AT144=0,"",IF(AND(AT144=3,M144="F",SUMIF(C2:C557,C144,AS2:AS557)&lt;=1),SUMIF(C2:C557,C144,AS2:AS557),IF(AND(AT144=3,M144="F",SUMIF(C2:C557,C144,AS2:AS557)&gt;1),1,"")))</f>
        <v/>
      </c>
      <c r="AW144" s="386">
        <f>SUMIF(C2:C557,C144,O2:O557)</f>
        <v>2</v>
      </c>
      <c r="AX144" s="386">
        <f>IF(AND(M144="F",AS144&lt;&gt;0),SUMIF(C2:C557,C144,W2:W557),0)</f>
        <v>100276.8</v>
      </c>
      <c r="AY144" s="386">
        <f t="shared" si="117"/>
        <v>50138.400000000001</v>
      </c>
      <c r="AZ144" s="386" t="str">
        <f t="shared" si="118"/>
        <v/>
      </c>
      <c r="BA144" s="386">
        <f t="shared" si="119"/>
        <v>0</v>
      </c>
      <c r="BB144" s="386">
        <f t="shared" si="88"/>
        <v>5825</v>
      </c>
      <c r="BC144" s="386">
        <f t="shared" si="89"/>
        <v>0</v>
      </c>
      <c r="BD144" s="386">
        <f t="shared" si="90"/>
        <v>3108.5808000000002</v>
      </c>
      <c r="BE144" s="386">
        <f t="shared" si="91"/>
        <v>727.00680000000011</v>
      </c>
      <c r="BF144" s="386">
        <f t="shared" si="92"/>
        <v>5986.5249600000006</v>
      </c>
      <c r="BG144" s="386">
        <f t="shared" si="93"/>
        <v>361.49786400000005</v>
      </c>
      <c r="BH144" s="386">
        <f t="shared" si="94"/>
        <v>245.67815999999999</v>
      </c>
      <c r="BI144" s="386">
        <f t="shared" si="95"/>
        <v>0</v>
      </c>
      <c r="BJ144" s="386">
        <f t="shared" si="96"/>
        <v>120.33215999999999</v>
      </c>
      <c r="BK144" s="386">
        <f t="shared" si="97"/>
        <v>0</v>
      </c>
      <c r="BL144" s="386">
        <f t="shared" si="120"/>
        <v>10549.620744000002</v>
      </c>
      <c r="BM144" s="386">
        <f t="shared" si="121"/>
        <v>0</v>
      </c>
      <c r="BN144" s="386">
        <f t="shared" si="98"/>
        <v>5825</v>
      </c>
      <c r="BO144" s="386">
        <f t="shared" si="99"/>
        <v>0</v>
      </c>
      <c r="BP144" s="386">
        <f t="shared" si="100"/>
        <v>3108.5808000000002</v>
      </c>
      <c r="BQ144" s="386">
        <f t="shared" si="101"/>
        <v>727.00680000000011</v>
      </c>
      <c r="BR144" s="386">
        <f t="shared" si="102"/>
        <v>5986.5249600000006</v>
      </c>
      <c r="BS144" s="386">
        <f t="shared" si="103"/>
        <v>361.49786400000005</v>
      </c>
      <c r="BT144" s="386">
        <f t="shared" si="104"/>
        <v>0</v>
      </c>
      <c r="BU144" s="386">
        <f t="shared" si="105"/>
        <v>0</v>
      </c>
      <c r="BV144" s="386">
        <f t="shared" si="106"/>
        <v>125.346</v>
      </c>
      <c r="BW144" s="386">
        <f t="shared" si="107"/>
        <v>0</v>
      </c>
      <c r="BX144" s="386">
        <f t="shared" si="122"/>
        <v>10308.956424000002</v>
      </c>
      <c r="BY144" s="386">
        <f t="shared" si="123"/>
        <v>0</v>
      </c>
      <c r="BZ144" s="386">
        <f t="shared" si="124"/>
        <v>0</v>
      </c>
      <c r="CA144" s="386">
        <f t="shared" si="125"/>
        <v>0</v>
      </c>
      <c r="CB144" s="386">
        <f t="shared" si="126"/>
        <v>0</v>
      </c>
      <c r="CC144" s="386">
        <f t="shared" si="108"/>
        <v>0</v>
      </c>
      <c r="CD144" s="386">
        <f t="shared" si="109"/>
        <v>0</v>
      </c>
      <c r="CE144" s="386">
        <f t="shared" si="110"/>
        <v>0</v>
      </c>
      <c r="CF144" s="386">
        <f t="shared" si="111"/>
        <v>-245.67815999999999</v>
      </c>
      <c r="CG144" s="386">
        <f t="shared" si="112"/>
        <v>0</v>
      </c>
      <c r="CH144" s="386">
        <f t="shared" si="113"/>
        <v>5.0138400000000134</v>
      </c>
      <c r="CI144" s="386">
        <f t="shared" si="114"/>
        <v>0</v>
      </c>
      <c r="CJ144" s="386">
        <f t="shared" si="127"/>
        <v>-240.66431999999998</v>
      </c>
      <c r="CK144" s="386" t="str">
        <f t="shared" si="128"/>
        <v/>
      </c>
      <c r="CL144" s="386" t="str">
        <f t="shared" si="129"/>
        <v/>
      </c>
      <c r="CM144" s="386" t="str">
        <f t="shared" si="130"/>
        <v/>
      </c>
      <c r="CN144" s="386" t="str">
        <f t="shared" si="131"/>
        <v>0001-00</v>
      </c>
    </row>
    <row r="145" spans="1:92" ht="15.75" thickBot="1" x14ac:dyDescent="0.3">
      <c r="A145" s="375" t="s">
        <v>161</v>
      </c>
      <c r="B145" s="375" t="s">
        <v>162</v>
      </c>
      <c r="C145" s="375" t="s">
        <v>735</v>
      </c>
      <c r="D145" s="375" t="s">
        <v>561</v>
      </c>
      <c r="E145" s="375" t="s">
        <v>165</v>
      </c>
      <c r="F145" s="376" t="s">
        <v>166</v>
      </c>
      <c r="G145" s="375" t="s">
        <v>549</v>
      </c>
      <c r="H145" s="377"/>
      <c r="I145" s="377"/>
      <c r="J145" s="375" t="s">
        <v>168</v>
      </c>
      <c r="K145" s="375" t="s">
        <v>562</v>
      </c>
      <c r="L145" s="375" t="s">
        <v>170</v>
      </c>
      <c r="M145" s="375" t="s">
        <v>177</v>
      </c>
      <c r="N145" s="375" t="s">
        <v>199</v>
      </c>
      <c r="O145" s="378">
        <v>1</v>
      </c>
      <c r="P145" s="384">
        <v>0</v>
      </c>
      <c r="Q145" s="384">
        <v>0</v>
      </c>
      <c r="R145" s="379">
        <v>80</v>
      </c>
      <c r="S145" s="384">
        <v>0</v>
      </c>
      <c r="T145" s="379">
        <v>36415.22</v>
      </c>
      <c r="U145" s="379">
        <v>0</v>
      </c>
      <c r="V145" s="379">
        <v>17176.509999999998</v>
      </c>
      <c r="W145" s="379">
        <v>0</v>
      </c>
      <c r="X145" s="379">
        <v>0</v>
      </c>
      <c r="Y145" s="379">
        <v>0</v>
      </c>
      <c r="Z145" s="379">
        <v>0</v>
      </c>
      <c r="AA145" s="375" t="s">
        <v>736</v>
      </c>
      <c r="AB145" s="375" t="s">
        <v>737</v>
      </c>
      <c r="AC145" s="375" t="s">
        <v>738</v>
      </c>
      <c r="AD145" s="375" t="s">
        <v>739</v>
      </c>
      <c r="AE145" s="375" t="s">
        <v>550</v>
      </c>
      <c r="AF145" s="375" t="s">
        <v>245</v>
      </c>
      <c r="AG145" s="375" t="s">
        <v>183</v>
      </c>
      <c r="AH145" s="380">
        <v>21.47</v>
      </c>
      <c r="AI145" s="378">
        <v>6080</v>
      </c>
      <c r="AJ145" s="375" t="s">
        <v>184</v>
      </c>
      <c r="AK145" s="375" t="s">
        <v>185</v>
      </c>
      <c r="AL145" s="375" t="s">
        <v>173</v>
      </c>
      <c r="AM145" s="375" t="s">
        <v>186</v>
      </c>
      <c r="AN145" s="375" t="s">
        <v>68</v>
      </c>
      <c r="AO145" s="378">
        <v>80</v>
      </c>
      <c r="AP145" s="384">
        <v>1</v>
      </c>
      <c r="AQ145" s="384">
        <v>0</v>
      </c>
      <c r="AR145" s="383">
        <v>3</v>
      </c>
      <c r="AS145" s="386">
        <f t="shared" si="115"/>
        <v>0</v>
      </c>
      <c r="AT145">
        <f t="shared" si="116"/>
        <v>0</v>
      </c>
      <c r="AU145" s="386" t="str">
        <f>IF(AT145=0,"",IF(AND(AT145=1,M145="F",SUMIF(C2:C557,C145,AS2:AS557)&lt;=1),SUMIF(C2:C557,C145,AS2:AS557),IF(AND(AT145=1,M145="F",SUMIF(C2:C557,C145,AS2:AS557)&gt;1),1,"")))</f>
        <v/>
      </c>
      <c r="AV145" s="386" t="str">
        <f>IF(AT145=0,"",IF(AND(AT145=3,M145="F",SUMIF(C2:C557,C145,AS2:AS557)&lt;=1),SUMIF(C2:C557,C145,AS2:AS557),IF(AND(AT145=3,M145="F",SUMIF(C2:C557,C145,AS2:AS557)&gt;1),1,"")))</f>
        <v/>
      </c>
      <c r="AW145" s="386">
        <f>SUMIF(C2:C557,C145,O2:O557)</f>
        <v>2</v>
      </c>
      <c r="AX145" s="386">
        <f>IF(AND(M145="F",AS145&lt;&gt;0),SUMIF(C2:C557,C145,W2:W557),0)</f>
        <v>0</v>
      </c>
      <c r="AY145" s="386" t="str">
        <f t="shared" si="117"/>
        <v/>
      </c>
      <c r="AZ145" s="386" t="str">
        <f t="shared" si="118"/>
        <v/>
      </c>
      <c r="BA145" s="386">
        <f t="shared" si="119"/>
        <v>0</v>
      </c>
      <c r="BB145" s="386">
        <f t="shared" si="88"/>
        <v>0</v>
      </c>
      <c r="BC145" s="386">
        <f t="shared" si="89"/>
        <v>0</v>
      </c>
      <c r="BD145" s="386">
        <f t="shared" si="90"/>
        <v>0</v>
      </c>
      <c r="BE145" s="386">
        <f t="shared" si="91"/>
        <v>0</v>
      </c>
      <c r="BF145" s="386">
        <f t="shared" si="92"/>
        <v>0</v>
      </c>
      <c r="BG145" s="386">
        <f t="shared" si="93"/>
        <v>0</v>
      </c>
      <c r="BH145" s="386">
        <f t="shared" si="94"/>
        <v>0</v>
      </c>
      <c r="BI145" s="386">
        <f t="shared" si="95"/>
        <v>0</v>
      </c>
      <c r="BJ145" s="386">
        <f t="shared" si="96"/>
        <v>0</v>
      </c>
      <c r="BK145" s="386">
        <f t="shared" si="97"/>
        <v>0</v>
      </c>
      <c r="BL145" s="386">
        <f t="shared" si="120"/>
        <v>0</v>
      </c>
      <c r="BM145" s="386">
        <f t="shared" si="121"/>
        <v>0</v>
      </c>
      <c r="BN145" s="386">
        <f t="shared" si="98"/>
        <v>0</v>
      </c>
      <c r="BO145" s="386">
        <f t="shared" si="99"/>
        <v>0</v>
      </c>
      <c r="BP145" s="386">
        <f t="shared" si="100"/>
        <v>0</v>
      </c>
      <c r="BQ145" s="386">
        <f t="shared" si="101"/>
        <v>0</v>
      </c>
      <c r="BR145" s="386">
        <f t="shared" si="102"/>
        <v>0</v>
      </c>
      <c r="BS145" s="386">
        <f t="shared" si="103"/>
        <v>0</v>
      </c>
      <c r="BT145" s="386">
        <f t="shared" si="104"/>
        <v>0</v>
      </c>
      <c r="BU145" s="386">
        <f t="shared" si="105"/>
        <v>0</v>
      </c>
      <c r="BV145" s="386">
        <f t="shared" si="106"/>
        <v>0</v>
      </c>
      <c r="BW145" s="386">
        <f t="shared" si="107"/>
        <v>0</v>
      </c>
      <c r="BX145" s="386">
        <f t="shared" si="122"/>
        <v>0</v>
      </c>
      <c r="BY145" s="386">
        <f t="shared" si="123"/>
        <v>0</v>
      </c>
      <c r="BZ145" s="386">
        <f t="shared" si="124"/>
        <v>0</v>
      </c>
      <c r="CA145" s="386">
        <f t="shared" si="125"/>
        <v>0</v>
      </c>
      <c r="CB145" s="386">
        <f t="shared" si="126"/>
        <v>0</v>
      </c>
      <c r="CC145" s="386">
        <f t="shared" si="108"/>
        <v>0</v>
      </c>
      <c r="CD145" s="386">
        <f t="shared" si="109"/>
        <v>0</v>
      </c>
      <c r="CE145" s="386">
        <f t="shared" si="110"/>
        <v>0</v>
      </c>
      <c r="CF145" s="386">
        <f t="shared" si="111"/>
        <v>0</v>
      </c>
      <c r="CG145" s="386">
        <f t="shared" si="112"/>
        <v>0</v>
      </c>
      <c r="CH145" s="386">
        <f t="shared" si="113"/>
        <v>0</v>
      </c>
      <c r="CI145" s="386">
        <f t="shared" si="114"/>
        <v>0</v>
      </c>
      <c r="CJ145" s="386">
        <f t="shared" si="127"/>
        <v>0</v>
      </c>
      <c r="CK145" s="386" t="str">
        <f t="shared" si="128"/>
        <v/>
      </c>
      <c r="CL145" s="386" t="str">
        <f t="shared" si="129"/>
        <v/>
      </c>
      <c r="CM145" s="386" t="str">
        <f t="shared" si="130"/>
        <v/>
      </c>
      <c r="CN145" s="386" t="str">
        <f t="shared" si="131"/>
        <v>0001-00</v>
      </c>
    </row>
    <row r="146" spans="1:92" ht="15.75" thickBot="1" x14ac:dyDescent="0.3">
      <c r="A146" s="375" t="s">
        <v>161</v>
      </c>
      <c r="B146" s="375" t="s">
        <v>162</v>
      </c>
      <c r="C146" s="375" t="s">
        <v>740</v>
      </c>
      <c r="D146" s="375" t="s">
        <v>561</v>
      </c>
      <c r="E146" s="375" t="s">
        <v>165</v>
      </c>
      <c r="F146" s="376" t="s">
        <v>166</v>
      </c>
      <c r="G146" s="375" t="s">
        <v>549</v>
      </c>
      <c r="H146" s="377"/>
      <c r="I146" s="377"/>
      <c r="J146" s="375" t="s">
        <v>168</v>
      </c>
      <c r="K146" s="375" t="s">
        <v>562</v>
      </c>
      <c r="L146" s="375" t="s">
        <v>170</v>
      </c>
      <c r="M146" s="375" t="s">
        <v>214</v>
      </c>
      <c r="N146" s="375" t="s">
        <v>199</v>
      </c>
      <c r="O146" s="378">
        <v>0</v>
      </c>
      <c r="P146" s="384">
        <v>0</v>
      </c>
      <c r="Q146" s="384">
        <v>0</v>
      </c>
      <c r="R146" s="379">
        <v>80</v>
      </c>
      <c r="S146" s="384">
        <v>0</v>
      </c>
      <c r="T146" s="379">
        <v>27342.07</v>
      </c>
      <c r="U146" s="379">
        <v>0</v>
      </c>
      <c r="V146" s="379">
        <v>12671.67</v>
      </c>
      <c r="W146" s="379">
        <v>0</v>
      </c>
      <c r="X146" s="379">
        <v>0</v>
      </c>
      <c r="Y146" s="379">
        <v>0</v>
      </c>
      <c r="Z146" s="379">
        <v>0</v>
      </c>
      <c r="AA146" s="377"/>
      <c r="AB146" s="375" t="s">
        <v>45</v>
      </c>
      <c r="AC146" s="375" t="s">
        <v>45</v>
      </c>
      <c r="AD146" s="377"/>
      <c r="AE146" s="377"/>
      <c r="AF146" s="377"/>
      <c r="AG146" s="377"/>
      <c r="AH146" s="378">
        <v>0</v>
      </c>
      <c r="AI146" s="378">
        <v>0</v>
      </c>
      <c r="AJ146" s="377"/>
      <c r="AK146" s="377"/>
      <c r="AL146" s="375" t="s">
        <v>173</v>
      </c>
      <c r="AM146" s="377"/>
      <c r="AN146" s="377"/>
      <c r="AO146" s="378">
        <v>0</v>
      </c>
      <c r="AP146" s="384">
        <v>0</v>
      </c>
      <c r="AQ146" s="384">
        <v>0</v>
      </c>
      <c r="AR146" s="382"/>
      <c r="AS146" s="386">
        <f t="shared" si="115"/>
        <v>0</v>
      </c>
      <c r="AT146">
        <f t="shared" si="116"/>
        <v>0</v>
      </c>
      <c r="AU146" s="386" t="str">
        <f>IF(AT146=0,"",IF(AND(AT146=1,M146="F",SUMIF(C2:C557,C146,AS2:AS557)&lt;=1),SUMIF(C2:C557,C146,AS2:AS557),IF(AND(AT146=1,M146="F",SUMIF(C2:C557,C146,AS2:AS557)&gt;1),1,"")))</f>
        <v/>
      </c>
      <c r="AV146" s="386" t="str">
        <f>IF(AT146=0,"",IF(AND(AT146=3,M146="F",SUMIF(C2:C557,C146,AS2:AS557)&lt;=1),SUMIF(C2:C557,C146,AS2:AS557),IF(AND(AT146=3,M146="F",SUMIF(C2:C557,C146,AS2:AS557)&gt;1),1,"")))</f>
        <v/>
      </c>
      <c r="AW146" s="386">
        <f>SUMIF(C2:C557,C146,O2:O557)</f>
        <v>0</v>
      </c>
      <c r="AX146" s="386">
        <f>IF(AND(M146="F",AS146&lt;&gt;0),SUMIF(C2:C557,C146,W2:W557),0)</f>
        <v>0</v>
      </c>
      <c r="AY146" s="386" t="str">
        <f t="shared" si="117"/>
        <v/>
      </c>
      <c r="AZ146" s="386" t="str">
        <f t="shared" si="118"/>
        <v/>
      </c>
      <c r="BA146" s="386">
        <f t="shared" si="119"/>
        <v>0</v>
      </c>
      <c r="BB146" s="386">
        <f t="shared" si="88"/>
        <v>0</v>
      </c>
      <c r="BC146" s="386">
        <f t="shared" si="89"/>
        <v>0</v>
      </c>
      <c r="BD146" s="386">
        <f t="shared" si="90"/>
        <v>0</v>
      </c>
      <c r="BE146" s="386">
        <f t="shared" si="91"/>
        <v>0</v>
      </c>
      <c r="BF146" s="386">
        <f t="shared" si="92"/>
        <v>0</v>
      </c>
      <c r="BG146" s="386">
        <f t="shared" si="93"/>
        <v>0</v>
      </c>
      <c r="BH146" s="386">
        <f t="shared" si="94"/>
        <v>0</v>
      </c>
      <c r="BI146" s="386">
        <f t="shared" si="95"/>
        <v>0</v>
      </c>
      <c r="BJ146" s="386">
        <f t="shared" si="96"/>
        <v>0</v>
      </c>
      <c r="BK146" s="386">
        <f t="shared" si="97"/>
        <v>0</v>
      </c>
      <c r="BL146" s="386">
        <f t="shared" si="120"/>
        <v>0</v>
      </c>
      <c r="BM146" s="386">
        <f t="shared" si="121"/>
        <v>0</v>
      </c>
      <c r="BN146" s="386">
        <f t="shared" si="98"/>
        <v>0</v>
      </c>
      <c r="BO146" s="386">
        <f t="shared" si="99"/>
        <v>0</v>
      </c>
      <c r="BP146" s="386">
        <f t="shared" si="100"/>
        <v>0</v>
      </c>
      <c r="BQ146" s="386">
        <f t="shared" si="101"/>
        <v>0</v>
      </c>
      <c r="BR146" s="386">
        <f t="shared" si="102"/>
        <v>0</v>
      </c>
      <c r="BS146" s="386">
        <f t="shared" si="103"/>
        <v>0</v>
      </c>
      <c r="BT146" s="386">
        <f t="shared" si="104"/>
        <v>0</v>
      </c>
      <c r="BU146" s="386">
        <f t="shared" si="105"/>
        <v>0</v>
      </c>
      <c r="BV146" s="386">
        <f t="shared" si="106"/>
        <v>0</v>
      </c>
      <c r="BW146" s="386">
        <f t="shared" si="107"/>
        <v>0</v>
      </c>
      <c r="BX146" s="386">
        <f t="shared" si="122"/>
        <v>0</v>
      </c>
      <c r="BY146" s="386">
        <f t="shared" si="123"/>
        <v>0</v>
      </c>
      <c r="BZ146" s="386">
        <f t="shared" si="124"/>
        <v>0</v>
      </c>
      <c r="CA146" s="386">
        <f t="shared" si="125"/>
        <v>0</v>
      </c>
      <c r="CB146" s="386">
        <f t="shared" si="126"/>
        <v>0</v>
      </c>
      <c r="CC146" s="386">
        <f t="shared" si="108"/>
        <v>0</v>
      </c>
      <c r="CD146" s="386">
        <f t="shared" si="109"/>
        <v>0</v>
      </c>
      <c r="CE146" s="386">
        <f t="shared" si="110"/>
        <v>0</v>
      </c>
      <c r="CF146" s="386">
        <f t="shared" si="111"/>
        <v>0</v>
      </c>
      <c r="CG146" s="386">
        <f t="shared" si="112"/>
        <v>0</v>
      </c>
      <c r="CH146" s="386">
        <f t="shared" si="113"/>
        <v>0</v>
      </c>
      <c r="CI146" s="386">
        <f t="shared" si="114"/>
        <v>0</v>
      </c>
      <c r="CJ146" s="386">
        <f t="shared" si="127"/>
        <v>0</v>
      </c>
      <c r="CK146" s="386" t="str">
        <f t="shared" si="128"/>
        <v/>
      </c>
      <c r="CL146" s="386" t="str">
        <f t="shared" si="129"/>
        <v/>
      </c>
      <c r="CM146" s="386" t="str">
        <f t="shared" si="130"/>
        <v/>
      </c>
      <c r="CN146" s="386" t="str">
        <f t="shared" si="131"/>
        <v>0001-00</v>
      </c>
    </row>
    <row r="147" spans="1:92" ht="15.75" thickBot="1" x14ac:dyDescent="0.3">
      <c r="A147" s="375" t="s">
        <v>161</v>
      </c>
      <c r="B147" s="375" t="s">
        <v>162</v>
      </c>
      <c r="C147" s="375" t="s">
        <v>741</v>
      </c>
      <c r="D147" s="375" t="s">
        <v>561</v>
      </c>
      <c r="E147" s="375" t="s">
        <v>165</v>
      </c>
      <c r="F147" s="376" t="s">
        <v>166</v>
      </c>
      <c r="G147" s="375" t="s">
        <v>549</v>
      </c>
      <c r="H147" s="377"/>
      <c r="I147" s="377"/>
      <c r="J147" s="375" t="s">
        <v>168</v>
      </c>
      <c r="K147" s="375" t="s">
        <v>562</v>
      </c>
      <c r="L147" s="375" t="s">
        <v>170</v>
      </c>
      <c r="M147" s="375" t="s">
        <v>177</v>
      </c>
      <c r="N147" s="375" t="s">
        <v>199</v>
      </c>
      <c r="O147" s="378">
        <v>1</v>
      </c>
      <c r="P147" s="384">
        <v>1</v>
      </c>
      <c r="Q147" s="384">
        <v>1</v>
      </c>
      <c r="R147" s="379">
        <v>80</v>
      </c>
      <c r="S147" s="384">
        <v>1</v>
      </c>
      <c r="T147" s="379">
        <v>47047.68</v>
      </c>
      <c r="U147" s="379">
        <v>0</v>
      </c>
      <c r="V147" s="379">
        <v>20777.849999999999</v>
      </c>
      <c r="W147" s="379">
        <v>50024</v>
      </c>
      <c r="X147" s="379">
        <v>22328.58</v>
      </c>
      <c r="Y147" s="379">
        <v>50024</v>
      </c>
      <c r="Z147" s="379">
        <v>22088.48</v>
      </c>
      <c r="AA147" s="375" t="s">
        <v>742</v>
      </c>
      <c r="AB147" s="375" t="s">
        <v>743</v>
      </c>
      <c r="AC147" s="375" t="s">
        <v>744</v>
      </c>
      <c r="AD147" s="375" t="s">
        <v>181</v>
      </c>
      <c r="AE147" s="375" t="s">
        <v>562</v>
      </c>
      <c r="AF147" s="375" t="s">
        <v>269</v>
      </c>
      <c r="AG147" s="375" t="s">
        <v>183</v>
      </c>
      <c r="AH147" s="380">
        <v>24.05</v>
      </c>
      <c r="AI147" s="378">
        <v>4560</v>
      </c>
      <c r="AJ147" s="375" t="s">
        <v>184</v>
      </c>
      <c r="AK147" s="375" t="s">
        <v>185</v>
      </c>
      <c r="AL147" s="375" t="s">
        <v>173</v>
      </c>
      <c r="AM147" s="375" t="s">
        <v>186</v>
      </c>
      <c r="AN147" s="375" t="s">
        <v>68</v>
      </c>
      <c r="AO147" s="378">
        <v>80</v>
      </c>
      <c r="AP147" s="384">
        <v>1</v>
      </c>
      <c r="AQ147" s="384">
        <v>1</v>
      </c>
      <c r="AR147" s="383" t="s">
        <v>187</v>
      </c>
      <c r="AS147" s="386">
        <f t="shared" si="115"/>
        <v>1</v>
      </c>
      <c r="AT147">
        <f t="shared" si="116"/>
        <v>1</v>
      </c>
      <c r="AU147" s="386">
        <f>IF(AT147=0,"",IF(AND(AT147=1,M147="F",SUMIF(C2:C557,C147,AS2:AS557)&lt;=1),SUMIF(C2:C557,C147,AS2:AS557),IF(AND(AT147=1,M147="F",SUMIF(C2:C557,C147,AS2:AS557)&gt;1),1,"")))</f>
        <v>1</v>
      </c>
      <c r="AV147" s="386" t="str">
        <f>IF(AT147=0,"",IF(AND(AT147=3,M147="F",SUMIF(C2:C557,C147,AS2:AS557)&lt;=1),SUMIF(C2:C557,C147,AS2:AS557),IF(AND(AT147=3,M147="F",SUMIF(C2:C557,C147,AS2:AS557)&gt;1),1,"")))</f>
        <v/>
      </c>
      <c r="AW147" s="386">
        <f>SUMIF(C2:C557,C147,O2:O557)</f>
        <v>1</v>
      </c>
      <c r="AX147" s="386">
        <f>IF(AND(M147="F",AS147&lt;&gt;0),SUMIF(C2:C557,C147,W2:W557),0)</f>
        <v>50024</v>
      </c>
      <c r="AY147" s="386">
        <f t="shared" si="117"/>
        <v>50024</v>
      </c>
      <c r="AZ147" s="386" t="str">
        <f t="shared" si="118"/>
        <v/>
      </c>
      <c r="BA147" s="386">
        <f t="shared" si="119"/>
        <v>0</v>
      </c>
      <c r="BB147" s="386">
        <f t="shared" si="88"/>
        <v>11650</v>
      </c>
      <c r="BC147" s="386">
        <f t="shared" si="89"/>
        <v>0</v>
      </c>
      <c r="BD147" s="386">
        <f t="shared" si="90"/>
        <v>3101.4879999999998</v>
      </c>
      <c r="BE147" s="386">
        <f t="shared" si="91"/>
        <v>725.34800000000007</v>
      </c>
      <c r="BF147" s="386">
        <f t="shared" si="92"/>
        <v>5972.8656000000001</v>
      </c>
      <c r="BG147" s="386">
        <f t="shared" si="93"/>
        <v>360.67304000000001</v>
      </c>
      <c r="BH147" s="386">
        <f t="shared" si="94"/>
        <v>245.11759999999998</v>
      </c>
      <c r="BI147" s="386">
        <f t="shared" si="95"/>
        <v>153.07343999999998</v>
      </c>
      <c r="BJ147" s="386">
        <f t="shared" si="96"/>
        <v>120.05759999999999</v>
      </c>
      <c r="BK147" s="386">
        <f t="shared" si="97"/>
        <v>0</v>
      </c>
      <c r="BL147" s="386">
        <f t="shared" si="120"/>
        <v>10678.62328</v>
      </c>
      <c r="BM147" s="386">
        <f t="shared" si="121"/>
        <v>0</v>
      </c>
      <c r="BN147" s="386">
        <f t="shared" si="98"/>
        <v>11650</v>
      </c>
      <c r="BO147" s="386">
        <f t="shared" si="99"/>
        <v>0</v>
      </c>
      <c r="BP147" s="386">
        <f t="shared" si="100"/>
        <v>3101.4879999999998</v>
      </c>
      <c r="BQ147" s="386">
        <f t="shared" si="101"/>
        <v>725.34800000000007</v>
      </c>
      <c r="BR147" s="386">
        <f t="shared" si="102"/>
        <v>5972.8656000000001</v>
      </c>
      <c r="BS147" s="386">
        <f t="shared" si="103"/>
        <v>360.67304000000001</v>
      </c>
      <c r="BT147" s="386">
        <f t="shared" si="104"/>
        <v>0</v>
      </c>
      <c r="BU147" s="386">
        <f t="shared" si="105"/>
        <v>153.07343999999998</v>
      </c>
      <c r="BV147" s="386">
        <f t="shared" si="106"/>
        <v>125.06</v>
      </c>
      <c r="BW147" s="386">
        <f t="shared" si="107"/>
        <v>0</v>
      </c>
      <c r="BX147" s="386">
        <f t="shared" si="122"/>
        <v>10438.50808</v>
      </c>
      <c r="BY147" s="386">
        <f t="shared" si="123"/>
        <v>0</v>
      </c>
      <c r="BZ147" s="386">
        <f t="shared" si="124"/>
        <v>0</v>
      </c>
      <c r="CA147" s="386">
        <f t="shared" si="125"/>
        <v>0</v>
      </c>
      <c r="CB147" s="386">
        <f t="shared" si="126"/>
        <v>0</v>
      </c>
      <c r="CC147" s="386">
        <f t="shared" si="108"/>
        <v>0</v>
      </c>
      <c r="CD147" s="386">
        <f t="shared" si="109"/>
        <v>0</v>
      </c>
      <c r="CE147" s="386">
        <f t="shared" si="110"/>
        <v>0</v>
      </c>
      <c r="CF147" s="386">
        <f t="shared" si="111"/>
        <v>-245.11759999999998</v>
      </c>
      <c r="CG147" s="386">
        <f t="shared" si="112"/>
        <v>0</v>
      </c>
      <c r="CH147" s="386">
        <f t="shared" si="113"/>
        <v>5.0024000000000131</v>
      </c>
      <c r="CI147" s="386">
        <f t="shared" si="114"/>
        <v>0</v>
      </c>
      <c r="CJ147" s="386">
        <f t="shared" si="127"/>
        <v>-240.11519999999996</v>
      </c>
      <c r="CK147" s="386" t="str">
        <f t="shared" si="128"/>
        <v/>
      </c>
      <c r="CL147" s="386" t="str">
        <f t="shared" si="129"/>
        <v/>
      </c>
      <c r="CM147" s="386" t="str">
        <f t="shared" si="130"/>
        <v/>
      </c>
      <c r="CN147" s="386" t="str">
        <f t="shared" si="131"/>
        <v>0001-00</v>
      </c>
    </row>
    <row r="148" spans="1:92" ht="15.75" thickBot="1" x14ac:dyDescent="0.3">
      <c r="A148" s="375" t="s">
        <v>161</v>
      </c>
      <c r="B148" s="375" t="s">
        <v>162</v>
      </c>
      <c r="C148" s="375" t="s">
        <v>745</v>
      </c>
      <c r="D148" s="375" t="s">
        <v>746</v>
      </c>
      <c r="E148" s="375" t="s">
        <v>165</v>
      </c>
      <c r="F148" s="376" t="s">
        <v>166</v>
      </c>
      <c r="G148" s="375" t="s">
        <v>549</v>
      </c>
      <c r="H148" s="377"/>
      <c r="I148" s="377"/>
      <c r="J148" s="375" t="s">
        <v>168</v>
      </c>
      <c r="K148" s="375" t="s">
        <v>747</v>
      </c>
      <c r="L148" s="375" t="s">
        <v>210</v>
      </c>
      <c r="M148" s="375" t="s">
        <v>177</v>
      </c>
      <c r="N148" s="375" t="s">
        <v>199</v>
      </c>
      <c r="O148" s="378">
        <v>1</v>
      </c>
      <c r="P148" s="384">
        <v>1</v>
      </c>
      <c r="Q148" s="384">
        <v>1</v>
      </c>
      <c r="R148" s="379">
        <v>80</v>
      </c>
      <c r="S148" s="384">
        <v>1</v>
      </c>
      <c r="T148" s="379">
        <v>39820.81</v>
      </c>
      <c r="U148" s="379">
        <v>0</v>
      </c>
      <c r="V148" s="379">
        <v>19882.509999999998</v>
      </c>
      <c r="W148" s="379">
        <v>42577.599999999999</v>
      </c>
      <c r="X148" s="379">
        <v>20739.009999999998</v>
      </c>
      <c r="Y148" s="379">
        <v>42577.599999999999</v>
      </c>
      <c r="Z148" s="379">
        <v>20534.64</v>
      </c>
      <c r="AA148" s="375" t="s">
        <v>748</v>
      </c>
      <c r="AB148" s="375" t="s">
        <v>749</v>
      </c>
      <c r="AC148" s="375" t="s">
        <v>750</v>
      </c>
      <c r="AD148" s="375" t="s">
        <v>170</v>
      </c>
      <c r="AE148" s="375" t="s">
        <v>747</v>
      </c>
      <c r="AF148" s="375" t="s">
        <v>215</v>
      </c>
      <c r="AG148" s="375" t="s">
        <v>183</v>
      </c>
      <c r="AH148" s="380">
        <v>20.47</v>
      </c>
      <c r="AI148" s="380">
        <v>21751.7</v>
      </c>
      <c r="AJ148" s="375" t="s">
        <v>184</v>
      </c>
      <c r="AK148" s="375" t="s">
        <v>185</v>
      </c>
      <c r="AL148" s="375" t="s">
        <v>173</v>
      </c>
      <c r="AM148" s="375" t="s">
        <v>186</v>
      </c>
      <c r="AN148" s="375" t="s">
        <v>68</v>
      </c>
      <c r="AO148" s="378">
        <v>80</v>
      </c>
      <c r="AP148" s="384">
        <v>1</v>
      </c>
      <c r="AQ148" s="384">
        <v>1</v>
      </c>
      <c r="AR148" s="383" t="s">
        <v>187</v>
      </c>
      <c r="AS148" s="386">
        <f t="shared" si="115"/>
        <v>1</v>
      </c>
      <c r="AT148">
        <f t="shared" si="116"/>
        <v>1</v>
      </c>
      <c r="AU148" s="386">
        <f>IF(AT148=0,"",IF(AND(AT148=1,M148="F",SUMIF(C2:C557,C148,AS2:AS557)&lt;=1),SUMIF(C2:C557,C148,AS2:AS557),IF(AND(AT148=1,M148="F",SUMIF(C2:C557,C148,AS2:AS557)&gt;1),1,"")))</f>
        <v>1</v>
      </c>
      <c r="AV148" s="386" t="str">
        <f>IF(AT148=0,"",IF(AND(AT148=3,M148="F",SUMIF(C2:C557,C148,AS2:AS557)&lt;=1),SUMIF(C2:C557,C148,AS2:AS557),IF(AND(AT148=3,M148="F",SUMIF(C2:C557,C148,AS2:AS557)&gt;1),1,"")))</f>
        <v/>
      </c>
      <c r="AW148" s="386">
        <f>SUMIF(C2:C557,C148,O2:O557)</f>
        <v>1</v>
      </c>
      <c r="AX148" s="386">
        <f>IF(AND(M148="F",AS148&lt;&gt;0),SUMIF(C2:C557,C148,W2:W557),0)</f>
        <v>42577.599999999999</v>
      </c>
      <c r="AY148" s="386">
        <f t="shared" si="117"/>
        <v>42577.599999999999</v>
      </c>
      <c r="AZ148" s="386" t="str">
        <f t="shared" si="118"/>
        <v/>
      </c>
      <c r="BA148" s="386">
        <f t="shared" si="119"/>
        <v>0</v>
      </c>
      <c r="BB148" s="386">
        <f t="shared" si="88"/>
        <v>11650</v>
      </c>
      <c r="BC148" s="386">
        <f t="shared" si="89"/>
        <v>0</v>
      </c>
      <c r="BD148" s="386">
        <f t="shared" si="90"/>
        <v>2639.8112000000001</v>
      </c>
      <c r="BE148" s="386">
        <f t="shared" si="91"/>
        <v>617.37520000000006</v>
      </c>
      <c r="BF148" s="386">
        <f t="shared" si="92"/>
        <v>5083.7654400000001</v>
      </c>
      <c r="BG148" s="386">
        <f t="shared" si="93"/>
        <v>306.98449599999998</v>
      </c>
      <c r="BH148" s="386">
        <f t="shared" si="94"/>
        <v>208.63023999999999</v>
      </c>
      <c r="BI148" s="386">
        <f t="shared" si="95"/>
        <v>130.28745599999999</v>
      </c>
      <c r="BJ148" s="386">
        <f t="shared" si="96"/>
        <v>102.18623999999998</v>
      </c>
      <c r="BK148" s="386">
        <f t="shared" si="97"/>
        <v>0</v>
      </c>
      <c r="BL148" s="386">
        <f t="shared" si="120"/>
        <v>9089.0402719999984</v>
      </c>
      <c r="BM148" s="386">
        <f t="shared" si="121"/>
        <v>0</v>
      </c>
      <c r="BN148" s="386">
        <f t="shared" si="98"/>
        <v>11650</v>
      </c>
      <c r="BO148" s="386">
        <f t="shared" si="99"/>
        <v>0</v>
      </c>
      <c r="BP148" s="386">
        <f t="shared" si="100"/>
        <v>2639.8112000000001</v>
      </c>
      <c r="BQ148" s="386">
        <f t="shared" si="101"/>
        <v>617.37520000000006</v>
      </c>
      <c r="BR148" s="386">
        <f t="shared" si="102"/>
        <v>5083.7654400000001</v>
      </c>
      <c r="BS148" s="386">
        <f t="shared" si="103"/>
        <v>306.98449599999998</v>
      </c>
      <c r="BT148" s="386">
        <f t="shared" si="104"/>
        <v>0</v>
      </c>
      <c r="BU148" s="386">
        <f t="shared" si="105"/>
        <v>130.28745599999999</v>
      </c>
      <c r="BV148" s="386">
        <f t="shared" si="106"/>
        <v>106.444</v>
      </c>
      <c r="BW148" s="386">
        <f t="shared" si="107"/>
        <v>0</v>
      </c>
      <c r="BX148" s="386">
        <f t="shared" si="122"/>
        <v>8884.6677919999984</v>
      </c>
      <c r="BY148" s="386">
        <f t="shared" si="123"/>
        <v>0</v>
      </c>
      <c r="BZ148" s="386">
        <f t="shared" si="124"/>
        <v>0</v>
      </c>
      <c r="CA148" s="386">
        <f t="shared" si="125"/>
        <v>0</v>
      </c>
      <c r="CB148" s="386">
        <f t="shared" si="126"/>
        <v>0</v>
      </c>
      <c r="CC148" s="386">
        <f t="shared" si="108"/>
        <v>0</v>
      </c>
      <c r="CD148" s="386">
        <f t="shared" si="109"/>
        <v>0</v>
      </c>
      <c r="CE148" s="386">
        <f t="shared" si="110"/>
        <v>0</v>
      </c>
      <c r="CF148" s="386">
        <f t="shared" si="111"/>
        <v>-208.63023999999999</v>
      </c>
      <c r="CG148" s="386">
        <f t="shared" si="112"/>
        <v>0</v>
      </c>
      <c r="CH148" s="386">
        <f t="shared" si="113"/>
        <v>4.2577600000000109</v>
      </c>
      <c r="CI148" s="386">
        <f t="shared" si="114"/>
        <v>0</v>
      </c>
      <c r="CJ148" s="386">
        <f t="shared" si="127"/>
        <v>-204.37247999999997</v>
      </c>
      <c r="CK148" s="386" t="str">
        <f t="shared" si="128"/>
        <v/>
      </c>
      <c r="CL148" s="386" t="str">
        <f t="shared" si="129"/>
        <v/>
      </c>
      <c r="CM148" s="386" t="str">
        <f t="shared" si="130"/>
        <v/>
      </c>
      <c r="CN148" s="386" t="str">
        <f t="shared" si="131"/>
        <v>0001-00</v>
      </c>
    </row>
    <row r="149" spans="1:92" ht="15.75" thickBot="1" x14ac:dyDescent="0.3">
      <c r="A149" s="375" t="s">
        <v>161</v>
      </c>
      <c r="B149" s="375" t="s">
        <v>162</v>
      </c>
      <c r="C149" s="375" t="s">
        <v>751</v>
      </c>
      <c r="D149" s="375" t="s">
        <v>239</v>
      </c>
      <c r="E149" s="375" t="s">
        <v>165</v>
      </c>
      <c r="F149" s="376" t="s">
        <v>166</v>
      </c>
      <c r="G149" s="375" t="s">
        <v>549</v>
      </c>
      <c r="H149" s="377"/>
      <c r="I149" s="377"/>
      <c r="J149" s="375" t="s">
        <v>168</v>
      </c>
      <c r="K149" s="375" t="s">
        <v>240</v>
      </c>
      <c r="L149" s="375" t="s">
        <v>198</v>
      </c>
      <c r="M149" s="375" t="s">
        <v>177</v>
      </c>
      <c r="N149" s="375" t="s">
        <v>199</v>
      </c>
      <c r="O149" s="378">
        <v>1</v>
      </c>
      <c r="P149" s="384">
        <v>1</v>
      </c>
      <c r="Q149" s="384">
        <v>1</v>
      </c>
      <c r="R149" s="379">
        <v>80</v>
      </c>
      <c r="S149" s="384">
        <v>1</v>
      </c>
      <c r="T149" s="379">
        <v>43464.63</v>
      </c>
      <c r="U149" s="379">
        <v>0</v>
      </c>
      <c r="V149" s="379">
        <v>20520.009999999998</v>
      </c>
      <c r="W149" s="379">
        <v>47944</v>
      </c>
      <c r="X149" s="379">
        <v>21884.560000000001</v>
      </c>
      <c r="Y149" s="379">
        <v>47944</v>
      </c>
      <c r="Z149" s="379">
        <v>21654.44</v>
      </c>
      <c r="AA149" s="375" t="s">
        <v>752</v>
      </c>
      <c r="AB149" s="375" t="s">
        <v>753</v>
      </c>
      <c r="AC149" s="375" t="s">
        <v>754</v>
      </c>
      <c r="AD149" s="375" t="s">
        <v>170</v>
      </c>
      <c r="AE149" s="375" t="s">
        <v>240</v>
      </c>
      <c r="AF149" s="375" t="s">
        <v>245</v>
      </c>
      <c r="AG149" s="375" t="s">
        <v>183</v>
      </c>
      <c r="AH149" s="380">
        <v>23.05</v>
      </c>
      <c r="AI149" s="380">
        <v>15779.2</v>
      </c>
      <c r="AJ149" s="375" t="s">
        <v>184</v>
      </c>
      <c r="AK149" s="375" t="s">
        <v>185</v>
      </c>
      <c r="AL149" s="375" t="s">
        <v>173</v>
      </c>
      <c r="AM149" s="375" t="s">
        <v>186</v>
      </c>
      <c r="AN149" s="375" t="s">
        <v>68</v>
      </c>
      <c r="AO149" s="378">
        <v>80</v>
      </c>
      <c r="AP149" s="384">
        <v>1</v>
      </c>
      <c r="AQ149" s="384">
        <v>1</v>
      </c>
      <c r="AR149" s="383" t="s">
        <v>187</v>
      </c>
      <c r="AS149" s="386">
        <f t="shared" si="115"/>
        <v>1</v>
      </c>
      <c r="AT149">
        <f t="shared" si="116"/>
        <v>1</v>
      </c>
      <c r="AU149" s="386">
        <f>IF(AT149=0,"",IF(AND(AT149=1,M149="F",SUMIF(C2:C557,C149,AS2:AS557)&lt;=1),SUMIF(C2:C557,C149,AS2:AS557),IF(AND(AT149=1,M149="F",SUMIF(C2:C557,C149,AS2:AS557)&gt;1),1,"")))</f>
        <v>1</v>
      </c>
      <c r="AV149" s="386" t="str">
        <f>IF(AT149=0,"",IF(AND(AT149=3,M149="F",SUMIF(C2:C557,C149,AS2:AS557)&lt;=1),SUMIF(C2:C557,C149,AS2:AS557),IF(AND(AT149=3,M149="F",SUMIF(C2:C557,C149,AS2:AS557)&gt;1),1,"")))</f>
        <v/>
      </c>
      <c r="AW149" s="386">
        <f>SUMIF(C2:C557,C149,O2:O557)</f>
        <v>1</v>
      </c>
      <c r="AX149" s="386">
        <f>IF(AND(M149="F",AS149&lt;&gt;0),SUMIF(C2:C557,C149,W2:W557),0)</f>
        <v>47944</v>
      </c>
      <c r="AY149" s="386">
        <f t="shared" si="117"/>
        <v>47944</v>
      </c>
      <c r="AZ149" s="386" t="str">
        <f t="shared" si="118"/>
        <v/>
      </c>
      <c r="BA149" s="386">
        <f t="shared" si="119"/>
        <v>0</v>
      </c>
      <c r="BB149" s="386">
        <f t="shared" si="88"/>
        <v>11650</v>
      </c>
      <c r="BC149" s="386">
        <f t="shared" si="89"/>
        <v>0</v>
      </c>
      <c r="BD149" s="386">
        <f t="shared" si="90"/>
        <v>2972.5279999999998</v>
      </c>
      <c r="BE149" s="386">
        <f t="shared" si="91"/>
        <v>695.18799999999999</v>
      </c>
      <c r="BF149" s="386">
        <f t="shared" si="92"/>
        <v>5724.5136000000002</v>
      </c>
      <c r="BG149" s="386">
        <f t="shared" si="93"/>
        <v>345.67624000000001</v>
      </c>
      <c r="BH149" s="386">
        <f t="shared" si="94"/>
        <v>234.9256</v>
      </c>
      <c r="BI149" s="386">
        <f t="shared" si="95"/>
        <v>146.70864</v>
      </c>
      <c r="BJ149" s="386">
        <f t="shared" si="96"/>
        <v>115.06559999999999</v>
      </c>
      <c r="BK149" s="386">
        <f t="shared" si="97"/>
        <v>0</v>
      </c>
      <c r="BL149" s="386">
        <f t="shared" si="120"/>
        <v>10234.605680000002</v>
      </c>
      <c r="BM149" s="386">
        <f t="shared" si="121"/>
        <v>0</v>
      </c>
      <c r="BN149" s="386">
        <f t="shared" si="98"/>
        <v>11650</v>
      </c>
      <c r="BO149" s="386">
        <f t="shared" si="99"/>
        <v>0</v>
      </c>
      <c r="BP149" s="386">
        <f t="shared" si="100"/>
        <v>2972.5279999999998</v>
      </c>
      <c r="BQ149" s="386">
        <f t="shared" si="101"/>
        <v>695.18799999999999</v>
      </c>
      <c r="BR149" s="386">
        <f t="shared" si="102"/>
        <v>5724.5136000000002</v>
      </c>
      <c r="BS149" s="386">
        <f t="shared" si="103"/>
        <v>345.67624000000001</v>
      </c>
      <c r="BT149" s="386">
        <f t="shared" si="104"/>
        <v>0</v>
      </c>
      <c r="BU149" s="386">
        <f t="shared" si="105"/>
        <v>146.70864</v>
      </c>
      <c r="BV149" s="386">
        <f t="shared" si="106"/>
        <v>119.86</v>
      </c>
      <c r="BW149" s="386">
        <f t="shared" si="107"/>
        <v>0</v>
      </c>
      <c r="BX149" s="386">
        <f t="shared" si="122"/>
        <v>10004.474480000003</v>
      </c>
      <c r="BY149" s="386">
        <f t="shared" si="123"/>
        <v>0</v>
      </c>
      <c r="BZ149" s="386">
        <f t="shared" si="124"/>
        <v>0</v>
      </c>
      <c r="CA149" s="386">
        <f t="shared" si="125"/>
        <v>0</v>
      </c>
      <c r="CB149" s="386">
        <f t="shared" si="126"/>
        <v>0</v>
      </c>
      <c r="CC149" s="386">
        <f t="shared" si="108"/>
        <v>0</v>
      </c>
      <c r="CD149" s="386">
        <f t="shared" si="109"/>
        <v>0</v>
      </c>
      <c r="CE149" s="386">
        <f t="shared" si="110"/>
        <v>0</v>
      </c>
      <c r="CF149" s="386">
        <f t="shared" si="111"/>
        <v>-234.9256</v>
      </c>
      <c r="CG149" s="386">
        <f t="shared" si="112"/>
        <v>0</v>
      </c>
      <c r="CH149" s="386">
        <f t="shared" si="113"/>
        <v>4.7944000000000129</v>
      </c>
      <c r="CI149" s="386">
        <f t="shared" si="114"/>
        <v>0</v>
      </c>
      <c r="CJ149" s="386">
        <f t="shared" si="127"/>
        <v>-230.13119999999998</v>
      </c>
      <c r="CK149" s="386" t="str">
        <f t="shared" si="128"/>
        <v/>
      </c>
      <c r="CL149" s="386" t="str">
        <f t="shared" si="129"/>
        <v/>
      </c>
      <c r="CM149" s="386" t="str">
        <f t="shared" si="130"/>
        <v/>
      </c>
      <c r="CN149" s="386" t="str">
        <f t="shared" si="131"/>
        <v>0001-00</v>
      </c>
    </row>
    <row r="150" spans="1:92" ht="15.75" thickBot="1" x14ac:dyDescent="0.3">
      <c r="A150" s="375" t="s">
        <v>161</v>
      </c>
      <c r="B150" s="375" t="s">
        <v>162</v>
      </c>
      <c r="C150" s="375" t="s">
        <v>755</v>
      </c>
      <c r="D150" s="375" t="s">
        <v>548</v>
      </c>
      <c r="E150" s="375" t="s">
        <v>165</v>
      </c>
      <c r="F150" s="376" t="s">
        <v>166</v>
      </c>
      <c r="G150" s="375" t="s">
        <v>549</v>
      </c>
      <c r="H150" s="377"/>
      <c r="I150" s="377"/>
      <c r="J150" s="375" t="s">
        <v>168</v>
      </c>
      <c r="K150" s="375" t="s">
        <v>550</v>
      </c>
      <c r="L150" s="375" t="s">
        <v>198</v>
      </c>
      <c r="M150" s="375" t="s">
        <v>177</v>
      </c>
      <c r="N150" s="375" t="s">
        <v>199</v>
      </c>
      <c r="O150" s="378">
        <v>1</v>
      </c>
      <c r="P150" s="384">
        <v>1</v>
      </c>
      <c r="Q150" s="384">
        <v>1</v>
      </c>
      <c r="R150" s="379">
        <v>80</v>
      </c>
      <c r="S150" s="384">
        <v>1</v>
      </c>
      <c r="T150" s="379">
        <v>46685.7</v>
      </c>
      <c r="U150" s="379">
        <v>0</v>
      </c>
      <c r="V150" s="379">
        <v>21166.33</v>
      </c>
      <c r="W150" s="379">
        <v>48068.800000000003</v>
      </c>
      <c r="X150" s="379">
        <v>21911.21</v>
      </c>
      <c r="Y150" s="379">
        <v>48068.800000000003</v>
      </c>
      <c r="Z150" s="379">
        <v>21680.49</v>
      </c>
      <c r="AA150" s="375" t="s">
        <v>756</v>
      </c>
      <c r="AB150" s="375" t="s">
        <v>757</v>
      </c>
      <c r="AC150" s="375" t="s">
        <v>758</v>
      </c>
      <c r="AD150" s="375" t="s">
        <v>647</v>
      </c>
      <c r="AE150" s="375" t="s">
        <v>550</v>
      </c>
      <c r="AF150" s="375" t="s">
        <v>245</v>
      </c>
      <c r="AG150" s="375" t="s">
        <v>183</v>
      </c>
      <c r="AH150" s="380">
        <v>23.11</v>
      </c>
      <c r="AI150" s="380">
        <v>12533.5</v>
      </c>
      <c r="AJ150" s="375" t="s">
        <v>184</v>
      </c>
      <c r="AK150" s="375" t="s">
        <v>185</v>
      </c>
      <c r="AL150" s="375" t="s">
        <v>173</v>
      </c>
      <c r="AM150" s="375" t="s">
        <v>186</v>
      </c>
      <c r="AN150" s="375" t="s">
        <v>68</v>
      </c>
      <c r="AO150" s="378">
        <v>80</v>
      </c>
      <c r="AP150" s="384">
        <v>1</v>
      </c>
      <c r="AQ150" s="384">
        <v>1</v>
      </c>
      <c r="AR150" s="383" t="s">
        <v>187</v>
      </c>
      <c r="AS150" s="386">
        <f t="shared" si="115"/>
        <v>1</v>
      </c>
      <c r="AT150">
        <f t="shared" si="116"/>
        <v>1</v>
      </c>
      <c r="AU150" s="386">
        <f>IF(AT150=0,"",IF(AND(AT150=1,M150="F",SUMIF(C2:C557,C150,AS2:AS557)&lt;=1),SUMIF(C2:C557,C150,AS2:AS557),IF(AND(AT150=1,M150="F",SUMIF(C2:C557,C150,AS2:AS557)&gt;1),1,"")))</f>
        <v>1</v>
      </c>
      <c r="AV150" s="386" t="str">
        <f>IF(AT150=0,"",IF(AND(AT150=3,M150="F",SUMIF(C2:C557,C150,AS2:AS557)&lt;=1),SUMIF(C2:C557,C150,AS2:AS557),IF(AND(AT150=3,M150="F",SUMIF(C2:C557,C150,AS2:AS557)&gt;1),1,"")))</f>
        <v/>
      </c>
      <c r="AW150" s="386">
        <f>SUMIF(C2:C557,C150,O2:O557)</f>
        <v>1</v>
      </c>
      <c r="AX150" s="386">
        <f>IF(AND(M150="F",AS150&lt;&gt;0),SUMIF(C2:C557,C150,W2:W557),0)</f>
        <v>48068.800000000003</v>
      </c>
      <c r="AY150" s="386">
        <f t="shared" si="117"/>
        <v>48068.800000000003</v>
      </c>
      <c r="AZ150" s="386" t="str">
        <f t="shared" si="118"/>
        <v/>
      </c>
      <c r="BA150" s="386">
        <f t="shared" si="119"/>
        <v>0</v>
      </c>
      <c r="BB150" s="386">
        <f t="shared" si="88"/>
        <v>11650</v>
      </c>
      <c r="BC150" s="386">
        <f t="shared" si="89"/>
        <v>0</v>
      </c>
      <c r="BD150" s="386">
        <f t="shared" si="90"/>
        <v>2980.2656000000002</v>
      </c>
      <c r="BE150" s="386">
        <f t="shared" si="91"/>
        <v>696.99760000000003</v>
      </c>
      <c r="BF150" s="386">
        <f t="shared" si="92"/>
        <v>5739.4147200000007</v>
      </c>
      <c r="BG150" s="386">
        <f t="shared" si="93"/>
        <v>346.57604800000001</v>
      </c>
      <c r="BH150" s="386">
        <f t="shared" si="94"/>
        <v>235.53712000000002</v>
      </c>
      <c r="BI150" s="386">
        <f t="shared" si="95"/>
        <v>147.09052800000001</v>
      </c>
      <c r="BJ150" s="386">
        <f t="shared" si="96"/>
        <v>115.36511999999999</v>
      </c>
      <c r="BK150" s="386">
        <f t="shared" si="97"/>
        <v>0</v>
      </c>
      <c r="BL150" s="386">
        <f t="shared" si="120"/>
        <v>10261.246736000005</v>
      </c>
      <c r="BM150" s="386">
        <f t="shared" si="121"/>
        <v>0</v>
      </c>
      <c r="BN150" s="386">
        <f t="shared" si="98"/>
        <v>11650</v>
      </c>
      <c r="BO150" s="386">
        <f t="shared" si="99"/>
        <v>0</v>
      </c>
      <c r="BP150" s="386">
        <f t="shared" si="100"/>
        <v>2980.2656000000002</v>
      </c>
      <c r="BQ150" s="386">
        <f t="shared" si="101"/>
        <v>696.99760000000003</v>
      </c>
      <c r="BR150" s="386">
        <f t="shared" si="102"/>
        <v>5739.4147200000007</v>
      </c>
      <c r="BS150" s="386">
        <f t="shared" si="103"/>
        <v>346.57604800000001</v>
      </c>
      <c r="BT150" s="386">
        <f t="shared" si="104"/>
        <v>0</v>
      </c>
      <c r="BU150" s="386">
        <f t="shared" si="105"/>
        <v>147.09052800000001</v>
      </c>
      <c r="BV150" s="386">
        <f t="shared" si="106"/>
        <v>120.17200000000001</v>
      </c>
      <c r="BW150" s="386">
        <f t="shared" si="107"/>
        <v>0</v>
      </c>
      <c r="BX150" s="386">
        <f t="shared" si="122"/>
        <v>10030.516496000004</v>
      </c>
      <c r="BY150" s="386">
        <f t="shared" si="123"/>
        <v>0</v>
      </c>
      <c r="BZ150" s="386">
        <f t="shared" si="124"/>
        <v>0</v>
      </c>
      <c r="CA150" s="386">
        <f t="shared" si="125"/>
        <v>0</v>
      </c>
      <c r="CB150" s="386">
        <f t="shared" si="126"/>
        <v>0</v>
      </c>
      <c r="CC150" s="386">
        <f t="shared" si="108"/>
        <v>0</v>
      </c>
      <c r="CD150" s="386">
        <f t="shared" si="109"/>
        <v>0</v>
      </c>
      <c r="CE150" s="386">
        <f t="shared" si="110"/>
        <v>0</v>
      </c>
      <c r="CF150" s="386">
        <f t="shared" si="111"/>
        <v>-235.53712000000002</v>
      </c>
      <c r="CG150" s="386">
        <f t="shared" si="112"/>
        <v>0</v>
      </c>
      <c r="CH150" s="386">
        <f t="shared" si="113"/>
        <v>4.8068800000000129</v>
      </c>
      <c r="CI150" s="386">
        <f t="shared" si="114"/>
        <v>0</v>
      </c>
      <c r="CJ150" s="386">
        <f t="shared" si="127"/>
        <v>-230.73024000000001</v>
      </c>
      <c r="CK150" s="386" t="str">
        <f t="shared" si="128"/>
        <v/>
      </c>
      <c r="CL150" s="386" t="str">
        <f t="shared" si="129"/>
        <v/>
      </c>
      <c r="CM150" s="386" t="str">
        <f t="shared" si="130"/>
        <v/>
      </c>
      <c r="CN150" s="386" t="str">
        <f t="shared" si="131"/>
        <v>0001-00</v>
      </c>
    </row>
    <row r="151" spans="1:92" ht="15.75" thickBot="1" x14ac:dyDescent="0.3">
      <c r="A151" s="375" t="s">
        <v>161</v>
      </c>
      <c r="B151" s="375" t="s">
        <v>162</v>
      </c>
      <c r="C151" s="375" t="s">
        <v>759</v>
      </c>
      <c r="D151" s="375" t="s">
        <v>628</v>
      </c>
      <c r="E151" s="375" t="s">
        <v>165</v>
      </c>
      <c r="F151" s="376" t="s">
        <v>166</v>
      </c>
      <c r="G151" s="375" t="s">
        <v>549</v>
      </c>
      <c r="H151" s="377"/>
      <c r="I151" s="377"/>
      <c r="J151" s="375" t="s">
        <v>218</v>
      </c>
      <c r="K151" s="375" t="s">
        <v>629</v>
      </c>
      <c r="L151" s="375" t="s">
        <v>173</v>
      </c>
      <c r="M151" s="375" t="s">
        <v>177</v>
      </c>
      <c r="N151" s="375" t="s">
        <v>199</v>
      </c>
      <c r="O151" s="378">
        <v>1</v>
      </c>
      <c r="P151" s="384">
        <v>0.5</v>
      </c>
      <c r="Q151" s="384">
        <v>0.5</v>
      </c>
      <c r="R151" s="379">
        <v>80</v>
      </c>
      <c r="S151" s="384">
        <v>0.5</v>
      </c>
      <c r="T151" s="379">
        <v>34596.800000000003</v>
      </c>
      <c r="U151" s="379">
        <v>0</v>
      </c>
      <c r="V151" s="379">
        <v>12839.46</v>
      </c>
      <c r="W151" s="379">
        <v>35890.400000000001</v>
      </c>
      <c r="X151" s="379">
        <v>13486.5</v>
      </c>
      <c r="Y151" s="379">
        <v>35890.400000000001</v>
      </c>
      <c r="Z151" s="379">
        <v>13314.23</v>
      </c>
      <c r="AA151" s="375" t="s">
        <v>760</v>
      </c>
      <c r="AB151" s="375" t="s">
        <v>761</v>
      </c>
      <c r="AC151" s="375" t="s">
        <v>762</v>
      </c>
      <c r="AD151" s="375" t="s">
        <v>214</v>
      </c>
      <c r="AE151" s="375" t="s">
        <v>629</v>
      </c>
      <c r="AF151" s="375" t="s">
        <v>305</v>
      </c>
      <c r="AG151" s="375" t="s">
        <v>183</v>
      </c>
      <c r="AH151" s="380">
        <v>34.51</v>
      </c>
      <c r="AI151" s="380">
        <v>34273.699999999997</v>
      </c>
      <c r="AJ151" s="375" t="s">
        <v>184</v>
      </c>
      <c r="AK151" s="375" t="s">
        <v>185</v>
      </c>
      <c r="AL151" s="375" t="s">
        <v>173</v>
      </c>
      <c r="AM151" s="375" t="s">
        <v>186</v>
      </c>
      <c r="AN151" s="375" t="s">
        <v>68</v>
      </c>
      <c r="AO151" s="378">
        <v>80</v>
      </c>
      <c r="AP151" s="384">
        <v>1</v>
      </c>
      <c r="AQ151" s="384">
        <v>0.5</v>
      </c>
      <c r="AR151" s="383" t="s">
        <v>187</v>
      </c>
      <c r="AS151" s="386">
        <f t="shared" si="115"/>
        <v>0.5</v>
      </c>
      <c r="AT151">
        <f t="shared" si="116"/>
        <v>1</v>
      </c>
      <c r="AU151" s="386">
        <f>IF(AT151=0,"",IF(AND(AT151=1,M151="F",SUMIF(C2:C557,C151,AS2:AS557)&lt;=1),SUMIF(C2:C557,C151,AS2:AS557),IF(AND(AT151=1,M151="F",SUMIF(C2:C557,C151,AS2:AS557)&gt;1),1,"")))</f>
        <v>1</v>
      </c>
      <c r="AV151" s="386" t="str">
        <f>IF(AT151=0,"",IF(AND(AT151=3,M151="F",SUMIF(C2:C557,C151,AS2:AS557)&lt;=1),SUMIF(C2:C557,C151,AS2:AS557),IF(AND(AT151=3,M151="F",SUMIF(C2:C557,C151,AS2:AS557)&gt;1),1,"")))</f>
        <v/>
      </c>
      <c r="AW151" s="386">
        <f>SUMIF(C2:C557,C151,O2:O557)</f>
        <v>2</v>
      </c>
      <c r="AX151" s="386">
        <f>IF(AND(M151="F",AS151&lt;&gt;0),SUMIF(C2:C557,C151,W2:W557),0)</f>
        <v>71780.800000000003</v>
      </c>
      <c r="AY151" s="386">
        <f t="shared" si="117"/>
        <v>35890.400000000001</v>
      </c>
      <c r="AZ151" s="386" t="str">
        <f t="shared" si="118"/>
        <v/>
      </c>
      <c r="BA151" s="386">
        <f t="shared" si="119"/>
        <v>0</v>
      </c>
      <c r="BB151" s="386">
        <f t="shared" si="88"/>
        <v>5825</v>
      </c>
      <c r="BC151" s="386">
        <f t="shared" si="89"/>
        <v>0</v>
      </c>
      <c r="BD151" s="386">
        <f t="shared" si="90"/>
        <v>2225.2048</v>
      </c>
      <c r="BE151" s="386">
        <f t="shared" si="91"/>
        <v>520.41079999999999</v>
      </c>
      <c r="BF151" s="386">
        <f t="shared" si="92"/>
        <v>4285.31376</v>
      </c>
      <c r="BG151" s="386">
        <f t="shared" si="93"/>
        <v>258.76978400000002</v>
      </c>
      <c r="BH151" s="386">
        <f t="shared" si="94"/>
        <v>175.86296000000002</v>
      </c>
      <c r="BI151" s="386">
        <f t="shared" si="95"/>
        <v>109.824624</v>
      </c>
      <c r="BJ151" s="386">
        <f t="shared" si="96"/>
        <v>86.136960000000002</v>
      </c>
      <c r="BK151" s="386">
        <f t="shared" si="97"/>
        <v>0</v>
      </c>
      <c r="BL151" s="386">
        <f t="shared" si="120"/>
        <v>7661.5236880000002</v>
      </c>
      <c r="BM151" s="386">
        <f t="shared" si="121"/>
        <v>0</v>
      </c>
      <c r="BN151" s="386">
        <f t="shared" si="98"/>
        <v>5825</v>
      </c>
      <c r="BO151" s="386">
        <f t="shared" si="99"/>
        <v>0</v>
      </c>
      <c r="BP151" s="386">
        <f t="shared" si="100"/>
        <v>2225.2048</v>
      </c>
      <c r="BQ151" s="386">
        <f t="shared" si="101"/>
        <v>520.41079999999999</v>
      </c>
      <c r="BR151" s="386">
        <f t="shared" si="102"/>
        <v>4285.31376</v>
      </c>
      <c r="BS151" s="386">
        <f t="shared" si="103"/>
        <v>258.76978400000002</v>
      </c>
      <c r="BT151" s="386">
        <f t="shared" si="104"/>
        <v>0</v>
      </c>
      <c r="BU151" s="386">
        <f t="shared" si="105"/>
        <v>109.824624</v>
      </c>
      <c r="BV151" s="386">
        <f t="shared" si="106"/>
        <v>89.725999999999999</v>
      </c>
      <c r="BW151" s="386">
        <f t="shared" si="107"/>
        <v>0</v>
      </c>
      <c r="BX151" s="386">
        <f t="shared" si="122"/>
        <v>7489.2497679999997</v>
      </c>
      <c r="BY151" s="386">
        <f t="shared" si="123"/>
        <v>0</v>
      </c>
      <c r="BZ151" s="386">
        <f t="shared" si="124"/>
        <v>0</v>
      </c>
      <c r="CA151" s="386">
        <f t="shared" si="125"/>
        <v>0</v>
      </c>
      <c r="CB151" s="386">
        <f t="shared" si="126"/>
        <v>0</v>
      </c>
      <c r="CC151" s="386">
        <f t="shared" si="108"/>
        <v>0</v>
      </c>
      <c r="CD151" s="386">
        <f t="shared" si="109"/>
        <v>0</v>
      </c>
      <c r="CE151" s="386">
        <f t="shared" si="110"/>
        <v>0</v>
      </c>
      <c r="CF151" s="386">
        <f t="shared" si="111"/>
        <v>-175.86296000000002</v>
      </c>
      <c r="CG151" s="386">
        <f t="shared" si="112"/>
        <v>0</v>
      </c>
      <c r="CH151" s="386">
        <f t="shared" si="113"/>
        <v>3.5890400000000096</v>
      </c>
      <c r="CI151" s="386">
        <f t="shared" si="114"/>
        <v>0</v>
      </c>
      <c r="CJ151" s="386">
        <f t="shared" si="127"/>
        <v>-172.27392</v>
      </c>
      <c r="CK151" s="386" t="str">
        <f t="shared" si="128"/>
        <v/>
      </c>
      <c r="CL151" s="386" t="str">
        <f t="shared" si="129"/>
        <v/>
      </c>
      <c r="CM151" s="386" t="str">
        <f t="shared" si="130"/>
        <v/>
      </c>
      <c r="CN151" s="386" t="str">
        <f t="shared" si="131"/>
        <v>0001-00</v>
      </c>
    </row>
    <row r="152" spans="1:92" ht="15.75" thickBot="1" x14ac:dyDescent="0.3">
      <c r="A152" s="375" t="s">
        <v>161</v>
      </c>
      <c r="B152" s="375" t="s">
        <v>162</v>
      </c>
      <c r="C152" s="375" t="s">
        <v>763</v>
      </c>
      <c r="D152" s="375" t="s">
        <v>617</v>
      </c>
      <c r="E152" s="375" t="s">
        <v>165</v>
      </c>
      <c r="F152" s="376" t="s">
        <v>166</v>
      </c>
      <c r="G152" s="375" t="s">
        <v>549</v>
      </c>
      <c r="H152" s="377"/>
      <c r="I152" s="377"/>
      <c r="J152" s="375" t="s">
        <v>168</v>
      </c>
      <c r="K152" s="375" t="s">
        <v>618</v>
      </c>
      <c r="L152" s="375" t="s">
        <v>173</v>
      </c>
      <c r="M152" s="375" t="s">
        <v>177</v>
      </c>
      <c r="N152" s="375" t="s">
        <v>199</v>
      </c>
      <c r="O152" s="378">
        <v>1</v>
      </c>
      <c r="P152" s="384">
        <v>1</v>
      </c>
      <c r="Q152" s="384">
        <v>1</v>
      </c>
      <c r="R152" s="379">
        <v>80</v>
      </c>
      <c r="S152" s="384">
        <v>1</v>
      </c>
      <c r="T152" s="379">
        <v>61097.96</v>
      </c>
      <c r="U152" s="379">
        <v>0</v>
      </c>
      <c r="V152" s="379">
        <v>24140.99</v>
      </c>
      <c r="W152" s="379">
        <v>63356.800000000003</v>
      </c>
      <c r="X152" s="379">
        <v>25174.75</v>
      </c>
      <c r="Y152" s="379">
        <v>63356.800000000003</v>
      </c>
      <c r="Z152" s="379">
        <v>24870.65</v>
      </c>
      <c r="AA152" s="375" t="s">
        <v>764</v>
      </c>
      <c r="AB152" s="375" t="s">
        <v>765</v>
      </c>
      <c r="AC152" s="375" t="s">
        <v>766</v>
      </c>
      <c r="AD152" s="375" t="s">
        <v>170</v>
      </c>
      <c r="AE152" s="375" t="s">
        <v>618</v>
      </c>
      <c r="AF152" s="375" t="s">
        <v>305</v>
      </c>
      <c r="AG152" s="375" t="s">
        <v>183</v>
      </c>
      <c r="AH152" s="380">
        <v>30.46</v>
      </c>
      <c r="AI152" s="380">
        <v>34459.199999999997</v>
      </c>
      <c r="AJ152" s="375" t="s">
        <v>184</v>
      </c>
      <c r="AK152" s="375" t="s">
        <v>185</v>
      </c>
      <c r="AL152" s="375" t="s">
        <v>173</v>
      </c>
      <c r="AM152" s="375" t="s">
        <v>186</v>
      </c>
      <c r="AN152" s="375" t="s">
        <v>68</v>
      </c>
      <c r="AO152" s="378">
        <v>80</v>
      </c>
      <c r="AP152" s="384">
        <v>1</v>
      </c>
      <c r="AQ152" s="384">
        <v>1</v>
      </c>
      <c r="AR152" s="383" t="s">
        <v>187</v>
      </c>
      <c r="AS152" s="386">
        <f t="shared" si="115"/>
        <v>1</v>
      </c>
      <c r="AT152">
        <f t="shared" si="116"/>
        <v>1</v>
      </c>
      <c r="AU152" s="386">
        <f>IF(AT152=0,"",IF(AND(AT152=1,M152="F",SUMIF(C2:C557,C152,AS2:AS557)&lt;=1),SUMIF(C2:C557,C152,AS2:AS557),IF(AND(AT152=1,M152="F",SUMIF(C2:C557,C152,AS2:AS557)&gt;1),1,"")))</f>
        <v>1</v>
      </c>
      <c r="AV152" s="386" t="str">
        <f>IF(AT152=0,"",IF(AND(AT152=3,M152="F",SUMIF(C2:C557,C152,AS2:AS557)&lt;=1),SUMIF(C2:C557,C152,AS2:AS557),IF(AND(AT152=3,M152="F",SUMIF(C2:C557,C152,AS2:AS557)&gt;1),1,"")))</f>
        <v/>
      </c>
      <c r="AW152" s="386">
        <f>SUMIF(C2:C557,C152,O2:O557)</f>
        <v>1</v>
      </c>
      <c r="AX152" s="386">
        <f>IF(AND(M152="F",AS152&lt;&gt;0),SUMIF(C2:C557,C152,W2:W557),0)</f>
        <v>63356.800000000003</v>
      </c>
      <c r="AY152" s="386">
        <f t="shared" si="117"/>
        <v>63356.800000000003</v>
      </c>
      <c r="AZ152" s="386" t="str">
        <f t="shared" si="118"/>
        <v/>
      </c>
      <c r="BA152" s="386">
        <f t="shared" si="119"/>
        <v>0</v>
      </c>
      <c r="BB152" s="386">
        <f t="shared" si="88"/>
        <v>11650</v>
      </c>
      <c r="BC152" s="386">
        <f t="shared" si="89"/>
        <v>0</v>
      </c>
      <c r="BD152" s="386">
        <f t="shared" si="90"/>
        <v>3928.1215999999999</v>
      </c>
      <c r="BE152" s="386">
        <f t="shared" si="91"/>
        <v>918.67360000000008</v>
      </c>
      <c r="BF152" s="386">
        <f t="shared" si="92"/>
        <v>7564.8019200000008</v>
      </c>
      <c r="BG152" s="386">
        <f t="shared" si="93"/>
        <v>456.80252800000005</v>
      </c>
      <c r="BH152" s="386">
        <f t="shared" si="94"/>
        <v>310.44832000000002</v>
      </c>
      <c r="BI152" s="386">
        <f t="shared" si="95"/>
        <v>193.87180799999999</v>
      </c>
      <c r="BJ152" s="386">
        <f t="shared" si="96"/>
        <v>152.05632</v>
      </c>
      <c r="BK152" s="386">
        <f t="shared" si="97"/>
        <v>0</v>
      </c>
      <c r="BL152" s="386">
        <f t="shared" si="120"/>
        <v>13524.776096000001</v>
      </c>
      <c r="BM152" s="386">
        <f t="shared" si="121"/>
        <v>0</v>
      </c>
      <c r="BN152" s="386">
        <f t="shared" si="98"/>
        <v>11650</v>
      </c>
      <c r="BO152" s="386">
        <f t="shared" si="99"/>
        <v>0</v>
      </c>
      <c r="BP152" s="386">
        <f t="shared" si="100"/>
        <v>3928.1215999999999</v>
      </c>
      <c r="BQ152" s="386">
        <f t="shared" si="101"/>
        <v>918.67360000000008</v>
      </c>
      <c r="BR152" s="386">
        <f t="shared" si="102"/>
        <v>7564.8019200000008</v>
      </c>
      <c r="BS152" s="386">
        <f t="shared" si="103"/>
        <v>456.80252800000005</v>
      </c>
      <c r="BT152" s="386">
        <f t="shared" si="104"/>
        <v>0</v>
      </c>
      <c r="BU152" s="386">
        <f t="shared" si="105"/>
        <v>193.87180799999999</v>
      </c>
      <c r="BV152" s="386">
        <f t="shared" si="106"/>
        <v>158.39200000000002</v>
      </c>
      <c r="BW152" s="386">
        <f t="shared" si="107"/>
        <v>0</v>
      </c>
      <c r="BX152" s="386">
        <f t="shared" si="122"/>
        <v>13220.663456000002</v>
      </c>
      <c r="BY152" s="386">
        <f t="shared" si="123"/>
        <v>0</v>
      </c>
      <c r="BZ152" s="386">
        <f t="shared" si="124"/>
        <v>0</v>
      </c>
      <c r="CA152" s="386">
        <f t="shared" si="125"/>
        <v>0</v>
      </c>
      <c r="CB152" s="386">
        <f t="shared" si="126"/>
        <v>0</v>
      </c>
      <c r="CC152" s="386">
        <f t="shared" si="108"/>
        <v>0</v>
      </c>
      <c r="CD152" s="386">
        <f t="shared" si="109"/>
        <v>0</v>
      </c>
      <c r="CE152" s="386">
        <f t="shared" si="110"/>
        <v>0</v>
      </c>
      <c r="CF152" s="386">
        <f t="shared" si="111"/>
        <v>-310.44832000000002</v>
      </c>
      <c r="CG152" s="386">
        <f t="shared" si="112"/>
        <v>0</v>
      </c>
      <c r="CH152" s="386">
        <f t="shared" si="113"/>
        <v>6.3356800000000169</v>
      </c>
      <c r="CI152" s="386">
        <f t="shared" si="114"/>
        <v>0</v>
      </c>
      <c r="CJ152" s="386">
        <f t="shared" si="127"/>
        <v>-304.11264</v>
      </c>
      <c r="CK152" s="386" t="str">
        <f t="shared" si="128"/>
        <v/>
      </c>
      <c r="CL152" s="386" t="str">
        <f t="shared" si="129"/>
        <v/>
      </c>
      <c r="CM152" s="386" t="str">
        <f t="shared" si="130"/>
        <v/>
      </c>
      <c r="CN152" s="386" t="str">
        <f t="shared" si="131"/>
        <v>0001-00</v>
      </c>
    </row>
    <row r="153" spans="1:92" ht="15.75" thickBot="1" x14ac:dyDescent="0.3">
      <c r="A153" s="375" t="s">
        <v>161</v>
      </c>
      <c r="B153" s="375" t="s">
        <v>162</v>
      </c>
      <c r="C153" s="375" t="s">
        <v>767</v>
      </c>
      <c r="D153" s="375" t="s">
        <v>768</v>
      </c>
      <c r="E153" s="375" t="s">
        <v>165</v>
      </c>
      <c r="F153" s="376" t="s">
        <v>166</v>
      </c>
      <c r="G153" s="375" t="s">
        <v>549</v>
      </c>
      <c r="H153" s="377"/>
      <c r="I153" s="377"/>
      <c r="J153" s="375" t="s">
        <v>168</v>
      </c>
      <c r="K153" s="375" t="s">
        <v>769</v>
      </c>
      <c r="L153" s="375" t="s">
        <v>233</v>
      </c>
      <c r="M153" s="375" t="s">
        <v>177</v>
      </c>
      <c r="N153" s="375" t="s">
        <v>199</v>
      </c>
      <c r="O153" s="378">
        <v>1</v>
      </c>
      <c r="P153" s="384">
        <v>1</v>
      </c>
      <c r="Q153" s="384">
        <v>1</v>
      </c>
      <c r="R153" s="379">
        <v>80</v>
      </c>
      <c r="S153" s="384">
        <v>1</v>
      </c>
      <c r="T153" s="379">
        <v>39342.46</v>
      </c>
      <c r="U153" s="379">
        <v>14.79</v>
      </c>
      <c r="V153" s="379">
        <v>19673.64</v>
      </c>
      <c r="W153" s="379">
        <v>44200</v>
      </c>
      <c r="X153" s="379">
        <v>21085.37</v>
      </c>
      <c r="Y153" s="379">
        <v>44200</v>
      </c>
      <c r="Z153" s="379">
        <v>20873.21</v>
      </c>
      <c r="AA153" s="375" t="s">
        <v>770</v>
      </c>
      <c r="AB153" s="375" t="s">
        <v>771</v>
      </c>
      <c r="AC153" s="375" t="s">
        <v>772</v>
      </c>
      <c r="AD153" s="375" t="s">
        <v>352</v>
      </c>
      <c r="AE153" s="375" t="s">
        <v>769</v>
      </c>
      <c r="AF153" s="375" t="s">
        <v>237</v>
      </c>
      <c r="AG153" s="375" t="s">
        <v>183</v>
      </c>
      <c r="AH153" s="380">
        <v>21.25</v>
      </c>
      <c r="AI153" s="380">
        <v>37121.599999999999</v>
      </c>
      <c r="AJ153" s="375" t="s">
        <v>184</v>
      </c>
      <c r="AK153" s="375" t="s">
        <v>185</v>
      </c>
      <c r="AL153" s="375" t="s">
        <v>173</v>
      </c>
      <c r="AM153" s="375" t="s">
        <v>186</v>
      </c>
      <c r="AN153" s="375" t="s">
        <v>68</v>
      </c>
      <c r="AO153" s="378">
        <v>80</v>
      </c>
      <c r="AP153" s="384">
        <v>1</v>
      </c>
      <c r="AQ153" s="384">
        <v>1</v>
      </c>
      <c r="AR153" s="383" t="s">
        <v>187</v>
      </c>
      <c r="AS153" s="386">
        <f t="shared" si="115"/>
        <v>1</v>
      </c>
      <c r="AT153">
        <f t="shared" si="116"/>
        <v>1</v>
      </c>
      <c r="AU153" s="386">
        <f>IF(AT153=0,"",IF(AND(AT153=1,M153="F",SUMIF(C2:C557,C153,AS2:AS557)&lt;=1),SUMIF(C2:C557,C153,AS2:AS557),IF(AND(AT153=1,M153="F",SUMIF(C2:C557,C153,AS2:AS557)&gt;1),1,"")))</f>
        <v>1</v>
      </c>
      <c r="AV153" s="386" t="str">
        <f>IF(AT153=0,"",IF(AND(AT153=3,M153="F",SUMIF(C2:C557,C153,AS2:AS557)&lt;=1),SUMIF(C2:C557,C153,AS2:AS557),IF(AND(AT153=3,M153="F",SUMIF(C2:C557,C153,AS2:AS557)&gt;1),1,"")))</f>
        <v/>
      </c>
      <c r="AW153" s="386">
        <f>SUMIF(C2:C557,C153,O2:O557)</f>
        <v>1</v>
      </c>
      <c r="AX153" s="386">
        <f>IF(AND(M153="F",AS153&lt;&gt;0),SUMIF(C2:C557,C153,W2:W557),0)</f>
        <v>44200</v>
      </c>
      <c r="AY153" s="386">
        <f t="shared" si="117"/>
        <v>44200</v>
      </c>
      <c r="AZ153" s="386" t="str">
        <f t="shared" si="118"/>
        <v/>
      </c>
      <c r="BA153" s="386">
        <f t="shared" si="119"/>
        <v>0</v>
      </c>
      <c r="BB153" s="386">
        <f t="shared" si="88"/>
        <v>11650</v>
      </c>
      <c r="BC153" s="386">
        <f t="shared" si="89"/>
        <v>0</v>
      </c>
      <c r="BD153" s="386">
        <f t="shared" si="90"/>
        <v>2740.4</v>
      </c>
      <c r="BE153" s="386">
        <f t="shared" si="91"/>
        <v>640.9</v>
      </c>
      <c r="BF153" s="386">
        <f t="shared" si="92"/>
        <v>5277.4800000000005</v>
      </c>
      <c r="BG153" s="386">
        <f t="shared" si="93"/>
        <v>318.68200000000002</v>
      </c>
      <c r="BH153" s="386">
        <f t="shared" si="94"/>
        <v>216.57999999999998</v>
      </c>
      <c r="BI153" s="386">
        <f t="shared" si="95"/>
        <v>135.25199999999998</v>
      </c>
      <c r="BJ153" s="386">
        <f t="shared" si="96"/>
        <v>106.07999999999998</v>
      </c>
      <c r="BK153" s="386">
        <f t="shared" si="97"/>
        <v>0</v>
      </c>
      <c r="BL153" s="386">
        <f t="shared" si="120"/>
        <v>9435.3740000000016</v>
      </c>
      <c r="BM153" s="386">
        <f t="shared" si="121"/>
        <v>0</v>
      </c>
      <c r="BN153" s="386">
        <f t="shared" si="98"/>
        <v>11650</v>
      </c>
      <c r="BO153" s="386">
        <f t="shared" si="99"/>
        <v>0</v>
      </c>
      <c r="BP153" s="386">
        <f t="shared" si="100"/>
        <v>2740.4</v>
      </c>
      <c r="BQ153" s="386">
        <f t="shared" si="101"/>
        <v>640.9</v>
      </c>
      <c r="BR153" s="386">
        <f t="shared" si="102"/>
        <v>5277.4800000000005</v>
      </c>
      <c r="BS153" s="386">
        <f t="shared" si="103"/>
        <v>318.68200000000002</v>
      </c>
      <c r="BT153" s="386">
        <f t="shared" si="104"/>
        <v>0</v>
      </c>
      <c r="BU153" s="386">
        <f t="shared" si="105"/>
        <v>135.25199999999998</v>
      </c>
      <c r="BV153" s="386">
        <f t="shared" si="106"/>
        <v>110.5</v>
      </c>
      <c r="BW153" s="386">
        <f t="shared" si="107"/>
        <v>0</v>
      </c>
      <c r="BX153" s="386">
        <f t="shared" si="122"/>
        <v>9223.2140000000018</v>
      </c>
      <c r="BY153" s="386">
        <f t="shared" si="123"/>
        <v>0</v>
      </c>
      <c r="BZ153" s="386">
        <f t="shared" si="124"/>
        <v>0</v>
      </c>
      <c r="CA153" s="386">
        <f t="shared" si="125"/>
        <v>0</v>
      </c>
      <c r="CB153" s="386">
        <f t="shared" si="126"/>
        <v>0</v>
      </c>
      <c r="CC153" s="386">
        <f t="shared" si="108"/>
        <v>0</v>
      </c>
      <c r="CD153" s="386">
        <f t="shared" si="109"/>
        <v>0</v>
      </c>
      <c r="CE153" s="386">
        <f t="shared" si="110"/>
        <v>0</v>
      </c>
      <c r="CF153" s="386">
        <f t="shared" si="111"/>
        <v>-216.57999999999998</v>
      </c>
      <c r="CG153" s="386">
        <f t="shared" si="112"/>
        <v>0</v>
      </c>
      <c r="CH153" s="386">
        <f t="shared" si="113"/>
        <v>4.4200000000000115</v>
      </c>
      <c r="CI153" s="386">
        <f t="shared" si="114"/>
        <v>0</v>
      </c>
      <c r="CJ153" s="386">
        <f t="shared" si="127"/>
        <v>-212.15999999999997</v>
      </c>
      <c r="CK153" s="386" t="str">
        <f t="shared" si="128"/>
        <v/>
      </c>
      <c r="CL153" s="386" t="str">
        <f t="shared" si="129"/>
        <v/>
      </c>
      <c r="CM153" s="386" t="str">
        <f t="shared" si="130"/>
        <v/>
      </c>
      <c r="CN153" s="386" t="str">
        <f t="shared" si="131"/>
        <v>0001-00</v>
      </c>
    </row>
    <row r="154" spans="1:92" ht="15.75" thickBot="1" x14ac:dyDescent="0.3">
      <c r="A154" s="375" t="s">
        <v>161</v>
      </c>
      <c r="B154" s="375" t="s">
        <v>162</v>
      </c>
      <c r="C154" s="375" t="s">
        <v>773</v>
      </c>
      <c r="D154" s="375" t="s">
        <v>617</v>
      </c>
      <c r="E154" s="375" t="s">
        <v>165</v>
      </c>
      <c r="F154" s="376" t="s">
        <v>166</v>
      </c>
      <c r="G154" s="375" t="s">
        <v>549</v>
      </c>
      <c r="H154" s="377"/>
      <c r="I154" s="377"/>
      <c r="J154" s="375" t="s">
        <v>168</v>
      </c>
      <c r="K154" s="375" t="s">
        <v>618</v>
      </c>
      <c r="L154" s="375" t="s">
        <v>173</v>
      </c>
      <c r="M154" s="375" t="s">
        <v>177</v>
      </c>
      <c r="N154" s="375" t="s">
        <v>199</v>
      </c>
      <c r="O154" s="378">
        <v>1</v>
      </c>
      <c r="P154" s="384">
        <v>1</v>
      </c>
      <c r="Q154" s="384">
        <v>1</v>
      </c>
      <c r="R154" s="379">
        <v>80</v>
      </c>
      <c r="S154" s="384">
        <v>1</v>
      </c>
      <c r="T154" s="379">
        <v>76286.539999999994</v>
      </c>
      <c r="U154" s="379">
        <v>0</v>
      </c>
      <c r="V154" s="379">
        <v>27385.55</v>
      </c>
      <c r="W154" s="379">
        <v>79102.399999999994</v>
      </c>
      <c r="X154" s="379">
        <v>28535.95</v>
      </c>
      <c r="Y154" s="379">
        <v>79102.399999999994</v>
      </c>
      <c r="Z154" s="379">
        <v>28156.26</v>
      </c>
      <c r="AA154" s="375" t="s">
        <v>774</v>
      </c>
      <c r="AB154" s="375" t="s">
        <v>775</v>
      </c>
      <c r="AC154" s="375" t="s">
        <v>776</v>
      </c>
      <c r="AD154" s="375" t="s">
        <v>366</v>
      </c>
      <c r="AE154" s="375" t="s">
        <v>618</v>
      </c>
      <c r="AF154" s="375" t="s">
        <v>305</v>
      </c>
      <c r="AG154" s="375" t="s">
        <v>183</v>
      </c>
      <c r="AH154" s="380">
        <v>38.03</v>
      </c>
      <c r="AI154" s="380">
        <v>49100.5</v>
      </c>
      <c r="AJ154" s="375" t="s">
        <v>184</v>
      </c>
      <c r="AK154" s="375" t="s">
        <v>185</v>
      </c>
      <c r="AL154" s="375" t="s">
        <v>173</v>
      </c>
      <c r="AM154" s="375" t="s">
        <v>186</v>
      </c>
      <c r="AN154" s="375" t="s">
        <v>68</v>
      </c>
      <c r="AO154" s="378">
        <v>80</v>
      </c>
      <c r="AP154" s="384">
        <v>1</v>
      </c>
      <c r="AQ154" s="384">
        <v>1</v>
      </c>
      <c r="AR154" s="383" t="s">
        <v>187</v>
      </c>
      <c r="AS154" s="386">
        <f t="shared" si="115"/>
        <v>1</v>
      </c>
      <c r="AT154">
        <f t="shared" si="116"/>
        <v>1</v>
      </c>
      <c r="AU154" s="386">
        <f>IF(AT154=0,"",IF(AND(AT154=1,M154="F",SUMIF(C2:C557,C154,AS2:AS557)&lt;=1),SUMIF(C2:C557,C154,AS2:AS557),IF(AND(AT154=1,M154="F",SUMIF(C2:C557,C154,AS2:AS557)&gt;1),1,"")))</f>
        <v>1</v>
      </c>
      <c r="AV154" s="386" t="str">
        <f>IF(AT154=0,"",IF(AND(AT154=3,M154="F",SUMIF(C2:C557,C154,AS2:AS557)&lt;=1),SUMIF(C2:C557,C154,AS2:AS557),IF(AND(AT154=3,M154="F",SUMIF(C2:C557,C154,AS2:AS557)&gt;1),1,"")))</f>
        <v/>
      </c>
      <c r="AW154" s="386">
        <f>SUMIF(C2:C557,C154,O2:O557)</f>
        <v>1</v>
      </c>
      <c r="AX154" s="386">
        <f>IF(AND(M154="F",AS154&lt;&gt;0),SUMIF(C2:C557,C154,W2:W557),0)</f>
        <v>79102.399999999994</v>
      </c>
      <c r="AY154" s="386">
        <f t="shared" si="117"/>
        <v>79102.399999999994</v>
      </c>
      <c r="AZ154" s="386" t="str">
        <f t="shared" si="118"/>
        <v/>
      </c>
      <c r="BA154" s="386">
        <f t="shared" si="119"/>
        <v>0</v>
      </c>
      <c r="BB154" s="386">
        <f t="shared" si="88"/>
        <v>11650</v>
      </c>
      <c r="BC154" s="386">
        <f t="shared" si="89"/>
        <v>0</v>
      </c>
      <c r="BD154" s="386">
        <f t="shared" si="90"/>
        <v>4904.3487999999998</v>
      </c>
      <c r="BE154" s="386">
        <f t="shared" si="91"/>
        <v>1146.9848</v>
      </c>
      <c r="BF154" s="386">
        <f t="shared" si="92"/>
        <v>9444.8265599999995</v>
      </c>
      <c r="BG154" s="386">
        <f t="shared" si="93"/>
        <v>570.328304</v>
      </c>
      <c r="BH154" s="386">
        <f t="shared" si="94"/>
        <v>387.60175999999996</v>
      </c>
      <c r="BI154" s="386">
        <f t="shared" si="95"/>
        <v>242.05334399999995</v>
      </c>
      <c r="BJ154" s="386">
        <f t="shared" si="96"/>
        <v>189.84575999999996</v>
      </c>
      <c r="BK154" s="386">
        <f t="shared" si="97"/>
        <v>0</v>
      </c>
      <c r="BL154" s="386">
        <f t="shared" si="120"/>
        <v>16885.989328</v>
      </c>
      <c r="BM154" s="386">
        <f t="shared" si="121"/>
        <v>0</v>
      </c>
      <c r="BN154" s="386">
        <f t="shared" si="98"/>
        <v>11650</v>
      </c>
      <c r="BO154" s="386">
        <f t="shared" si="99"/>
        <v>0</v>
      </c>
      <c r="BP154" s="386">
        <f t="shared" si="100"/>
        <v>4904.3487999999998</v>
      </c>
      <c r="BQ154" s="386">
        <f t="shared" si="101"/>
        <v>1146.9848</v>
      </c>
      <c r="BR154" s="386">
        <f t="shared" si="102"/>
        <v>9444.8265599999995</v>
      </c>
      <c r="BS154" s="386">
        <f t="shared" si="103"/>
        <v>570.328304</v>
      </c>
      <c r="BT154" s="386">
        <f t="shared" si="104"/>
        <v>0</v>
      </c>
      <c r="BU154" s="386">
        <f t="shared" si="105"/>
        <v>242.05334399999995</v>
      </c>
      <c r="BV154" s="386">
        <f t="shared" si="106"/>
        <v>197.756</v>
      </c>
      <c r="BW154" s="386">
        <f t="shared" si="107"/>
        <v>0</v>
      </c>
      <c r="BX154" s="386">
        <f t="shared" si="122"/>
        <v>16506.297807999999</v>
      </c>
      <c r="BY154" s="386">
        <f t="shared" si="123"/>
        <v>0</v>
      </c>
      <c r="BZ154" s="386">
        <f t="shared" si="124"/>
        <v>0</v>
      </c>
      <c r="CA154" s="386">
        <f t="shared" si="125"/>
        <v>0</v>
      </c>
      <c r="CB154" s="386">
        <f t="shared" si="126"/>
        <v>0</v>
      </c>
      <c r="CC154" s="386">
        <f t="shared" si="108"/>
        <v>0</v>
      </c>
      <c r="CD154" s="386">
        <f t="shared" si="109"/>
        <v>0</v>
      </c>
      <c r="CE154" s="386">
        <f t="shared" si="110"/>
        <v>0</v>
      </c>
      <c r="CF154" s="386">
        <f t="shared" si="111"/>
        <v>-387.60175999999996</v>
      </c>
      <c r="CG154" s="386">
        <f t="shared" si="112"/>
        <v>0</v>
      </c>
      <c r="CH154" s="386">
        <f t="shared" si="113"/>
        <v>7.9102400000000204</v>
      </c>
      <c r="CI154" s="386">
        <f t="shared" si="114"/>
        <v>0</v>
      </c>
      <c r="CJ154" s="386">
        <f t="shared" si="127"/>
        <v>-379.69151999999991</v>
      </c>
      <c r="CK154" s="386" t="str">
        <f t="shared" si="128"/>
        <v/>
      </c>
      <c r="CL154" s="386" t="str">
        <f t="shared" si="129"/>
        <v/>
      </c>
      <c r="CM154" s="386" t="str">
        <f t="shared" si="130"/>
        <v/>
      </c>
      <c r="CN154" s="386" t="str">
        <f t="shared" si="131"/>
        <v>0001-00</v>
      </c>
    </row>
    <row r="155" spans="1:92" ht="15.75" thickBot="1" x14ac:dyDescent="0.3">
      <c r="A155" s="375" t="s">
        <v>161</v>
      </c>
      <c r="B155" s="375" t="s">
        <v>162</v>
      </c>
      <c r="C155" s="375" t="s">
        <v>777</v>
      </c>
      <c r="D155" s="375" t="s">
        <v>555</v>
      </c>
      <c r="E155" s="375" t="s">
        <v>165</v>
      </c>
      <c r="F155" s="376" t="s">
        <v>166</v>
      </c>
      <c r="G155" s="375" t="s">
        <v>549</v>
      </c>
      <c r="H155" s="377"/>
      <c r="I155" s="377"/>
      <c r="J155" s="375" t="s">
        <v>168</v>
      </c>
      <c r="K155" s="375" t="s">
        <v>556</v>
      </c>
      <c r="L155" s="375" t="s">
        <v>220</v>
      </c>
      <c r="M155" s="375" t="s">
        <v>177</v>
      </c>
      <c r="N155" s="375" t="s">
        <v>199</v>
      </c>
      <c r="O155" s="378">
        <v>1</v>
      </c>
      <c r="P155" s="384">
        <v>1</v>
      </c>
      <c r="Q155" s="384">
        <v>1</v>
      </c>
      <c r="R155" s="379">
        <v>80</v>
      </c>
      <c r="S155" s="384">
        <v>1</v>
      </c>
      <c r="T155" s="379">
        <v>48718.080000000002</v>
      </c>
      <c r="U155" s="379">
        <v>0</v>
      </c>
      <c r="V155" s="379">
        <v>21671.57</v>
      </c>
      <c r="W155" s="379">
        <v>57262.400000000001</v>
      </c>
      <c r="X155" s="379">
        <v>23873.77</v>
      </c>
      <c r="Y155" s="379">
        <v>57262.400000000001</v>
      </c>
      <c r="Z155" s="379">
        <v>23598.92</v>
      </c>
      <c r="AA155" s="375" t="s">
        <v>778</v>
      </c>
      <c r="AB155" s="375" t="s">
        <v>779</v>
      </c>
      <c r="AC155" s="375" t="s">
        <v>780</v>
      </c>
      <c r="AD155" s="375" t="s">
        <v>316</v>
      </c>
      <c r="AE155" s="375" t="s">
        <v>556</v>
      </c>
      <c r="AF155" s="375" t="s">
        <v>252</v>
      </c>
      <c r="AG155" s="375" t="s">
        <v>183</v>
      </c>
      <c r="AH155" s="380">
        <v>27.53</v>
      </c>
      <c r="AI155" s="380">
        <v>10861.3</v>
      </c>
      <c r="AJ155" s="375" t="s">
        <v>184</v>
      </c>
      <c r="AK155" s="375" t="s">
        <v>185</v>
      </c>
      <c r="AL155" s="375" t="s">
        <v>173</v>
      </c>
      <c r="AM155" s="375" t="s">
        <v>186</v>
      </c>
      <c r="AN155" s="375" t="s">
        <v>68</v>
      </c>
      <c r="AO155" s="378">
        <v>80</v>
      </c>
      <c r="AP155" s="384">
        <v>1</v>
      </c>
      <c r="AQ155" s="384">
        <v>1</v>
      </c>
      <c r="AR155" s="383" t="s">
        <v>187</v>
      </c>
      <c r="AS155" s="386">
        <f t="shared" si="115"/>
        <v>1</v>
      </c>
      <c r="AT155">
        <f t="shared" si="116"/>
        <v>1</v>
      </c>
      <c r="AU155" s="386">
        <f>IF(AT155=0,"",IF(AND(AT155=1,M155="F",SUMIF(C2:C557,C155,AS2:AS557)&lt;=1),SUMIF(C2:C557,C155,AS2:AS557),IF(AND(AT155=1,M155="F",SUMIF(C2:C557,C155,AS2:AS557)&gt;1),1,"")))</f>
        <v>1</v>
      </c>
      <c r="AV155" s="386" t="str">
        <f>IF(AT155=0,"",IF(AND(AT155=3,M155="F",SUMIF(C2:C557,C155,AS2:AS557)&lt;=1),SUMIF(C2:C557,C155,AS2:AS557),IF(AND(AT155=3,M155="F",SUMIF(C2:C557,C155,AS2:AS557)&gt;1),1,"")))</f>
        <v/>
      </c>
      <c r="AW155" s="386">
        <f>SUMIF(C2:C557,C155,O2:O557)</f>
        <v>1</v>
      </c>
      <c r="AX155" s="386">
        <f>IF(AND(M155="F",AS155&lt;&gt;0),SUMIF(C2:C557,C155,W2:W557),0)</f>
        <v>57262.400000000001</v>
      </c>
      <c r="AY155" s="386">
        <f t="shared" si="117"/>
        <v>57262.400000000001</v>
      </c>
      <c r="AZ155" s="386" t="str">
        <f t="shared" si="118"/>
        <v/>
      </c>
      <c r="BA155" s="386">
        <f t="shared" si="119"/>
        <v>0</v>
      </c>
      <c r="BB155" s="386">
        <f t="shared" si="88"/>
        <v>11650</v>
      </c>
      <c r="BC155" s="386">
        <f t="shared" si="89"/>
        <v>0</v>
      </c>
      <c r="BD155" s="386">
        <f t="shared" si="90"/>
        <v>3550.2688000000003</v>
      </c>
      <c r="BE155" s="386">
        <f t="shared" si="91"/>
        <v>830.30480000000011</v>
      </c>
      <c r="BF155" s="386">
        <f t="shared" si="92"/>
        <v>6837.1305600000005</v>
      </c>
      <c r="BG155" s="386">
        <f t="shared" si="93"/>
        <v>412.86190400000004</v>
      </c>
      <c r="BH155" s="386">
        <f t="shared" si="94"/>
        <v>280.58575999999999</v>
      </c>
      <c r="BI155" s="386">
        <f t="shared" si="95"/>
        <v>175.22294399999998</v>
      </c>
      <c r="BJ155" s="386">
        <f t="shared" si="96"/>
        <v>137.42975999999999</v>
      </c>
      <c r="BK155" s="386">
        <f t="shared" si="97"/>
        <v>0</v>
      </c>
      <c r="BL155" s="386">
        <f t="shared" si="120"/>
        <v>12223.804528000001</v>
      </c>
      <c r="BM155" s="386">
        <f t="shared" si="121"/>
        <v>0</v>
      </c>
      <c r="BN155" s="386">
        <f t="shared" si="98"/>
        <v>11650</v>
      </c>
      <c r="BO155" s="386">
        <f t="shared" si="99"/>
        <v>0</v>
      </c>
      <c r="BP155" s="386">
        <f t="shared" si="100"/>
        <v>3550.2688000000003</v>
      </c>
      <c r="BQ155" s="386">
        <f t="shared" si="101"/>
        <v>830.30480000000011</v>
      </c>
      <c r="BR155" s="386">
        <f t="shared" si="102"/>
        <v>6837.1305600000005</v>
      </c>
      <c r="BS155" s="386">
        <f t="shared" si="103"/>
        <v>412.86190400000004</v>
      </c>
      <c r="BT155" s="386">
        <f t="shared" si="104"/>
        <v>0</v>
      </c>
      <c r="BU155" s="386">
        <f t="shared" si="105"/>
        <v>175.22294399999998</v>
      </c>
      <c r="BV155" s="386">
        <f t="shared" si="106"/>
        <v>143.15600000000001</v>
      </c>
      <c r="BW155" s="386">
        <f t="shared" si="107"/>
        <v>0</v>
      </c>
      <c r="BX155" s="386">
        <f t="shared" si="122"/>
        <v>11948.945008000001</v>
      </c>
      <c r="BY155" s="386">
        <f t="shared" si="123"/>
        <v>0</v>
      </c>
      <c r="BZ155" s="386">
        <f t="shared" si="124"/>
        <v>0</v>
      </c>
      <c r="CA155" s="386">
        <f t="shared" si="125"/>
        <v>0</v>
      </c>
      <c r="CB155" s="386">
        <f t="shared" si="126"/>
        <v>0</v>
      </c>
      <c r="CC155" s="386">
        <f t="shared" si="108"/>
        <v>0</v>
      </c>
      <c r="CD155" s="386">
        <f t="shared" si="109"/>
        <v>0</v>
      </c>
      <c r="CE155" s="386">
        <f t="shared" si="110"/>
        <v>0</v>
      </c>
      <c r="CF155" s="386">
        <f t="shared" si="111"/>
        <v>-280.58575999999999</v>
      </c>
      <c r="CG155" s="386">
        <f t="shared" si="112"/>
        <v>0</v>
      </c>
      <c r="CH155" s="386">
        <f t="shared" si="113"/>
        <v>5.7262400000000149</v>
      </c>
      <c r="CI155" s="386">
        <f t="shared" si="114"/>
        <v>0</v>
      </c>
      <c r="CJ155" s="386">
        <f t="shared" si="127"/>
        <v>-274.85951999999997</v>
      </c>
      <c r="CK155" s="386" t="str">
        <f t="shared" si="128"/>
        <v/>
      </c>
      <c r="CL155" s="386" t="str">
        <f t="shared" si="129"/>
        <v/>
      </c>
      <c r="CM155" s="386" t="str">
        <f t="shared" si="130"/>
        <v/>
      </c>
      <c r="CN155" s="386" t="str">
        <f t="shared" si="131"/>
        <v>0001-00</v>
      </c>
    </row>
    <row r="156" spans="1:92" ht="15.75" thickBot="1" x14ac:dyDescent="0.3">
      <c r="A156" s="375" t="s">
        <v>161</v>
      </c>
      <c r="B156" s="375" t="s">
        <v>162</v>
      </c>
      <c r="C156" s="375" t="s">
        <v>781</v>
      </c>
      <c r="D156" s="375" t="s">
        <v>710</v>
      </c>
      <c r="E156" s="375" t="s">
        <v>165</v>
      </c>
      <c r="F156" s="376" t="s">
        <v>166</v>
      </c>
      <c r="G156" s="375" t="s">
        <v>549</v>
      </c>
      <c r="H156" s="377"/>
      <c r="I156" s="377"/>
      <c r="J156" s="375" t="s">
        <v>168</v>
      </c>
      <c r="K156" s="375" t="s">
        <v>782</v>
      </c>
      <c r="L156" s="375" t="s">
        <v>210</v>
      </c>
      <c r="M156" s="375" t="s">
        <v>177</v>
      </c>
      <c r="N156" s="375" t="s">
        <v>199</v>
      </c>
      <c r="O156" s="378">
        <v>1</v>
      </c>
      <c r="P156" s="384">
        <v>1</v>
      </c>
      <c r="Q156" s="384">
        <v>1</v>
      </c>
      <c r="R156" s="379">
        <v>80</v>
      </c>
      <c r="S156" s="384">
        <v>1</v>
      </c>
      <c r="T156" s="379">
        <v>32393.85</v>
      </c>
      <c r="U156" s="379">
        <v>0</v>
      </c>
      <c r="V156" s="379">
        <v>17099.45</v>
      </c>
      <c r="W156" s="379">
        <v>26722.799999999999</v>
      </c>
      <c r="X156" s="379">
        <v>17354.5</v>
      </c>
      <c r="Y156" s="379">
        <v>26722.799999999999</v>
      </c>
      <c r="Z156" s="379">
        <v>17226.23</v>
      </c>
      <c r="AA156" s="375" t="s">
        <v>783</v>
      </c>
      <c r="AB156" s="375" t="s">
        <v>784</v>
      </c>
      <c r="AC156" s="375" t="s">
        <v>734</v>
      </c>
      <c r="AD156" s="375" t="s">
        <v>185</v>
      </c>
      <c r="AE156" s="375" t="s">
        <v>782</v>
      </c>
      <c r="AF156" s="375" t="s">
        <v>215</v>
      </c>
      <c r="AG156" s="375" t="s">
        <v>183</v>
      </c>
      <c r="AH156" s="380">
        <v>17.13</v>
      </c>
      <c r="AI156" s="378">
        <v>3006</v>
      </c>
      <c r="AJ156" s="375" t="s">
        <v>785</v>
      </c>
      <c r="AK156" s="375" t="s">
        <v>185</v>
      </c>
      <c r="AL156" s="375" t="s">
        <v>173</v>
      </c>
      <c r="AM156" s="375" t="s">
        <v>186</v>
      </c>
      <c r="AN156" s="375" t="s">
        <v>68</v>
      </c>
      <c r="AO156" s="378">
        <v>60</v>
      </c>
      <c r="AP156" s="384">
        <v>1</v>
      </c>
      <c r="AQ156" s="384">
        <v>0.75</v>
      </c>
      <c r="AR156" s="383" t="s">
        <v>187</v>
      </c>
      <c r="AS156" s="386">
        <f t="shared" si="115"/>
        <v>0.75</v>
      </c>
      <c r="AT156">
        <f t="shared" si="116"/>
        <v>1</v>
      </c>
      <c r="AU156" s="386">
        <f>IF(AT156=0,"",IF(AND(AT156=1,M156="F",SUMIF(C2:C557,C156,AS2:AS557)&lt;=1),SUMIF(C2:C557,C156,AS2:AS557),IF(AND(AT156=1,M156="F",SUMIF(C2:C557,C156,AS2:AS557)&gt;1),1,"")))</f>
        <v>0.75</v>
      </c>
      <c r="AV156" s="386" t="str">
        <f>IF(AT156=0,"",IF(AND(AT156=3,M156="F",SUMIF(C2:C557,C156,AS2:AS557)&lt;=1),SUMIF(C2:C557,C156,AS2:AS557),IF(AND(AT156=3,M156="F",SUMIF(C2:C557,C156,AS2:AS557)&gt;1),1,"")))</f>
        <v/>
      </c>
      <c r="AW156" s="386">
        <f>SUMIF(C2:C557,C156,O2:O557)</f>
        <v>1</v>
      </c>
      <c r="AX156" s="386">
        <f>IF(AND(M156="F",AS156&lt;&gt;0),SUMIF(C2:C557,C156,W2:W557),0)</f>
        <v>26722.799999999999</v>
      </c>
      <c r="AY156" s="386">
        <f t="shared" si="117"/>
        <v>26722.799999999999</v>
      </c>
      <c r="AZ156" s="386" t="str">
        <f t="shared" si="118"/>
        <v/>
      </c>
      <c r="BA156" s="386">
        <f t="shared" si="119"/>
        <v>0</v>
      </c>
      <c r="BB156" s="386">
        <f t="shared" si="88"/>
        <v>11650</v>
      </c>
      <c r="BC156" s="386">
        <f t="shared" si="89"/>
        <v>0</v>
      </c>
      <c r="BD156" s="386">
        <f t="shared" si="90"/>
        <v>1656.8136</v>
      </c>
      <c r="BE156" s="386">
        <f t="shared" si="91"/>
        <v>387.48059999999998</v>
      </c>
      <c r="BF156" s="386">
        <f t="shared" si="92"/>
        <v>3190.7023199999999</v>
      </c>
      <c r="BG156" s="386">
        <f t="shared" si="93"/>
        <v>192.67138800000001</v>
      </c>
      <c r="BH156" s="386">
        <f t="shared" si="94"/>
        <v>130.94172</v>
      </c>
      <c r="BI156" s="386">
        <f t="shared" si="95"/>
        <v>81.771767999999994</v>
      </c>
      <c r="BJ156" s="386">
        <f t="shared" si="96"/>
        <v>64.134719999999987</v>
      </c>
      <c r="BK156" s="386">
        <f t="shared" si="97"/>
        <v>0</v>
      </c>
      <c r="BL156" s="386">
        <f t="shared" si="120"/>
        <v>5704.5161159999989</v>
      </c>
      <c r="BM156" s="386">
        <f t="shared" si="121"/>
        <v>0</v>
      </c>
      <c r="BN156" s="386">
        <f t="shared" si="98"/>
        <v>11650</v>
      </c>
      <c r="BO156" s="386">
        <f t="shared" si="99"/>
        <v>0</v>
      </c>
      <c r="BP156" s="386">
        <f t="shared" si="100"/>
        <v>1656.8136</v>
      </c>
      <c r="BQ156" s="386">
        <f t="shared" si="101"/>
        <v>387.48059999999998</v>
      </c>
      <c r="BR156" s="386">
        <f t="shared" si="102"/>
        <v>3190.7023199999999</v>
      </c>
      <c r="BS156" s="386">
        <f t="shared" si="103"/>
        <v>192.67138800000001</v>
      </c>
      <c r="BT156" s="386">
        <f t="shared" si="104"/>
        <v>0</v>
      </c>
      <c r="BU156" s="386">
        <f t="shared" si="105"/>
        <v>81.771767999999994</v>
      </c>
      <c r="BV156" s="386">
        <f t="shared" si="106"/>
        <v>66.807000000000002</v>
      </c>
      <c r="BW156" s="386">
        <f t="shared" si="107"/>
        <v>0</v>
      </c>
      <c r="BX156" s="386">
        <f t="shared" si="122"/>
        <v>5576.2466759999988</v>
      </c>
      <c r="BY156" s="386">
        <f t="shared" si="123"/>
        <v>0</v>
      </c>
      <c r="BZ156" s="386">
        <f t="shared" si="124"/>
        <v>0</v>
      </c>
      <c r="CA156" s="386">
        <f t="shared" si="125"/>
        <v>0</v>
      </c>
      <c r="CB156" s="386">
        <f t="shared" si="126"/>
        <v>0</v>
      </c>
      <c r="CC156" s="386">
        <f t="shared" si="108"/>
        <v>0</v>
      </c>
      <c r="CD156" s="386">
        <f t="shared" si="109"/>
        <v>0</v>
      </c>
      <c r="CE156" s="386">
        <f t="shared" si="110"/>
        <v>0</v>
      </c>
      <c r="CF156" s="386">
        <f t="shared" si="111"/>
        <v>-130.94172</v>
      </c>
      <c r="CG156" s="386">
        <f t="shared" si="112"/>
        <v>0</v>
      </c>
      <c r="CH156" s="386">
        <f t="shared" si="113"/>
        <v>2.6722800000000069</v>
      </c>
      <c r="CI156" s="386">
        <f t="shared" si="114"/>
        <v>0</v>
      </c>
      <c r="CJ156" s="386">
        <f t="shared" si="127"/>
        <v>-128.26944</v>
      </c>
      <c r="CK156" s="386" t="str">
        <f t="shared" si="128"/>
        <v/>
      </c>
      <c r="CL156" s="386" t="str">
        <f t="shared" si="129"/>
        <v/>
      </c>
      <c r="CM156" s="386" t="str">
        <f t="shared" si="130"/>
        <v/>
      </c>
      <c r="CN156" s="386" t="str">
        <f t="shared" si="131"/>
        <v>0001-00</v>
      </c>
    </row>
    <row r="157" spans="1:92" ht="15.75" thickBot="1" x14ac:dyDescent="0.3">
      <c r="A157" s="375" t="s">
        <v>161</v>
      </c>
      <c r="B157" s="375" t="s">
        <v>162</v>
      </c>
      <c r="C157" s="375" t="s">
        <v>786</v>
      </c>
      <c r="D157" s="375" t="s">
        <v>665</v>
      </c>
      <c r="E157" s="375" t="s">
        <v>165</v>
      </c>
      <c r="F157" s="376" t="s">
        <v>166</v>
      </c>
      <c r="G157" s="375" t="s">
        <v>549</v>
      </c>
      <c r="H157" s="377"/>
      <c r="I157" s="377"/>
      <c r="J157" s="375" t="s">
        <v>168</v>
      </c>
      <c r="K157" s="375" t="s">
        <v>666</v>
      </c>
      <c r="L157" s="375" t="s">
        <v>183</v>
      </c>
      <c r="M157" s="375" t="s">
        <v>177</v>
      </c>
      <c r="N157" s="375" t="s">
        <v>199</v>
      </c>
      <c r="O157" s="378">
        <v>1</v>
      </c>
      <c r="P157" s="384">
        <v>1</v>
      </c>
      <c r="Q157" s="384">
        <v>1</v>
      </c>
      <c r="R157" s="379">
        <v>80</v>
      </c>
      <c r="S157" s="384">
        <v>1</v>
      </c>
      <c r="T157" s="379">
        <v>30161.64</v>
      </c>
      <c r="U157" s="379">
        <v>0</v>
      </c>
      <c r="V157" s="379">
        <v>17877.77</v>
      </c>
      <c r="W157" s="379">
        <v>32115.200000000001</v>
      </c>
      <c r="X157" s="379">
        <v>18505.61</v>
      </c>
      <c r="Y157" s="379">
        <v>32115.200000000001</v>
      </c>
      <c r="Z157" s="379">
        <v>18351.46</v>
      </c>
      <c r="AA157" s="375" t="s">
        <v>787</v>
      </c>
      <c r="AB157" s="375" t="s">
        <v>788</v>
      </c>
      <c r="AC157" s="375" t="s">
        <v>789</v>
      </c>
      <c r="AD157" s="375" t="s">
        <v>233</v>
      </c>
      <c r="AE157" s="375" t="s">
        <v>666</v>
      </c>
      <c r="AF157" s="375" t="s">
        <v>206</v>
      </c>
      <c r="AG157" s="375" t="s">
        <v>183</v>
      </c>
      <c r="AH157" s="380">
        <v>15.44</v>
      </c>
      <c r="AI157" s="380">
        <v>14003.6</v>
      </c>
      <c r="AJ157" s="375" t="s">
        <v>184</v>
      </c>
      <c r="AK157" s="375" t="s">
        <v>185</v>
      </c>
      <c r="AL157" s="375" t="s">
        <v>173</v>
      </c>
      <c r="AM157" s="375" t="s">
        <v>186</v>
      </c>
      <c r="AN157" s="375" t="s">
        <v>68</v>
      </c>
      <c r="AO157" s="378">
        <v>80</v>
      </c>
      <c r="AP157" s="384">
        <v>1</v>
      </c>
      <c r="AQ157" s="384">
        <v>1</v>
      </c>
      <c r="AR157" s="383" t="s">
        <v>187</v>
      </c>
      <c r="AS157" s="386">
        <f t="shared" si="115"/>
        <v>1</v>
      </c>
      <c r="AT157">
        <f t="shared" si="116"/>
        <v>1</v>
      </c>
      <c r="AU157" s="386">
        <f>IF(AT157=0,"",IF(AND(AT157=1,M157="F",SUMIF(C2:C557,C157,AS2:AS557)&lt;=1),SUMIF(C2:C557,C157,AS2:AS557),IF(AND(AT157=1,M157="F",SUMIF(C2:C557,C157,AS2:AS557)&gt;1),1,"")))</f>
        <v>1</v>
      </c>
      <c r="AV157" s="386" t="str">
        <f>IF(AT157=0,"",IF(AND(AT157=3,M157="F",SUMIF(C2:C557,C157,AS2:AS557)&lt;=1),SUMIF(C2:C557,C157,AS2:AS557),IF(AND(AT157=3,M157="F",SUMIF(C2:C557,C157,AS2:AS557)&gt;1),1,"")))</f>
        <v/>
      </c>
      <c r="AW157" s="386">
        <f>SUMIF(C2:C557,C157,O2:O557)</f>
        <v>1</v>
      </c>
      <c r="AX157" s="386">
        <f>IF(AND(M157="F",AS157&lt;&gt;0),SUMIF(C2:C557,C157,W2:W557),0)</f>
        <v>32115.200000000001</v>
      </c>
      <c r="AY157" s="386">
        <f t="shared" si="117"/>
        <v>32115.200000000001</v>
      </c>
      <c r="AZ157" s="386" t="str">
        <f t="shared" si="118"/>
        <v/>
      </c>
      <c r="BA157" s="386">
        <f t="shared" si="119"/>
        <v>0</v>
      </c>
      <c r="BB157" s="386">
        <f t="shared" si="88"/>
        <v>11650</v>
      </c>
      <c r="BC157" s="386">
        <f t="shared" si="89"/>
        <v>0</v>
      </c>
      <c r="BD157" s="386">
        <f t="shared" si="90"/>
        <v>1991.1424</v>
      </c>
      <c r="BE157" s="386">
        <f t="shared" si="91"/>
        <v>465.67040000000003</v>
      </c>
      <c r="BF157" s="386">
        <f t="shared" si="92"/>
        <v>3834.5548800000001</v>
      </c>
      <c r="BG157" s="386">
        <f t="shared" si="93"/>
        <v>231.55059200000002</v>
      </c>
      <c r="BH157" s="386">
        <f t="shared" si="94"/>
        <v>157.36447999999999</v>
      </c>
      <c r="BI157" s="386">
        <f t="shared" si="95"/>
        <v>98.272511999999992</v>
      </c>
      <c r="BJ157" s="386">
        <f t="shared" si="96"/>
        <v>77.076479999999989</v>
      </c>
      <c r="BK157" s="386">
        <f t="shared" si="97"/>
        <v>0</v>
      </c>
      <c r="BL157" s="386">
        <f t="shared" si="120"/>
        <v>6855.6317439999993</v>
      </c>
      <c r="BM157" s="386">
        <f t="shared" si="121"/>
        <v>0</v>
      </c>
      <c r="BN157" s="386">
        <f t="shared" si="98"/>
        <v>11650</v>
      </c>
      <c r="BO157" s="386">
        <f t="shared" si="99"/>
        <v>0</v>
      </c>
      <c r="BP157" s="386">
        <f t="shared" si="100"/>
        <v>1991.1424</v>
      </c>
      <c r="BQ157" s="386">
        <f t="shared" si="101"/>
        <v>465.67040000000003</v>
      </c>
      <c r="BR157" s="386">
        <f t="shared" si="102"/>
        <v>3834.5548800000001</v>
      </c>
      <c r="BS157" s="386">
        <f t="shared" si="103"/>
        <v>231.55059200000002</v>
      </c>
      <c r="BT157" s="386">
        <f t="shared" si="104"/>
        <v>0</v>
      </c>
      <c r="BU157" s="386">
        <f t="shared" si="105"/>
        <v>98.272511999999992</v>
      </c>
      <c r="BV157" s="386">
        <f t="shared" si="106"/>
        <v>80.287999999999997</v>
      </c>
      <c r="BW157" s="386">
        <f t="shared" si="107"/>
        <v>0</v>
      </c>
      <c r="BX157" s="386">
        <f t="shared" si="122"/>
        <v>6701.478783999999</v>
      </c>
      <c r="BY157" s="386">
        <f t="shared" si="123"/>
        <v>0</v>
      </c>
      <c r="BZ157" s="386">
        <f t="shared" si="124"/>
        <v>0</v>
      </c>
      <c r="CA157" s="386">
        <f t="shared" si="125"/>
        <v>0</v>
      </c>
      <c r="CB157" s="386">
        <f t="shared" si="126"/>
        <v>0</v>
      </c>
      <c r="CC157" s="386">
        <f t="shared" si="108"/>
        <v>0</v>
      </c>
      <c r="CD157" s="386">
        <f t="shared" si="109"/>
        <v>0</v>
      </c>
      <c r="CE157" s="386">
        <f t="shared" si="110"/>
        <v>0</v>
      </c>
      <c r="CF157" s="386">
        <f t="shared" si="111"/>
        <v>-157.36447999999999</v>
      </c>
      <c r="CG157" s="386">
        <f t="shared" si="112"/>
        <v>0</v>
      </c>
      <c r="CH157" s="386">
        <f t="shared" si="113"/>
        <v>3.2115200000000086</v>
      </c>
      <c r="CI157" s="386">
        <f t="shared" si="114"/>
        <v>0</v>
      </c>
      <c r="CJ157" s="386">
        <f t="shared" si="127"/>
        <v>-154.15295999999998</v>
      </c>
      <c r="CK157" s="386" t="str">
        <f t="shared" si="128"/>
        <v/>
      </c>
      <c r="CL157" s="386" t="str">
        <f t="shared" si="129"/>
        <v/>
      </c>
      <c r="CM157" s="386" t="str">
        <f t="shared" si="130"/>
        <v/>
      </c>
      <c r="CN157" s="386" t="str">
        <f t="shared" si="131"/>
        <v>0001-00</v>
      </c>
    </row>
    <row r="158" spans="1:92" ht="15.75" thickBot="1" x14ac:dyDescent="0.3">
      <c r="A158" s="375" t="s">
        <v>161</v>
      </c>
      <c r="B158" s="375" t="s">
        <v>162</v>
      </c>
      <c r="C158" s="375" t="s">
        <v>790</v>
      </c>
      <c r="D158" s="375" t="s">
        <v>617</v>
      </c>
      <c r="E158" s="375" t="s">
        <v>165</v>
      </c>
      <c r="F158" s="376" t="s">
        <v>166</v>
      </c>
      <c r="G158" s="375" t="s">
        <v>549</v>
      </c>
      <c r="H158" s="377"/>
      <c r="I158" s="377"/>
      <c r="J158" s="375" t="s">
        <v>168</v>
      </c>
      <c r="K158" s="375" t="s">
        <v>618</v>
      </c>
      <c r="L158" s="375" t="s">
        <v>173</v>
      </c>
      <c r="M158" s="375" t="s">
        <v>177</v>
      </c>
      <c r="N158" s="375" t="s">
        <v>199</v>
      </c>
      <c r="O158" s="378">
        <v>1</v>
      </c>
      <c r="P158" s="384">
        <v>1</v>
      </c>
      <c r="Q158" s="384">
        <v>1</v>
      </c>
      <c r="R158" s="379">
        <v>80</v>
      </c>
      <c r="S158" s="384">
        <v>1</v>
      </c>
      <c r="T158" s="379">
        <v>86097.69</v>
      </c>
      <c r="U158" s="379">
        <v>0</v>
      </c>
      <c r="V158" s="379">
        <v>29050.3</v>
      </c>
      <c r="W158" s="379">
        <v>88878.399999999994</v>
      </c>
      <c r="X158" s="379">
        <v>30622.84</v>
      </c>
      <c r="Y158" s="379">
        <v>88878.399999999994</v>
      </c>
      <c r="Z158" s="379">
        <v>30196.23</v>
      </c>
      <c r="AA158" s="375" t="s">
        <v>791</v>
      </c>
      <c r="AB158" s="375" t="s">
        <v>792</v>
      </c>
      <c r="AC158" s="375" t="s">
        <v>793</v>
      </c>
      <c r="AD158" s="375" t="s">
        <v>267</v>
      </c>
      <c r="AE158" s="375" t="s">
        <v>618</v>
      </c>
      <c r="AF158" s="375" t="s">
        <v>305</v>
      </c>
      <c r="AG158" s="375" t="s">
        <v>183</v>
      </c>
      <c r="AH158" s="380">
        <v>42.73</v>
      </c>
      <c r="AI158" s="380">
        <v>79321.100000000006</v>
      </c>
      <c r="AJ158" s="375" t="s">
        <v>184</v>
      </c>
      <c r="AK158" s="375" t="s">
        <v>185</v>
      </c>
      <c r="AL158" s="375" t="s">
        <v>173</v>
      </c>
      <c r="AM158" s="375" t="s">
        <v>186</v>
      </c>
      <c r="AN158" s="375" t="s">
        <v>68</v>
      </c>
      <c r="AO158" s="378">
        <v>80</v>
      </c>
      <c r="AP158" s="384">
        <v>1</v>
      </c>
      <c r="AQ158" s="384">
        <v>1</v>
      </c>
      <c r="AR158" s="383" t="s">
        <v>187</v>
      </c>
      <c r="AS158" s="386">
        <f t="shared" si="115"/>
        <v>1</v>
      </c>
      <c r="AT158">
        <f t="shared" si="116"/>
        <v>1</v>
      </c>
      <c r="AU158" s="386">
        <f>IF(AT158=0,"",IF(AND(AT158=1,M158="F",SUMIF(C2:C557,C158,AS2:AS557)&lt;=1),SUMIF(C2:C557,C158,AS2:AS557),IF(AND(AT158=1,M158="F",SUMIF(C2:C557,C158,AS2:AS557)&gt;1),1,"")))</f>
        <v>1</v>
      </c>
      <c r="AV158" s="386" t="str">
        <f>IF(AT158=0,"",IF(AND(AT158=3,M158="F",SUMIF(C2:C557,C158,AS2:AS557)&lt;=1),SUMIF(C2:C557,C158,AS2:AS557),IF(AND(AT158=3,M158="F",SUMIF(C2:C557,C158,AS2:AS557)&gt;1),1,"")))</f>
        <v/>
      </c>
      <c r="AW158" s="386">
        <f>SUMIF(C2:C557,C158,O2:O557)</f>
        <v>1</v>
      </c>
      <c r="AX158" s="386">
        <f>IF(AND(M158="F",AS158&lt;&gt;0),SUMIF(C2:C557,C158,W2:W557),0)</f>
        <v>88878.399999999994</v>
      </c>
      <c r="AY158" s="386">
        <f t="shared" si="117"/>
        <v>88878.399999999994</v>
      </c>
      <c r="AZ158" s="386" t="str">
        <f t="shared" si="118"/>
        <v/>
      </c>
      <c r="BA158" s="386">
        <f t="shared" si="119"/>
        <v>0</v>
      </c>
      <c r="BB158" s="386">
        <f t="shared" si="88"/>
        <v>11650</v>
      </c>
      <c r="BC158" s="386">
        <f t="shared" si="89"/>
        <v>0</v>
      </c>
      <c r="BD158" s="386">
        <f t="shared" si="90"/>
        <v>5510.4607999999998</v>
      </c>
      <c r="BE158" s="386">
        <f t="shared" si="91"/>
        <v>1288.7367999999999</v>
      </c>
      <c r="BF158" s="386">
        <f t="shared" si="92"/>
        <v>10612.080959999999</v>
      </c>
      <c r="BG158" s="386">
        <f t="shared" si="93"/>
        <v>640.813264</v>
      </c>
      <c r="BH158" s="386">
        <f t="shared" si="94"/>
        <v>435.50415999999996</v>
      </c>
      <c r="BI158" s="386">
        <f t="shared" si="95"/>
        <v>271.96790399999998</v>
      </c>
      <c r="BJ158" s="386">
        <f t="shared" si="96"/>
        <v>213.30815999999996</v>
      </c>
      <c r="BK158" s="386">
        <f t="shared" si="97"/>
        <v>0</v>
      </c>
      <c r="BL158" s="386">
        <f t="shared" si="120"/>
        <v>18972.872048000001</v>
      </c>
      <c r="BM158" s="386">
        <f t="shared" si="121"/>
        <v>0</v>
      </c>
      <c r="BN158" s="386">
        <f t="shared" si="98"/>
        <v>11650</v>
      </c>
      <c r="BO158" s="386">
        <f t="shared" si="99"/>
        <v>0</v>
      </c>
      <c r="BP158" s="386">
        <f t="shared" si="100"/>
        <v>5510.4607999999998</v>
      </c>
      <c r="BQ158" s="386">
        <f t="shared" si="101"/>
        <v>1288.7367999999999</v>
      </c>
      <c r="BR158" s="386">
        <f t="shared" si="102"/>
        <v>10612.080959999999</v>
      </c>
      <c r="BS158" s="386">
        <f t="shared" si="103"/>
        <v>640.813264</v>
      </c>
      <c r="BT158" s="386">
        <f t="shared" si="104"/>
        <v>0</v>
      </c>
      <c r="BU158" s="386">
        <f t="shared" si="105"/>
        <v>271.96790399999998</v>
      </c>
      <c r="BV158" s="386">
        <f t="shared" si="106"/>
        <v>222.196</v>
      </c>
      <c r="BW158" s="386">
        <f t="shared" si="107"/>
        <v>0</v>
      </c>
      <c r="BX158" s="386">
        <f t="shared" si="122"/>
        <v>18546.255728</v>
      </c>
      <c r="BY158" s="386">
        <f t="shared" si="123"/>
        <v>0</v>
      </c>
      <c r="BZ158" s="386">
        <f t="shared" si="124"/>
        <v>0</v>
      </c>
      <c r="CA158" s="386">
        <f t="shared" si="125"/>
        <v>0</v>
      </c>
      <c r="CB158" s="386">
        <f t="shared" si="126"/>
        <v>0</v>
      </c>
      <c r="CC158" s="386">
        <f t="shared" si="108"/>
        <v>0</v>
      </c>
      <c r="CD158" s="386">
        <f t="shared" si="109"/>
        <v>0</v>
      </c>
      <c r="CE158" s="386">
        <f t="shared" si="110"/>
        <v>0</v>
      </c>
      <c r="CF158" s="386">
        <f t="shared" si="111"/>
        <v>-435.50415999999996</v>
      </c>
      <c r="CG158" s="386">
        <f t="shared" si="112"/>
        <v>0</v>
      </c>
      <c r="CH158" s="386">
        <f t="shared" si="113"/>
        <v>8.8878400000000219</v>
      </c>
      <c r="CI158" s="386">
        <f t="shared" si="114"/>
        <v>0</v>
      </c>
      <c r="CJ158" s="386">
        <f t="shared" si="127"/>
        <v>-426.61631999999992</v>
      </c>
      <c r="CK158" s="386" t="str">
        <f t="shared" si="128"/>
        <v/>
      </c>
      <c r="CL158" s="386" t="str">
        <f t="shared" si="129"/>
        <v/>
      </c>
      <c r="CM158" s="386" t="str">
        <f t="shared" si="130"/>
        <v/>
      </c>
      <c r="CN158" s="386" t="str">
        <f t="shared" si="131"/>
        <v>0001-00</v>
      </c>
    </row>
    <row r="159" spans="1:92" ht="15.75" thickBot="1" x14ac:dyDescent="0.3">
      <c r="A159" s="375" t="s">
        <v>161</v>
      </c>
      <c r="B159" s="375" t="s">
        <v>162</v>
      </c>
      <c r="C159" s="375" t="s">
        <v>794</v>
      </c>
      <c r="D159" s="375" t="s">
        <v>561</v>
      </c>
      <c r="E159" s="375" t="s">
        <v>165</v>
      </c>
      <c r="F159" s="376" t="s">
        <v>166</v>
      </c>
      <c r="G159" s="375" t="s">
        <v>549</v>
      </c>
      <c r="H159" s="377"/>
      <c r="I159" s="377"/>
      <c r="J159" s="375" t="s">
        <v>168</v>
      </c>
      <c r="K159" s="375" t="s">
        <v>562</v>
      </c>
      <c r="L159" s="375" t="s">
        <v>170</v>
      </c>
      <c r="M159" s="375" t="s">
        <v>177</v>
      </c>
      <c r="N159" s="375" t="s">
        <v>199</v>
      </c>
      <c r="O159" s="378">
        <v>1</v>
      </c>
      <c r="P159" s="384">
        <v>1</v>
      </c>
      <c r="Q159" s="384">
        <v>1</v>
      </c>
      <c r="R159" s="379">
        <v>80</v>
      </c>
      <c r="S159" s="384">
        <v>1</v>
      </c>
      <c r="T159" s="379">
        <v>42000.74</v>
      </c>
      <c r="U159" s="379">
        <v>0</v>
      </c>
      <c r="V159" s="379">
        <v>20392.93</v>
      </c>
      <c r="W159" s="379">
        <v>48505.599999999999</v>
      </c>
      <c r="X159" s="379">
        <v>22004.45</v>
      </c>
      <c r="Y159" s="379">
        <v>48505.599999999999</v>
      </c>
      <c r="Z159" s="379">
        <v>21771.63</v>
      </c>
      <c r="AA159" s="375" t="s">
        <v>795</v>
      </c>
      <c r="AB159" s="375" t="s">
        <v>796</v>
      </c>
      <c r="AC159" s="375" t="s">
        <v>797</v>
      </c>
      <c r="AD159" s="375" t="s">
        <v>181</v>
      </c>
      <c r="AE159" s="375" t="s">
        <v>562</v>
      </c>
      <c r="AF159" s="375" t="s">
        <v>269</v>
      </c>
      <c r="AG159" s="375" t="s">
        <v>183</v>
      </c>
      <c r="AH159" s="380">
        <v>23.32</v>
      </c>
      <c r="AI159" s="380">
        <v>5026.1000000000004</v>
      </c>
      <c r="AJ159" s="375" t="s">
        <v>184</v>
      </c>
      <c r="AK159" s="375" t="s">
        <v>185</v>
      </c>
      <c r="AL159" s="375" t="s">
        <v>173</v>
      </c>
      <c r="AM159" s="375" t="s">
        <v>186</v>
      </c>
      <c r="AN159" s="375" t="s">
        <v>68</v>
      </c>
      <c r="AO159" s="378">
        <v>80</v>
      </c>
      <c r="AP159" s="384">
        <v>1</v>
      </c>
      <c r="AQ159" s="384">
        <v>1</v>
      </c>
      <c r="AR159" s="383" t="s">
        <v>187</v>
      </c>
      <c r="AS159" s="386">
        <f t="shared" si="115"/>
        <v>1</v>
      </c>
      <c r="AT159">
        <f t="shared" si="116"/>
        <v>1</v>
      </c>
      <c r="AU159" s="386">
        <f>IF(AT159=0,"",IF(AND(AT159=1,M159="F",SUMIF(C2:C557,C159,AS2:AS557)&lt;=1),SUMIF(C2:C557,C159,AS2:AS557),IF(AND(AT159=1,M159="F",SUMIF(C2:C557,C159,AS2:AS557)&gt;1),1,"")))</f>
        <v>1</v>
      </c>
      <c r="AV159" s="386" t="str">
        <f>IF(AT159=0,"",IF(AND(AT159=3,M159="F",SUMIF(C2:C557,C159,AS2:AS557)&lt;=1),SUMIF(C2:C557,C159,AS2:AS557),IF(AND(AT159=3,M159="F",SUMIF(C2:C557,C159,AS2:AS557)&gt;1),1,"")))</f>
        <v/>
      </c>
      <c r="AW159" s="386">
        <f>SUMIF(C2:C557,C159,O2:O557)</f>
        <v>1</v>
      </c>
      <c r="AX159" s="386">
        <f>IF(AND(M159="F",AS159&lt;&gt;0),SUMIF(C2:C557,C159,W2:W557),0)</f>
        <v>48505.599999999999</v>
      </c>
      <c r="AY159" s="386">
        <f t="shared" si="117"/>
        <v>48505.599999999999</v>
      </c>
      <c r="AZ159" s="386" t="str">
        <f t="shared" si="118"/>
        <v/>
      </c>
      <c r="BA159" s="386">
        <f t="shared" si="119"/>
        <v>0</v>
      </c>
      <c r="BB159" s="386">
        <f t="shared" si="88"/>
        <v>11650</v>
      </c>
      <c r="BC159" s="386">
        <f t="shared" si="89"/>
        <v>0</v>
      </c>
      <c r="BD159" s="386">
        <f t="shared" si="90"/>
        <v>3007.3471999999997</v>
      </c>
      <c r="BE159" s="386">
        <f t="shared" si="91"/>
        <v>703.33119999999997</v>
      </c>
      <c r="BF159" s="386">
        <f t="shared" si="92"/>
        <v>5791.5686400000004</v>
      </c>
      <c r="BG159" s="386">
        <f t="shared" si="93"/>
        <v>349.72537599999998</v>
      </c>
      <c r="BH159" s="386">
        <f t="shared" si="94"/>
        <v>237.67743999999999</v>
      </c>
      <c r="BI159" s="386">
        <f t="shared" si="95"/>
        <v>148.42713599999999</v>
      </c>
      <c r="BJ159" s="386">
        <f t="shared" si="96"/>
        <v>116.41343999999998</v>
      </c>
      <c r="BK159" s="386">
        <f t="shared" si="97"/>
        <v>0</v>
      </c>
      <c r="BL159" s="386">
        <f t="shared" si="120"/>
        <v>10354.490432000001</v>
      </c>
      <c r="BM159" s="386">
        <f t="shared" si="121"/>
        <v>0</v>
      </c>
      <c r="BN159" s="386">
        <f t="shared" si="98"/>
        <v>11650</v>
      </c>
      <c r="BO159" s="386">
        <f t="shared" si="99"/>
        <v>0</v>
      </c>
      <c r="BP159" s="386">
        <f t="shared" si="100"/>
        <v>3007.3471999999997</v>
      </c>
      <c r="BQ159" s="386">
        <f t="shared" si="101"/>
        <v>703.33119999999997</v>
      </c>
      <c r="BR159" s="386">
        <f t="shared" si="102"/>
        <v>5791.5686400000004</v>
      </c>
      <c r="BS159" s="386">
        <f t="shared" si="103"/>
        <v>349.72537599999998</v>
      </c>
      <c r="BT159" s="386">
        <f t="shared" si="104"/>
        <v>0</v>
      </c>
      <c r="BU159" s="386">
        <f t="shared" si="105"/>
        <v>148.42713599999999</v>
      </c>
      <c r="BV159" s="386">
        <f t="shared" si="106"/>
        <v>121.264</v>
      </c>
      <c r="BW159" s="386">
        <f t="shared" si="107"/>
        <v>0</v>
      </c>
      <c r="BX159" s="386">
        <f t="shared" si="122"/>
        <v>10121.663552</v>
      </c>
      <c r="BY159" s="386">
        <f t="shared" si="123"/>
        <v>0</v>
      </c>
      <c r="BZ159" s="386">
        <f t="shared" si="124"/>
        <v>0</v>
      </c>
      <c r="CA159" s="386">
        <f t="shared" si="125"/>
        <v>0</v>
      </c>
      <c r="CB159" s="386">
        <f t="shared" si="126"/>
        <v>0</v>
      </c>
      <c r="CC159" s="386">
        <f t="shared" si="108"/>
        <v>0</v>
      </c>
      <c r="CD159" s="386">
        <f t="shared" si="109"/>
        <v>0</v>
      </c>
      <c r="CE159" s="386">
        <f t="shared" si="110"/>
        <v>0</v>
      </c>
      <c r="CF159" s="386">
        <f t="shared" si="111"/>
        <v>-237.67743999999999</v>
      </c>
      <c r="CG159" s="386">
        <f t="shared" si="112"/>
        <v>0</v>
      </c>
      <c r="CH159" s="386">
        <f t="shared" si="113"/>
        <v>4.8505600000000122</v>
      </c>
      <c r="CI159" s="386">
        <f t="shared" si="114"/>
        <v>0</v>
      </c>
      <c r="CJ159" s="386">
        <f t="shared" si="127"/>
        <v>-232.82687999999999</v>
      </c>
      <c r="CK159" s="386" t="str">
        <f t="shared" si="128"/>
        <v/>
      </c>
      <c r="CL159" s="386" t="str">
        <f t="shared" si="129"/>
        <v/>
      </c>
      <c r="CM159" s="386" t="str">
        <f t="shared" si="130"/>
        <v/>
      </c>
      <c r="CN159" s="386" t="str">
        <f t="shared" si="131"/>
        <v>0001-00</v>
      </c>
    </row>
    <row r="160" spans="1:92" ht="15.75" thickBot="1" x14ac:dyDescent="0.3">
      <c r="A160" s="375" t="s">
        <v>161</v>
      </c>
      <c r="B160" s="375" t="s">
        <v>162</v>
      </c>
      <c r="C160" s="375" t="s">
        <v>798</v>
      </c>
      <c r="D160" s="375" t="s">
        <v>548</v>
      </c>
      <c r="E160" s="375" t="s">
        <v>165</v>
      </c>
      <c r="F160" s="376" t="s">
        <v>166</v>
      </c>
      <c r="G160" s="375" t="s">
        <v>549</v>
      </c>
      <c r="H160" s="377"/>
      <c r="I160" s="377"/>
      <c r="J160" s="375" t="s">
        <v>168</v>
      </c>
      <c r="K160" s="375" t="s">
        <v>550</v>
      </c>
      <c r="L160" s="375" t="s">
        <v>198</v>
      </c>
      <c r="M160" s="375" t="s">
        <v>177</v>
      </c>
      <c r="N160" s="375" t="s">
        <v>199</v>
      </c>
      <c r="O160" s="378">
        <v>1</v>
      </c>
      <c r="P160" s="384">
        <v>1</v>
      </c>
      <c r="Q160" s="384">
        <v>1</v>
      </c>
      <c r="R160" s="379">
        <v>80</v>
      </c>
      <c r="S160" s="384">
        <v>1</v>
      </c>
      <c r="T160" s="379">
        <v>41972.76</v>
      </c>
      <c r="U160" s="379">
        <v>0</v>
      </c>
      <c r="V160" s="379">
        <v>20273.55</v>
      </c>
      <c r="W160" s="379">
        <v>46092.800000000003</v>
      </c>
      <c r="X160" s="379">
        <v>21489.4</v>
      </c>
      <c r="Y160" s="379">
        <v>46092.800000000003</v>
      </c>
      <c r="Z160" s="379">
        <v>21268.16</v>
      </c>
      <c r="AA160" s="375" t="s">
        <v>799</v>
      </c>
      <c r="AB160" s="375" t="s">
        <v>800</v>
      </c>
      <c r="AC160" s="375" t="s">
        <v>437</v>
      </c>
      <c r="AD160" s="375" t="s">
        <v>233</v>
      </c>
      <c r="AE160" s="375" t="s">
        <v>550</v>
      </c>
      <c r="AF160" s="375" t="s">
        <v>245</v>
      </c>
      <c r="AG160" s="375" t="s">
        <v>183</v>
      </c>
      <c r="AH160" s="380">
        <v>22.16</v>
      </c>
      <c r="AI160" s="378">
        <v>4560</v>
      </c>
      <c r="AJ160" s="375" t="s">
        <v>184</v>
      </c>
      <c r="AK160" s="375" t="s">
        <v>185</v>
      </c>
      <c r="AL160" s="375" t="s">
        <v>173</v>
      </c>
      <c r="AM160" s="375" t="s">
        <v>186</v>
      </c>
      <c r="AN160" s="375" t="s">
        <v>68</v>
      </c>
      <c r="AO160" s="378">
        <v>80</v>
      </c>
      <c r="AP160" s="384">
        <v>1</v>
      </c>
      <c r="AQ160" s="384">
        <v>1</v>
      </c>
      <c r="AR160" s="383" t="s">
        <v>187</v>
      </c>
      <c r="AS160" s="386">
        <f t="shared" si="115"/>
        <v>1</v>
      </c>
      <c r="AT160">
        <f t="shared" si="116"/>
        <v>1</v>
      </c>
      <c r="AU160" s="386">
        <f>IF(AT160=0,"",IF(AND(AT160=1,M160="F",SUMIF(C2:C557,C160,AS2:AS557)&lt;=1),SUMIF(C2:C557,C160,AS2:AS557),IF(AND(AT160=1,M160="F",SUMIF(C2:C557,C160,AS2:AS557)&gt;1),1,"")))</f>
        <v>1</v>
      </c>
      <c r="AV160" s="386" t="str">
        <f>IF(AT160=0,"",IF(AND(AT160=3,M160="F",SUMIF(C2:C557,C160,AS2:AS557)&lt;=1),SUMIF(C2:C557,C160,AS2:AS557),IF(AND(AT160=3,M160="F",SUMIF(C2:C557,C160,AS2:AS557)&gt;1),1,"")))</f>
        <v/>
      </c>
      <c r="AW160" s="386">
        <f>SUMIF(C2:C557,C160,O2:O557)</f>
        <v>1</v>
      </c>
      <c r="AX160" s="386">
        <f>IF(AND(M160="F",AS160&lt;&gt;0),SUMIF(C2:C557,C160,W2:W557),0)</f>
        <v>46092.800000000003</v>
      </c>
      <c r="AY160" s="386">
        <f t="shared" si="117"/>
        <v>46092.800000000003</v>
      </c>
      <c r="AZ160" s="386" t="str">
        <f t="shared" si="118"/>
        <v/>
      </c>
      <c r="BA160" s="386">
        <f t="shared" si="119"/>
        <v>0</v>
      </c>
      <c r="BB160" s="386">
        <f t="shared" si="88"/>
        <v>11650</v>
      </c>
      <c r="BC160" s="386">
        <f t="shared" si="89"/>
        <v>0</v>
      </c>
      <c r="BD160" s="386">
        <f t="shared" si="90"/>
        <v>2857.7536</v>
      </c>
      <c r="BE160" s="386">
        <f t="shared" si="91"/>
        <v>668.3456000000001</v>
      </c>
      <c r="BF160" s="386">
        <f t="shared" si="92"/>
        <v>5503.4803200000006</v>
      </c>
      <c r="BG160" s="386">
        <f t="shared" si="93"/>
        <v>332.32908800000001</v>
      </c>
      <c r="BH160" s="386">
        <f t="shared" si="94"/>
        <v>225.85472000000001</v>
      </c>
      <c r="BI160" s="386">
        <f t="shared" si="95"/>
        <v>141.04396800000001</v>
      </c>
      <c r="BJ160" s="386">
        <f t="shared" si="96"/>
        <v>110.62272</v>
      </c>
      <c r="BK160" s="386">
        <f t="shared" si="97"/>
        <v>0</v>
      </c>
      <c r="BL160" s="386">
        <f t="shared" si="120"/>
        <v>9839.4300160000003</v>
      </c>
      <c r="BM160" s="386">
        <f t="shared" si="121"/>
        <v>0</v>
      </c>
      <c r="BN160" s="386">
        <f t="shared" si="98"/>
        <v>11650</v>
      </c>
      <c r="BO160" s="386">
        <f t="shared" si="99"/>
        <v>0</v>
      </c>
      <c r="BP160" s="386">
        <f t="shared" si="100"/>
        <v>2857.7536</v>
      </c>
      <c r="BQ160" s="386">
        <f t="shared" si="101"/>
        <v>668.3456000000001</v>
      </c>
      <c r="BR160" s="386">
        <f t="shared" si="102"/>
        <v>5503.4803200000006</v>
      </c>
      <c r="BS160" s="386">
        <f t="shared" si="103"/>
        <v>332.32908800000001</v>
      </c>
      <c r="BT160" s="386">
        <f t="shared" si="104"/>
        <v>0</v>
      </c>
      <c r="BU160" s="386">
        <f t="shared" si="105"/>
        <v>141.04396800000001</v>
      </c>
      <c r="BV160" s="386">
        <f t="shared" si="106"/>
        <v>115.23200000000001</v>
      </c>
      <c r="BW160" s="386">
        <f t="shared" si="107"/>
        <v>0</v>
      </c>
      <c r="BX160" s="386">
        <f t="shared" si="122"/>
        <v>9618.1845760000015</v>
      </c>
      <c r="BY160" s="386">
        <f t="shared" si="123"/>
        <v>0</v>
      </c>
      <c r="BZ160" s="386">
        <f t="shared" si="124"/>
        <v>0</v>
      </c>
      <c r="CA160" s="386">
        <f t="shared" si="125"/>
        <v>0</v>
      </c>
      <c r="CB160" s="386">
        <f t="shared" si="126"/>
        <v>0</v>
      </c>
      <c r="CC160" s="386">
        <f t="shared" si="108"/>
        <v>0</v>
      </c>
      <c r="CD160" s="386">
        <f t="shared" si="109"/>
        <v>0</v>
      </c>
      <c r="CE160" s="386">
        <f t="shared" si="110"/>
        <v>0</v>
      </c>
      <c r="CF160" s="386">
        <f t="shared" si="111"/>
        <v>-225.85472000000001</v>
      </c>
      <c r="CG160" s="386">
        <f t="shared" si="112"/>
        <v>0</v>
      </c>
      <c r="CH160" s="386">
        <f t="shared" si="113"/>
        <v>4.6092800000000125</v>
      </c>
      <c r="CI160" s="386">
        <f t="shared" si="114"/>
        <v>0</v>
      </c>
      <c r="CJ160" s="386">
        <f t="shared" si="127"/>
        <v>-221.24544</v>
      </c>
      <c r="CK160" s="386" t="str">
        <f t="shared" si="128"/>
        <v/>
      </c>
      <c r="CL160" s="386" t="str">
        <f t="shared" si="129"/>
        <v/>
      </c>
      <c r="CM160" s="386" t="str">
        <f t="shared" si="130"/>
        <v/>
      </c>
      <c r="CN160" s="386" t="str">
        <f t="shared" si="131"/>
        <v>0001-00</v>
      </c>
    </row>
    <row r="161" spans="1:92" ht="15.75" thickBot="1" x14ac:dyDescent="0.3">
      <c r="A161" s="375" t="s">
        <v>161</v>
      </c>
      <c r="B161" s="375" t="s">
        <v>162</v>
      </c>
      <c r="C161" s="375" t="s">
        <v>801</v>
      </c>
      <c r="D161" s="375" t="s">
        <v>710</v>
      </c>
      <c r="E161" s="375" t="s">
        <v>165</v>
      </c>
      <c r="F161" s="376" t="s">
        <v>166</v>
      </c>
      <c r="G161" s="375" t="s">
        <v>549</v>
      </c>
      <c r="H161" s="377"/>
      <c r="I161" s="377"/>
      <c r="J161" s="375" t="s">
        <v>168</v>
      </c>
      <c r="K161" s="375" t="s">
        <v>711</v>
      </c>
      <c r="L161" s="375" t="s">
        <v>183</v>
      </c>
      <c r="M161" s="375" t="s">
        <v>177</v>
      </c>
      <c r="N161" s="375" t="s">
        <v>262</v>
      </c>
      <c r="O161" s="378">
        <v>0</v>
      </c>
      <c r="P161" s="384">
        <v>1</v>
      </c>
      <c r="Q161" s="384">
        <v>0</v>
      </c>
      <c r="R161" s="379">
        <v>0</v>
      </c>
      <c r="S161" s="384">
        <v>0</v>
      </c>
      <c r="T161" s="379">
        <v>41154.9</v>
      </c>
      <c r="U161" s="379">
        <v>0</v>
      </c>
      <c r="V161" s="379">
        <v>3319.45</v>
      </c>
      <c r="W161" s="379">
        <v>41154.9</v>
      </c>
      <c r="X161" s="379">
        <v>3319.45</v>
      </c>
      <c r="Y161" s="379">
        <v>41154.9</v>
      </c>
      <c r="Z161" s="379">
        <v>3319.45</v>
      </c>
      <c r="AA161" s="377"/>
      <c r="AB161" s="375" t="s">
        <v>45</v>
      </c>
      <c r="AC161" s="375" t="s">
        <v>45</v>
      </c>
      <c r="AD161" s="377"/>
      <c r="AE161" s="377"/>
      <c r="AF161" s="377"/>
      <c r="AG161" s="377"/>
      <c r="AH161" s="378">
        <v>0</v>
      </c>
      <c r="AI161" s="378">
        <v>0</v>
      </c>
      <c r="AJ161" s="377"/>
      <c r="AK161" s="377"/>
      <c r="AL161" s="375" t="s">
        <v>173</v>
      </c>
      <c r="AM161" s="377"/>
      <c r="AN161" s="377"/>
      <c r="AO161" s="378">
        <v>0</v>
      </c>
      <c r="AP161" s="384">
        <v>0</v>
      </c>
      <c r="AQ161" s="384">
        <v>0</v>
      </c>
      <c r="AR161" s="382"/>
      <c r="AS161" s="386">
        <f t="shared" si="115"/>
        <v>0</v>
      </c>
      <c r="AT161">
        <f t="shared" si="116"/>
        <v>0</v>
      </c>
      <c r="AU161" s="386" t="str">
        <f>IF(AT161=0,"",IF(AND(AT161=1,M161="F",SUMIF(C2:C557,C161,AS2:AS557)&lt;=1),SUMIF(C2:C557,C161,AS2:AS557),IF(AND(AT161=1,M161="F",SUMIF(C2:C557,C161,AS2:AS557)&gt;1),1,"")))</f>
        <v/>
      </c>
      <c r="AV161" s="386" t="str">
        <f>IF(AT161=0,"",IF(AND(AT161=3,M161="F",SUMIF(C2:C557,C161,AS2:AS557)&lt;=1),SUMIF(C2:C557,C161,AS2:AS557),IF(AND(AT161=3,M161="F",SUMIF(C2:C557,C161,AS2:AS557)&gt;1),1,"")))</f>
        <v/>
      </c>
      <c r="AW161" s="386">
        <f>SUMIF(C2:C557,C161,O2:O557)</f>
        <v>0</v>
      </c>
      <c r="AX161" s="386">
        <f>IF(AND(M161="F",AS161&lt;&gt;0),SUMIF(C2:C557,C161,W2:W557),0)</f>
        <v>0</v>
      </c>
      <c r="AY161" s="386" t="str">
        <f t="shared" si="117"/>
        <v/>
      </c>
      <c r="AZ161" s="386" t="str">
        <f t="shared" si="118"/>
        <v/>
      </c>
      <c r="BA161" s="386">
        <f t="shared" si="119"/>
        <v>0</v>
      </c>
      <c r="BB161" s="386">
        <f t="shared" si="88"/>
        <v>0</v>
      </c>
      <c r="BC161" s="386">
        <f t="shared" si="89"/>
        <v>0</v>
      </c>
      <c r="BD161" s="386">
        <f t="shared" si="90"/>
        <v>0</v>
      </c>
      <c r="BE161" s="386">
        <f t="shared" si="91"/>
        <v>0</v>
      </c>
      <c r="BF161" s="386">
        <f t="shared" si="92"/>
        <v>0</v>
      </c>
      <c r="BG161" s="386">
        <f t="shared" si="93"/>
        <v>0</v>
      </c>
      <c r="BH161" s="386">
        <f t="shared" si="94"/>
        <v>0</v>
      </c>
      <c r="BI161" s="386">
        <f t="shared" si="95"/>
        <v>0</v>
      </c>
      <c r="BJ161" s="386">
        <f t="shared" si="96"/>
        <v>0</v>
      </c>
      <c r="BK161" s="386">
        <f t="shared" si="97"/>
        <v>0</v>
      </c>
      <c r="BL161" s="386">
        <f t="shared" si="120"/>
        <v>0</v>
      </c>
      <c r="BM161" s="386">
        <f t="shared" si="121"/>
        <v>0</v>
      </c>
      <c r="BN161" s="386">
        <f t="shared" si="98"/>
        <v>0</v>
      </c>
      <c r="BO161" s="386">
        <f t="shared" si="99"/>
        <v>0</v>
      </c>
      <c r="BP161" s="386">
        <f t="shared" si="100"/>
        <v>0</v>
      </c>
      <c r="BQ161" s="386">
        <f t="shared" si="101"/>
        <v>0</v>
      </c>
      <c r="BR161" s="386">
        <f t="shared" si="102"/>
        <v>0</v>
      </c>
      <c r="BS161" s="386">
        <f t="shared" si="103"/>
        <v>0</v>
      </c>
      <c r="BT161" s="386">
        <f t="shared" si="104"/>
        <v>0</v>
      </c>
      <c r="BU161" s="386">
        <f t="shared" si="105"/>
        <v>0</v>
      </c>
      <c r="BV161" s="386">
        <f t="shared" si="106"/>
        <v>0</v>
      </c>
      <c r="BW161" s="386">
        <f t="shared" si="107"/>
        <v>0</v>
      </c>
      <c r="BX161" s="386">
        <f t="shared" si="122"/>
        <v>0</v>
      </c>
      <c r="BY161" s="386">
        <f t="shared" si="123"/>
        <v>0</v>
      </c>
      <c r="BZ161" s="386">
        <f t="shared" si="124"/>
        <v>0</v>
      </c>
      <c r="CA161" s="386">
        <f t="shared" si="125"/>
        <v>0</v>
      </c>
      <c r="CB161" s="386">
        <f t="shared" si="126"/>
        <v>0</v>
      </c>
      <c r="CC161" s="386">
        <f t="shared" si="108"/>
        <v>0</v>
      </c>
      <c r="CD161" s="386">
        <f t="shared" si="109"/>
        <v>0</v>
      </c>
      <c r="CE161" s="386">
        <f t="shared" si="110"/>
        <v>0</v>
      </c>
      <c r="CF161" s="386">
        <f t="shared" si="111"/>
        <v>0</v>
      </c>
      <c r="CG161" s="386">
        <f t="shared" si="112"/>
        <v>0</v>
      </c>
      <c r="CH161" s="386">
        <f t="shared" si="113"/>
        <v>0</v>
      </c>
      <c r="CI161" s="386">
        <f t="shared" si="114"/>
        <v>0</v>
      </c>
      <c r="CJ161" s="386">
        <f t="shared" si="127"/>
        <v>0</v>
      </c>
      <c r="CK161" s="386" t="str">
        <f t="shared" si="128"/>
        <v/>
      </c>
      <c r="CL161" s="386">
        <f t="shared" si="129"/>
        <v>41154.9</v>
      </c>
      <c r="CM161" s="386">
        <f t="shared" si="130"/>
        <v>3319.45</v>
      </c>
      <c r="CN161" s="386" t="str">
        <f t="shared" si="131"/>
        <v>0001-00</v>
      </c>
    </row>
    <row r="162" spans="1:92" ht="15.75" thickBot="1" x14ac:dyDescent="0.3">
      <c r="A162" s="375" t="s">
        <v>161</v>
      </c>
      <c r="B162" s="375" t="s">
        <v>162</v>
      </c>
      <c r="C162" s="375" t="s">
        <v>802</v>
      </c>
      <c r="D162" s="375" t="s">
        <v>555</v>
      </c>
      <c r="E162" s="375" t="s">
        <v>165</v>
      </c>
      <c r="F162" s="376" t="s">
        <v>166</v>
      </c>
      <c r="G162" s="375" t="s">
        <v>549</v>
      </c>
      <c r="H162" s="377"/>
      <c r="I162" s="377"/>
      <c r="J162" s="375" t="s">
        <v>168</v>
      </c>
      <c r="K162" s="375" t="s">
        <v>556</v>
      </c>
      <c r="L162" s="375" t="s">
        <v>220</v>
      </c>
      <c r="M162" s="375" t="s">
        <v>177</v>
      </c>
      <c r="N162" s="375" t="s">
        <v>199</v>
      </c>
      <c r="O162" s="378">
        <v>1</v>
      </c>
      <c r="P162" s="384">
        <v>1</v>
      </c>
      <c r="Q162" s="384">
        <v>1</v>
      </c>
      <c r="R162" s="379">
        <v>80</v>
      </c>
      <c r="S162" s="384">
        <v>1</v>
      </c>
      <c r="T162" s="379">
        <v>57526.36</v>
      </c>
      <c r="U162" s="379">
        <v>0</v>
      </c>
      <c r="V162" s="379">
        <v>23403.5</v>
      </c>
      <c r="W162" s="379">
        <v>59675.199999999997</v>
      </c>
      <c r="X162" s="379">
        <v>24388.83</v>
      </c>
      <c r="Y162" s="379">
        <v>59675.199999999997</v>
      </c>
      <c r="Z162" s="379">
        <v>24102.39</v>
      </c>
      <c r="AA162" s="375" t="s">
        <v>803</v>
      </c>
      <c r="AB162" s="375" t="s">
        <v>804</v>
      </c>
      <c r="AC162" s="375" t="s">
        <v>690</v>
      </c>
      <c r="AD162" s="375" t="s">
        <v>233</v>
      </c>
      <c r="AE162" s="375" t="s">
        <v>556</v>
      </c>
      <c r="AF162" s="375" t="s">
        <v>252</v>
      </c>
      <c r="AG162" s="375" t="s">
        <v>183</v>
      </c>
      <c r="AH162" s="380">
        <v>28.69</v>
      </c>
      <c r="AI162" s="380">
        <v>26492.5</v>
      </c>
      <c r="AJ162" s="375" t="s">
        <v>184</v>
      </c>
      <c r="AK162" s="375" t="s">
        <v>185</v>
      </c>
      <c r="AL162" s="375" t="s">
        <v>173</v>
      </c>
      <c r="AM162" s="375" t="s">
        <v>186</v>
      </c>
      <c r="AN162" s="375" t="s">
        <v>68</v>
      </c>
      <c r="AO162" s="378">
        <v>80</v>
      </c>
      <c r="AP162" s="384">
        <v>1</v>
      </c>
      <c r="AQ162" s="384">
        <v>1</v>
      </c>
      <c r="AR162" s="383" t="s">
        <v>187</v>
      </c>
      <c r="AS162" s="386">
        <f t="shared" si="115"/>
        <v>1</v>
      </c>
      <c r="AT162">
        <f t="shared" si="116"/>
        <v>1</v>
      </c>
      <c r="AU162" s="386">
        <f>IF(AT162=0,"",IF(AND(AT162=1,M162="F",SUMIF(C2:C557,C162,AS2:AS557)&lt;=1),SUMIF(C2:C557,C162,AS2:AS557),IF(AND(AT162=1,M162="F",SUMIF(C2:C557,C162,AS2:AS557)&gt;1),1,"")))</f>
        <v>1</v>
      </c>
      <c r="AV162" s="386" t="str">
        <f>IF(AT162=0,"",IF(AND(AT162=3,M162="F",SUMIF(C2:C557,C162,AS2:AS557)&lt;=1),SUMIF(C2:C557,C162,AS2:AS557),IF(AND(AT162=3,M162="F",SUMIF(C2:C557,C162,AS2:AS557)&gt;1),1,"")))</f>
        <v/>
      </c>
      <c r="AW162" s="386">
        <f>SUMIF(C2:C557,C162,O2:O557)</f>
        <v>1</v>
      </c>
      <c r="AX162" s="386">
        <f>IF(AND(M162="F",AS162&lt;&gt;0),SUMIF(C2:C557,C162,W2:W557),0)</f>
        <v>59675.199999999997</v>
      </c>
      <c r="AY162" s="386">
        <f t="shared" si="117"/>
        <v>59675.199999999997</v>
      </c>
      <c r="AZ162" s="386" t="str">
        <f t="shared" si="118"/>
        <v/>
      </c>
      <c r="BA162" s="386">
        <f t="shared" si="119"/>
        <v>0</v>
      </c>
      <c r="BB162" s="386">
        <f t="shared" si="88"/>
        <v>11650</v>
      </c>
      <c r="BC162" s="386">
        <f t="shared" si="89"/>
        <v>0</v>
      </c>
      <c r="BD162" s="386">
        <f t="shared" si="90"/>
        <v>3699.8624</v>
      </c>
      <c r="BE162" s="386">
        <f t="shared" si="91"/>
        <v>865.29039999999998</v>
      </c>
      <c r="BF162" s="386">
        <f t="shared" si="92"/>
        <v>7125.2188800000004</v>
      </c>
      <c r="BG162" s="386">
        <f t="shared" si="93"/>
        <v>430.25819200000001</v>
      </c>
      <c r="BH162" s="386">
        <f t="shared" si="94"/>
        <v>292.40848</v>
      </c>
      <c r="BI162" s="386">
        <f t="shared" si="95"/>
        <v>182.60611199999997</v>
      </c>
      <c r="BJ162" s="386">
        <f t="shared" si="96"/>
        <v>143.22047999999998</v>
      </c>
      <c r="BK162" s="386">
        <f t="shared" si="97"/>
        <v>0</v>
      </c>
      <c r="BL162" s="386">
        <f t="shared" si="120"/>
        <v>12738.864943999999</v>
      </c>
      <c r="BM162" s="386">
        <f t="shared" si="121"/>
        <v>0</v>
      </c>
      <c r="BN162" s="386">
        <f t="shared" si="98"/>
        <v>11650</v>
      </c>
      <c r="BO162" s="386">
        <f t="shared" si="99"/>
        <v>0</v>
      </c>
      <c r="BP162" s="386">
        <f t="shared" si="100"/>
        <v>3699.8624</v>
      </c>
      <c r="BQ162" s="386">
        <f t="shared" si="101"/>
        <v>865.29039999999998</v>
      </c>
      <c r="BR162" s="386">
        <f t="shared" si="102"/>
        <v>7125.2188800000004</v>
      </c>
      <c r="BS162" s="386">
        <f t="shared" si="103"/>
        <v>430.25819200000001</v>
      </c>
      <c r="BT162" s="386">
        <f t="shared" si="104"/>
        <v>0</v>
      </c>
      <c r="BU162" s="386">
        <f t="shared" si="105"/>
        <v>182.60611199999997</v>
      </c>
      <c r="BV162" s="386">
        <f t="shared" si="106"/>
        <v>149.18799999999999</v>
      </c>
      <c r="BW162" s="386">
        <f t="shared" si="107"/>
        <v>0</v>
      </c>
      <c r="BX162" s="386">
        <f t="shared" si="122"/>
        <v>12452.423983999999</v>
      </c>
      <c r="BY162" s="386">
        <f t="shared" si="123"/>
        <v>0</v>
      </c>
      <c r="BZ162" s="386">
        <f t="shared" si="124"/>
        <v>0</v>
      </c>
      <c r="CA162" s="386">
        <f t="shared" si="125"/>
        <v>0</v>
      </c>
      <c r="CB162" s="386">
        <f t="shared" si="126"/>
        <v>0</v>
      </c>
      <c r="CC162" s="386">
        <f t="shared" si="108"/>
        <v>0</v>
      </c>
      <c r="CD162" s="386">
        <f t="shared" si="109"/>
        <v>0</v>
      </c>
      <c r="CE162" s="386">
        <f t="shared" si="110"/>
        <v>0</v>
      </c>
      <c r="CF162" s="386">
        <f t="shared" si="111"/>
        <v>-292.40848</v>
      </c>
      <c r="CG162" s="386">
        <f t="shared" si="112"/>
        <v>0</v>
      </c>
      <c r="CH162" s="386">
        <f t="shared" si="113"/>
        <v>5.9675200000000155</v>
      </c>
      <c r="CI162" s="386">
        <f t="shared" si="114"/>
        <v>0</v>
      </c>
      <c r="CJ162" s="386">
        <f t="shared" si="127"/>
        <v>-286.44095999999996</v>
      </c>
      <c r="CK162" s="386" t="str">
        <f t="shared" si="128"/>
        <v/>
      </c>
      <c r="CL162" s="386" t="str">
        <f t="shared" si="129"/>
        <v/>
      </c>
      <c r="CM162" s="386" t="str">
        <f t="shared" si="130"/>
        <v/>
      </c>
      <c r="CN162" s="386" t="str">
        <f t="shared" si="131"/>
        <v>0001-00</v>
      </c>
    </row>
    <row r="163" spans="1:92" ht="15.75" thickBot="1" x14ac:dyDescent="0.3">
      <c r="A163" s="375" t="s">
        <v>161</v>
      </c>
      <c r="B163" s="375" t="s">
        <v>162</v>
      </c>
      <c r="C163" s="375" t="s">
        <v>805</v>
      </c>
      <c r="D163" s="375" t="s">
        <v>617</v>
      </c>
      <c r="E163" s="375" t="s">
        <v>165</v>
      </c>
      <c r="F163" s="376" t="s">
        <v>166</v>
      </c>
      <c r="G163" s="375" t="s">
        <v>549</v>
      </c>
      <c r="H163" s="377"/>
      <c r="I163" s="377"/>
      <c r="J163" s="375" t="s">
        <v>168</v>
      </c>
      <c r="K163" s="375" t="s">
        <v>618</v>
      </c>
      <c r="L163" s="375" t="s">
        <v>173</v>
      </c>
      <c r="M163" s="375" t="s">
        <v>177</v>
      </c>
      <c r="N163" s="375" t="s">
        <v>199</v>
      </c>
      <c r="O163" s="378">
        <v>1</v>
      </c>
      <c r="P163" s="384">
        <v>1</v>
      </c>
      <c r="Q163" s="384">
        <v>1</v>
      </c>
      <c r="R163" s="379">
        <v>80</v>
      </c>
      <c r="S163" s="384">
        <v>1</v>
      </c>
      <c r="T163" s="379">
        <v>74806.399999999994</v>
      </c>
      <c r="U163" s="379">
        <v>0</v>
      </c>
      <c r="V163" s="379">
        <v>27103.53</v>
      </c>
      <c r="W163" s="379">
        <v>75587.199999999997</v>
      </c>
      <c r="X163" s="379">
        <v>27785.56</v>
      </c>
      <c r="Y163" s="379">
        <v>75587.199999999997</v>
      </c>
      <c r="Z163" s="379">
        <v>27422.75</v>
      </c>
      <c r="AA163" s="375" t="s">
        <v>806</v>
      </c>
      <c r="AB163" s="375" t="s">
        <v>807</v>
      </c>
      <c r="AC163" s="375" t="s">
        <v>808</v>
      </c>
      <c r="AD163" s="375" t="s">
        <v>194</v>
      </c>
      <c r="AE163" s="375" t="s">
        <v>618</v>
      </c>
      <c r="AF163" s="375" t="s">
        <v>305</v>
      </c>
      <c r="AG163" s="375" t="s">
        <v>183</v>
      </c>
      <c r="AH163" s="380">
        <v>36.340000000000003</v>
      </c>
      <c r="AI163" s="378">
        <v>48813</v>
      </c>
      <c r="AJ163" s="375" t="s">
        <v>184</v>
      </c>
      <c r="AK163" s="375" t="s">
        <v>185</v>
      </c>
      <c r="AL163" s="375" t="s">
        <v>173</v>
      </c>
      <c r="AM163" s="375" t="s">
        <v>186</v>
      </c>
      <c r="AN163" s="375" t="s">
        <v>68</v>
      </c>
      <c r="AO163" s="378">
        <v>80</v>
      </c>
      <c r="AP163" s="384">
        <v>1</v>
      </c>
      <c r="AQ163" s="384">
        <v>1</v>
      </c>
      <c r="AR163" s="383" t="s">
        <v>187</v>
      </c>
      <c r="AS163" s="386">
        <f t="shared" si="115"/>
        <v>1</v>
      </c>
      <c r="AT163">
        <f t="shared" si="116"/>
        <v>1</v>
      </c>
      <c r="AU163" s="386">
        <f>IF(AT163=0,"",IF(AND(AT163=1,M163="F",SUMIF(C2:C557,C163,AS2:AS557)&lt;=1),SUMIF(C2:C557,C163,AS2:AS557),IF(AND(AT163=1,M163="F",SUMIF(C2:C557,C163,AS2:AS557)&gt;1),1,"")))</f>
        <v>1</v>
      </c>
      <c r="AV163" s="386" t="str">
        <f>IF(AT163=0,"",IF(AND(AT163=3,M163="F",SUMIF(C2:C557,C163,AS2:AS557)&lt;=1),SUMIF(C2:C557,C163,AS2:AS557),IF(AND(AT163=3,M163="F",SUMIF(C2:C557,C163,AS2:AS557)&gt;1),1,"")))</f>
        <v/>
      </c>
      <c r="AW163" s="386">
        <f>SUMIF(C2:C557,C163,O2:O557)</f>
        <v>1</v>
      </c>
      <c r="AX163" s="386">
        <f>IF(AND(M163="F",AS163&lt;&gt;0),SUMIF(C2:C557,C163,W2:W557),0)</f>
        <v>75587.199999999997</v>
      </c>
      <c r="AY163" s="386">
        <f t="shared" si="117"/>
        <v>75587.199999999997</v>
      </c>
      <c r="AZ163" s="386" t="str">
        <f t="shared" si="118"/>
        <v/>
      </c>
      <c r="BA163" s="386">
        <f t="shared" si="119"/>
        <v>0</v>
      </c>
      <c r="BB163" s="386">
        <f t="shared" si="88"/>
        <v>11650</v>
      </c>
      <c r="BC163" s="386">
        <f t="shared" si="89"/>
        <v>0</v>
      </c>
      <c r="BD163" s="386">
        <f t="shared" si="90"/>
        <v>4686.4063999999998</v>
      </c>
      <c r="BE163" s="386">
        <f t="shared" si="91"/>
        <v>1096.0144</v>
      </c>
      <c r="BF163" s="386">
        <f t="shared" si="92"/>
        <v>9025.11168</v>
      </c>
      <c r="BG163" s="386">
        <f t="shared" si="93"/>
        <v>544.98371199999997</v>
      </c>
      <c r="BH163" s="386">
        <f t="shared" si="94"/>
        <v>370.37727999999998</v>
      </c>
      <c r="BI163" s="386">
        <f t="shared" si="95"/>
        <v>231.29683199999997</v>
      </c>
      <c r="BJ163" s="386">
        <f t="shared" si="96"/>
        <v>181.40927999999997</v>
      </c>
      <c r="BK163" s="386">
        <f t="shared" si="97"/>
        <v>0</v>
      </c>
      <c r="BL163" s="386">
        <f t="shared" si="120"/>
        <v>16135.599584</v>
      </c>
      <c r="BM163" s="386">
        <f t="shared" si="121"/>
        <v>0</v>
      </c>
      <c r="BN163" s="386">
        <f t="shared" si="98"/>
        <v>11650</v>
      </c>
      <c r="BO163" s="386">
        <f t="shared" si="99"/>
        <v>0</v>
      </c>
      <c r="BP163" s="386">
        <f t="shared" si="100"/>
        <v>4686.4063999999998</v>
      </c>
      <c r="BQ163" s="386">
        <f t="shared" si="101"/>
        <v>1096.0144</v>
      </c>
      <c r="BR163" s="386">
        <f t="shared" si="102"/>
        <v>9025.11168</v>
      </c>
      <c r="BS163" s="386">
        <f t="shared" si="103"/>
        <v>544.98371199999997</v>
      </c>
      <c r="BT163" s="386">
        <f t="shared" si="104"/>
        <v>0</v>
      </c>
      <c r="BU163" s="386">
        <f t="shared" si="105"/>
        <v>231.29683199999997</v>
      </c>
      <c r="BV163" s="386">
        <f t="shared" si="106"/>
        <v>188.96799999999999</v>
      </c>
      <c r="BW163" s="386">
        <f t="shared" si="107"/>
        <v>0</v>
      </c>
      <c r="BX163" s="386">
        <f t="shared" si="122"/>
        <v>15772.781024</v>
      </c>
      <c r="BY163" s="386">
        <f t="shared" si="123"/>
        <v>0</v>
      </c>
      <c r="BZ163" s="386">
        <f t="shared" si="124"/>
        <v>0</v>
      </c>
      <c r="CA163" s="386">
        <f t="shared" si="125"/>
        <v>0</v>
      </c>
      <c r="CB163" s="386">
        <f t="shared" si="126"/>
        <v>0</v>
      </c>
      <c r="CC163" s="386">
        <f t="shared" si="108"/>
        <v>0</v>
      </c>
      <c r="CD163" s="386">
        <f t="shared" si="109"/>
        <v>0</v>
      </c>
      <c r="CE163" s="386">
        <f t="shared" si="110"/>
        <v>0</v>
      </c>
      <c r="CF163" s="386">
        <f t="shared" si="111"/>
        <v>-370.37727999999998</v>
      </c>
      <c r="CG163" s="386">
        <f t="shared" si="112"/>
        <v>0</v>
      </c>
      <c r="CH163" s="386">
        <f t="shared" si="113"/>
        <v>7.5587200000000196</v>
      </c>
      <c r="CI163" s="386">
        <f t="shared" si="114"/>
        <v>0</v>
      </c>
      <c r="CJ163" s="386">
        <f t="shared" si="127"/>
        <v>-362.81855999999999</v>
      </c>
      <c r="CK163" s="386" t="str">
        <f t="shared" si="128"/>
        <v/>
      </c>
      <c r="CL163" s="386" t="str">
        <f t="shared" si="129"/>
        <v/>
      </c>
      <c r="CM163" s="386" t="str">
        <f t="shared" si="130"/>
        <v/>
      </c>
      <c r="CN163" s="386" t="str">
        <f t="shared" si="131"/>
        <v>0001-00</v>
      </c>
    </row>
    <row r="164" spans="1:92" ht="15.75" thickBot="1" x14ac:dyDescent="0.3">
      <c r="A164" s="375" t="s">
        <v>161</v>
      </c>
      <c r="B164" s="375" t="s">
        <v>162</v>
      </c>
      <c r="C164" s="375" t="s">
        <v>809</v>
      </c>
      <c r="D164" s="375" t="s">
        <v>628</v>
      </c>
      <c r="E164" s="375" t="s">
        <v>165</v>
      </c>
      <c r="F164" s="376" t="s">
        <v>166</v>
      </c>
      <c r="G164" s="375" t="s">
        <v>549</v>
      </c>
      <c r="H164" s="377"/>
      <c r="I164" s="377"/>
      <c r="J164" s="375" t="s">
        <v>168</v>
      </c>
      <c r="K164" s="375" t="s">
        <v>629</v>
      </c>
      <c r="L164" s="375" t="s">
        <v>173</v>
      </c>
      <c r="M164" s="375" t="s">
        <v>177</v>
      </c>
      <c r="N164" s="375" t="s">
        <v>199</v>
      </c>
      <c r="O164" s="378">
        <v>1</v>
      </c>
      <c r="P164" s="384">
        <v>1</v>
      </c>
      <c r="Q164" s="384">
        <v>1</v>
      </c>
      <c r="R164" s="379">
        <v>80</v>
      </c>
      <c r="S164" s="384">
        <v>1</v>
      </c>
      <c r="T164" s="379">
        <v>66283.33</v>
      </c>
      <c r="U164" s="379">
        <v>0</v>
      </c>
      <c r="V164" s="379">
        <v>24375.61</v>
      </c>
      <c r="W164" s="379">
        <v>68764.800000000003</v>
      </c>
      <c r="X164" s="379">
        <v>26329.18</v>
      </c>
      <c r="Y164" s="379">
        <v>68764.800000000003</v>
      </c>
      <c r="Z164" s="379">
        <v>25999.119999999999</v>
      </c>
      <c r="AA164" s="375" t="s">
        <v>810</v>
      </c>
      <c r="AB164" s="375" t="s">
        <v>811</v>
      </c>
      <c r="AC164" s="375" t="s">
        <v>228</v>
      </c>
      <c r="AD164" s="375" t="s">
        <v>220</v>
      </c>
      <c r="AE164" s="375" t="s">
        <v>629</v>
      </c>
      <c r="AF164" s="375" t="s">
        <v>305</v>
      </c>
      <c r="AG164" s="375" t="s">
        <v>183</v>
      </c>
      <c r="AH164" s="380">
        <v>33.06</v>
      </c>
      <c r="AI164" s="380">
        <v>47848.3</v>
      </c>
      <c r="AJ164" s="375" t="s">
        <v>184</v>
      </c>
      <c r="AK164" s="375" t="s">
        <v>185</v>
      </c>
      <c r="AL164" s="375" t="s">
        <v>173</v>
      </c>
      <c r="AM164" s="375" t="s">
        <v>186</v>
      </c>
      <c r="AN164" s="375" t="s">
        <v>68</v>
      </c>
      <c r="AO164" s="378">
        <v>80</v>
      </c>
      <c r="AP164" s="384">
        <v>1</v>
      </c>
      <c r="AQ164" s="384">
        <v>1</v>
      </c>
      <c r="AR164" s="383" t="s">
        <v>187</v>
      </c>
      <c r="AS164" s="386">
        <f t="shared" si="115"/>
        <v>1</v>
      </c>
      <c r="AT164">
        <f t="shared" si="116"/>
        <v>1</v>
      </c>
      <c r="AU164" s="386">
        <f>IF(AT164=0,"",IF(AND(AT164=1,M164="F",SUMIF(C2:C557,C164,AS2:AS557)&lt;=1),SUMIF(C2:C557,C164,AS2:AS557),IF(AND(AT164=1,M164="F",SUMIF(C2:C557,C164,AS2:AS557)&gt;1),1,"")))</f>
        <v>1</v>
      </c>
      <c r="AV164" s="386" t="str">
        <f>IF(AT164=0,"",IF(AND(AT164=3,M164="F",SUMIF(C2:C557,C164,AS2:AS557)&lt;=1),SUMIF(C2:C557,C164,AS2:AS557),IF(AND(AT164=3,M164="F",SUMIF(C2:C557,C164,AS2:AS557)&gt;1),1,"")))</f>
        <v/>
      </c>
      <c r="AW164" s="386">
        <f>SUMIF(C2:C557,C164,O2:O557)</f>
        <v>1</v>
      </c>
      <c r="AX164" s="386">
        <f>IF(AND(M164="F",AS164&lt;&gt;0),SUMIF(C2:C557,C164,W2:W557),0)</f>
        <v>68764.800000000003</v>
      </c>
      <c r="AY164" s="386">
        <f t="shared" si="117"/>
        <v>68764.800000000003</v>
      </c>
      <c r="AZ164" s="386" t="str">
        <f t="shared" si="118"/>
        <v/>
      </c>
      <c r="BA164" s="386">
        <f t="shared" si="119"/>
        <v>0</v>
      </c>
      <c r="BB164" s="386">
        <f t="shared" si="88"/>
        <v>11650</v>
      </c>
      <c r="BC164" s="386">
        <f t="shared" si="89"/>
        <v>0</v>
      </c>
      <c r="BD164" s="386">
        <f t="shared" si="90"/>
        <v>4263.4175999999998</v>
      </c>
      <c r="BE164" s="386">
        <f t="shared" si="91"/>
        <v>997.08960000000013</v>
      </c>
      <c r="BF164" s="386">
        <f t="shared" si="92"/>
        <v>8210.5171200000004</v>
      </c>
      <c r="BG164" s="386">
        <f t="shared" si="93"/>
        <v>495.79420800000003</v>
      </c>
      <c r="BH164" s="386">
        <f t="shared" si="94"/>
        <v>336.94752</v>
      </c>
      <c r="BI164" s="386">
        <f t="shared" si="95"/>
        <v>210.420288</v>
      </c>
      <c r="BJ164" s="386">
        <f t="shared" si="96"/>
        <v>165.03551999999999</v>
      </c>
      <c r="BK164" s="386">
        <f t="shared" si="97"/>
        <v>0</v>
      </c>
      <c r="BL164" s="386">
        <f t="shared" si="120"/>
        <v>14679.221855999998</v>
      </c>
      <c r="BM164" s="386">
        <f t="shared" si="121"/>
        <v>0</v>
      </c>
      <c r="BN164" s="386">
        <f t="shared" si="98"/>
        <v>11650</v>
      </c>
      <c r="BO164" s="386">
        <f t="shared" si="99"/>
        <v>0</v>
      </c>
      <c r="BP164" s="386">
        <f t="shared" si="100"/>
        <v>4263.4175999999998</v>
      </c>
      <c r="BQ164" s="386">
        <f t="shared" si="101"/>
        <v>997.08960000000013</v>
      </c>
      <c r="BR164" s="386">
        <f t="shared" si="102"/>
        <v>8210.5171200000004</v>
      </c>
      <c r="BS164" s="386">
        <f t="shared" si="103"/>
        <v>495.79420800000003</v>
      </c>
      <c r="BT164" s="386">
        <f t="shared" si="104"/>
        <v>0</v>
      </c>
      <c r="BU164" s="386">
        <f t="shared" si="105"/>
        <v>210.420288</v>
      </c>
      <c r="BV164" s="386">
        <f t="shared" si="106"/>
        <v>171.91200000000001</v>
      </c>
      <c r="BW164" s="386">
        <f t="shared" si="107"/>
        <v>0</v>
      </c>
      <c r="BX164" s="386">
        <f t="shared" si="122"/>
        <v>14349.150815999999</v>
      </c>
      <c r="BY164" s="386">
        <f t="shared" si="123"/>
        <v>0</v>
      </c>
      <c r="BZ164" s="386">
        <f t="shared" si="124"/>
        <v>0</v>
      </c>
      <c r="CA164" s="386">
        <f t="shared" si="125"/>
        <v>0</v>
      </c>
      <c r="CB164" s="386">
        <f t="shared" si="126"/>
        <v>0</v>
      </c>
      <c r="CC164" s="386">
        <f t="shared" si="108"/>
        <v>0</v>
      </c>
      <c r="CD164" s="386">
        <f t="shared" si="109"/>
        <v>0</v>
      </c>
      <c r="CE164" s="386">
        <f t="shared" si="110"/>
        <v>0</v>
      </c>
      <c r="CF164" s="386">
        <f t="shared" si="111"/>
        <v>-336.94752</v>
      </c>
      <c r="CG164" s="386">
        <f t="shared" si="112"/>
        <v>0</v>
      </c>
      <c r="CH164" s="386">
        <f t="shared" si="113"/>
        <v>6.8764800000000186</v>
      </c>
      <c r="CI164" s="386">
        <f t="shared" si="114"/>
        <v>0</v>
      </c>
      <c r="CJ164" s="386">
        <f t="shared" si="127"/>
        <v>-330.07103999999998</v>
      </c>
      <c r="CK164" s="386" t="str">
        <f t="shared" si="128"/>
        <v/>
      </c>
      <c r="CL164" s="386" t="str">
        <f t="shared" si="129"/>
        <v/>
      </c>
      <c r="CM164" s="386" t="str">
        <f t="shared" si="130"/>
        <v/>
      </c>
      <c r="CN164" s="386" t="str">
        <f t="shared" si="131"/>
        <v>0001-00</v>
      </c>
    </row>
    <row r="165" spans="1:92" ht="15.75" thickBot="1" x14ac:dyDescent="0.3">
      <c r="A165" s="375" t="s">
        <v>161</v>
      </c>
      <c r="B165" s="375" t="s">
        <v>162</v>
      </c>
      <c r="C165" s="375" t="s">
        <v>812</v>
      </c>
      <c r="D165" s="375" t="s">
        <v>561</v>
      </c>
      <c r="E165" s="375" t="s">
        <v>165</v>
      </c>
      <c r="F165" s="376" t="s">
        <v>166</v>
      </c>
      <c r="G165" s="375" t="s">
        <v>549</v>
      </c>
      <c r="H165" s="377"/>
      <c r="I165" s="377"/>
      <c r="J165" s="375" t="s">
        <v>168</v>
      </c>
      <c r="K165" s="375" t="s">
        <v>562</v>
      </c>
      <c r="L165" s="375" t="s">
        <v>170</v>
      </c>
      <c r="M165" s="375" t="s">
        <v>177</v>
      </c>
      <c r="N165" s="375" t="s">
        <v>199</v>
      </c>
      <c r="O165" s="378">
        <v>1</v>
      </c>
      <c r="P165" s="384">
        <v>1</v>
      </c>
      <c r="Q165" s="384">
        <v>1</v>
      </c>
      <c r="R165" s="379">
        <v>80</v>
      </c>
      <c r="S165" s="384">
        <v>1</v>
      </c>
      <c r="T165" s="379">
        <v>40102.589999999997</v>
      </c>
      <c r="U165" s="379">
        <v>0</v>
      </c>
      <c r="V165" s="379">
        <v>17219.36</v>
      </c>
      <c r="W165" s="379">
        <v>48505.599999999999</v>
      </c>
      <c r="X165" s="379">
        <v>22004.45</v>
      </c>
      <c r="Y165" s="379">
        <v>48505.599999999999</v>
      </c>
      <c r="Z165" s="379">
        <v>21771.63</v>
      </c>
      <c r="AA165" s="375" t="s">
        <v>813</v>
      </c>
      <c r="AB165" s="375" t="s">
        <v>814</v>
      </c>
      <c r="AC165" s="375" t="s">
        <v>815</v>
      </c>
      <c r="AD165" s="375" t="s">
        <v>173</v>
      </c>
      <c r="AE165" s="375" t="s">
        <v>562</v>
      </c>
      <c r="AF165" s="375" t="s">
        <v>269</v>
      </c>
      <c r="AG165" s="375" t="s">
        <v>183</v>
      </c>
      <c r="AH165" s="380">
        <v>23.32</v>
      </c>
      <c r="AI165" s="378">
        <v>3124</v>
      </c>
      <c r="AJ165" s="375" t="s">
        <v>184</v>
      </c>
      <c r="AK165" s="375" t="s">
        <v>185</v>
      </c>
      <c r="AL165" s="375" t="s">
        <v>173</v>
      </c>
      <c r="AM165" s="375" t="s">
        <v>186</v>
      </c>
      <c r="AN165" s="375" t="s">
        <v>68</v>
      </c>
      <c r="AO165" s="378">
        <v>80</v>
      </c>
      <c r="AP165" s="384">
        <v>1</v>
      </c>
      <c r="AQ165" s="384">
        <v>1</v>
      </c>
      <c r="AR165" s="383" t="s">
        <v>187</v>
      </c>
      <c r="AS165" s="386">
        <f t="shared" si="115"/>
        <v>1</v>
      </c>
      <c r="AT165">
        <f t="shared" si="116"/>
        <v>1</v>
      </c>
      <c r="AU165" s="386">
        <f>IF(AT165=0,"",IF(AND(AT165=1,M165="F",SUMIF(C2:C557,C165,AS2:AS557)&lt;=1),SUMIF(C2:C557,C165,AS2:AS557),IF(AND(AT165=1,M165="F",SUMIF(C2:C557,C165,AS2:AS557)&gt;1),1,"")))</f>
        <v>1</v>
      </c>
      <c r="AV165" s="386" t="str">
        <f>IF(AT165=0,"",IF(AND(AT165=3,M165="F",SUMIF(C2:C557,C165,AS2:AS557)&lt;=1),SUMIF(C2:C557,C165,AS2:AS557),IF(AND(AT165=3,M165="F",SUMIF(C2:C557,C165,AS2:AS557)&gt;1),1,"")))</f>
        <v/>
      </c>
      <c r="AW165" s="386">
        <f>SUMIF(C2:C557,C165,O2:O557)</f>
        <v>1</v>
      </c>
      <c r="AX165" s="386">
        <f>IF(AND(M165="F",AS165&lt;&gt;0),SUMIF(C2:C557,C165,W2:W557),0)</f>
        <v>48505.599999999999</v>
      </c>
      <c r="AY165" s="386">
        <f t="shared" si="117"/>
        <v>48505.599999999999</v>
      </c>
      <c r="AZ165" s="386" t="str">
        <f t="shared" si="118"/>
        <v/>
      </c>
      <c r="BA165" s="386">
        <f t="shared" si="119"/>
        <v>0</v>
      </c>
      <c r="BB165" s="386">
        <f t="shared" si="88"/>
        <v>11650</v>
      </c>
      <c r="BC165" s="386">
        <f t="shared" si="89"/>
        <v>0</v>
      </c>
      <c r="BD165" s="386">
        <f t="shared" si="90"/>
        <v>3007.3471999999997</v>
      </c>
      <c r="BE165" s="386">
        <f t="shared" si="91"/>
        <v>703.33119999999997</v>
      </c>
      <c r="BF165" s="386">
        <f t="shared" si="92"/>
        <v>5791.5686400000004</v>
      </c>
      <c r="BG165" s="386">
        <f t="shared" si="93"/>
        <v>349.72537599999998</v>
      </c>
      <c r="BH165" s="386">
        <f t="shared" si="94"/>
        <v>237.67743999999999</v>
      </c>
      <c r="BI165" s="386">
        <f t="shared" si="95"/>
        <v>148.42713599999999</v>
      </c>
      <c r="BJ165" s="386">
        <f t="shared" si="96"/>
        <v>116.41343999999998</v>
      </c>
      <c r="BK165" s="386">
        <f t="shared" si="97"/>
        <v>0</v>
      </c>
      <c r="BL165" s="386">
        <f t="shared" si="120"/>
        <v>10354.490432000001</v>
      </c>
      <c r="BM165" s="386">
        <f t="shared" si="121"/>
        <v>0</v>
      </c>
      <c r="BN165" s="386">
        <f t="shared" si="98"/>
        <v>11650</v>
      </c>
      <c r="BO165" s="386">
        <f t="shared" si="99"/>
        <v>0</v>
      </c>
      <c r="BP165" s="386">
        <f t="shared" si="100"/>
        <v>3007.3471999999997</v>
      </c>
      <c r="BQ165" s="386">
        <f t="shared" si="101"/>
        <v>703.33119999999997</v>
      </c>
      <c r="BR165" s="386">
        <f t="shared" si="102"/>
        <v>5791.5686400000004</v>
      </c>
      <c r="BS165" s="386">
        <f t="shared" si="103"/>
        <v>349.72537599999998</v>
      </c>
      <c r="BT165" s="386">
        <f t="shared" si="104"/>
        <v>0</v>
      </c>
      <c r="BU165" s="386">
        <f t="shared" si="105"/>
        <v>148.42713599999999</v>
      </c>
      <c r="BV165" s="386">
        <f t="shared" si="106"/>
        <v>121.264</v>
      </c>
      <c r="BW165" s="386">
        <f t="shared" si="107"/>
        <v>0</v>
      </c>
      <c r="BX165" s="386">
        <f t="shared" si="122"/>
        <v>10121.663552</v>
      </c>
      <c r="BY165" s="386">
        <f t="shared" si="123"/>
        <v>0</v>
      </c>
      <c r="BZ165" s="386">
        <f t="shared" si="124"/>
        <v>0</v>
      </c>
      <c r="CA165" s="386">
        <f t="shared" si="125"/>
        <v>0</v>
      </c>
      <c r="CB165" s="386">
        <f t="shared" si="126"/>
        <v>0</v>
      </c>
      <c r="CC165" s="386">
        <f t="shared" si="108"/>
        <v>0</v>
      </c>
      <c r="CD165" s="386">
        <f t="shared" si="109"/>
        <v>0</v>
      </c>
      <c r="CE165" s="386">
        <f t="shared" si="110"/>
        <v>0</v>
      </c>
      <c r="CF165" s="386">
        <f t="shared" si="111"/>
        <v>-237.67743999999999</v>
      </c>
      <c r="CG165" s="386">
        <f t="shared" si="112"/>
        <v>0</v>
      </c>
      <c r="CH165" s="386">
        <f t="shared" si="113"/>
        <v>4.8505600000000122</v>
      </c>
      <c r="CI165" s="386">
        <f t="shared" si="114"/>
        <v>0</v>
      </c>
      <c r="CJ165" s="386">
        <f t="shared" si="127"/>
        <v>-232.82687999999999</v>
      </c>
      <c r="CK165" s="386" t="str">
        <f t="shared" si="128"/>
        <v/>
      </c>
      <c r="CL165" s="386" t="str">
        <f t="shared" si="129"/>
        <v/>
      </c>
      <c r="CM165" s="386" t="str">
        <f t="shared" si="130"/>
        <v/>
      </c>
      <c r="CN165" s="386" t="str">
        <f t="shared" si="131"/>
        <v>0001-00</v>
      </c>
    </row>
    <row r="166" spans="1:92" ht="15.75" thickBot="1" x14ac:dyDescent="0.3">
      <c r="A166" s="375" t="s">
        <v>161</v>
      </c>
      <c r="B166" s="375" t="s">
        <v>162</v>
      </c>
      <c r="C166" s="375" t="s">
        <v>816</v>
      </c>
      <c r="D166" s="375" t="s">
        <v>665</v>
      </c>
      <c r="E166" s="375" t="s">
        <v>165</v>
      </c>
      <c r="F166" s="376" t="s">
        <v>166</v>
      </c>
      <c r="G166" s="375" t="s">
        <v>549</v>
      </c>
      <c r="H166" s="377"/>
      <c r="I166" s="377"/>
      <c r="J166" s="375" t="s">
        <v>168</v>
      </c>
      <c r="K166" s="375" t="s">
        <v>666</v>
      </c>
      <c r="L166" s="375" t="s">
        <v>183</v>
      </c>
      <c r="M166" s="375" t="s">
        <v>177</v>
      </c>
      <c r="N166" s="375" t="s">
        <v>199</v>
      </c>
      <c r="O166" s="378">
        <v>1</v>
      </c>
      <c r="P166" s="384">
        <v>1</v>
      </c>
      <c r="Q166" s="384">
        <v>1</v>
      </c>
      <c r="R166" s="379">
        <v>80</v>
      </c>
      <c r="S166" s="384">
        <v>1</v>
      </c>
      <c r="T166" s="379">
        <v>30707.200000000001</v>
      </c>
      <c r="U166" s="379">
        <v>0</v>
      </c>
      <c r="V166" s="379">
        <v>18002.990000000002</v>
      </c>
      <c r="W166" s="379">
        <v>32115.200000000001</v>
      </c>
      <c r="X166" s="379">
        <v>18505.61</v>
      </c>
      <c r="Y166" s="379">
        <v>32115.200000000001</v>
      </c>
      <c r="Z166" s="379">
        <v>18351.46</v>
      </c>
      <c r="AA166" s="375" t="s">
        <v>817</v>
      </c>
      <c r="AB166" s="375" t="s">
        <v>818</v>
      </c>
      <c r="AC166" s="375" t="s">
        <v>754</v>
      </c>
      <c r="AD166" s="375" t="s">
        <v>220</v>
      </c>
      <c r="AE166" s="375" t="s">
        <v>666</v>
      </c>
      <c r="AF166" s="375" t="s">
        <v>206</v>
      </c>
      <c r="AG166" s="375" t="s">
        <v>183</v>
      </c>
      <c r="AH166" s="380">
        <v>15.44</v>
      </c>
      <c r="AI166" s="380">
        <v>29543.9</v>
      </c>
      <c r="AJ166" s="375" t="s">
        <v>184</v>
      </c>
      <c r="AK166" s="375" t="s">
        <v>185</v>
      </c>
      <c r="AL166" s="375" t="s">
        <v>173</v>
      </c>
      <c r="AM166" s="375" t="s">
        <v>186</v>
      </c>
      <c r="AN166" s="375" t="s">
        <v>68</v>
      </c>
      <c r="AO166" s="378">
        <v>80</v>
      </c>
      <c r="AP166" s="384">
        <v>1</v>
      </c>
      <c r="AQ166" s="384">
        <v>1</v>
      </c>
      <c r="AR166" s="383" t="s">
        <v>187</v>
      </c>
      <c r="AS166" s="386">
        <f t="shared" si="115"/>
        <v>1</v>
      </c>
      <c r="AT166">
        <f t="shared" si="116"/>
        <v>1</v>
      </c>
      <c r="AU166" s="386">
        <f>IF(AT166=0,"",IF(AND(AT166=1,M166="F",SUMIF(C2:C557,C166,AS2:AS557)&lt;=1),SUMIF(C2:C557,C166,AS2:AS557),IF(AND(AT166=1,M166="F",SUMIF(C2:C557,C166,AS2:AS557)&gt;1),1,"")))</f>
        <v>1</v>
      </c>
      <c r="AV166" s="386" t="str">
        <f>IF(AT166=0,"",IF(AND(AT166=3,M166="F",SUMIF(C2:C557,C166,AS2:AS557)&lt;=1),SUMIF(C2:C557,C166,AS2:AS557),IF(AND(AT166=3,M166="F",SUMIF(C2:C557,C166,AS2:AS557)&gt;1),1,"")))</f>
        <v/>
      </c>
      <c r="AW166" s="386">
        <f>SUMIF(C2:C557,C166,O2:O557)</f>
        <v>1</v>
      </c>
      <c r="AX166" s="386">
        <f>IF(AND(M166="F",AS166&lt;&gt;0),SUMIF(C2:C557,C166,W2:W557),0)</f>
        <v>32115.200000000001</v>
      </c>
      <c r="AY166" s="386">
        <f t="shared" si="117"/>
        <v>32115.200000000001</v>
      </c>
      <c r="AZ166" s="386" t="str">
        <f t="shared" si="118"/>
        <v/>
      </c>
      <c r="BA166" s="386">
        <f t="shared" si="119"/>
        <v>0</v>
      </c>
      <c r="BB166" s="386">
        <f t="shared" si="88"/>
        <v>11650</v>
      </c>
      <c r="BC166" s="386">
        <f t="shared" si="89"/>
        <v>0</v>
      </c>
      <c r="BD166" s="386">
        <f t="shared" si="90"/>
        <v>1991.1424</v>
      </c>
      <c r="BE166" s="386">
        <f t="shared" si="91"/>
        <v>465.67040000000003</v>
      </c>
      <c r="BF166" s="386">
        <f t="shared" si="92"/>
        <v>3834.5548800000001</v>
      </c>
      <c r="BG166" s="386">
        <f t="shared" si="93"/>
        <v>231.55059200000002</v>
      </c>
      <c r="BH166" s="386">
        <f t="shared" si="94"/>
        <v>157.36447999999999</v>
      </c>
      <c r="BI166" s="386">
        <f t="shared" si="95"/>
        <v>98.272511999999992</v>
      </c>
      <c r="BJ166" s="386">
        <f t="shared" si="96"/>
        <v>77.076479999999989</v>
      </c>
      <c r="BK166" s="386">
        <f t="shared" si="97"/>
        <v>0</v>
      </c>
      <c r="BL166" s="386">
        <f t="shared" si="120"/>
        <v>6855.6317439999993</v>
      </c>
      <c r="BM166" s="386">
        <f t="shared" si="121"/>
        <v>0</v>
      </c>
      <c r="BN166" s="386">
        <f t="shared" si="98"/>
        <v>11650</v>
      </c>
      <c r="BO166" s="386">
        <f t="shared" si="99"/>
        <v>0</v>
      </c>
      <c r="BP166" s="386">
        <f t="shared" si="100"/>
        <v>1991.1424</v>
      </c>
      <c r="BQ166" s="386">
        <f t="shared" si="101"/>
        <v>465.67040000000003</v>
      </c>
      <c r="BR166" s="386">
        <f t="shared" si="102"/>
        <v>3834.5548800000001</v>
      </c>
      <c r="BS166" s="386">
        <f t="shared" si="103"/>
        <v>231.55059200000002</v>
      </c>
      <c r="BT166" s="386">
        <f t="shared" si="104"/>
        <v>0</v>
      </c>
      <c r="BU166" s="386">
        <f t="shared" si="105"/>
        <v>98.272511999999992</v>
      </c>
      <c r="BV166" s="386">
        <f t="shared" si="106"/>
        <v>80.287999999999997</v>
      </c>
      <c r="BW166" s="386">
        <f t="shared" si="107"/>
        <v>0</v>
      </c>
      <c r="BX166" s="386">
        <f t="shared" si="122"/>
        <v>6701.478783999999</v>
      </c>
      <c r="BY166" s="386">
        <f t="shared" si="123"/>
        <v>0</v>
      </c>
      <c r="BZ166" s="386">
        <f t="shared" si="124"/>
        <v>0</v>
      </c>
      <c r="CA166" s="386">
        <f t="shared" si="125"/>
        <v>0</v>
      </c>
      <c r="CB166" s="386">
        <f t="shared" si="126"/>
        <v>0</v>
      </c>
      <c r="CC166" s="386">
        <f t="shared" si="108"/>
        <v>0</v>
      </c>
      <c r="CD166" s="386">
        <f t="shared" si="109"/>
        <v>0</v>
      </c>
      <c r="CE166" s="386">
        <f t="shared" si="110"/>
        <v>0</v>
      </c>
      <c r="CF166" s="386">
        <f t="shared" si="111"/>
        <v>-157.36447999999999</v>
      </c>
      <c r="CG166" s="386">
        <f t="shared" si="112"/>
        <v>0</v>
      </c>
      <c r="CH166" s="386">
        <f t="shared" si="113"/>
        <v>3.2115200000000086</v>
      </c>
      <c r="CI166" s="386">
        <f t="shared" si="114"/>
        <v>0</v>
      </c>
      <c r="CJ166" s="386">
        <f t="shared" si="127"/>
        <v>-154.15295999999998</v>
      </c>
      <c r="CK166" s="386" t="str">
        <f t="shared" si="128"/>
        <v/>
      </c>
      <c r="CL166" s="386" t="str">
        <f t="shared" si="129"/>
        <v/>
      </c>
      <c r="CM166" s="386" t="str">
        <f t="shared" si="130"/>
        <v/>
      </c>
      <c r="CN166" s="386" t="str">
        <f t="shared" si="131"/>
        <v>0001-00</v>
      </c>
    </row>
    <row r="167" spans="1:92" ht="15.75" thickBot="1" x14ac:dyDescent="0.3">
      <c r="A167" s="375" t="s">
        <v>161</v>
      </c>
      <c r="B167" s="375" t="s">
        <v>162</v>
      </c>
      <c r="C167" s="375" t="s">
        <v>819</v>
      </c>
      <c r="D167" s="375" t="s">
        <v>617</v>
      </c>
      <c r="E167" s="375" t="s">
        <v>165</v>
      </c>
      <c r="F167" s="376" t="s">
        <v>166</v>
      </c>
      <c r="G167" s="375" t="s">
        <v>549</v>
      </c>
      <c r="H167" s="377"/>
      <c r="I167" s="377"/>
      <c r="J167" s="375" t="s">
        <v>168</v>
      </c>
      <c r="K167" s="375" t="s">
        <v>618</v>
      </c>
      <c r="L167" s="375" t="s">
        <v>173</v>
      </c>
      <c r="M167" s="375" t="s">
        <v>177</v>
      </c>
      <c r="N167" s="375" t="s">
        <v>199</v>
      </c>
      <c r="O167" s="378">
        <v>1</v>
      </c>
      <c r="P167" s="384">
        <v>1</v>
      </c>
      <c r="Q167" s="384">
        <v>1</v>
      </c>
      <c r="R167" s="379">
        <v>80</v>
      </c>
      <c r="S167" s="384">
        <v>1</v>
      </c>
      <c r="T167" s="379">
        <v>65507.23</v>
      </c>
      <c r="U167" s="379">
        <v>0</v>
      </c>
      <c r="V167" s="379">
        <v>25139.25</v>
      </c>
      <c r="W167" s="379">
        <v>67953.600000000006</v>
      </c>
      <c r="X167" s="379">
        <v>26156.01</v>
      </c>
      <c r="Y167" s="379">
        <v>67953.600000000006</v>
      </c>
      <c r="Z167" s="379">
        <v>25829.84</v>
      </c>
      <c r="AA167" s="375" t="s">
        <v>820</v>
      </c>
      <c r="AB167" s="375" t="s">
        <v>821</v>
      </c>
      <c r="AC167" s="375" t="s">
        <v>625</v>
      </c>
      <c r="AD167" s="375" t="s">
        <v>366</v>
      </c>
      <c r="AE167" s="375" t="s">
        <v>618</v>
      </c>
      <c r="AF167" s="375" t="s">
        <v>305</v>
      </c>
      <c r="AG167" s="375" t="s">
        <v>183</v>
      </c>
      <c r="AH167" s="380">
        <v>32.67</v>
      </c>
      <c r="AI167" s="378">
        <v>23598</v>
      </c>
      <c r="AJ167" s="375" t="s">
        <v>184</v>
      </c>
      <c r="AK167" s="375" t="s">
        <v>185</v>
      </c>
      <c r="AL167" s="375" t="s">
        <v>173</v>
      </c>
      <c r="AM167" s="375" t="s">
        <v>186</v>
      </c>
      <c r="AN167" s="375" t="s">
        <v>68</v>
      </c>
      <c r="AO167" s="378">
        <v>80</v>
      </c>
      <c r="AP167" s="384">
        <v>1</v>
      </c>
      <c r="AQ167" s="384">
        <v>1</v>
      </c>
      <c r="AR167" s="383" t="s">
        <v>187</v>
      </c>
      <c r="AS167" s="386">
        <f t="shared" si="115"/>
        <v>1</v>
      </c>
      <c r="AT167">
        <f t="shared" si="116"/>
        <v>1</v>
      </c>
      <c r="AU167" s="386">
        <f>IF(AT167=0,"",IF(AND(AT167=1,M167="F",SUMIF(C2:C557,C167,AS2:AS557)&lt;=1),SUMIF(C2:C557,C167,AS2:AS557),IF(AND(AT167=1,M167="F",SUMIF(C2:C557,C167,AS2:AS557)&gt;1),1,"")))</f>
        <v>1</v>
      </c>
      <c r="AV167" s="386" t="str">
        <f>IF(AT167=0,"",IF(AND(AT167=3,M167="F",SUMIF(C2:C557,C167,AS2:AS557)&lt;=1),SUMIF(C2:C557,C167,AS2:AS557),IF(AND(AT167=3,M167="F",SUMIF(C2:C557,C167,AS2:AS557)&gt;1),1,"")))</f>
        <v/>
      </c>
      <c r="AW167" s="386">
        <f>SUMIF(C2:C557,C167,O2:O557)</f>
        <v>1</v>
      </c>
      <c r="AX167" s="386">
        <f>IF(AND(M167="F",AS167&lt;&gt;0),SUMIF(C2:C557,C167,W2:W557),0)</f>
        <v>67953.600000000006</v>
      </c>
      <c r="AY167" s="386">
        <f t="shared" si="117"/>
        <v>67953.600000000006</v>
      </c>
      <c r="AZ167" s="386" t="str">
        <f t="shared" si="118"/>
        <v/>
      </c>
      <c r="BA167" s="386">
        <f t="shared" si="119"/>
        <v>0</v>
      </c>
      <c r="BB167" s="386">
        <f t="shared" si="88"/>
        <v>11650</v>
      </c>
      <c r="BC167" s="386">
        <f t="shared" si="89"/>
        <v>0</v>
      </c>
      <c r="BD167" s="386">
        <f t="shared" si="90"/>
        <v>4213.1232</v>
      </c>
      <c r="BE167" s="386">
        <f t="shared" si="91"/>
        <v>985.32720000000018</v>
      </c>
      <c r="BF167" s="386">
        <f t="shared" si="92"/>
        <v>8113.6598400000012</v>
      </c>
      <c r="BG167" s="386">
        <f t="shared" si="93"/>
        <v>489.94545600000004</v>
      </c>
      <c r="BH167" s="386">
        <f t="shared" si="94"/>
        <v>332.97264000000001</v>
      </c>
      <c r="BI167" s="386">
        <f t="shared" si="95"/>
        <v>207.938016</v>
      </c>
      <c r="BJ167" s="386">
        <f t="shared" si="96"/>
        <v>163.08864</v>
      </c>
      <c r="BK167" s="386">
        <f t="shared" si="97"/>
        <v>0</v>
      </c>
      <c r="BL167" s="386">
        <f t="shared" si="120"/>
        <v>14506.054992000001</v>
      </c>
      <c r="BM167" s="386">
        <f t="shared" si="121"/>
        <v>0</v>
      </c>
      <c r="BN167" s="386">
        <f t="shared" si="98"/>
        <v>11650</v>
      </c>
      <c r="BO167" s="386">
        <f t="shared" si="99"/>
        <v>0</v>
      </c>
      <c r="BP167" s="386">
        <f t="shared" si="100"/>
        <v>4213.1232</v>
      </c>
      <c r="BQ167" s="386">
        <f t="shared" si="101"/>
        <v>985.32720000000018</v>
      </c>
      <c r="BR167" s="386">
        <f t="shared" si="102"/>
        <v>8113.6598400000012</v>
      </c>
      <c r="BS167" s="386">
        <f t="shared" si="103"/>
        <v>489.94545600000004</v>
      </c>
      <c r="BT167" s="386">
        <f t="shared" si="104"/>
        <v>0</v>
      </c>
      <c r="BU167" s="386">
        <f t="shared" si="105"/>
        <v>207.938016</v>
      </c>
      <c r="BV167" s="386">
        <f t="shared" si="106"/>
        <v>169.88400000000001</v>
      </c>
      <c r="BW167" s="386">
        <f t="shared" si="107"/>
        <v>0</v>
      </c>
      <c r="BX167" s="386">
        <f t="shared" si="122"/>
        <v>14179.877712000001</v>
      </c>
      <c r="BY167" s="386">
        <f t="shared" si="123"/>
        <v>0</v>
      </c>
      <c r="BZ167" s="386">
        <f t="shared" si="124"/>
        <v>0</v>
      </c>
      <c r="CA167" s="386">
        <f t="shared" si="125"/>
        <v>0</v>
      </c>
      <c r="CB167" s="386">
        <f t="shared" si="126"/>
        <v>0</v>
      </c>
      <c r="CC167" s="386">
        <f t="shared" si="108"/>
        <v>0</v>
      </c>
      <c r="CD167" s="386">
        <f t="shared" si="109"/>
        <v>0</v>
      </c>
      <c r="CE167" s="386">
        <f t="shared" si="110"/>
        <v>0</v>
      </c>
      <c r="CF167" s="386">
        <f t="shared" si="111"/>
        <v>-332.97264000000001</v>
      </c>
      <c r="CG167" s="386">
        <f t="shared" si="112"/>
        <v>0</v>
      </c>
      <c r="CH167" s="386">
        <f t="shared" si="113"/>
        <v>6.7953600000000183</v>
      </c>
      <c r="CI167" s="386">
        <f t="shared" si="114"/>
        <v>0</v>
      </c>
      <c r="CJ167" s="386">
        <f t="shared" si="127"/>
        <v>-326.17728</v>
      </c>
      <c r="CK167" s="386" t="str">
        <f t="shared" si="128"/>
        <v/>
      </c>
      <c r="CL167" s="386" t="str">
        <f t="shared" si="129"/>
        <v/>
      </c>
      <c r="CM167" s="386" t="str">
        <f t="shared" si="130"/>
        <v/>
      </c>
      <c r="CN167" s="386" t="str">
        <f t="shared" si="131"/>
        <v>0001-00</v>
      </c>
    </row>
    <row r="168" spans="1:92" ht="15.75" thickBot="1" x14ac:dyDescent="0.3">
      <c r="A168" s="375" t="s">
        <v>161</v>
      </c>
      <c r="B168" s="375" t="s">
        <v>162</v>
      </c>
      <c r="C168" s="375" t="s">
        <v>822</v>
      </c>
      <c r="D168" s="375" t="s">
        <v>823</v>
      </c>
      <c r="E168" s="375" t="s">
        <v>165</v>
      </c>
      <c r="F168" s="376" t="s">
        <v>166</v>
      </c>
      <c r="G168" s="375" t="s">
        <v>549</v>
      </c>
      <c r="H168" s="377"/>
      <c r="I168" s="377"/>
      <c r="J168" s="375" t="s">
        <v>168</v>
      </c>
      <c r="K168" s="375" t="s">
        <v>824</v>
      </c>
      <c r="L168" s="375" t="s">
        <v>233</v>
      </c>
      <c r="M168" s="375" t="s">
        <v>177</v>
      </c>
      <c r="N168" s="375" t="s">
        <v>199</v>
      </c>
      <c r="O168" s="378">
        <v>1</v>
      </c>
      <c r="P168" s="384">
        <v>1</v>
      </c>
      <c r="Q168" s="384">
        <v>1</v>
      </c>
      <c r="R168" s="379">
        <v>80</v>
      </c>
      <c r="S168" s="384">
        <v>1</v>
      </c>
      <c r="T168" s="379">
        <v>8621.6</v>
      </c>
      <c r="U168" s="379">
        <v>0</v>
      </c>
      <c r="V168" s="379">
        <v>3714.53</v>
      </c>
      <c r="W168" s="379">
        <v>45240</v>
      </c>
      <c r="X168" s="379">
        <v>21307.360000000001</v>
      </c>
      <c r="Y168" s="379">
        <v>45240</v>
      </c>
      <c r="Z168" s="379">
        <v>21090.22</v>
      </c>
      <c r="AA168" s="375" t="s">
        <v>825</v>
      </c>
      <c r="AB168" s="375" t="s">
        <v>826</v>
      </c>
      <c r="AC168" s="375" t="s">
        <v>827</v>
      </c>
      <c r="AD168" s="375" t="s">
        <v>366</v>
      </c>
      <c r="AE168" s="375" t="s">
        <v>824</v>
      </c>
      <c r="AF168" s="375" t="s">
        <v>237</v>
      </c>
      <c r="AG168" s="375" t="s">
        <v>183</v>
      </c>
      <c r="AH168" s="380">
        <v>21.75</v>
      </c>
      <c r="AI168" s="380">
        <v>31038.1</v>
      </c>
      <c r="AJ168" s="375" t="s">
        <v>184</v>
      </c>
      <c r="AK168" s="375" t="s">
        <v>185</v>
      </c>
      <c r="AL168" s="375" t="s">
        <v>173</v>
      </c>
      <c r="AM168" s="375" t="s">
        <v>186</v>
      </c>
      <c r="AN168" s="375" t="s">
        <v>68</v>
      </c>
      <c r="AO168" s="378">
        <v>80</v>
      </c>
      <c r="AP168" s="384">
        <v>1</v>
      </c>
      <c r="AQ168" s="384">
        <v>1</v>
      </c>
      <c r="AR168" s="383" t="s">
        <v>187</v>
      </c>
      <c r="AS168" s="386">
        <f t="shared" si="115"/>
        <v>1</v>
      </c>
      <c r="AT168">
        <f t="shared" si="116"/>
        <v>1</v>
      </c>
      <c r="AU168" s="386">
        <f>IF(AT168=0,"",IF(AND(AT168=1,M168="F",SUMIF(C2:C557,C168,AS2:AS557)&lt;=1),SUMIF(C2:C557,C168,AS2:AS557),IF(AND(AT168=1,M168="F",SUMIF(C2:C557,C168,AS2:AS557)&gt;1),1,"")))</f>
        <v>1</v>
      </c>
      <c r="AV168" s="386" t="str">
        <f>IF(AT168=0,"",IF(AND(AT168=3,M168="F",SUMIF(C2:C557,C168,AS2:AS557)&lt;=1),SUMIF(C2:C557,C168,AS2:AS557),IF(AND(AT168=3,M168="F",SUMIF(C2:C557,C168,AS2:AS557)&gt;1),1,"")))</f>
        <v/>
      </c>
      <c r="AW168" s="386">
        <f>SUMIF(C2:C557,C168,O2:O557)</f>
        <v>1</v>
      </c>
      <c r="AX168" s="386">
        <f>IF(AND(M168="F",AS168&lt;&gt;0),SUMIF(C2:C557,C168,W2:W557),0)</f>
        <v>45240</v>
      </c>
      <c r="AY168" s="386">
        <f t="shared" si="117"/>
        <v>45240</v>
      </c>
      <c r="AZ168" s="386" t="str">
        <f t="shared" si="118"/>
        <v/>
      </c>
      <c r="BA168" s="386">
        <f t="shared" si="119"/>
        <v>0</v>
      </c>
      <c r="BB168" s="386">
        <f t="shared" si="88"/>
        <v>11650</v>
      </c>
      <c r="BC168" s="386">
        <f t="shared" si="89"/>
        <v>0</v>
      </c>
      <c r="BD168" s="386">
        <f t="shared" si="90"/>
        <v>2804.88</v>
      </c>
      <c r="BE168" s="386">
        <f t="shared" si="91"/>
        <v>655.98</v>
      </c>
      <c r="BF168" s="386">
        <f t="shared" si="92"/>
        <v>5401.6559999999999</v>
      </c>
      <c r="BG168" s="386">
        <f t="shared" si="93"/>
        <v>326.18040000000002</v>
      </c>
      <c r="BH168" s="386">
        <f t="shared" si="94"/>
        <v>221.67599999999999</v>
      </c>
      <c r="BI168" s="386">
        <f t="shared" si="95"/>
        <v>138.43439999999998</v>
      </c>
      <c r="BJ168" s="386">
        <f t="shared" si="96"/>
        <v>108.57599999999999</v>
      </c>
      <c r="BK168" s="386">
        <f t="shared" si="97"/>
        <v>0</v>
      </c>
      <c r="BL168" s="386">
        <f t="shared" si="120"/>
        <v>9657.3827999999976</v>
      </c>
      <c r="BM168" s="386">
        <f t="shared" si="121"/>
        <v>0</v>
      </c>
      <c r="BN168" s="386">
        <f t="shared" si="98"/>
        <v>11650</v>
      </c>
      <c r="BO168" s="386">
        <f t="shared" si="99"/>
        <v>0</v>
      </c>
      <c r="BP168" s="386">
        <f t="shared" si="100"/>
        <v>2804.88</v>
      </c>
      <c r="BQ168" s="386">
        <f t="shared" si="101"/>
        <v>655.98</v>
      </c>
      <c r="BR168" s="386">
        <f t="shared" si="102"/>
        <v>5401.6559999999999</v>
      </c>
      <c r="BS168" s="386">
        <f t="shared" si="103"/>
        <v>326.18040000000002</v>
      </c>
      <c r="BT168" s="386">
        <f t="shared" si="104"/>
        <v>0</v>
      </c>
      <c r="BU168" s="386">
        <f t="shared" si="105"/>
        <v>138.43439999999998</v>
      </c>
      <c r="BV168" s="386">
        <f t="shared" si="106"/>
        <v>113.10000000000001</v>
      </c>
      <c r="BW168" s="386">
        <f t="shared" si="107"/>
        <v>0</v>
      </c>
      <c r="BX168" s="386">
        <f t="shared" si="122"/>
        <v>9440.2307999999994</v>
      </c>
      <c r="BY168" s="386">
        <f t="shared" si="123"/>
        <v>0</v>
      </c>
      <c r="BZ168" s="386">
        <f t="shared" si="124"/>
        <v>0</v>
      </c>
      <c r="CA168" s="386">
        <f t="shared" si="125"/>
        <v>0</v>
      </c>
      <c r="CB168" s="386">
        <f t="shared" si="126"/>
        <v>0</v>
      </c>
      <c r="CC168" s="386">
        <f t="shared" si="108"/>
        <v>0</v>
      </c>
      <c r="CD168" s="386">
        <f t="shared" si="109"/>
        <v>0</v>
      </c>
      <c r="CE168" s="386">
        <f t="shared" si="110"/>
        <v>0</v>
      </c>
      <c r="CF168" s="386">
        <f t="shared" si="111"/>
        <v>-221.67599999999999</v>
      </c>
      <c r="CG168" s="386">
        <f t="shared" si="112"/>
        <v>0</v>
      </c>
      <c r="CH168" s="386">
        <f t="shared" si="113"/>
        <v>4.5240000000000116</v>
      </c>
      <c r="CI168" s="386">
        <f t="shared" si="114"/>
        <v>0</v>
      </c>
      <c r="CJ168" s="386">
        <f t="shared" si="127"/>
        <v>-217.15199999999999</v>
      </c>
      <c r="CK168" s="386" t="str">
        <f t="shared" si="128"/>
        <v/>
      </c>
      <c r="CL168" s="386" t="str">
        <f t="shared" si="129"/>
        <v/>
      </c>
      <c r="CM168" s="386" t="str">
        <f t="shared" si="130"/>
        <v/>
      </c>
      <c r="CN168" s="386" t="str">
        <f t="shared" si="131"/>
        <v>0001-00</v>
      </c>
    </row>
    <row r="169" spans="1:92" ht="15.75" thickBot="1" x14ac:dyDescent="0.3">
      <c r="A169" s="375" t="s">
        <v>161</v>
      </c>
      <c r="B169" s="375" t="s">
        <v>162</v>
      </c>
      <c r="C169" s="375" t="s">
        <v>828</v>
      </c>
      <c r="D169" s="375" t="s">
        <v>555</v>
      </c>
      <c r="E169" s="375" t="s">
        <v>165</v>
      </c>
      <c r="F169" s="376" t="s">
        <v>166</v>
      </c>
      <c r="G169" s="375" t="s">
        <v>549</v>
      </c>
      <c r="H169" s="377"/>
      <c r="I169" s="377"/>
      <c r="J169" s="375" t="s">
        <v>168</v>
      </c>
      <c r="K169" s="375" t="s">
        <v>556</v>
      </c>
      <c r="L169" s="375" t="s">
        <v>220</v>
      </c>
      <c r="M169" s="375" t="s">
        <v>177</v>
      </c>
      <c r="N169" s="375" t="s">
        <v>199</v>
      </c>
      <c r="O169" s="378">
        <v>1</v>
      </c>
      <c r="P169" s="384">
        <v>1</v>
      </c>
      <c r="Q169" s="384">
        <v>1</v>
      </c>
      <c r="R169" s="379">
        <v>80</v>
      </c>
      <c r="S169" s="384">
        <v>1</v>
      </c>
      <c r="T169" s="379">
        <v>57631.519999999997</v>
      </c>
      <c r="U169" s="379">
        <v>0</v>
      </c>
      <c r="V169" s="379">
        <v>23339.32</v>
      </c>
      <c r="W169" s="379">
        <v>59779.199999999997</v>
      </c>
      <c r="X169" s="379">
        <v>24411.03</v>
      </c>
      <c r="Y169" s="379">
        <v>59779.199999999997</v>
      </c>
      <c r="Z169" s="379">
        <v>24124.09</v>
      </c>
      <c r="AA169" s="375" t="s">
        <v>829</v>
      </c>
      <c r="AB169" s="375" t="s">
        <v>830</v>
      </c>
      <c r="AC169" s="375" t="s">
        <v>831</v>
      </c>
      <c r="AD169" s="375" t="s">
        <v>366</v>
      </c>
      <c r="AE169" s="375" t="s">
        <v>556</v>
      </c>
      <c r="AF169" s="375" t="s">
        <v>252</v>
      </c>
      <c r="AG169" s="375" t="s">
        <v>183</v>
      </c>
      <c r="AH169" s="380">
        <v>28.74</v>
      </c>
      <c r="AI169" s="380">
        <v>24112.9</v>
      </c>
      <c r="AJ169" s="375" t="s">
        <v>184</v>
      </c>
      <c r="AK169" s="375" t="s">
        <v>185</v>
      </c>
      <c r="AL169" s="375" t="s">
        <v>173</v>
      </c>
      <c r="AM169" s="375" t="s">
        <v>186</v>
      </c>
      <c r="AN169" s="375" t="s">
        <v>68</v>
      </c>
      <c r="AO169" s="378">
        <v>80</v>
      </c>
      <c r="AP169" s="384">
        <v>1</v>
      </c>
      <c r="AQ169" s="384">
        <v>1</v>
      </c>
      <c r="AR169" s="383" t="s">
        <v>187</v>
      </c>
      <c r="AS169" s="386">
        <f t="shared" si="115"/>
        <v>1</v>
      </c>
      <c r="AT169">
        <f t="shared" si="116"/>
        <v>1</v>
      </c>
      <c r="AU169" s="386">
        <f>IF(AT169=0,"",IF(AND(AT169=1,M169="F",SUMIF(C2:C557,C169,AS2:AS557)&lt;=1),SUMIF(C2:C557,C169,AS2:AS557),IF(AND(AT169=1,M169="F",SUMIF(C2:C557,C169,AS2:AS557)&gt;1),1,"")))</f>
        <v>1</v>
      </c>
      <c r="AV169" s="386" t="str">
        <f>IF(AT169=0,"",IF(AND(AT169=3,M169="F",SUMIF(C2:C557,C169,AS2:AS557)&lt;=1),SUMIF(C2:C557,C169,AS2:AS557),IF(AND(AT169=3,M169="F",SUMIF(C2:C557,C169,AS2:AS557)&gt;1),1,"")))</f>
        <v/>
      </c>
      <c r="AW169" s="386">
        <f>SUMIF(C2:C557,C169,O2:O557)</f>
        <v>1</v>
      </c>
      <c r="AX169" s="386">
        <f>IF(AND(M169="F",AS169&lt;&gt;0),SUMIF(C2:C557,C169,W2:W557),0)</f>
        <v>59779.199999999997</v>
      </c>
      <c r="AY169" s="386">
        <f t="shared" si="117"/>
        <v>59779.199999999997</v>
      </c>
      <c r="AZ169" s="386" t="str">
        <f t="shared" si="118"/>
        <v/>
      </c>
      <c r="BA169" s="386">
        <f t="shared" si="119"/>
        <v>0</v>
      </c>
      <c r="BB169" s="386">
        <f t="shared" si="88"/>
        <v>11650</v>
      </c>
      <c r="BC169" s="386">
        <f t="shared" si="89"/>
        <v>0</v>
      </c>
      <c r="BD169" s="386">
        <f t="shared" si="90"/>
        <v>3706.3103999999998</v>
      </c>
      <c r="BE169" s="386">
        <f t="shared" si="91"/>
        <v>866.79840000000002</v>
      </c>
      <c r="BF169" s="386">
        <f t="shared" si="92"/>
        <v>7137.6364800000001</v>
      </c>
      <c r="BG169" s="386">
        <f t="shared" si="93"/>
        <v>431.00803200000001</v>
      </c>
      <c r="BH169" s="386">
        <f t="shared" si="94"/>
        <v>292.91807999999997</v>
      </c>
      <c r="BI169" s="386">
        <f t="shared" si="95"/>
        <v>182.92435199999997</v>
      </c>
      <c r="BJ169" s="386">
        <f t="shared" si="96"/>
        <v>143.47007999999997</v>
      </c>
      <c r="BK169" s="386">
        <f t="shared" si="97"/>
        <v>0</v>
      </c>
      <c r="BL169" s="386">
        <f t="shared" si="120"/>
        <v>12761.065823999998</v>
      </c>
      <c r="BM169" s="386">
        <f t="shared" si="121"/>
        <v>0</v>
      </c>
      <c r="BN169" s="386">
        <f t="shared" si="98"/>
        <v>11650</v>
      </c>
      <c r="BO169" s="386">
        <f t="shared" si="99"/>
        <v>0</v>
      </c>
      <c r="BP169" s="386">
        <f t="shared" si="100"/>
        <v>3706.3103999999998</v>
      </c>
      <c r="BQ169" s="386">
        <f t="shared" si="101"/>
        <v>866.79840000000002</v>
      </c>
      <c r="BR169" s="386">
        <f t="shared" si="102"/>
        <v>7137.6364800000001</v>
      </c>
      <c r="BS169" s="386">
        <f t="shared" si="103"/>
        <v>431.00803200000001</v>
      </c>
      <c r="BT169" s="386">
        <f t="shared" si="104"/>
        <v>0</v>
      </c>
      <c r="BU169" s="386">
        <f t="shared" si="105"/>
        <v>182.92435199999997</v>
      </c>
      <c r="BV169" s="386">
        <f t="shared" si="106"/>
        <v>149.44800000000001</v>
      </c>
      <c r="BW169" s="386">
        <f t="shared" si="107"/>
        <v>0</v>
      </c>
      <c r="BX169" s="386">
        <f t="shared" si="122"/>
        <v>12474.125663999999</v>
      </c>
      <c r="BY169" s="386">
        <f t="shared" si="123"/>
        <v>0</v>
      </c>
      <c r="BZ169" s="386">
        <f t="shared" si="124"/>
        <v>0</v>
      </c>
      <c r="CA169" s="386">
        <f t="shared" si="125"/>
        <v>0</v>
      </c>
      <c r="CB169" s="386">
        <f t="shared" si="126"/>
        <v>0</v>
      </c>
      <c r="CC169" s="386">
        <f t="shared" si="108"/>
        <v>0</v>
      </c>
      <c r="CD169" s="386">
        <f t="shared" si="109"/>
        <v>0</v>
      </c>
      <c r="CE169" s="386">
        <f t="shared" si="110"/>
        <v>0</v>
      </c>
      <c r="CF169" s="386">
        <f t="shared" si="111"/>
        <v>-292.91807999999997</v>
      </c>
      <c r="CG169" s="386">
        <f t="shared" si="112"/>
        <v>0</v>
      </c>
      <c r="CH169" s="386">
        <f t="shared" si="113"/>
        <v>5.9779200000000152</v>
      </c>
      <c r="CI169" s="386">
        <f t="shared" si="114"/>
        <v>0</v>
      </c>
      <c r="CJ169" s="386">
        <f t="shared" si="127"/>
        <v>-286.94015999999993</v>
      </c>
      <c r="CK169" s="386" t="str">
        <f t="shared" si="128"/>
        <v/>
      </c>
      <c r="CL169" s="386" t="str">
        <f t="shared" si="129"/>
        <v/>
      </c>
      <c r="CM169" s="386" t="str">
        <f t="shared" si="130"/>
        <v/>
      </c>
      <c r="CN169" s="386" t="str">
        <f t="shared" si="131"/>
        <v>0001-00</v>
      </c>
    </row>
    <row r="170" spans="1:92" ht="15.75" thickBot="1" x14ac:dyDescent="0.3">
      <c r="A170" s="375" t="s">
        <v>161</v>
      </c>
      <c r="B170" s="375" t="s">
        <v>162</v>
      </c>
      <c r="C170" s="375" t="s">
        <v>832</v>
      </c>
      <c r="D170" s="375" t="s">
        <v>324</v>
      </c>
      <c r="E170" s="375" t="s">
        <v>165</v>
      </c>
      <c r="F170" s="376" t="s">
        <v>166</v>
      </c>
      <c r="G170" s="375" t="s">
        <v>549</v>
      </c>
      <c r="H170" s="377"/>
      <c r="I170" s="377"/>
      <c r="J170" s="375" t="s">
        <v>218</v>
      </c>
      <c r="K170" s="375" t="s">
        <v>325</v>
      </c>
      <c r="L170" s="375" t="s">
        <v>170</v>
      </c>
      <c r="M170" s="375" t="s">
        <v>177</v>
      </c>
      <c r="N170" s="375" t="s">
        <v>199</v>
      </c>
      <c r="O170" s="378">
        <v>1</v>
      </c>
      <c r="P170" s="384">
        <v>0.65</v>
      </c>
      <c r="Q170" s="384">
        <v>0.65</v>
      </c>
      <c r="R170" s="379">
        <v>80</v>
      </c>
      <c r="S170" s="384">
        <v>0.65</v>
      </c>
      <c r="T170" s="379">
        <v>28003.06</v>
      </c>
      <c r="U170" s="379">
        <v>0</v>
      </c>
      <c r="V170" s="379">
        <v>12624.87</v>
      </c>
      <c r="W170" s="379">
        <v>33840.559999999998</v>
      </c>
      <c r="X170" s="379">
        <v>14796.41</v>
      </c>
      <c r="Y170" s="379">
        <v>33840.559999999998</v>
      </c>
      <c r="Z170" s="379">
        <v>14633.98</v>
      </c>
      <c r="AA170" s="375" t="s">
        <v>833</v>
      </c>
      <c r="AB170" s="375" t="s">
        <v>204</v>
      </c>
      <c r="AC170" s="375" t="s">
        <v>205</v>
      </c>
      <c r="AD170" s="375" t="s">
        <v>647</v>
      </c>
      <c r="AE170" s="375" t="s">
        <v>325</v>
      </c>
      <c r="AF170" s="375" t="s">
        <v>269</v>
      </c>
      <c r="AG170" s="375" t="s">
        <v>183</v>
      </c>
      <c r="AH170" s="380">
        <v>25.03</v>
      </c>
      <c r="AI170" s="378">
        <v>15437</v>
      </c>
      <c r="AJ170" s="375" t="s">
        <v>184</v>
      </c>
      <c r="AK170" s="375" t="s">
        <v>185</v>
      </c>
      <c r="AL170" s="375" t="s">
        <v>173</v>
      </c>
      <c r="AM170" s="375" t="s">
        <v>186</v>
      </c>
      <c r="AN170" s="375" t="s">
        <v>68</v>
      </c>
      <c r="AO170" s="378">
        <v>80</v>
      </c>
      <c r="AP170" s="384">
        <v>1</v>
      </c>
      <c r="AQ170" s="384">
        <v>0.65</v>
      </c>
      <c r="AR170" s="383" t="s">
        <v>187</v>
      </c>
      <c r="AS170" s="386">
        <f t="shared" si="115"/>
        <v>0.65</v>
      </c>
      <c r="AT170">
        <f t="shared" si="116"/>
        <v>1</v>
      </c>
      <c r="AU170" s="386">
        <f>IF(AT170=0,"",IF(AND(AT170=1,M170="F",SUMIF(C2:C557,C170,AS2:AS557)&lt;=1),SUMIF(C2:C557,C170,AS2:AS557),IF(AND(AT170=1,M170="F",SUMIF(C2:C557,C170,AS2:AS557)&gt;1),1,"")))</f>
        <v>1</v>
      </c>
      <c r="AV170" s="386" t="str">
        <f>IF(AT170=0,"",IF(AND(AT170=3,M170="F",SUMIF(C2:C557,C170,AS2:AS557)&lt;=1),SUMIF(C2:C557,C170,AS2:AS557),IF(AND(AT170=3,M170="F",SUMIF(C2:C557,C170,AS2:AS557)&gt;1),1,"")))</f>
        <v/>
      </c>
      <c r="AW170" s="386">
        <f>SUMIF(C2:C557,C170,O2:O557)</f>
        <v>4</v>
      </c>
      <c r="AX170" s="386">
        <f>IF(AND(M170="F",AS170&lt;&gt;0),SUMIF(C2:C557,C170,W2:W557),0)</f>
        <v>52062.399999999994</v>
      </c>
      <c r="AY170" s="386">
        <f t="shared" si="117"/>
        <v>33840.559999999998</v>
      </c>
      <c r="AZ170" s="386" t="str">
        <f t="shared" si="118"/>
        <v/>
      </c>
      <c r="BA170" s="386">
        <f t="shared" si="119"/>
        <v>0</v>
      </c>
      <c r="BB170" s="386">
        <f t="shared" si="88"/>
        <v>7572.5</v>
      </c>
      <c r="BC170" s="386">
        <f t="shared" si="89"/>
        <v>0</v>
      </c>
      <c r="BD170" s="386">
        <f t="shared" si="90"/>
        <v>2098.11472</v>
      </c>
      <c r="BE170" s="386">
        <f t="shared" si="91"/>
        <v>490.68811999999997</v>
      </c>
      <c r="BF170" s="386">
        <f t="shared" si="92"/>
        <v>4040.562864</v>
      </c>
      <c r="BG170" s="386">
        <f t="shared" si="93"/>
        <v>243.99043759999998</v>
      </c>
      <c r="BH170" s="386">
        <f t="shared" si="94"/>
        <v>165.81874399999998</v>
      </c>
      <c r="BI170" s="386">
        <f t="shared" si="95"/>
        <v>103.55211359999998</v>
      </c>
      <c r="BJ170" s="386">
        <f t="shared" si="96"/>
        <v>81.217343999999983</v>
      </c>
      <c r="BK170" s="386">
        <f t="shared" si="97"/>
        <v>0</v>
      </c>
      <c r="BL170" s="386">
        <f t="shared" si="120"/>
        <v>7223.9443431999998</v>
      </c>
      <c r="BM170" s="386">
        <f t="shared" si="121"/>
        <v>0</v>
      </c>
      <c r="BN170" s="386">
        <f t="shared" si="98"/>
        <v>7572.5</v>
      </c>
      <c r="BO170" s="386">
        <f t="shared" si="99"/>
        <v>0</v>
      </c>
      <c r="BP170" s="386">
        <f t="shared" si="100"/>
        <v>2098.11472</v>
      </c>
      <c r="BQ170" s="386">
        <f t="shared" si="101"/>
        <v>490.68811999999997</v>
      </c>
      <c r="BR170" s="386">
        <f t="shared" si="102"/>
        <v>4040.562864</v>
      </c>
      <c r="BS170" s="386">
        <f t="shared" si="103"/>
        <v>243.99043759999998</v>
      </c>
      <c r="BT170" s="386">
        <f t="shared" si="104"/>
        <v>0</v>
      </c>
      <c r="BU170" s="386">
        <f t="shared" si="105"/>
        <v>103.55211359999998</v>
      </c>
      <c r="BV170" s="386">
        <f t="shared" si="106"/>
        <v>84.601399999999998</v>
      </c>
      <c r="BW170" s="386">
        <f t="shared" si="107"/>
        <v>0</v>
      </c>
      <c r="BX170" s="386">
        <f t="shared" si="122"/>
        <v>7061.5096551999995</v>
      </c>
      <c r="BY170" s="386">
        <f t="shared" si="123"/>
        <v>0</v>
      </c>
      <c r="BZ170" s="386">
        <f t="shared" si="124"/>
        <v>0</v>
      </c>
      <c r="CA170" s="386">
        <f t="shared" si="125"/>
        <v>0</v>
      </c>
      <c r="CB170" s="386">
        <f t="shared" si="126"/>
        <v>0</v>
      </c>
      <c r="CC170" s="386">
        <f t="shared" si="108"/>
        <v>0</v>
      </c>
      <c r="CD170" s="386">
        <f t="shared" si="109"/>
        <v>0</v>
      </c>
      <c r="CE170" s="386">
        <f t="shared" si="110"/>
        <v>0</v>
      </c>
      <c r="CF170" s="386">
        <f t="shared" si="111"/>
        <v>-165.81874399999998</v>
      </c>
      <c r="CG170" s="386">
        <f t="shared" si="112"/>
        <v>0</v>
      </c>
      <c r="CH170" s="386">
        <f t="shared" si="113"/>
        <v>3.3840560000000086</v>
      </c>
      <c r="CI170" s="386">
        <f t="shared" si="114"/>
        <v>0</v>
      </c>
      <c r="CJ170" s="386">
        <f t="shared" si="127"/>
        <v>-162.43468799999997</v>
      </c>
      <c r="CK170" s="386" t="str">
        <f t="shared" si="128"/>
        <v/>
      </c>
      <c r="CL170" s="386" t="str">
        <f t="shared" si="129"/>
        <v/>
      </c>
      <c r="CM170" s="386" t="str">
        <f t="shared" si="130"/>
        <v/>
      </c>
      <c r="CN170" s="386" t="str">
        <f t="shared" si="131"/>
        <v>0001-00</v>
      </c>
    </row>
    <row r="171" spans="1:92" ht="15.75" thickBot="1" x14ac:dyDescent="0.3">
      <c r="A171" s="375" t="s">
        <v>161</v>
      </c>
      <c r="B171" s="375" t="s">
        <v>162</v>
      </c>
      <c r="C171" s="375" t="s">
        <v>834</v>
      </c>
      <c r="D171" s="375" t="s">
        <v>561</v>
      </c>
      <c r="E171" s="375" t="s">
        <v>165</v>
      </c>
      <c r="F171" s="376" t="s">
        <v>166</v>
      </c>
      <c r="G171" s="375" t="s">
        <v>549</v>
      </c>
      <c r="H171" s="377"/>
      <c r="I171" s="377"/>
      <c r="J171" s="375" t="s">
        <v>168</v>
      </c>
      <c r="K171" s="375" t="s">
        <v>562</v>
      </c>
      <c r="L171" s="375" t="s">
        <v>170</v>
      </c>
      <c r="M171" s="375" t="s">
        <v>177</v>
      </c>
      <c r="N171" s="375" t="s">
        <v>199</v>
      </c>
      <c r="O171" s="378">
        <v>1</v>
      </c>
      <c r="P171" s="384">
        <v>1</v>
      </c>
      <c r="Q171" s="384">
        <v>1</v>
      </c>
      <c r="R171" s="379">
        <v>80</v>
      </c>
      <c r="S171" s="384">
        <v>1</v>
      </c>
      <c r="T171" s="379">
        <v>39717.99</v>
      </c>
      <c r="U171" s="379">
        <v>0</v>
      </c>
      <c r="V171" s="379">
        <v>18764.38</v>
      </c>
      <c r="W171" s="379">
        <v>44304</v>
      </c>
      <c r="X171" s="379">
        <v>21107.53</v>
      </c>
      <c r="Y171" s="379">
        <v>44304</v>
      </c>
      <c r="Z171" s="379">
        <v>20894.89</v>
      </c>
      <c r="AA171" s="375" t="s">
        <v>835</v>
      </c>
      <c r="AB171" s="375" t="s">
        <v>836</v>
      </c>
      <c r="AC171" s="375" t="s">
        <v>387</v>
      </c>
      <c r="AD171" s="375" t="s">
        <v>181</v>
      </c>
      <c r="AE171" s="375" t="s">
        <v>550</v>
      </c>
      <c r="AF171" s="375" t="s">
        <v>245</v>
      </c>
      <c r="AG171" s="375" t="s">
        <v>183</v>
      </c>
      <c r="AH171" s="380">
        <v>21.3</v>
      </c>
      <c r="AI171" s="380">
        <v>653.70000000000005</v>
      </c>
      <c r="AJ171" s="375" t="s">
        <v>184</v>
      </c>
      <c r="AK171" s="375" t="s">
        <v>185</v>
      </c>
      <c r="AL171" s="375" t="s">
        <v>173</v>
      </c>
      <c r="AM171" s="375" t="s">
        <v>186</v>
      </c>
      <c r="AN171" s="375" t="s">
        <v>68</v>
      </c>
      <c r="AO171" s="378">
        <v>80</v>
      </c>
      <c r="AP171" s="384">
        <v>1</v>
      </c>
      <c r="AQ171" s="384">
        <v>1</v>
      </c>
      <c r="AR171" s="383">
        <v>3</v>
      </c>
      <c r="AS171" s="386">
        <f t="shared" si="115"/>
        <v>1</v>
      </c>
      <c r="AT171">
        <f t="shared" si="116"/>
        <v>1</v>
      </c>
      <c r="AU171" s="386">
        <f>IF(AT171=0,"",IF(AND(AT171=1,M171="F",SUMIF(C2:C557,C171,AS2:AS557)&lt;=1),SUMIF(C2:C557,C171,AS2:AS557),IF(AND(AT171=1,M171="F",SUMIF(C2:C557,C171,AS2:AS557)&gt;1),1,"")))</f>
        <v>1</v>
      </c>
      <c r="AV171" s="386" t="str">
        <f>IF(AT171=0,"",IF(AND(AT171=3,M171="F",SUMIF(C2:C557,C171,AS2:AS557)&lt;=1),SUMIF(C2:C557,C171,AS2:AS557),IF(AND(AT171=3,M171="F",SUMIF(C2:C557,C171,AS2:AS557)&gt;1),1,"")))</f>
        <v/>
      </c>
      <c r="AW171" s="386">
        <f>SUMIF(C2:C557,C171,O2:O557)</f>
        <v>1</v>
      </c>
      <c r="AX171" s="386">
        <f>IF(AND(M171="F",AS171&lt;&gt;0),SUMIF(C2:C557,C171,W2:W557),0)</f>
        <v>44304</v>
      </c>
      <c r="AY171" s="386">
        <f t="shared" si="117"/>
        <v>44304</v>
      </c>
      <c r="AZ171" s="386" t="str">
        <f t="shared" si="118"/>
        <v/>
      </c>
      <c r="BA171" s="386">
        <f t="shared" si="119"/>
        <v>0</v>
      </c>
      <c r="BB171" s="386">
        <f t="shared" si="88"/>
        <v>11650</v>
      </c>
      <c r="BC171" s="386">
        <f t="shared" si="89"/>
        <v>0</v>
      </c>
      <c r="BD171" s="386">
        <f t="shared" si="90"/>
        <v>2746.848</v>
      </c>
      <c r="BE171" s="386">
        <f t="shared" si="91"/>
        <v>642.40800000000002</v>
      </c>
      <c r="BF171" s="386">
        <f t="shared" si="92"/>
        <v>5289.8976000000002</v>
      </c>
      <c r="BG171" s="386">
        <f t="shared" si="93"/>
        <v>319.43184000000002</v>
      </c>
      <c r="BH171" s="386">
        <f t="shared" si="94"/>
        <v>217.08959999999999</v>
      </c>
      <c r="BI171" s="386">
        <f t="shared" si="95"/>
        <v>135.57023999999998</v>
      </c>
      <c r="BJ171" s="386">
        <f t="shared" si="96"/>
        <v>106.32959999999999</v>
      </c>
      <c r="BK171" s="386">
        <f t="shared" si="97"/>
        <v>0</v>
      </c>
      <c r="BL171" s="386">
        <f t="shared" si="120"/>
        <v>9457.5748799999965</v>
      </c>
      <c r="BM171" s="386">
        <f t="shared" si="121"/>
        <v>0</v>
      </c>
      <c r="BN171" s="386">
        <f t="shared" si="98"/>
        <v>11650</v>
      </c>
      <c r="BO171" s="386">
        <f t="shared" si="99"/>
        <v>0</v>
      </c>
      <c r="BP171" s="386">
        <f t="shared" si="100"/>
        <v>2746.848</v>
      </c>
      <c r="BQ171" s="386">
        <f t="shared" si="101"/>
        <v>642.40800000000002</v>
      </c>
      <c r="BR171" s="386">
        <f t="shared" si="102"/>
        <v>5289.8976000000002</v>
      </c>
      <c r="BS171" s="386">
        <f t="shared" si="103"/>
        <v>319.43184000000002</v>
      </c>
      <c r="BT171" s="386">
        <f t="shared" si="104"/>
        <v>0</v>
      </c>
      <c r="BU171" s="386">
        <f t="shared" si="105"/>
        <v>135.57023999999998</v>
      </c>
      <c r="BV171" s="386">
        <f t="shared" si="106"/>
        <v>110.76</v>
      </c>
      <c r="BW171" s="386">
        <f t="shared" si="107"/>
        <v>0</v>
      </c>
      <c r="BX171" s="386">
        <f t="shared" si="122"/>
        <v>9244.9156799999982</v>
      </c>
      <c r="BY171" s="386">
        <f t="shared" si="123"/>
        <v>0</v>
      </c>
      <c r="BZ171" s="386">
        <f t="shared" si="124"/>
        <v>0</v>
      </c>
      <c r="CA171" s="386">
        <f t="shared" si="125"/>
        <v>0</v>
      </c>
      <c r="CB171" s="386">
        <f t="shared" si="126"/>
        <v>0</v>
      </c>
      <c r="CC171" s="386">
        <f t="shared" si="108"/>
        <v>0</v>
      </c>
      <c r="CD171" s="386">
        <f t="shared" si="109"/>
        <v>0</v>
      </c>
      <c r="CE171" s="386">
        <f t="shared" si="110"/>
        <v>0</v>
      </c>
      <c r="CF171" s="386">
        <f t="shared" si="111"/>
        <v>-217.08959999999999</v>
      </c>
      <c r="CG171" s="386">
        <f t="shared" si="112"/>
        <v>0</v>
      </c>
      <c r="CH171" s="386">
        <f t="shared" si="113"/>
        <v>4.4304000000000112</v>
      </c>
      <c r="CI171" s="386">
        <f t="shared" si="114"/>
        <v>0</v>
      </c>
      <c r="CJ171" s="386">
        <f t="shared" si="127"/>
        <v>-212.65919999999997</v>
      </c>
      <c r="CK171" s="386" t="str">
        <f t="shared" si="128"/>
        <v/>
      </c>
      <c r="CL171" s="386" t="str">
        <f t="shared" si="129"/>
        <v/>
      </c>
      <c r="CM171" s="386" t="str">
        <f t="shared" si="130"/>
        <v/>
      </c>
      <c r="CN171" s="386" t="str">
        <f t="shared" si="131"/>
        <v>0001-00</v>
      </c>
    </row>
    <row r="172" spans="1:92" ht="15.75" thickBot="1" x14ac:dyDescent="0.3">
      <c r="A172" s="375" t="s">
        <v>161</v>
      </c>
      <c r="B172" s="375" t="s">
        <v>162</v>
      </c>
      <c r="C172" s="375" t="s">
        <v>837</v>
      </c>
      <c r="D172" s="375" t="s">
        <v>555</v>
      </c>
      <c r="E172" s="375" t="s">
        <v>165</v>
      </c>
      <c r="F172" s="376" t="s">
        <v>166</v>
      </c>
      <c r="G172" s="375" t="s">
        <v>549</v>
      </c>
      <c r="H172" s="377"/>
      <c r="I172" s="377"/>
      <c r="J172" s="375" t="s">
        <v>272</v>
      </c>
      <c r="K172" s="375" t="s">
        <v>556</v>
      </c>
      <c r="L172" s="375" t="s">
        <v>220</v>
      </c>
      <c r="M172" s="375" t="s">
        <v>177</v>
      </c>
      <c r="N172" s="375" t="s">
        <v>199</v>
      </c>
      <c r="O172" s="378">
        <v>1</v>
      </c>
      <c r="P172" s="384">
        <v>0.85</v>
      </c>
      <c r="Q172" s="384">
        <v>0.85</v>
      </c>
      <c r="R172" s="379">
        <v>80</v>
      </c>
      <c r="S172" s="384">
        <v>0.85</v>
      </c>
      <c r="T172" s="379">
        <v>40346.870000000003</v>
      </c>
      <c r="U172" s="379">
        <v>0</v>
      </c>
      <c r="V172" s="379">
        <v>18138.53</v>
      </c>
      <c r="W172" s="379">
        <v>47877.440000000002</v>
      </c>
      <c r="X172" s="379">
        <v>20122.86</v>
      </c>
      <c r="Y172" s="379">
        <v>47877.440000000002</v>
      </c>
      <c r="Z172" s="379">
        <v>19893.060000000001</v>
      </c>
      <c r="AA172" s="375" t="s">
        <v>838</v>
      </c>
      <c r="AB172" s="375" t="s">
        <v>839</v>
      </c>
      <c r="AC172" s="375" t="s">
        <v>840</v>
      </c>
      <c r="AD172" s="375" t="s">
        <v>352</v>
      </c>
      <c r="AE172" s="375" t="s">
        <v>556</v>
      </c>
      <c r="AF172" s="375" t="s">
        <v>252</v>
      </c>
      <c r="AG172" s="375" t="s">
        <v>183</v>
      </c>
      <c r="AH172" s="380">
        <v>27.08</v>
      </c>
      <c r="AI172" s="378">
        <v>8493</v>
      </c>
      <c r="AJ172" s="375" t="s">
        <v>184</v>
      </c>
      <c r="AK172" s="375" t="s">
        <v>185</v>
      </c>
      <c r="AL172" s="375" t="s">
        <v>173</v>
      </c>
      <c r="AM172" s="375" t="s">
        <v>186</v>
      </c>
      <c r="AN172" s="375" t="s">
        <v>68</v>
      </c>
      <c r="AO172" s="378">
        <v>80</v>
      </c>
      <c r="AP172" s="384">
        <v>1</v>
      </c>
      <c r="AQ172" s="384">
        <v>0.85</v>
      </c>
      <c r="AR172" s="383" t="s">
        <v>187</v>
      </c>
      <c r="AS172" s="386">
        <f t="shared" si="115"/>
        <v>0.85</v>
      </c>
      <c r="AT172">
        <f t="shared" si="116"/>
        <v>1</v>
      </c>
      <c r="AU172" s="386">
        <f>IF(AT172=0,"",IF(AND(AT172=1,M172="F",SUMIF(C2:C557,C172,AS2:AS557)&lt;=1),SUMIF(C2:C557,C172,AS2:AS557),IF(AND(AT172=1,M172="F",SUMIF(C2:C557,C172,AS2:AS557)&gt;1),1,"")))</f>
        <v>1</v>
      </c>
      <c r="AV172" s="386" t="str">
        <f>IF(AT172=0,"",IF(AND(AT172=3,M172="F",SUMIF(C2:C557,C172,AS2:AS557)&lt;=1),SUMIF(C2:C557,C172,AS2:AS557),IF(AND(AT172=3,M172="F",SUMIF(C2:C557,C172,AS2:AS557)&gt;1),1,"")))</f>
        <v/>
      </c>
      <c r="AW172" s="386">
        <f>SUMIF(C2:C557,C172,O2:O557)</f>
        <v>3</v>
      </c>
      <c r="AX172" s="386">
        <f>IF(AND(M172="F",AS172&lt;&gt;0),SUMIF(C2:C557,C172,W2:W557),0)</f>
        <v>56326.400000000001</v>
      </c>
      <c r="AY172" s="386">
        <f t="shared" si="117"/>
        <v>47877.440000000002</v>
      </c>
      <c r="AZ172" s="386" t="str">
        <f t="shared" si="118"/>
        <v/>
      </c>
      <c r="BA172" s="386">
        <f t="shared" si="119"/>
        <v>0</v>
      </c>
      <c r="BB172" s="386">
        <f t="shared" si="88"/>
        <v>9902.5</v>
      </c>
      <c r="BC172" s="386">
        <f t="shared" si="89"/>
        <v>0</v>
      </c>
      <c r="BD172" s="386">
        <f t="shared" si="90"/>
        <v>2968.40128</v>
      </c>
      <c r="BE172" s="386">
        <f t="shared" si="91"/>
        <v>694.22288000000003</v>
      </c>
      <c r="BF172" s="386">
        <f t="shared" si="92"/>
        <v>5716.5663360000008</v>
      </c>
      <c r="BG172" s="386">
        <f t="shared" si="93"/>
        <v>345.19634240000005</v>
      </c>
      <c r="BH172" s="386">
        <f t="shared" si="94"/>
        <v>234.599456</v>
      </c>
      <c r="BI172" s="386">
        <f t="shared" si="95"/>
        <v>146.5049664</v>
      </c>
      <c r="BJ172" s="386">
        <f t="shared" si="96"/>
        <v>114.905856</v>
      </c>
      <c r="BK172" s="386">
        <f t="shared" si="97"/>
        <v>0</v>
      </c>
      <c r="BL172" s="386">
        <f t="shared" si="120"/>
        <v>10220.397116800001</v>
      </c>
      <c r="BM172" s="386">
        <f t="shared" si="121"/>
        <v>0</v>
      </c>
      <c r="BN172" s="386">
        <f t="shared" si="98"/>
        <v>9902.5</v>
      </c>
      <c r="BO172" s="386">
        <f t="shared" si="99"/>
        <v>0</v>
      </c>
      <c r="BP172" s="386">
        <f t="shared" si="100"/>
        <v>2968.40128</v>
      </c>
      <c r="BQ172" s="386">
        <f t="shared" si="101"/>
        <v>694.22288000000003</v>
      </c>
      <c r="BR172" s="386">
        <f t="shared" si="102"/>
        <v>5716.5663360000008</v>
      </c>
      <c r="BS172" s="386">
        <f t="shared" si="103"/>
        <v>345.19634240000005</v>
      </c>
      <c r="BT172" s="386">
        <f t="shared" si="104"/>
        <v>0</v>
      </c>
      <c r="BU172" s="386">
        <f t="shared" si="105"/>
        <v>146.5049664</v>
      </c>
      <c r="BV172" s="386">
        <f t="shared" si="106"/>
        <v>119.6936</v>
      </c>
      <c r="BW172" s="386">
        <f t="shared" si="107"/>
        <v>0</v>
      </c>
      <c r="BX172" s="386">
        <f t="shared" si="122"/>
        <v>9990.5854048000019</v>
      </c>
      <c r="BY172" s="386">
        <f t="shared" si="123"/>
        <v>0</v>
      </c>
      <c r="BZ172" s="386">
        <f t="shared" si="124"/>
        <v>0</v>
      </c>
      <c r="CA172" s="386">
        <f t="shared" si="125"/>
        <v>0</v>
      </c>
      <c r="CB172" s="386">
        <f t="shared" si="126"/>
        <v>0</v>
      </c>
      <c r="CC172" s="386">
        <f t="shared" si="108"/>
        <v>0</v>
      </c>
      <c r="CD172" s="386">
        <f t="shared" si="109"/>
        <v>0</v>
      </c>
      <c r="CE172" s="386">
        <f t="shared" si="110"/>
        <v>0</v>
      </c>
      <c r="CF172" s="386">
        <f t="shared" si="111"/>
        <v>-234.599456</v>
      </c>
      <c r="CG172" s="386">
        <f t="shared" si="112"/>
        <v>0</v>
      </c>
      <c r="CH172" s="386">
        <f t="shared" si="113"/>
        <v>4.7877440000000124</v>
      </c>
      <c r="CI172" s="386">
        <f t="shared" si="114"/>
        <v>0</v>
      </c>
      <c r="CJ172" s="386">
        <f t="shared" si="127"/>
        <v>-229.811712</v>
      </c>
      <c r="CK172" s="386" t="str">
        <f t="shared" si="128"/>
        <v/>
      </c>
      <c r="CL172" s="386" t="str">
        <f t="shared" si="129"/>
        <v/>
      </c>
      <c r="CM172" s="386" t="str">
        <f t="shared" si="130"/>
        <v/>
      </c>
      <c r="CN172" s="386" t="str">
        <f t="shared" si="131"/>
        <v>0001-00</v>
      </c>
    </row>
    <row r="173" spans="1:92" ht="15.75" thickBot="1" x14ac:dyDescent="0.3">
      <c r="A173" s="375" t="s">
        <v>161</v>
      </c>
      <c r="B173" s="375" t="s">
        <v>162</v>
      </c>
      <c r="C173" s="375" t="s">
        <v>841</v>
      </c>
      <c r="D173" s="375" t="s">
        <v>561</v>
      </c>
      <c r="E173" s="375" t="s">
        <v>165</v>
      </c>
      <c r="F173" s="376" t="s">
        <v>166</v>
      </c>
      <c r="G173" s="375" t="s">
        <v>549</v>
      </c>
      <c r="H173" s="377"/>
      <c r="I173" s="377"/>
      <c r="J173" s="375" t="s">
        <v>168</v>
      </c>
      <c r="K173" s="375" t="s">
        <v>562</v>
      </c>
      <c r="L173" s="375" t="s">
        <v>170</v>
      </c>
      <c r="M173" s="375" t="s">
        <v>177</v>
      </c>
      <c r="N173" s="375" t="s">
        <v>199</v>
      </c>
      <c r="O173" s="378">
        <v>1</v>
      </c>
      <c r="P173" s="384">
        <v>1</v>
      </c>
      <c r="Q173" s="384">
        <v>1</v>
      </c>
      <c r="R173" s="379">
        <v>80</v>
      </c>
      <c r="S173" s="384">
        <v>1</v>
      </c>
      <c r="T173" s="379">
        <v>41322.839999999997</v>
      </c>
      <c r="U173" s="379">
        <v>0</v>
      </c>
      <c r="V173" s="379">
        <v>18680.849999999999</v>
      </c>
      <c r="W173" s="379">
        <v>42952</v>
      </c>
      <c r="X173" s="379">
        <v>20818.93</v>
      </c>
      <c r="Y173" s="379">
        <v>42952</v>
      </c>
      <c r="Z173" s="379">
        <v>20612.77</v>
      </c>
      <c r="AA173" s="375" t="s">
        <v>842</v>
      </c>
      <c r="AB173" s="375" t="s">
        <v>843</v>
      </c>
      <c r="AC173" s="375" t="s">
        <v>844</v>
      </c>
      <c r="AD173" s="375" t="s">
        <v>181</v>
      </c>
      <c r="AE173" s="375" t="s">
        <v>550</v>
      </c>
      <c r="AF173" s="375" t="s">
        <v>245</v>
      </c>
      <c r="AG173" s="375" t="s">
        <v>183</v>
      </c>
      <c r="AH173" s="380">
        <v>20.65</v>
      </c>
      <c r="AI173" s="378">
        <v>0</v>
      </c>
      <c r="AJ173" s="375" t="s">
        <v>184</v>
      </c>
      <c r="AK173" s="375" t="s">
        <v>185</v>
      </c>
      <c r="AL173" s="375" t="s">
        <v>173</v>
      </c>
      <c r="AM173" s="375" t="s">
        <v>186</v>
      </c>
      <c r="AN173" s="375" t="s">
        <v>68</v>
      </c>
      <c r="AO173" s="378">
        <v>80</v>
      </c>
      <c r="AP173" s="384">
        <v>1</v>
      </c>
      <c r="AQ173" s="384">
        <v>1</v>
      </c>
      <c r="AR173" s="383">
        <v>3</v>
      </c>
      <c r="AS173" s="386">
        <f t="shared" si="115"/>
        <v>1</v>
      </c>
      <c r="AT173">
        <f t="shared" si="116"/>
        <v>1</v>
      </c>
      <c r="AU173" s="386">
        <f>IF(AT173=0,"",IF(AND(AT173=1,M173="F",SUMIF(C2:C557,C173,AS2:AS557)&lt;=1),SUMIF(C2:C557,C173,AS2:AS557),IF(AND(AT173=1,M173="F",SUMIF(C2:C557,C173,AS2:AS557)&gt;1),1,"")))</f>
        <v>1</v>
      </c>
      <c r="AV173" s="386" t="str">
        <f>IF(AT173=0,"",IF(AND(AT173=3,M173="F",SUMIF(C2:C557,C173,AS2:AS557)&lt;=1),SUMIF(C2:C557,C173,AS2:AS557),IF(AND(AT173=3,M173="F",SUMIF(C2:C557,C173,AS2:AS557)&gt;1),1,"")))</f>
        <v/>
      </c>
      <c r="AW173" s="386">
        <f>SUMIF(C2:C557,C173,O2:O557)</f>
        <v>1</v>
      </c>
      <c r="AX173" s="386">
        <f>IF(AND(M173="F",AS173&lt;&gt;0),SUMIF(C2:C557,C173,W2:W557),0)</f>
        <v>42952</v>
      </c>
      <c r="AY173" s="386">
        <f t="shared" si="117"/>
        <v>42952</v>
      </c>
      <c r="AZ173" s="386" t="str">
        <f t="shared" si="118"/>
        <v/>
      </c>
      <c r="BA173" s="386">
        <f t="shared" si="119"/>
        <v>0</v>
      </c>
      <c r="BB173" s="386">
        <f t="shared" si="88"/>
        <v>11650</v>
      </c>
      <c r="BC173" s="386">
        <f t="shared" si="89"/>
        <v>0</v>
      </c>
      <c r="BD173" s="386">
        <f t="shared" si="90"/>
        <v>2663.0239999999999</v>
      </c>
      <c r="BE173" s="386">
        <f t="shared" si="91"/>
        <v>622.80400000000009</v>
      </c>
      <c r="BF173" s="386">
        <f t="shared" si="92"/>
        <v>5128.4688000000006</v>
      </c>
      <c r="BG173" s="386">
        <f t="shared" si="93"/>
        <v>309.68392</v>
      </c>
      <c r="BH173" s="386">
        <f t="shared" si="94"/>
        <v>210.4648</v>
      </c>
      <c r="BI173" s="386">
        <f t="shared" si="95"/>
        <v>131.43312</v>
      </c>
      <c r="BJ173" s="386">
        <f t="shared" si="96"/>
        <v>103.08479999999999</v>
      </c>
      <c r="BK173" s="386">
        <f t="shared" si="97"/>
        <v>0</v>
      </c>
      <c r="BL173" s="386">
        <f t="shared" si="120"/>
        <v>9168.9634399999995</v>
      </c>
      <c r="BM173" s="386">
        <f t="shared" si="121"/>
        <v>0</v>
      </c>
      <c r="BN173" s="386">
        <f t="shared" si="98"/>
        <v>11650</v>
      </c>
      <c r="BO173" s="386">
        <f t="shared" si="99"/>
        <v>0</v>
      </c>
      <c r="BP173" s="386">
        <f t="shared" si="100"/>
        <v>2663.0239999999999</v>
      </c>
      <c r="BQ173" s="386">
        <f t="shared" si="101"/>
        <v>622.80400000000009</v>
      </c>
      <c r="BR173" s="386">
        <f t="shared" si="102"/>
        <v>5128.4688000000006</v>
      </c>
      <c r="BS173" s="386">
        <f t="shared" si="103"/>
        <v>309.68392</v>
      </c>
      <c r="BT173" s="386">
        <f t="shared" si="104"/>
        <v>0</v>
      </c>
      <c r="BU173" s="386">
        <f t="shared" si="105"/>
        <v>131.43312</v>
      </c>
      <c r="BV173" s="386">
        <f t="shared" si="106"/>
        <v>107.38</v>
      </c>
      <c r="BW173" s="386">
        <f t="shared" si="107"/>
        <v>0</v>
      </c>
      <c r="BX173" s="386">
        <f t="shared" si="122"/>
        <v>8962.7938399999985</v>
      </c>
      <c r="BY173" s="386">
        <f t="shared" si="123"/>
        <v>0</v>
      </c>
      <c r="BZ173" s="386">
        <f t="shared" si="124"/>
        <v>0</v>
      </c>
      <c r="CA173" s="386">
        <f t="shared" si="125"/>
        <v>0</v>
      </c>
      <c r="CB173" s="386">
        <f t="shared" si="126"/>
        <v>0</v>
      </c>
      <c r="CC173" s="386">
        <f t="shared" si="108"/>
        <v>0</v>
      </c>
      <c r="CD173" s="386">
        <f t="shared" si="109"/>
        <v>0</v>
      </c>
      <c r="CE173" s="386">
        <f t="shared" si="110"/>
        <v>0</v>
      </c>
      <c r="CF173" s="386">
        <f t="shared" si="111"/>
        <v>-210.4648</v>
      </c>
      <c r="CG173" s="386">
        <f t="shared" si="112"/>
        <v>0</v>
      </c>
      <c r="CH173" s="386">
        <f t="shared" si="113"/>
        <v>4.295200000000011</v>
      </c>
      <c r="CI173" s="386">
        <f t="shared" si="114"/>
        <v>0</v>
      </c>
      <c r="CJ173" s="386">
        <f t="shared" si="127"/>
        <v>-206.16959999999997</v>
      </c>
      <c r="CK173" s="386" t="str">
        <f t="shared" si="128"/>
        <v/>
      </c>
      <c r="CL173" s="386" t="str">
        <f t="shared" si="129"/>
        <v/>
      </c>
      <c r="CM173" s="386" t="str">
        <f t="shared" si="130"/>
        <v/>
      </c>
      <c r="CN173" s="386" t="str">
        <f t="shared" si="131"/>
        <v>0001-00</v>
      </c>
    </row>
    <row r="174" spans="1:92" ht="15.75" thickBot="1" x14ac:dyDescent="0.3">
      <c r="A174" s="375" t="s">
        <v>161</v>
      </c>
      <c r="B174" s="375" t="s">
        <v>162</v>
      </c>
      <c r="C174" s="375" t="s">
        <v>845</v>
      </c>
      <c r="D174" s="375" t="s">
        <v>239</v>
      </c>
      <c r="E174" s="375" t="s">
        <v>165</v>
      </c>
      <c r="F174" s="376" t="s">
        <v>166</v>
      </c>
      <c r="G174" s="375" t="s">
        <v>549</v>
      </c>
      <c r="H174" s="377"/>
      <c r="I174" s="377"/>
      <c r="J174" s="375" t="s">
        <v>168</v>
      </c>
      <c r="K174" s="375" t="s">
        <v>240</v>
      </c>
      <c r="L174" s="375" t="s">
        <v>198</v>
      </c>
      <c r="M174" s="375" t="s">
        <v>177</v>
      </c>
      <c r="N174" s="375" t="s">
        <v>199</v>
      </c>
      <c r="O174" s="378">
        <v>1</v>
      </c>
      <c r="P174" s="384">
        <v>1</v>
      </c>
      <c r="Q174" s="384">
        <v>1</v>
      </c>
      <c r="R174" s="379">
        <v>80</v>
      </c>
      <c r="S174" s="384">
        <v>1</v>
      </c>
      <c r="T174" s="379">
        <v>36842.400000000001</v>
      </c>
      <c r="U174" s="379">
        <v>0</v>
      </c>
      <c r="V174" s="379">
        <v>17210.04</v>
      </c>
      <c r="W174" s="379">
        <v>46092.800000000003</v>
      </c>
      <c r="X174" s="379">
        <v>21489.4</v>
      </c>
      <c r="Y174" s="379">
        <v>46092.800000000003</v>
      </c>
      <c r="Z174" s="379">
        <v>21268.16</v>
      </c>
      <c r="AA174" s="375" t="s">
        <v>846</v>
      </c>
      <c r="AB174" s="375" t="s">
        <v>847</v>
      </c>
      <c r="AC174" s="375" t="s">
        <v>848</v>
      </c>
      <c r="AD174" s="375" t="s">
        <v>214</v>
      </c>
      <c r="AE174" s="375" t="s">
        <v>240</v>
      </c>
      <c r="AF174" s="375" t="s">
        <v>245</v>
      </c>
      <c r="AG174" s="375" t="s">
        <v>183</v>
      </c>
      <c r="AH174" s="380">
        <v>22.16</v>
      </c>
      <c r="AI174" s="378">
        <v>20720</v>
      </c>
      <c r="AJ174" s="375" t="s">
        <v>184</v>
      </c>
      <c r="AK174" s="375" t="s">
        <v>185</v>
      </c>
      <c r="AL174" s="375" t="s">
        <v>173</v>
      </c>
      <c r="AM174" s="375" t="s">
        <v>186</v>
      </c>
      <c r="AN174" s="375" t="s">
        <v>68</v>
      </c>
      <c r="AO174" s="378">
        <v>80</v>
      </c>
      <c r="AP174" s="384">
        <v>1</v>
      </c>
      <c r="AQ174" s="384">
        <v>1</v>
      </c>
      <c r="AR174" s="383" t="s">
        <v>187</v>
      </c>
      <c r="AS174" s="386">
        <f t="shared" si="115"/>
        <v>1</v>
      </c>
      <c r="AT174">
        <f t="shared" si="116"/>
        <v>1</v>
      </c>
      <c r="AU174" s="386">
        <f>IF(AT174=0,"",IF(AND(AT174=1,M174="F",SUMIF(C2:C557,C174,AS2:AS557)&lt;=1),SUMIF(C2:C557,C174,AS2:AS557),IF(AND(AT174=1,M174="F",SUMIF(C2:C557,C174,AS2:AS557)&gt;1),1,"")))</f>
        <v>1</v>
      </c>
      <c r="AV174" s="386" t="str">
        <f>IF(AT174=0,"",IF(AND(AT174=3,M174="F",SUMIF(C2:C557,C174,AS2:AS557)&lt;=1),SUMIF(C2:C557,C174,AS2:AS557),IF(AND(AT174=3,M174="F",SUMIF(C2:C557,C174,AS2:AS557)&gt;1),1,"")))</f>
        <v/>
      </c>
      <c r="AW174" s="386">
        <f>SUMIF(C2:C557,C174,O2:O557)</f>
        <v>1</v>
      </c>
      <c r="AX174" s="386">
        <f>IF(AND(M174="F",AS174&lt;&gt;0),SUMIF(C2:C557,C174,W2:W557),0)</f>
        <v>46092.800000000003</v>
      </c>
      <c r="AY174" s="386">
        <f t="shared" si="117"/>
        <v>46092.800000000003</v>
      </c>
      <c r="AZ174" s="386" t="str">
        <f t="shared" si="118"/>
        <v/>
      </c>
      <c r="BA174" s="386">
        <f t="shared" si="119"/>
        <v>0</v>
      </c>
      <c r="BB174" s="386">
        <f t="shared" si="88"/>
        <v>11650</v>
      </c>
      <c r="BC174" s="386">
        <f t="shared" si="89"/>
        <v>0</v>
      </c>
      <c r="BD174" s="386">
        <f t="shared" si="90"/>
        <v>2857.7536</v>
      </c>
      <c r="BE174" s="386">
        <f t="shared" si="91"/>
        <v>668.3456000000001</v>
      </c>
      <c r="BF174" s="386">
        <f t="shared" si="92"/>
        <v>5503.4803200000006</v>
      </c>
      <c r="BG174" s="386">
        <f t="shared" si="93"/>
        <v>332.32908800000001</v>
      </c>
      <c r="BH174" s="386">
        <f t="shared" si="94"/>
        <v>225.85472000000001</v>
      </c>
      <c r="BI174" s="386">
        <f t="shared" si="95"/>
        <v>141.04396800000001</v>
      </c>
      <c r="BJ174" s="386">
        <f t="shared" si="96"/>
        <v>110.62272</v>
      </c>
      <c r="BK174" s="386">
        <f t="shared" si="97"/>
        <v>0</v>
      </c>
      <c r="BL174" s="386">
        <f t="shared" si="120"/>
        <v>9839.4300160000003</v>
      </c>
      <c r="BM174" s="386">
        <f t="shared" si="121"/>
        <v>0</v>
      </c>
      <c r="BN174" s="386">
        <f t="shared" si="98"/>
        <v>11650</v>
      </c>
      <c r="BO174" s="386">
        <f t="shared" si="99"/>
        <v>0</v>
      </c>
      <c r="BP174" s="386">
        <f t="shared" si="100"/>
        <v>2857.7536</v>
      </c>
      <c r="BQ174" s="386">
        <f t="shared" si="101"/>
        <v>668.3456000000001</v>
      </c>
      <c r="BR174" s="386">
        <f t="shared" si="102"/>
        <v>5503.4803200000006</v>
      </c>
      <c r="BS174" s="386">
        <f t="shared" si="103"/>
        <v>332.32908800000001</v>
      </c>
      <c r="BT174" s="386">
        <f t="shared" si="104"/>
        <v>0</v>
      </c>
      <c r="BU174" s="386">
        <f t="shared" si="105"/>
        <v>141.04396800000001</v>
      </c>
      <c r="BV174" s="386">
        <f t="shared" si="106"/>
        <v>115.23200000000001</v>
      </c>
      <c r="BW174" s="386">
        <f t="shared" si="107"/>
        <v>0</v>
      </c>
      <c r="BX174" s="386">
        <f t="shared" si="122"/>
        <v>9618.1845760000015</v>
      </c>
      <c r="BY174" s="386">
        <f t="shared" si="123"/>
        <v>0</v>
      </c>
      <c r="BZ174" s="386">
        <f t="shared" si="124"/>
        <v>0</v>
      </c>
      <c r="CA174" s="386">
        <f t="shared" si="125"/>
        <v>0</v>
      </c>
      <c r="CB174" s="386">
        <f t="shared" si="126"/>
        <v>0</v>
      </c>
      <c r="CC174" s="386">
        <f t="shared" si="108"/>
        <v>0</v>
      </c>
      <c r="CD174" s="386">
        <f t="shared" si="109"/>
        <v>0</v>
      </c>
      <c r="CE174" s="386">
        <f t="shared" si="110"/>
        <v>0</v>
      </c>
      <c r="CF174" s="386">
        <f t="shared" si="111"/>
        <v>-225.85472000000001</v>
      </c>
      <c r="CG174" s="386">
        <f t="shared" si="112"/>
        <v>0</v>
      </c>
      <c r="CH174" s="386">
        <f t="shared" si="113"/>
        <v>4.6092800000000125</v>
      </c>
      <c r="CI174" s="386">
        <f t="shared" si="114"/>
        <v>0</v>
      </c>
      <c r="CJ174" s="386">
        <f t="shared" si="127"/>
        <v>-221.24544</v>
      </c>
      <c r="CK174" s="386" t="str">
        <f t="shared" si="128"/>
        <v/>
      </c>
      <c r="CL174" s="386" t="str">
        <f t="shared" si="129"/>
        <v/>
      </c>
      <c r="CM174" s="386" t="str">
        <f t="shared" si="130"/>
        <v/>
      </c>
      <c r="CN174" s="386" t="str">
        <f t="shared" si="131"/>
        <v>0001-00</v>
      </c>
    </row>
    <row r="175" spans="1:92" ht="15.75" thickBot="1" x14ac:dyDescent="0.3">
      <c r="A175" s="375" t="s">
        <v>161</v>
      </c>
      <c r="B175" s="375" t="s">
        <v>162</v>
      </c>
      <c r="C175" s="375" t="s">
        <v>849</v>
      </c>
      <c r="D175" s="375" t="s">
        <v>561</v>
      </c>
      <c r="E175" s="375" t="s">
        <v>165</v>
      </c>
      <c r="F175" s="376" t="s">
        <v>166</v>
      </c>
      <c r="G175" s="375" t="s">
        <v>549</v>
      </c>
      <c r="H175" s="377"/>
      <c r="I175" s="377"/>
      <c r="J175" s="375" t="s">
        <v>168</v>
      </c>
      <c r="K175" s="375" t="s">
        <v>562</v>
      </c>
      <c r="L175" s="375" t="s">
        <v>170</v>
      </c>
      <c r="M175" s="375" t="s">
        <v>177</v>
      </c>
      <c r="N175" s="375" t="s">
        <v>199</v>
      </c>
      <c r="O175" s="378">
        <v>1</v>
      </c>
      <c r="P175" s="384">
        <v>1</v>
      </c>
      <c r="Q175" s="384">
        <v>1</v>
      </c>
      <c r="R175" s="379">
        <v>80</v>
      </c>
      <c r="S175" s="384">
        <v>1</v>
      </c>
      <c r="T175" s="379">
        <v>49631.56</v>
      </c>
      <c r="U175" s="379">
        <v>0</v>
      </c>
      <c r="V175" s="379">
        <v>21694.27</v>
      </c>
      <c r="W175" s="379">
        <v>50793.599999999999</v>
      </c>
      <c r="X175" s="379">
        <v>22492.87</v>
      </c>
      <c r="Y175" s="379">
        <v>50793.599999999999</v>
      </c>
      <c r="Z175" s="379">
        <v>22249.07</v>
      </c>
      <c r="AA175" s="375" t="s">
        <v>850</v>
      </c>
      <c r="AB175" s="375" t="s">
        <v>851</v>
      </c>
      <c r="AC175" s="375" t="s">
        <v>852</v>
      </c>
      <c r="AD175" s="375" t="s">
        <v>261</v>
      </c>
      <c r="AE175" s="375" t="s">
        <v>562</v>
      </c>
      <c r="AF175" s="375" t="s">
        <v>269</v>
      </c>
      <c r="AG175" s="375" t="s">
        <v>183</v>
      </c>
      <c r="AH175" s="380">
        <v>24.42</v>
      </c>
      <c r="AI175" s="380">
        <v>15496.6</v>
      </c>
      <c r="AJ175" s="375" t="s">
        <v>184</v>
      </c>
      <c r="AK175" s="375" t="s">
        <v>185</v>
      </c>
      <c r="AL175" s="375" t="s">
        <v>173</v>
      </c>
      <c r="AM175" s="375" t="s">
        <v>186</v>
      </c>
      <c r="AN175" s="375" t="s">
        <v>68</v>
      </c>
      <c r="AO175" s="378">
        <v>80</v>
      </c>
      <c r="AP175" s="384">
        <v>1</v>
      </c>
      <c r="AQ175" s="384">
        <v>1</v>
      </c>
      <c r="AR175" s="383" t="s">
        <v>187</v>
      </c>
      <c r="AS175" s="386">
        <f t="shared" si="115"/>
        <v>1</v>
      </c>
      <c r="AT175">
        <f t="shared" si="116"/>
        <v>1</v>
      </c>
      <c r="AU175" s="386">
        <f>IF(AT175=0,"",IF(AND(AT175=1,M175="F",SUMIF(C2:C557,C175,AS2:AS557)&lt;=1),SUMIF(C2:C557,C175,AS2:AS557),IF(AND(AT175=1,M175="F",SUMIF(C2:C557,C175,AS2:AS557)&gt;1),1,"")))</f>
        <v>1</v>
      </c>
      <c r="AV175" s="386" t="str">
        <f>IF(AT175=0,"",IF(AND(AT175=3,M175="F",SUMIF(C2:C557,C175,AS2:AS557)&lt;=1),SUMIF(C2:C557,C175,AS2:AS557),IF(AND(AT175=3,M175="F",SUMIF(C2:C557,C175,AS2:AS557)&gt;1),1,"")))</f>
        <v/>
      </c>
      <c r="AW175" s="386">
        <f>SUMIF(C2:C557,C175,O2:O557)</f>
        <v>1</v>
      </c>
      <c r="AX175" s="386">
        <f>IF(AND(M175="F",AS175&lt;&gt;0),SUMIF(C2:C557,C175,W2:W557),0)</f>
        <v>50793.599999999999</v>
      </c>
      <c r="AY175" s="386">
        <f t="shared" si="117"/>
        <v>50793.599999999999</v>
      </c>
      <c r="AZ175" s="386" t="str">
        <f t="shared" si="118"/>
        <v/>
      </c>
      <c r="BA175" s="386">
        <f t="shared" si="119"/>
        <v>0</v>
      </c>
      <c r="BB175" s="386">
        <f t="shared" si="88"/>
        <v>11650</v>
      </c>
      <c r="BC175" s="386">
        <f t="shared" si="89"/>
        <v>0</v>
      </c>
      <c r="BD175" s="386">
        <f t="shared" si="90"/>
        <v>3149.2031999999999</v>
      </c>
      <c r="BE175" s="386">
        <f t="shared" si="91"/>
        <v>736.50720000000001</v>
      </c>
      <c r="BF175" s="386">
        <f t="shared" si="92"/>
        <v>6064.7558399999998</v>
      </c>
      <c r="BG175" s="386">
        <f t="shared" si="93"/>
        <v>366.221856</v>
      </c>
      <c r="BH175" s="386">
        <f t="shared" si="94"/>
        <v>248.88863999999998</v>
      </c>
      <c r="BI175" s="386">
        <f t="shared" si="95"/>
        <v>155.428416</v>
      </c>
      <c r="BJ175" s="386">
        <f t="shared" si="96"/>
        <v>121.90463999999999</v>
      </c>
      <c r="BK175" s="386">
        <f t="shared" si="97"/>
        <v>0</v>
      </c>
      <c r="BL175" s="386">
        <f t="shared" si="120"/>
        <v>10842.909792</v>
      </c>
      <c r="BM175" s="386">
        <f t="shared" si="121"/>
        <v>0</v>
      </c>
      <c r="BN175" s="386">
        <f t="shared" si="98"/>
        <v>11650</v>
      </c>
      <c r="BO175" s="386">
        <f t="shared" si="99"/>
        <v>0</v>
      </c>
      <c r="BP175" s="386">
        <f t="shared" si="100"/>
        <v>3149.2031999999999</v>
      </c>
      <c r="BQ175" s="386">
        <f t="shared" si="101"/>
        <v>736.50720000000001</v>
      </c>
      <c r="BR175" s="386">
        <f t="shared" si="102"/>
        <v>6064.7558399999998</v>
      </c>
      <c r="BS175" s="386">
        <f t="shared" si="103"/>
        <v>366.221856</v>
      </c>
      <c r="BT175" s="386">
        <f t="shared" si="104"/>
        <v>0</v>
      </c>
      <c r="BU175" s="386">
        <f t="shared" si="105"/>
        <v>155.428416</v>
      </c>
      <c r="BV175" s="386">
        <f t="shared" si="106"/>
        <v>126.98399999999999</v>
      </c>
      <c r="BW175" s="386">
        <f t="shared" si="107"/>
        <v>0</v>
      </c>
      <c r="BX175" s="386">
        <f t="shared" si="122"/>
        <v>10599.100512000001</v>
      </c>
      <c r="BY175" s="386">
        <f t="shared" si="123"/>
        <v>0</v>
      </c>
      <c r="BZ175" s="386">
        <f t="shared" si="124"/>
        <v>0</v>
      </c>
      <c r="CA175" s="386">
        <f t="shared" si="125"/>
        <v>0</v>
      </c>
      <c r="CB175" s="386">
        <f t="shared" si="126"/>
        <v>0</v>
      </c>
      <c r="CC175" s="386">
        <f t="shared" si="108"/>
        <v>0</v>
      </c>
      <c r="CD175" s="386">
        <f t="shared" si="109"/>
        <v>0</v>
      </c>
      <c r="CE175" s="386">
        <f t="shared" si="110"/>
        <v>0</v>
      </c>
      <c r="CF175" s="386">
        <f t="shared" si="111"/>
        <v>-248.88863999999998</v>
      </c>
      <c r="CG175" s="386">
        <f t="shared" si="112"/>
        <v>0</v>
      </c>
      <c r="CH175" s="386">
        <f t="shared" si="113"/>
        <v>5.0793600000000128</v>
      </c>
      <c r="CI175" s="386">
        <f t="shared" si="114"/>
        <v>0</v>
      </c>
      <c r="CJ175" s="386">
        <f t="shared" si="127"/>
        <v>-243.80927999999997</v>
      </c>
      <c r="CK175" s="386" t="str">
        <f t="shared" si="128"/>
        <v/>
      </c>
      <c r="CL175" s="386" t="str">
        <f t="shared" si="129"/>
        <v/>
      </c>
      <c r="CM175" s="386" t="str">
        <f t="shared" si="130"/>
        <v/>
      </c>
      <c r="CN175" s="386" t="str">
        <f t="shared" si="131"/>
        <v>0001-00</v>
      </c>
    </row>
    <row r="176" spans="1:92" ht="15.75" thickBot="1" x14ac:dyDescent="0.3">
      <c r="A176" s="375" t="s">
        <v>161</v>
      </c>
      <c r="B176" s="375" t="s">
        <v>162</v>
      </c>
      <c r="C176" s="375" t="s">
        <v>853</v>
      </c>
      <c r="D176" s="375" t="s">
        <v>561</v>
      </c>
      <c r="E176" s="375" t="s">
        <v>165</v>
      </c>
      <c r="F176" s="376" t="s">
        <v>166</v>
      </c>
      <c r="G176" s="375" t="s">
        <v>549</v>
      </c>
      <c r="H176" s="377"/>
      <c r="I176" s="377"/>
      <c r="J176" s="375" t="s">
        <v>168</v>
      </c>
      <c r="K176" s="375" t="s">
        <v>562</v>
      </c>
      <c r="L176" s="375" t="s">
        <v>170</v>
      </c>
      <c r="M176" s="375" t="s">
        <v>177</v>
      </c>
      <c r="N176" s="375" t="s">
        <v>199</v>
      </c>
      <c r="O176" s="378">
        <v>1</v>
      </c>
      <c r="P176" s="384">
        <v>1</v>
      </c>
      <c r="Q176" s="384">
        <v>1</v>
      </c>
      <c r="R176" s="379">
        <v>80</v>
      </c>
      <c r="S176" s="384">
        <v>1</v>
      </c>
      <c r="T176" s="379">
        <v>43793.56</v>
      </c>
      <c r="U176" s="379">
        <v>0</v>
      </c>
      <c r="V176" s="379">
        <v>21180.33</v>
      </c>
      <c r="W176" s="379">
        <v>50024</v>
      </c>
      <c r="X176" s="379">
        <v>22328.58</v>
      </c>
      <c r="Y176" s="379">
        <v>50024</v>
      </c>
      <c r="Z176" s="379">
        <v>22088.48</v>
      </c>
      <c r="AA176" s="375" t="s">
        <v>854</v>
      </c>
      <c r="AB176" s="375" t="s">
        <v>855</v>
      </c>
      <c r="AC176" s="375" t="s">
        <v>856</v>
      </c>
      <c r="AD176" s="375" t="s">
        <v>220</v>
      </c>
      <c r="AE176" s="375" t="s">
        <v>562</v>
      </c>
      <c r="AF176" s="375" t="s">
        <v>269</v>
      </c>
      <c r="AG176" s="375" t="s">
        <v>183</v>
      </c>
      <c r="AH176" s="380">
        <v>24.05</v>
      </c>
      <c r="AI176" s="378">
        <v>3120</v>
      </c>
      <c r="AJ176" s="375" t="s">
        <v>184</v>
      </c>
      <c r="AK176" s="375" t="s">
        <v>185</v>
      </c>
      <c r="AL176" s="375" t="s">
        <v>173</v>
      </c>
      <c r="AM176" s="375" t="s">
        <v>186</v>
      </c>
      <c r="AN176" s="375" t="s">
        <v>68</v>
      </c>
      <c r="AO176" s="378">
        <v>80</v>
      </c>
      <c r="AP176" s="384">
        <v>1</v>
      </c>
      <c r="AQ176" s="384">
        <v>1</v>
      </c>
      <c r="AR176" s="383" t="s">
        <v>187</v>
      </c>
      <c r="AS176" s="386">
        <f t="shared" si="115"/>
        <v>1</v>
      </c>
      <c r="AT176">
        <f t="shared" si="116"/>
        <v>1</v>
      </c>
      <c r="AU176" s="386">
        <f>IF(AT176=0,"",IF(AND(AT176=1,M176="F",SUMIF(C2:C557,C176,AS2:AS557)&lt;=1),SUMIF(C2:C557,C176,AS2:AS557),IF(AND(AT176=1,M176="F",SUMIF(C2:C557,C176,AS2:AS557)&gt;1),1,"")))</f>
        <v>1</v>
      </c>
      <c r="AV176" s="386" t="str">
        <f>IF(AT176=0,"",IF(AND(AT176=3,M176="F",SUMIF(C2:C557,C176,AS2:AS557)&lt;=1),SUMIF(C2:C557,C176,AS2:AS557),IF(AND(AT176=3,M176="F",SUMIF(C2:C557,C176,AS2:AS557)&gt;1),1,"")))</f>
        <v/>
      </c>
      <c r="AW176" s="386">
        <f>SUMIF(C2:C557,C176,O2:O557)</f>
        <v>1</v>
      </c>
      <c r="AX176" s="386">
        <f>IF(AND(M176="F",AS176&lt;&gt;0),SUMIF(C2:C557,C176,W2:W557),0)</f>
        <v>50024</v>
      </c>
      <c r="AY176" s="386">
        <f t="shared" si="117"/>
        <v>50024</v>
      </c>
      <c r="AZ176" s="386" t="str">
        <f t="shared" si="118"/>
        <v/>
      </c>
      <c r="BA176" s="386">
        <f t="shared" si="119"/>
        <v>0</v>
      </c>
      <c r="BB176" s="386">
        <f t="shared" si="88"/>
        <v>11650</v>
      </c>
      <c r="BC176" s="386">
        <f t="shared" si="89"/>
        <v>0</v>
      </c>
      <c r="BD176" s="386">
        <f t="shared" si="90"/>
        <v>3101.4879999999998</v>
      </c>
      <c r="BE176" s="386">
        <f t="shared" si="91"/>
        <v>725.34800000000007</v>
      </c>
      <c r="BF176" s="386">
        <f t="shared" si="92"/>
        <v>5972.8656000000001</v>
      </c>
      <c r="BG176" s="386">
        <f t="shared" si="93"/>
        <v>360.67304000000001</v>
      </c>
      <c r="BH176" s="386">
        <f t="shared" si="94"/>
        <v>245.11759999999998</v>
      </c>
      <c r="BI176" s="386">
        <f t="shared" si="95"/>
        <v>153.07343999999998</v>
      </c>
      <c r="BJ176" s="386">
        <f t="shared" si="96"/>
        <v>120.05759999999999</v>
      </c>
      <c r="BK176" s="386">
        <f t="shared" si="97"/>
        <v>0</v>
      </c>
      <c r="BL176" s="386">
        <f t="shared" si="120"/>
        <v>10678.62328</v>
      </c>
      <c r="BM176" s="386">
        <f t="shared" si="121"/>
        <v>0</v>
      </c>
      <c r="BN176" s="386">
        <f t="shared" si="98"/>
        <v>11650</v>
      </c>
      <c r="BO176" s="386">
        <f t="shared" si="99"/>
        <v>0</v>
      </c>
      <c r="BP176" s="386">
        <f t="shared" si="100"/>
        <v>3101.4879999999998</v>
      </c>
      <c r="BQ176" s="386">
        <f t="shared" si="101"/>
        <v>725.34800000000007</v>
      </c>
      <c r="BR176" s="386">
        <f t="shared" si="102"/>
        <v>5972.8656000000001</v>
      </c>
      <c r="BS176" s="386">
        <f t="shared" si="103"/>
        <v>360.67304000000001</v>
      </c>
      <c r="BT176" s="386">
        <f t="shared" si="104"/>
        <v>0</v>
      </c>
      <c r="BU176" s="386">
        <f t="shared" si="105"/>
        <v>153.07343999999998</v>
      </c>
      <c r="BV176" s="386">
        <f t="shared" si="106"/>
        <v>125.06</v>
      </c>
      <c r="BW176" s="386">
        <f t="shared" si="107"/>
        <v>0</v>
      </c>
      <c r="BX176" s="386">
        <f t="shared" si="122"/>
        <v>10438.50808</v>
      </c>
      <c r="BY176" s="386">
        <f t="shared" si="123"/>
        <v>0</v>
      </c>
      <c r="BZ176" s="386">
        <f t="shared" si="124"/>
        <v>0</v>
      </c>
      <c r="CA176" s="386">
        <f t="shared" si="125"/>
        <v>0</v>
      </c>
      <c r="CB176" s="386">
        <f t="shared" si="126"/>
        <v>0</v>
      </c>
      <c r="CC176" s="386">
        <f t="shared" si="108"/>
        <v>0</v>
      </c>
      <c r="CD176" s="386">
        <f t="shared" si="109"/>
        <v>0</v>
      </c>
      <c r="CE176" s="386">
        <f t="shared" si="110"/>
        <v>0</v>
      </c>
      <c r="CF176" s="386">
        <f t="shared" si="111"/>
        <v>-245.11759999999998</v>
      </c>
      <c r="CG176" s="386">
        <f t="shared" si="112"/>
        <v>0</v>
      </c>
      <c r="CH176" s="386">
        <f t="shared" si="113"/>
        <v>5.0024000000000131</v>
      </c>
      <c r="CI176" s="386">
        <f t="shared" si="114"/>
        <v>0</v>
      </c>
      <c r="CJ176" s="386">
        <f t="shared" si="127"/>
        <v>-240.11519999999996</v>
      </c>
      <c r="CK176" s="386" t="str">
        <f t="shared" si="128"/>
        <v/>
      </c>
      <c r="CL176" s="386" t="str">
        <f t="shared" si="129"/>
        <v/>
      </c>
      <c r="CM176" s="386" t="str">
        <f t="shared" si="130"/>
        <v/>
      </c>
      <c r="CN176" s="386" t="str">
        <f t="shared" si="131"/>
        <v>0001-00</v>
      </c>
    </row>
    <row r="177" spans="1:92" ht="15.75" thickBot="1" x14ac:dyDescent="0.3">
      <c r="A177" s="375" t="s">
        <v>161</v>
      </c>
      <c r="B177" s="375" t="s">
        <v>162</v>
      </c>
      <c r="C177" s="375" t="s">
        <v>857</v>
      </c>
      <c r="D177" s="375" t="s">
        <v>665</v>
      </c>
      <c r="E177" s="375" t="s">
        <v>165</v>
      </c>
      <c r="F177" s="376" t="s">
        <v>166</v>
      </c>
      <c r="G177" s="375" t="s">
        <v>549</v>
      </c>
      <c r="H177" s="377"/>
      <c r="I177" s="377"/>
      <c r="J177" s="375" t="s">
        <v>168</v>
      </c>
      <c r="K177" s="375" t="s">
        <v>666</v>
      </c>
      <c r="L177" s="375" t="s">
        <v>183</v>
      </c>
      <c r="M177" s="375" t="s">
        <v>177</v>
      </c>
      <c r="N177" s="375" t="s">
        <v>199</v>
      </c>
      <c r="O177" s="378">
        <v>1</v>
      </c>
      <c r="P177" s="384">
        <v>1</v>
      </c>
      <c r="Q177" s="384">
        <v>1</v>
      </c>
      <c r="R177" s="379">
        <v>80</v>
      </c>
      <c r="S177" s="384">
        <v>1</v>
      </c>
      <c r="T177" s="379">
        <v>34019.550000000003</v>
      </c>
      <c r="U177" s="379">
        <v>0</v>
      </c>
      <c r="V177" s="379">
        <v>18587.310000000001</v>
      </c>
      <c r="W177" s="379">
        <v>37377.599999999999</v>
      </c>
      <c r="X177" s="379">
        <v>19628.97</v>
      </c>
      <c r="Y177" s="379">
        <v>37377.599999999999</v>
      </c>
      <c r="Z177" s="379">
        <v>19449.560000000001</v>
      </c>
      <c r="AA177" s="375" t="s">
        <v>858</v>
      </c>
      <c r="AB177" s="375" t="s">
        <v>859</v>
      </c>
      <c r="AC177" s="375" t="s">
        <v>860</v>
      </c>
      <c r="AD177" s="375" t="s">
        <v>194</v>
      </c>
      <c r="AE177" s="375" t="s">
        <v>666</v>
      </c>
      <c r="AF177" s="375" t="s">
        <v>206</v>
      </c>
      <c r="AG177" s="375" t="s">
        <v>183</v>
      </c>
      <c r="AH177" s="380">
        <v>17.97</v>
      </c>
      <c r="AI177" s="380">
        <v>37210.9</v>
      </c>
      <c r="AJ177" s="375" t="s">
        <v>184</v>
      </c>
      <c r="AK177" s="375" t="s">
        <v>185</v>
      </c>
      <c r="AL177" s="375" t="s">
        <v>173</v>
      </c>
      <c r="AM177" s="375" t="s">
        <v>186</v>
      </c>
      <c r="AN177" s="375" t="s">
        <v>68</v>
      </c>
      <c r="AO177" s="378">
        <v>80</v>
      </c>
      <c r="AP177" s="384">
        <v>1</v>
      </c>
      <c r="AQ177" s="384">
        <v>1</v>
      </c>
      <c r="AR177" s="383" t="s">
        <v>187</v>
      </c>
      <c r="AS177" s="386">
        <f t="shared" si="115"/>
        <v>1</v>
      </c>
      <c r="AT177">
        <f t="shared" si="116"/>
        <v>1</v>
      </c>
      <c r="AU177" s="386">
        <f>IF(AT177=0,"",IF(AND(AT177=1,M177="F",SUMIF(C2:C557,C177,AS2:AS557)&lt;=1),SUMIF(C2:C557,C177,AS2:AS557),IF(AND(AT177=1,M177="F",SUMIF(C2:C557,C177,AS2:AS557)&gt;1),1,"")))</f>
        <v>1</v>
      </c>
      <c r="AV177" s="386" t="str">
        <f>IF(AT177=0,"",IF(AND(AT177=3,M177="F",SUMIF(C2:C557,C177,AS2:AS557)&lt;=1),SUMIF(C2:C557,C177,AS2:AS557),IF(AND(AT177=3,M177="F",SUMIF(C2:C557,C177,AS2:AS557)&gt;1),1,"")))</f>
        <v/>
      </c>
      <c r="AW177" s="386">
        <f>SUMIF(C2:C557,C177,O2:O557)</f>
        <v>1</v>
      </c>
      <c r="AX177" s="386">
        <f>IF(AND(M177="F",AS177&lt;&gt;0),SUMIF(C2:C557,C177,W2:W557),0)</f>
        <v>37377.599999999999</v>
      </c>
      <c r="AY177" s="386">
        <f t="shared" si="117"/>
        <v>37377.599999999999</v>
      </c>
      <c r="AZ177" s="386" t="str">
        <f t="shared" si="118"/>
        <v/>
      </c>
      <c r="BA177" s="386">
        <f t="shared" si="119"/>
        <v>0</v>
      </c>
      <c r="BB177" s="386">
        <f t="shared" si="88"/>
        <v>11650</v>
      </c>
      <c r="BC177" s="386">
        <f t="shared" si="89"/>
        <v>0</v>
      </c>
      <c r="BD177" s="386">
        <f t="shared" si="90"/>
        <v>2317.4112</v>
      </c>
      <c r="BE177" s="386">
        <f t="shared" si="91"/>
        <v>541.97519999999997</v>
      </c>
      <c r="BF177" s="386">
        <f t="shared" si="92"/>
        <v>4462.88544</v>
      </c>
      <c r="BG177" s="386">
        <f t="shared" si="93"/>
        <v>269.49249600000002</v>
      </c>
      <c r="BH177" s="386">
        <f t="shared" si="94"/>
        <v>183.15024</v>
      </c>
      <c r="BI177" s="386">
        <f t="shared" si="95"/>
        <v>114.37545599999999</v>
      </c>
      <c r="BJ177" s="386">
        <f t="shared" si="96"/>
        <v>89.706239999999994</v>
      </c>
      <c r="BK177" s="386">
        <f t="shared" si="97"/>
        <v>0</v>
      </c>
      <c r="BL177" s="386">
        <f t="shared" si="120"/>
        <v>7978.9962719999994</v>
      </c>
      <c r="BM177" s="386">
        <f t="shared" si="121"/>
        <v>0</v>
      </c>
      <c r="BN177" s="386">
        <f t="shared" si="98"/>
        <v>11650</v>
      </c>
      <c r="BO177" s="386">
        <f t="shared" si="99"/>
        <v>0</v>
      </c>
      <c r="BP177" s="386">
        <f t="shared" si="100"/>
        <v>2317.4112</v>
      </c>
      <c r="BQ177" s="386">
        <f t="shared" si="101"/>
        <v>541.97519999999997</v>
      </c>
      <c r="BR177" s="386">
        <f t="shared" si="102"/>
        <v>4462.88544</v>
      </c>
      <c r="BS177" s="386">
        <f t="shared" si="103"/>
        <v>269.49249600000002</v>
      </c>
      <c r="BT177" s="386">
        <f t="shared" si="104"/>
        <v>0</v>
      </c>
      <c r="BU177" s="386">
        <f t="shared" si="105"/>
        <v>114.37545599999999</v>
      </c>
      <c r="BV177" s="386">
        <f t="shared" si="106"/>
        <v>93.444000000000003</v>
      </c>
      <c r="BW177" s="386">
        <f t="shared" si="107"/>
        <v>0</v>
      </c>
      <c r="BX177" s="386">
        <f t="shared" si="122"/>
        <v>7799.5837919999994</v>
      </c>
      <c r="BY177" s="386">
        <f t="shared" si="123"/>
        <v>0</v>
      </c>
      <c r="BZ177" s="386">
        <f t="shared" si="124"/>
        <v>0</v>
      </c>
      <c r="CA177" s="386">
        <f t="shared" si="125"/>
        <v>0</v>
      </c>
      <c r="CB177" s="386">
        <f t="shared" si="126"/>
        <v>0</v>
      </c>
      <c r="CC177" s="386">
        <f t="shared" si="108"/>
        <v>0</v>
      </c>
      <c r="CD177" s="386">
        <f t="shared" si="109"/>
        <v>0</v>
      </c>
      <c r="CE177" s="386">
        <f t="shared" si="110"/>
        <v>0</v>
      </c>
      <c r="CF177" s="386">
        <f t="shared" si="111"/>
        <v>-183.15024</v>
      </c>
      <c r="CG177" s="386">
        <f t="shared" si="112"/>
        <v>0</v>
      </c>
      <c r="CH177" s="386">
        <f t="shared" si="113"/>
        <v>3.7377600000000095</v>
      </c>
      <c r="CI177" s="386">
        <f t="shared" si="114"/>
        <v>0</v>
      </c>
      <c r="CJ177" s="386">
        <f t="shared" si="127"/>
        <v>-179.41247999999999</v>
      </c>
      <c r="CK177" s="386" t="str">
        <f t="shared" si="128"/>
        <v/>
      </c>
      <c r="CL177" s="386" t="str">
        <f t="shared" si="129"/>
        <v/>
      </c>
      <c r="CM177" s="386" t="str">
        <f t="shared" si="130"/>
        <v/>
      </c>
      <c r="CN177" s="386" t="str">
        <f t="shared" si="131"/>
        <v>0001-00</v>
      </c>
    </row>
    <row r="178" spans="1:92" ht="15.75" thickBot="1" x14ac:dyDescent="0.3">
      <c r="A178" s="375" t="s">
        <v>161</v>
      </c>
      <c r="B178" s="375" t="s">
        <v>162</v>
      </c>
      <c r="C178" s="375" t="s">
        <v>861</v>
      </c>
      <c r="D178" s="375" t="s">
        <v>324</v>
      </c>
      <c r="E178" s="375" t="s">
        <v>165</v>
      </c>
      <c r="F178" s="376" t="s">
        <v>166</v>
      </c>
      <c r="G178" s="375" t="s">
        <v>549</v>
      </c>
      <c r="H178" s="377"/>
      <c r="I178" s="377"/>
      <c r="J178" s="375" t="s">
        <v>168</v>
      </c>
      <c r="K178" s="375" t="s">
        <v>325</v>
      </c>
      <c r="L178" s="375" t="s">
        <v>170</v>
      </c>
      <c r="M178" s="375" t="s">
        <v>177</v>
      </c>
      <c r="N178" s="375" t="s">
        <v>199</v>
      </c>
      <c r="O178" s="378">
        <v>1</v>
      </c>
      <c r="P178" s="384">
        <v>1</v>
      </c>
      <c r="Q178" s="384">
        <v>1</v>
      </c>
      <c r="R178" s="379">
        <v>80</v>
      </c>
      <c r="S178" s="384">
        <v>1</v>
      </c>
      <c r="T178" s="379">
        <v>50710.400000000001</v>
      </c>
      <c r="U178" s="379">
        <v>0</v>
      </c>
      <c r="V178" s="379">
        <v>21958.22</v>
      </c>
      <c r="W178" s="379">
        <v>54828.800000000003</v>
      </c>
      <c r="X178" s="379">
        <v>23354.26</v>
      </c>
      <c r="Y178" s="379">
        <v>54828.800000000003</v>
      </c>
      <c r="Z178" s="379">
        <v>23091.09</v>
      </c>
      <c r="AA178" s="375" t="s">
        <v>862</v>
      </c>
      <c r="AB178" s="375" t="s">
        <v>863</v>
      </c>
      <c r="AC178" s="375" t="s">
        <v>864</v>
      </c>
      <c r="AD178" s="375" t="s">
        <v>865</v>
      </c>
      <c r="AE178" s="375" t="s">
        <v>325</v>
      </c>
      <c r="AF178" s="375" t="s">
        <v>269</v>
      </c>
      <c r="AG178" s="375" t="s">
        <v>183</v>
      </c>
      <c r="AH178" s="380">
        <v>26.36</v>
      </c>
      <c r="AI178" s="380">
        <v>38920.5</v>
      </c>
      <c r="AJ178" s="375" t="s">
        <v>184</v>
      </c>
      <c r="AK178" s="375" t="s">
        <v>185</v>
      </c>
      <c r="AL178" s="375" t="s">
        <v>173</v>
      </c>
      <c r="AM178" s="375" t="s">
        <v>186</v>
      </c>
      <c r="AN178" s="375" t="s">
        <v>68</v>
      </c>
      <c r="AO178" s="378">
        <v>80</v>
      </c>
      <c r="AP178" s="384">
        <v>1</v>
      </c>
      <c r="AQ178" s="384">
        <v>1</v>
      </c>
      <c r="AR178" s="383" t="s">
        <v>187</v>
      </c>
      <c r="AS178" s="386">
        <f t="shared" si="115"/>
        <v>1</v>
      </c>
      <c r="AT178">
        <f t="shared" si="116"/>
        <v>1</v>
      </c>
      <c r="AU178" s="386">
        <f>IF(AT178=0,"",IF(AND(AT178=1,M178="F",SUMIF(C2:C557,C178,AS2:AS557)&lt;=1),SUMIF(C2:C557,C178,AS2:AS557),IF(AND(AT178=1,M178="F",SUMIF(C2:C557,C178,AS2:AS557)&gt;1),1,"")))</f>
        <v>1</v>
      </c>
      <c r="AV178" s="386" t="str">
        <f>IF(AT178=0,"",IF(AND(AT178=3,M178="F",SUMIF(C2:C557,C178,AS2:AS557)&lt;=1),SUMIF(C2:C557,C178,AS2:AS557),IF(AND(AT178=3,M178="F",SUMIF(C2:C557,C178,AS2:AS557)&gt;1),1,"")))</f>
        <v/>
      </c>
      <c r="AW178" s="386">
        <f>SUMIF(C2:C557,C178,O2:O557)</f>
        <v>1</v>
      </c>
      <c r="AX178" s="386">
        <f>IF(AND(M178="F",AS178&lt;&gt;0),SUMIF(C2:C557,C178,W2:W557),0)</f>
        <v>54828.800000000003</v>
      </c>
      <c r="AY178" s="386">
        <f t="shared" si="117"/>
        <v>54828.800000000003</v>
      </c>
      <c r="AZ178" s="386" t="str">
        <f t="shared" si="118"/>
        <v/>
      </c>
      <c r="BA178" s="386">
        <f t="shared" si="119"/>
        <v>0</v>
      </c>
      <c r="BB178" s="386">
        <f t="shared" si="88"/>
        <v>11650</v>
      </c>
      <c r="BC178" s="386">
        <f t="shared" si="89"/>
        <v>0</v>
      </c>
      <c r="BD178" s="386">
        <f t="shared" si="90"/>
        <v>3399.3856000000001</v>
      </c>
      <c r="BE178" s="386">
        <f t="shared" si="91"/>
        <v>795.01760000000013</v>
      </c>
      <c r="BF178" s="386">
        <f t="shared" si="92"/>
        <v>6546.5587200000009</v>
      </c>
      <c r="BG178" s="386">
        <f t="shared" si="93"/>
        <v>395.31564800000001</v>
      </c>
      <c r="BH178" s="386">
        <f t="shared" si="94"/>
        <v>268.66111999999998</v>
      </c>
      <c r="BI178" s="386">
        <f t="shared" si="95"/>
        <v>167.776128</v>
      </c>
      <c r="BJ178" s="386">
        <f t="shared" si="96"/>
        <v>131.58912000000001</v>
      </c>
      <c r="BK178" s="386">
        <f t="shared" si="97"/>
        <v>0</v>
      </c>
      <c r="BL178" s="386">
        <f t="shared" si="120"/>
        <v>11704.303936000002</v>
      </c>
      <c r="BM178" s="386">
        <f t="shared" si="121"/>
        <v>0</v>
      </c>
      <c r="BN178" s="386">
        <f t="shared" si="98"/>
        <v>11650</v>
      </c>
      <c r="BO178" s="386">
        <f t="shared" si="99"/>
        <v>0</v>
      </c>
      <c r="BP178" s="386">
        <f t="shared" si="100"/>
        <v>3399.3856000000001</v>
      </c>
      <c r="BQ178" s="386">
        <f t="shared" si="101"/>
        <v>795.01760000000013</v>
      </c>
      <c r="BR178" s="386">
        <f t="shared" si="102"/>
        <v>6546.5587200000009</v>
      </c>
      <c r="BS178" s="386">
        <f t="shared" si="103"/>
        <v>395.31564800000001</v>
      </c>
      <c r="BT178" s="386">
        <f t="shared" si="104"/>
        <v>0</v>
      </c>
      <c r="BU178" s="386">
        <f t="shared" si="105"/>
        <v>167.776128</v>
      </c>
      <c r="BV178" s="386">
        <f t="shared" si="106"/>
        <v>137.072</v>
      </c>
      <c r="BW178" s="386">
        <f t="shared" si="107"/>
        <v>0</v>
      </c>
      <c r="BX178" s="386">
        <f t="shared" si="122"/>
        <v>11441.125696000001</v>
      </c>
      <c r="BY178" s="386">
        <f t="shared" si="123"/>
        <v>0</v>
      </c>
      <c r="BZ178" s="386">
        <f t="shared" si="124"/>
        <v>0</v>
      </c>
      <c r="CA178" s="386">
        <f t="shared" si="125"/>
        <v>0</v>
      </c>
      <c r="CB178" s="386">
        <f t="shared" si="126"/>
        <v>0</v>
      </c>
      <c r="CC178" s="386">
        <f t="shared" si="108"/>
        <v>0</v>
      </c>
      <c r="CD178" s="386">
        <f t="shared" si="109"/>
        <v>0</v>
      </c>
      <c r="CE178" s="386">
        <f t="shared" si="110"/>
        <v>0</v>
      </c>
      <c r="CF178" s="386">
        <f t="shared" si="111"/>
        <v>-268.66111999999998</v>
      </c>
      <c r="CG178" s="386">
        <f t="shared" si="112"/>
        <v>0</v>
      </c>
      <c r="CH178" s="386">
        <f t="shared" si="113"/>
        <v>5.4828800000000149</v>
      </c>
      <c r="CI178" s="386">
        <f t="shared" si="114"/>
        <v>0</v>
      </c>
      <c r="CJ178" s="386">
        <f t="shared" si="127"/>
        <v>-263.17823999999996</v>
      </c>
      <c r="CK178" s="386" t="str">
        <f t="shared" si="128"/>
        <v/>
      </c>
      <c r="CL178" s="386" t="str">
        <f t="shared" si="129"/>
        <v/>
      </c>
      <c r="CM178" s="386" t="str">
        <f t="shared" si="130"/>
        <v/>
      </c>
      <c r="CN178" s="386" t="str">
        <f t="shared" si="131"/>
        <v>0001-00</v>
      </c>
    </row>
    <row r="179" spans="1:92" ht="15.75" thickBot="1" x14ac:dyDescent="0.3">
      <c r="A179" s="375" t="s">
        <v>161</v>
      </c>
      <c r="B179" s="375" t="s">
        <v>162</v>
      </c>
      <c r="C179" s="375" t="s">
        <v>866</v>
      </c>
      <c r="D179" s="375" t="s">
        <v>561</v>
      </c>
      <c r="E179" s="375" t="s">
        <v>165</v>
      </c>
      <c r="F179" s="376" t="s">
        <v>166</v>
      </c>
      <c r="G179" s="375" t="s">
        <v>549</v>
      </c>
      <c r="H179" s="377"/>
      <c r="I179" s="377"/>
      <c r="J179" s="375" t="s">
        <v>168</v>
      </c>
      <c r="K179" s="375" t="s">
        <v>562</v>
      </c>
      <c r="L179" s="375" t="s">
        <v>170</v>
      </c>
      <c r="M179" s="375" t="s">
        <v>177</v>
      </c>
      <c r="N179" s="375" t="s">
        <v>199</v>
      </c>
      <c r="O179" s="378">
        <v>1</v>
      </c>
      <c r="P179" s="384">
        <v>1</v>
      </c>
      <c r="Q179" s="384">
        <v>1</v>
      </c>
      <c r="R179" s="379">
        <v>80</v>
      </c>
      <c r="S179" s="384">
        <v>1</v>
      </c>
      <c r="T179" s="379">
        <v>43793.55</v>
      </c>
      <c r="U179" s="379">
        <v>0</v>
      </c>
      <c r="V179" s="379">
        <v>21165.82</v>
      </c>
      <c r="W179" s="379">
        <v>50024</v>
      </c>
      <c r="X179" s="379">
        <v>22328.58</v>
      </c>
      <c r="Y179" s="379">
        <v>50024</v>
      </c>
      <c r="Z179" s="379">
        <v>22088.48</v>
      </c>
      <c r="AA179" s="375" t="s">
        <v>867</v>
      </c>
      <c r="AB179" s="375" t="s">
        <v>868</v>
      </c>
      <c r="AC179" s="375" t="s">
        <v>698</v>
      </c>
      <c r="AD179" s="375" t="s">
        <v>233</v>
      </c>
      <c r="AE179" s="375" t="s">
        <v>562</v>
      </c>
      <c r="AF179" s="375" t="s">
        <v>269</v>
      </c>
      <c r="AG179" s="375" t="s">
        <v>183</v>
      </c>
      <c r="AH179" s="380">
        <v>24.05</v>
      </c>
      <c r="AI179" s="378">
        <v>3120</v>
      </c>
      <c r="AJ179" s="375" t="s">
        <v>184</v>
      </c>
      <c r="AK179" s="375" t="s">
        <v>185</v>
      </c>
      <c r="AL179" s="375" t="s">
        <v>173</v>
      </c>
      <c r="AM179" s="375" t="s">
        <v>186</v>
      </c>
      <c r="AN179" s="375" t="s">
        <v>68</v>
      </c>
      <c r="AO179" s="378">
        <v>80</v>
      </c>
      <c r="AP179" s="384">
        <v>1</v>
      </c>
      <c r="AQ179" s="384">
        <v>1</v>
      </c>
      <c r="AR179" s="383" t="s">
        <v>187</v>
      </c>
      <c r="AS179" s="386">
        <f t="shared" si="115"/>
        <v>1</v>
      </c>
      <c r="AT179">
        <f t="shared" si="116"/>
        <v>1</v>
      </c>
      <c r="AU179" s="386">
        <f>IF(AT179=0,"",IF(AND(AT179=1,M179="F",SUMIF(C2:C557,C179,AS2:AS557)&lt;=1),SUMIF(C2:C557,C179,AS2:AS557),IF(AND(AT179=1,M179="F",SUMIF(C2:C557,C179,AS2:AS557)&gt;1),1,"")))</f>
        <v>1</v>
      </c>
      <c r="AV179" s="386" t="str">
        <f>IF(AT179=0,"",IF(AND(AT179=3,M179="F",SUMIF(C2:C557,C179,AS2:AS557)&lt;=1),SUMIF(C2:C557,C179,AS2:AS557),IF(AND(AT179=3,M179="F",SUMIF(C2:C557,C179,AS2:AS557)&gt;1),1,"")))</f>
        <v/>
      </c>
      <c r="AW179" s="386">
        <f>SUMIF(C2:C557,C179,O2:O557)</f>
        <v>1</v>
      </c>
      <c r="AX179" s="386">
        <f>IF(AND(M179="F",AS179&lt;&gt;0),SUMIF(C2:C557,C179,W2:W557),0)</f>
        <v>50024</v>
      </c>
      <c r="AY179" s="386">
        <f t="shared" si="117"/>
        <v>50024</v>
      </c>
      <c r="AZ179" s="386" t="str">
        <f t="shared" si="118"/>
        <v/>
      </c>
      <c r="BA179" s="386">
        <f t="shared" si="119"/>
        <v>0</v>
      </c>
      <c r="BB179" s="386">
        <f t="shared" si="88"/>
        <v>11650</v>
      </c>
      <c r="BC179" s="386">
        <f t="shared" si="89"/>
        <v>0</v>
      </c>
      <c r="BD179" s="386">
        <f t="shared" si="90"/>
        <v>3101.4879999999998</v>
      </c>
      <c r="BE179" s="386">
        <f t="shared" si="91"/>
        <v>725.34800000000007</v>
      </c>
      <c r="BF179" s="386">
        <f t="shared" si="92"/>
        <v>5972.8656000000001</v>
      </c>
      <c r="BG179" s="386">
        <f t="shared" si="93"/>
        <v>360.67304000000001</v>
      </c>
      <c r="BH179" s="386">
        <f t="shared" si="94"/>
        <v>245.11759999999998</v>
      </c>
      <c r="BI179" s="386">
        <f t="shared" si="95"/>
        <v>153.07343999999998</v>
      </c>
      <c r="BJ179" s="386">
        <f t="shared" si="96"/>
        <v>120.05759999999999</v>
      </c>
      <c r="BK179" s="386">
        <f t="shared" si="97"/>
        <v>0</v>
      </c>
      <c r="BL179" s="386">
        <f t="shared" si="120"/>
        <v>10678.62328</v>
      </c>
      <c r="BM179" s="386">
        <f t="shared" si="121"/>
        <v>0</v>
      </c>
      <c r="BN179" s="386">
        <f t="shared" si="98"/>
        <v>11650</v>
      </c>
      <c r="BO179" s="386">
        <f t="shared" si="99"/>
        <v>0</v>
      </c>
      <c r="BP179" s="386">
        <f t="shared" si="100"/>
        <v>3101.4879999999998</v>
      </c>
      <c r="BQ179" s="386">
        <f t="shared" si="101"/>
        <v>725.34800000000007</v>
      </c>
      <c r="BR179" s="386">
        <f t="shared" si="102"/>
        <v>5972.8656000000001</v>
      </c>
      <c r="BS179" s="386">
        <f t="shared" si="103"/>
        <v>360.67304000000001</v>
      </c>
      <c r="BT179" s="386">
        <f t="shared" si="104"/>
        <v>0</v>
      </c>
      <c r="BU179" s="386">
        <f t="shared" si="105"/>
        <v>153.07343999999998</v>
      </c>
      <c r="BV179" s="386">
        <f t="shared" si="106"/>
        <v>125.06</v>
      </c>
      <c r="BW179" s="386">
        <f t="shared" si="107"/>
        <v>0</v>
      </c>
      <c r="BX179" s="386">
        <f t="shared" si="122"/>
        <v>10438.50808</v>
      </c>
      <c r="BY179" s="386">
        <f t="shared" si="123"/>
        <v>0</v>
      </c>
      <c r="BZ179" s="386">
        <f t="shared" si="124"/>
        <v>0</v>
      </c>
      <c r="CA179" s="386">
        <f t="shared" si="125"/>
        <v>0</v>
      </c>
      <c r="CB179" s="386">
        <f t="shared" si="126"/>
        <v>0</v>
      </c>
      <c r="CC179" s="386">
        <f t="shared" si="108"/>
        <v>0</v>
      </c>
      <c r="CD179" s="386">
        <f t="shared" si="109"/>
        <v>0</v>
      </c>
      <c r="CE179" s="386">
        <f t="shared" si="110"/>
        <v>0</v>
      </c>
      <c r="CF179" s="386">
        <f t="shared" si="111"/>
        <v>-245.11759999999998</v>
      </c>
      <c r="CG179" s="386">
        <f t="shared" si="112"/>
        <v>0</v>
      </c>
      <c r="CH179" s="386">
        <f t="shared" si="113"/>
        <v>5.0024000000000131</v>
      </c>
      <c r="CI179" s="386">
        <f t="shared" si="114"/>
        <v>0</v>
      </c>
      <c r="CJ179" s="386">
        <f t="shared" si="127"/>
        <v>-240.11519999999996</v>
      </c>
      <c r="CK179" s="386" t="str">
        <f t="shared" si="128"/>
        <v/>
      </c>
      <c r="CL179" s="386" t="str">
        <f t="shared" si="129"/>
        <v/>
      </c>
      <c r="CM179" s="386" t="str">
        <f t="shared" si="130"/>
        <v/>
      </c>
      <c r="CN179" s="386" t="str">
        <f t="shared" si="131"/>
        <v>0001-00</v>
      </c>
    </row>
    <row r="180" spans="1:92" ht="15.75" thickBot="1" x14ac:dyDescent="0.3">
      <c r="A180" s="375" t="s">
        <v>161</v>
      </c>
      <c r="B180" s="375" t="s">
        <v>162</v>
      </c>
      <c r="C180" s="375" t="s">
        <v>869</v>
      </c>
      <c r="D180" s="375" t="s">
        <v>665</v>
      </c>
      <c r="E180" s="375" t="s">
        <v>165</v>
      </c>
      <c r="F180" s="376" t="s">
        <v>166</v>
      </c>
      <c r="G180" s="375" t="s">
        <v>549</v>
      </c>
      <c r="H180" s="377"/>
      <c r="I180" s="377"/>
      <c r="J180" s="375" t="s">
        <v>168</v>
      </c>
      <c r="K180" s="375" t="s">
        <v>666</v>
      </c>
      <c r="L180" s="375" t="s">
        <v>183</v>
      </c>
      <c r="M180" s="375" t="s">
        <v>177</v>
      </c>
      <c r="N180" s="375" t="s">
        <v>199</v>
      </c>
      <c r="O180" s="378">
        <v>1</v>
      </c>
      <c r="P180" s="384">
        <v>1</v>
      </c>
      <c r="Q180" s="384">
        <v>1</v>
      </c>
      <c r="R180" s="379">
        <v>80</v>
      </c>
      <c r="S180" s="384">
        <v>1</v>
      </c>
      <c r="T180" s="379">
        <v>26264</v>
      </c>
      <c r="U180" s="379">
        <v>0</v>
      </c>
      <c r="V180" s="379">
        <v>16901</v>
      </c>
      <c r="W180" s="379">
        <v>30430.400000000001</v>
      </c>
      <c r="X180" s="379">
        <v>18145.939999999999</v>
      </c>
      <c r="Y180" s="379">
        <v>30430.400000000001</v>
      </c>
      <c r="Z180" s="379">
        <v>17999.88</v>
      </c>
      <c r="AA180" s="375" t="s">
        <v>870</v>
      </c>
      <c r="AB180" s="375" t="s">
        <v>871</v>
      </c>
      <c r="AC180" s="375" t="s">
        <v>872</v>
      </c>
      <c r="AD180" s="375" t="s">
        <v>181</v>
      </c>
      <c r="AE180" s="375" t="s">
        <v>666</v>
      </c>
      <c r="AF180" s="375" t="s">
        <v>206</v>
      </c>
      <c r="AG180" s="375" t="s">
        <v>183</v>
      </c>
      <c r="AH180" s="380">
        <v>14.63</v>
      </c>
      <c r="AI180" s="380">
        <v>2061.5</v>
      </c>
      <c r="AJ180" s="375" t="s">
        <v>184</v>
      </c>
      <c r="AK180" s="375" t="s">
        <v>185</v>
      </c>
      <c r="AL180" s="375" t="s">
        <v>173</v>
      </c>
      <c r="AM180" s="375" t="s">
        <v>186</v>
      </c>
      <c r="AN180" s="375" t="s">
        <v>68</v>
      </c>
      <c r="AO180" s="378">
        <v>80</v>
      </c>
      <c r="AP180" s="384">
        <v>1</v>
      </c>
      <c r="AQ180" s="384">
        <v>1</v>
      </c>
      <c r="AR180" s="383" t="s">
        <v>187</v>
      </c>
      <c r="AS180" s="386">
        <f t="shared" si="115"/>
        <v>1</v>
      </c>
      <c r="AT180">
        <f t="shared" si="116"/>
        <v>1</v>
      </c>
      <c r="AU180" s="386">
        <f>IF(AT180=0,"",IF(AND(AT180=1,M180="F",SUMIF(C2:C557,C180,AS2:AS557)&lt;=1),SUMIF(C2:C557,C180,AS2:AS557),IF(AND(AT180=1,M180="F",SUMIF(C2:C557,C180,AS2:AS557)&gt;1),1,"")))</f>
        <v>1</v>
      </c>
      <c r="AV180" s="386" t="str">
        <f>IF(AT180=0,"",IF(AND(AT180=3,M180="F",SUMIF(C2:C557,C180,AS2:AS557)&lt;=1),SUMIF(C2:C557,C180,AS2:AS557),IF(AND(AT180=3,M180="F",SUMIF(C2:C557,C180,AS2:AS557)&gt;1),1,"")))</f>
        <v/>
      </c>
      <c r="AW180" s="386">
        <f>SUMIF(C2:C557,C180,O2:O557)</f>
        <v>1</v>
      </c>
      <c r="AX180" s="386">
        <f>IF(AND(M180="F",AS180&lt;&gt;0),SUMIF(C2:C557,C180,W2:W557),0)</f>
        <v>30430.400000000001</v>
      </c>
      <c r="AY180" s="386">
        <f t="shared" si="117"/>
        <v>30430.400000000001</v>
      </c>
      <c r="AZ180" s="386" t="str">
        <f t="shared" si="118"/>
        <v/>
      </c>
      <c r="BA180" s="386">
        <f t="shared" si="119"/>
        <v>0</v>
      </c>
      <c r="BB180" s="386">
        <f t="shared" si="88"/>
        <v>11650</v>
      </c>
      <c r="BC180" s="386">
        <f t="shared" si="89"/>
        <v>0</v>
      </c>
      <c r="BD180" s="386">
        <f t="shared" si="90"/>
        <v>1886.6848</v>
      </c>
      <c r="BE180" s="386">
        <f t="shared" si="91"/>
        <v>441.24080000000004</v>
      </c>
      <c r="BF180" s="386">
        <f t="shared" si="92"/>
        <v>3633.3897600000005</v>
      </c>
      <c r="BG180" s="386">
        <f t="shared" si="93"/>
        <v>219.40318400000001</v>
      </c>
      <c r="BH180" s="386">
        <f t="shared" si="94"/>
        <v>149.10896</v>
      </c>
      <c r="BI180" s="386">
        <f t="shared" si="95"/>
        <v>93.117024000000001</v>
      </c>
      <c r="BJ180" s="386">
        <f t="shared" si="96"/>
        <v>73.032960000000003</v>
      </c>
      <c r="BK180" s="386">
        <f t="shared" si="97"/>
        <v>0</v>
      </c>
      <c r="BL180" s="386">
        <f t="shared" si="120"/>
        <v>6495.9774880000004</v>
      </c>
      <c r="BM180" s="386">
        <f t="shared" si="121"/>
        <v>0</v>
      </c>
      <c r="BN180" s="386">
        <f t="shared" si="98"/>
        <v>11650</v>
      </c>
      <c r="BO180" s="386">
        <f t="shared" si="99"/>
        <v>0</v>
      </c>
      <c r="BP180" s="386">
        <f t="shared" si="100"/>
        <v>1886.6848</v>
      </c>
      <c r="BQ180" s="386">
        <f t="shared" si="101"/>
        <v>441.24080000000004</v>
      </c>
      <c r="BR180" s="386">
        <f t="shared" si="102"/>
        <v>3633.3897600000005</v>
      </c>
      <c r="BS180" s="386">
        <f t="shared" si="103"/>
        <v>219.40318400000001</v>
      </c>
      <c r="BT180" s="386">
        <f t="shared" si="104"/>
        <v>0</v>
      </c>
      <c r="BU180" s="386">
        <f t="shared" si="105"/>
        <v>93.117024000000001</v>
      </c>
      <c r="BV180" s="386">
        <f t="shared" si="106"/>
        <v>76.076000000000008</v>
      </c>
      <c r="BW180" s="386">
        <f t="shared" si="107"/>
        <v>0</v>
      </c>
      <c r="BX180" s="386">
        <f t="shared" si="122"/>
        <v>6349.9115680000004</v>
      </c>
      <c r="BY180" s="386">
        <f t="shared" si="123"/>
        <v>0</v>
      </c>
      <c r="BZ180" s="386">
        <f t="shared" si="124"/>
        <v>0</v>
      </c>
      <c r="CA180" s="386">
        <f t="shared" si="125"/>
        <v>0</v>
      </c>
      <c r="CB180" s="386">
        <f t="shared" si="126"/>
        <v>0</v>
      </c>
      <c r="CC180" s="386">
        <f t="shared" si="108"/>
        <v>0</v>
      </c>
      <c r="CD180" s="386">
        <f t="shared" si="109"/>
        <v>0</v>
      </c>
      <c r="CE180" s="386">
        <f t="shared" si="110"/>
        <v>0</v>
      </c>
      <c r="CF180" s="386">
        <f t="shared" si="111"/>
        <v>-149.10896</v>
      </c>
      <c r="CG180" s="386">
        <f t="shared" si="112"/>
        <v>0</v>
      </c>
      <c r="CH180" s="386">
        <f t="shared" si="113"/>
        <v>3.043040000000008</v>
      </c>
      <c r="CI180" s="386">
        <f t="shared" si="114"/>
        <v>0</v>
      </c>
      <c r="CJ180" s="386">
        <f t="shared" si="127"/>
        <v>-146.06591999999998</v>
      </c>
      <c r="CK180" s="386" t="str">
        <f t="shared" si="128"/>
        <v/>
      </c>
      <c r="CL180" s="386" t="str">
        <f t="shared" si="129"/>
        <v/>
      </c>
      <c r="CM180" s="386" t="str">
        <f t="shared" si="130"/>
        <v/>
      </c>
      <c r="CN180" s="386" t="str">
        <f t="shared" si="131"/>
        <v>0001-00</v>
      </c>
    </row>
    <row r="181" spans="1:92" ht="15.75" thickBot="1" x14ac:dyDescent="0.3">
      <c r="A181" s="375" t="s">
        <v>161</v>
      </c>
      <c r="B181" s="375" t="s">
        <v>162</v>
      </c>
      <c r="C181" s="375" t="s">
        <v>873</v>
      </c>
      <c r="D181" s="375" t="s">
        <v>324</v>
      </c>
      <c r="E181" s="375" t="s">
        <v>165</v>
      </c>
      <c r="F181" s="376" t="s">
        <v>166</v>
      </c>
      <c r="G181" s="375" t="s">
        <v>549</v>
      </c>
      <c r="H181" s="377"/>
      <c r="I181" s="377"/>
      <c r="J181" s="375" t="s">
        <v>168</v>
      </c>
      <c r="K181" s="375" t="s">
        <v>325</v>
      </c>
      <c r="L181" s="375" t="s">
        <v>170</v>
      </c>
      <c r="M181" s="375" t="s">
        <v>177</v>
      </c>
      <c r="N181" s="375" t="s">
        <v>199</v>
      </c>
      <c r="O181" s="378">
        <v>1</v>
      </c>
      <c r="P181" s="384">
        <v>1</v>
      </c>
      <c r="Q181" s="384">
        <v>1</v>
      </c>
      <c r="R181" s="379">
        <v>80</v>
      </c>
      <c r="S181" s="384">
        <v>1</v>
      </c>
      <c r="T181" s="379">
        <v>33926.42</v>
      </c>
      <c r="U181" s="379">
        <v>0</v>
      </c>
      <c r="V181" s="379">
        <v>14280.85</v>
      </c>
      <c r="W181" s="379">
        <v>50024</v>
      </c>
      <c r="X181" s="379">
        <v>22328.58</v>
      </c>
      <c r="Y181" s="379">
        <v>50024</v>
      </c>
      <c r="Z181" s="379">
        <v>22088.48</v>
      </c>
      <c r="AA181" s="375" t="s">
        <v>874</v>
      </c>
      <c r="AB181" s="375" t="s">
        <v>875</v>
      </c>
      <c r="AC181" s="375" t="s">
        <v>721</v>
      </c>
      <c r="AD181" s="375" t="s">
        <v>233</v>
      </c>
      <c r="AE181" s="375" t="s">
        <v>325</v>
      </c>
      <c r="AF181" s="375" t="s">
        <v>269</v>
      </c>
      <c r="AG181" s="375" t="s">
        <v>183</v>
      </c>
      <c r="AH181" s="380">
        <v>24.05</v>
      </c>
      <c r="AI181" s="380">
        <v>14913.9</v>
      </c>
      <c r="AJ181" s="375" t="s">
        <v>184</v>
      </c>
      <c r="AK181" s="375" t="s">
        <v>185</v>
      </c>
      <c r="AL181" s="375" t="s">
        <v>173</v>
      </c>
      <c r="AM181" s="375" t="s">
        <v>186</v>
      </c>
      <c r="AN181" s="375" t="s">
        <v>68</v>
      </c>
      <c r="AO181" s="378">
        <v>80</v>
      </c>
      <c r="AP181" s="384">
        <v>1</v>
      </c>
      <c r="AQ181" s="384">
        <v>1</v>
      </c>
      <c r="AR181" s="383" t="s">
        <v>187</v>
      </c>
      <c r="AS181" s="386">
        <f t="shared" si="115"/>
        <v>1</v>
      </c>
      <c r="AT181">
        <f t="shared" si="116"/>
        <v>1</v>
      </c>
      <c r="AU181" s="386">
        <f>IF(AT181=0,"",IF(AND(AT181=1,M181="F",SUMIF(C2:C557,C181,AS2:AS557)&lt;=1),SUMIF(C2:C557,C181,AS2:AS557),IF(AND(AT181=1,M181="F",SUMIF(C2:C557,C181,AS2:AS557)&gt;1),1,"")))</f>
        <v>1</v>
      </c>
      <c r="AV181" s="386" t="str">
        <f>IF(AT181=0,"",IF(AND(AT181=3,M181="F",SUMIF(C2:C557,C181,AS2:AS557)&lt;=1),SUMIF(C2:C557,C181,AS2:AS557),IF(AND(AT181=3,M181="F",SUMIF(C2:C557,C181,AS2:AS557)&gt;1),1,"")))</f>
        <v/>
      </c>
      <c r="AW181" s="386">
        <f>SUMIF(C2:C557,C181,O2:O557)</f>
        <v>1</v>
      </c>
      <c r="AX181" s="386">
        <f>IF(AND(M181="F",AS181&lt;&gt;0),SUMIF(C2:C557,C181,W2:W557),0)</f>
        <v>50024</v>
      </c>
      <c r="AY181" s="386">
        <f t="shared" si="117"/>
        <v>50024</v>
      </c>
      <c r="AZ181" s="386" t="str">
        <f t="shared" si="118"/>
        <v/>
      </c>
      <c r="BA181" s="386">
        <f t="shared" si="119"/>
        <v>0</v>
      </c>
      <c r="BB181" s="386">
        <f t="shared" si="88"/>
        <v>11650</v>
      </c>
      <c r="BC181" s="386">
        <f t="shared" si="89"/>
        <v>0</v>
      </c>
      <c r="BD181" s="386">
        <f t="shared" si="90"/>
        <v>3101.4879999999998</v>
      </c>
      <c r="BE181" s="386">
        <f t="shared" si="91"/>
        <v>725.34800000000007</v>
      </c>
      <c r="BF181" s="386">
        <f t="shared" si="92"/>
        <v>5972.8656000000001</v>
      </c>
      <c r="BG181" s="386">
        <f t="shared" si="93"/>
        <v>360.67304000000001</v>
      </c>
      <c r="BH181" s="386">
        <f t="shared" si="94"/>
        <v>245.11759999999998</v>
      </c>
      <c r="BI181" s="386">
        <f t="shared" si="95"/>
        <v>153.07343999999998</v>
      </c>
      <c r="BJ181" s="386">
        <f t="shared" si="96"/>
        <v>120.05759999999999</v>
      </c>
      <c r="BK181" s="386">
        <f t="shared" si="97"/>
        <v>0</v>
      </c>
      <c r="BL181" s="386">
        <f t="shared" si="120"/>
        <v>10678.62328</v>
      </c>
      <c r="BM181" s="386">
        <f t="shared" si="121"/>
        <v>0</v>
      </c>
      <c r="BN181" s="386">
        <f t="shared" si="98"/>
        <v>11650</v>
      </c>
      <c r="BO181" s="386">
        <f t="shared" si="99"/>
        <v>0</v>
      </c>
      <c r="BP181" s="386">
        <f t="shared" si="100"/>
        <v>3101.4879999999998</v>
      </c>
      <c r="BQ181" s="386">
        <f t="shared" si="101"/>
        <v>725.34800000000007</v>
      </c>
      <c r="BR181" s="386">
        <f t="shared" si="102"/>
        <v>5972.8656000000001</v>
      </c>
      <c r="BS181" s="386">
        <f t="shared" si="103"/>
        <v>360.67304000000001</v>
      </c>
      <c r="BT181" s="386">
        <f t="shared" si="104"/>
        <v>0</v>
      </c>
      <c r="BU181" s="386">
        <f t="shared" si="105"/>
        <v>153.07343999999998</v>
      </c>
      <c r="BV181" s="386">
        <f t="shared" si="106"/>
        <v>125.06</v>
      </c>
      <c r="BW181" s="386">
        <f t="shared" si="107"/>
        <v>0</v>
      </c>
      <c r="BX181" s="386">
        <f t="shared" si="122"/>
        <v>10438.50808</v>
      </c>
      <c r="BY181" s="386">
        <f t="shared" si="123"/>
        <v>0</v>
      </c>
      <c r="BZ181" s="386">
        <f t="shared" si="124"/>
        <v>0</v>
      </c>
      <c r="CA181" s="386">
        <f t="shared" si="125"/>
        <v>0</v>
      </c>
      <c r="CB181" s="386">
        <f t="shared" si="126"/>
        <v>0</v>
      </c>
      <c r="CC181" s="386">
        <f t="shared" si="108"/>
        <v>0</v>
      </c>
      <c r="CD181" s="386">
        <f t="shared" si="109"/>
        <v>0</v>
      </c>
      <c r="CE181" s="386">
        <f t="shared" si="110"/>
        <v>0</v>
      </c>
      <c r="CF181" s="386">
        <f t="shared" si="111"/>
        <v>-245.11759999999998</v>
      </c>
      <c r="CG181" s="386">
        <f t="shared" si="112"/>
        <v>0</v>
      </c>
      <c r="CH181" s="386">
        <f t="shared" si="113"/>
        <v>5.0024000000000131</v>
      </c>
      <c r="CI181" s="386">
        <f t="shared" si="114"/>
        <v>0</v>
      </c>
      <c r="CJ181" s="386">
        <f t="shared" si="127"/>
        <v>-240.11519999999996</v>
      </c>
      <c r="CK181" s="386" t="str">
        <f t="shared" si="128"/>
        <v/>
      </c>
      <c r="CL181" s="386" t="str">
        <f t="shared" si="129"/>
        <v/>
      </c>
      <c r="CM181" s="386" t="str">
        <f t="shared" si="130"/>
        <v/>
      </c>
      <c r="CN181" s="386" t="str">
        <f t="shared" si="131"/>
        <v>0001-00</v>
      </c>
    </row>
    <row r="182" spans="1:92" ht="15.75" thickBot="1" x14ac:dyDescent="0.3">
      <c r="A182" s="375" t="s">
        <v>161</v>
      </c>
      <c r="B182" s="375" t="s">
        <v>162</v>
      </c>
      <c r="C182" s="375" t="s">
        <v>876</v>
      </c>
      <c r="D182" s="375" t="s">
        <v>548</v>
      </c>
      <c r="E182" s="375" t="s">
        <v>165</v>
      </c>
      <c r="F182" s="376" t="s">
        <v>166</v>
      </c>
      <c r="G182" s="375" t="s">
        <v>549</v>
      </c>
      <c r="H182" s="377"/>
      <c r="I182" s="377"/>
      <c r="J182" s="375" t="s">
        <v>168</v>
      </c>
      <c r="K182" s="375" t="s">
        <v>550</v>
      </c>
      <c r="L182" s="375" t="s">
        <v>198</v>
      </c>
      <c r="M182" s="375" t="s">
        <v>177</v>
      </c>
      <c r="N182" s="375" t="s">
        <v>199</v>
      </c>
      <c r="O182" s="378">
        <v>1</v>
      </c>
      <c r="P182" s="384">
        <v>1</v>
      </c>
      <c r="Q182" s="384">
        <v>1</v>
      </c>
      <c r="R182" s="379">
        <v>80</v>
      </c>
      <c r="S182" s="384">
        <v>1</v>
      </c>
      <c r="T182" s="379">
        <v>34079.97</v>
      </c>
      <c r="U182" s="379">
        <v>0</v>
      </c>
      <c r="V182" s="379">
        <v>16520.189999999999</v>
      </c>
      <c r="W182" s="379">
        <v>42952</v>
      </c>
      <c r="X182" s="379">
        <v>20818.93</v>
      </c>
      <c r="Y182" s="379">
        <v>42952</v>
      </c>
      <c r="Z182" s="379">
        <v>20612.77</v>
      </c>
      <c r="AA182" s="375" t="s">
        <v>877</v>
      </c>
      <c r="AB182" s="375" t="s">
        <v>878</v>
      </c>
      <c r="AC182" s="375" t="s">
        <v>315</v>
      </c>
      <c r="AD182" s="375" t="s">
        <v>181</v>
      </c>
      <c r="AE182" s="375" t="s">
        <v>550</v>
      </c>
      <c r="AF182" s="375" t="s">
        <v>245</v>
      </c>
      <c r="AG182" s="375" t="s">
        <v>183</v>
      </c>
      <c r="AH182" s="380">
        <v>20.65</v>
      </c>
      <c r="AI182" s="378">
        <v>669</v>
      </c>
      <c r="AJ182" s="375" t="s">
        <v>184</v>
      </c>
      <c r="AK182" s="375" t="s">
        <v>185</v>
      </c>
      <c r="AL182" s="375" t="s">
        <v>173</v>
      </c>
      <c r="AM182" s="375" t="s">
        <v>186</v>
      </c>
      <c r="AN182" s="375" t="s">
        <v>68</v>
      </c>
      <c r="AO182" s="378">
        <v>80</v>
      </c>
      <c r="AP182" s="384">
        <v>1</v>
      </c>
      <c r="AQ182" s="384">
        <v>1</v>
      </c>
      <c r="AR182" s="383" t="s">
        <v>187</v>
      </c>
      <c r="AS182" s="386">
        <f t="shared" si="115"/>
        <v>1</v>
      </c>
      <c r="AT182">
        <f t="shared" si="116"/>
        <v>1</v>
      </c>
      <c r="AU182" s="386">
        <f>IF(AT182=0,"",IF(AND(AT182=1,M182="F",SUMIF(C2:C557,C182,AS2:AS557)&lt;=1),SUMIF(C2:C557,C182,AS2:AS557),IF(AND(AT182=1,M182="F",SUMIF(C2:C557,C182,AS2:AS557)&gt;1),1,"")))</f>
        <v>1</v>
      </c>
      <c r="AV182" s="386" t="str">
        <f>IF(AT182=0,"",IF(AND(AT182=3,M182="F",SUMIF(C2:C557,C182,AS2:AS557)&lt;=1),SUMIF(C2:C557,C182,AS2:AS557),IF(AND(AT182=3,M182="F",SUMIF(C2:C557,C182,AS2:AS557)&gt;1),1,"")))</f>
        <v/>
      </c>
      <c r="AW182" s="386">
        <f>SUMIF(C2:C557,C182,O2:O557)</f>
        <v>1</v>
      </c>
      <c r="AX182" s="386">
        <f>IF(AND(M182="F",AS182&lt;&gt;0),SUMIF(C2:C557,C182,W2:W557),0)</f>
        <v>42952</v>
      </c>
      <c r="AY182" s="386">
        <f t="shared" si="117"/>
        <v>42952</v>
      </c>
      <c r="AZ182" s="386" t="str">
        <f t="shared" si="118"/>
        <v/>
      </c>
      <c r="BA182" s="386">
        <f t="shared" si="119"/>
        <v>0</v>
      </c>
      <c r="BB182" s="386">
        <f t="shared" si="88"/>
        <v>11650</v>
      </c>
      <c r="BC182" s="386">
        <f t="shared" si="89"/>
        <v>0</v>
      </c>
      <c r="BD182" s="386">
        <f t="shared" si="90"/>
        <v>2663.0239999999999</v>
      </c>
      <c r="BE182" s="386">
        <f t="shared" si="91"/>
        <v>622.80400000000009</v>
      </c>
      <c r="BF182" s="386">
        <f t="shared" si="92"/>
        <v>5128.4688000000006</v>
      </c>
      <c r="BG182" s="386">
        <f t="shared" si="93"/>
        <v>309.68392</v>
      </c>
      <c r="BH182" s="386">
        <f t="shared" si="94"/>
        <v>210.4648</v>
      </c>
      <c r="BI182" s="386">
        <f t="shared" si="95"/>
        <v>131.43312</v>
      </c>
      <c r="BJ182" s="386">
        <f t="shared" si="96"/>
        <v>103.08479999999999</v>
      </c>
      <c r="BK182" s="386">
        <f t="shared" si="97"/>
        <v>0</v>
      </c>
      <c r="BL182" s="386">
        <f t="shared" si="120"/>
        <v>9168.9634399999995</v>
      </c>
      <c r="BM182" s="386">
        <f t="shared" si="121"/>
        <v>0</v>
      </c>
      <c r="BN182" s="386">
        <f t="shared" si="98"/>
        <v>11650</v>
      </c>
      <c r="BO182" s="386">
        <f t="shared" si="99"/>
        <v>0</v>
      </c>
      <c r="BP182" s="386">
        <f t="shared" si="100"/>
        <v>2663.0239999999999</v>
      </c>
      <c r="BQ182" s="386">
        <f t="shared" si="101"/>
        <v>622.80400000000009</v>
      </c>
      <c r="BR182" s="386">
        <f t="shared" si="102"/>
        <v>5128.4688000000006</v>
      </c>
      <c r="BS182" s="386">
        <f t="shared" si="103"/>
        <v>309.68392</v>
      </c>
      <c r="BT182" s="386">
        <f t="shared" si="104"/>
        <v>0</v>
      </c>
      <c r="BU182" s="386">
        <f t="shared" si="105"/>
        <v>131.43312</v>
      </c>
      <c r="BV182" s="386">
        <f t="shared" si="106"/>
        <v>107.38</v>
      </c>
      <c r="BW182" s="386">
        <f t="shared" si="107"/>
        <v>0</v>
      </c>
      <c r="BX182" s="386">
        <f t="shared" si="122"/>
        <v>8962.7938399999985</v>
      </c>
      <c r="BY182" s="386">
        <f t="shared" si="123"/>
        <v>0</v>
      </c>
      <c r="BZ182" s="386">
        <f t="shared" si="124"/>
        <v>0</v>
      </c>
      <c r="CA182" s="386">
        <f t="shared" si="125"/>
        <v>0</v>
      </c>
      <c r="CB182" s="386">
        <f t="shared" si="126"/>
        <v>0</v>
      </c>
      <c r="CC182" s="386">
        <f t="shared" si="108"/>
        <v>0</v>
      </c>
      <c r="CD182" s="386">
        <f t="shared" si="109"/>
        <v>0</v>
      </c>
      <c r="CE182" s="386">
        <f t="shared" si="110"/>
        <v>0</v>
      </c>
      <c r="CF182" s="386">
        <f t="shared" si="111"/>
        <v>-210.4648</v>
      </c>
      <c r="CG182" s="386">
        <f t="shared" si="112"/>
        <v>0</v>
      </c>
      <c r="CH182" s="386">
        <f t="shared" si="113"/>
        <v>4.295200000000011</v>
      </c>
      <c r="CI182" s="386">
        <f t="shared" si="114"/>
        <v>0</v>
      </c>
      <c r="CJ182" s="386">
        <f t="shared" si="127"/>
        <v>-206.16959999999997</v>
      </c>
      <c r="CK182" s="386" t="str">
        <f t="shared" si="128"/>
        <v/>
      </c>
      <c r="CL182" s="386" t="str">
        <f t="shared" si="129"/>
        <v/>
      </c>
      <c r="CM182" s="386" t="str">
        <f t="shared" si="130"/>
        <v/>
      </c>
      <c r="CN182" s="386" t="str">
        <f t="shared" si="131"/>
        <v>0001-00</v>
      </c>
    </row>
    <row r="183" spans="1:92" ht="15.75" thickBot="1" x14ac:dyDescent="0.3">
      <c r="A183" s="375" t="s">
        <v>161</v>
      </c>
      <c r="B183" s="375" t="s">
        <v>162</v>
      </c>
      <c r="C183" s="375" t="s">
        <v>879</v>
      </c>
      <c r="D183" s="375" t="s">
        <v>665</v>
      </c>
      <c r="E183" s="375" t="s">
        <v>165</v>
      </c>
      <c r="F183" s="376" t="s">
        <v>166</v>
      </c>
      <c r="G183" s="375" t="s">
        <v>549</v>
      </c>
      <c r="H183" s="377"/>
      <c r="I183" s="377"/>
      <c r="J183" s="375" t="s">
        <v>168</v>
      </c>
      <c r="K183" s="375" t="s">
        <v>666</v>
      </c>
      <c r="L183" s="375" t="s">
        <v>183</v>
      </c>
      <c r="M183" s="375" t="s">
        <v>171</v>
      </c>
      <c r="N183" s="375" t="s">
        <v>199</v>
      </c>
      <c r="O183" s="378">
        <v>0</v>
      </c>
      <c r="P183" s="384">
        <v>1</v>
      </c>
      <c r="Q183" s="384">
        <v>1</v>
      </c>
      <c r="R183" s="379">
        <v>80</v>
      </c>
      <c r="S183" s="384">
        <v>1</v>
      </c>
      <c r="T183" s="379">
        <v>31286.93</v>
      </c>
      <c r="U183" s="379">
        <v>0</v>
      </c>
      <c r="V183" s="379">
        <v>18031.990000000002</v>
      </c>
      <c r="W183" s="379">
        <v>32094.400000000001</v>
      </c>
      <c r="X183" s="379">
        <v>14057.34</v>
      </c>
      <c r="Y183" s="379">
        <v>32094.400000000001</v>
      </c>
      <c r="Z183" s="379">
        <v>13896.87</v>
      </c>
      <c r="AA183" s="377"/>
      <c r="AB183" s="375" t="s">
        <v>45</v>
      </c>
      <c r="AC183" s="375" t="s">
        <v>45</v>
      </c>
      <c r="AD183" s="377"/>
      <c r="AE183" s="377"/>
      <c r="AF183" s="377"/>
      <c r="AG183" s="377"/>
      <c r="AH183" s="378">
        <v>0</v>
      </c>
      <c r="AI183" s="378">
        <v>0</v>
      </c>
      <c r="AJ183" s="377"/>
      <c r="AK183" s="377"/>
      <c r="AL183" s="375" t="s">
        <v>173</v>
      </c>
      <c r="AM183" s="377"/>
      <c r="AN183" s="377"/>
      <c r="AO183" s="378">
        <v>0</v>
      </c>
      <c r="AP183" s="384">
        <v>0</v>
      </c>
      <c r="AQ183" s="384">
        <v>0</v>
      </c>
      <c r="AR183" s="382"/>
      <c r="AS183" s="386">
        <f t="shared" si="115"/>
        <v>0</v>
      </c>
      <c r="AT183">
        <f t="shared" si="116"/>
        <v>0</v>
      </c>
      <c r="AU183" s="386" t="str">
        <f>IF(AT183=0,"",IF(AND(AT183=1,M183="F",SUMIF(C2:C557,C183,AS2:AS557)&lt;=1),SUMIF(C2:C557,C183,AS2:AS557),IF(AND(AT183=1,M183="F",SUMIF(C2:C557,C183,AS2:AS557)&gt;1),1,"")))</f>
        <v/>
      </c>
      <c r="AV183" s="386" t="str">
        <f>IF(AT183=0,"",IF(AND(AT183=3,M183="F",SUMIF(C2:C557,C183,AS2:AS557)&lt;=1),SUMIF(C2:C557,C183,AS2:AS557),IF(AND(AT183=3,M183="F",SUMIF(C2:C557,C183,AS2:AS557)&gt;1),1,"")))</f>
        <v/>
      </c>
      <c r="AW183" s="386">
        <f>SUMIF(C2:C557,C183,O2:O557)</f>
        <v>0</v>
      </c>
      <c r="AX183" s="386">
        <f>IF(AND(M183="F",AS183&lt;&gt;0),SUMIF(C2:C557,C183,W2:W557),0)</f>
        <v>0</v>
      </c>
      <c r="AY183" s="386" t="str">
        <f t="shared" si="117"/>
        <v/>
      </c>
      <c r="AZ183" s="386" t="str">
        <f t="shared" si="118"/>
        <v/>
      </c>
      <c r="BA183" s="386">
        <f t="shared" si="119"/>
        <v>0</v>
      </c>
      <c r="BB183" s="386">
        <f t="shared" si="88"/>
        <v>0</v>
      </c>
      <c r="BC183" s="386">
        <f t="shared" si="89"/>
        <v>0</v>
      </c>
      <c r="BD183" s="386">
        <f t="shared" si="90"/>
        <v>0</v>
      </c>
      <c r="BE183" s="386">
        <f t="shared" si="91"/>
        <v>0</v>
      </c>
      <c r="BF183" s="386">
        <f t="shared" si="92"/>
        <v>0</v>
      </c>
      <c r="BG183" s="386">
        <f t="shared" si="93"/>
        <v>0</v>
      </c>
      <c r="BH183" s="386">
        <f t="shared" si="94"/>
        <v>0</v>
      </c>
      <c r="BI183" s="386">
        <f t="shared" si="95"/>
        <v>0</v>
      </c>
      <c r="BJ183" s="386">
        <f t="shared" si="96"/>
        <v>0</v>
      </c>
      <c r="BK183" s="386">
        <f t="shared" si="97"/>
        <v>0</v>
      </c>
      <c r="BL183" s="386">
        <f t="shared" si="120"/>
        <v>0</v>
      </c>
      <c r="BM183" s="386">
        <f t="shared" si="121"/>
        <v>0</v>
      </c>
      <c r="BN183" s="386">
        <f t="shared" si="98"/>
        <v>0</v>
      </c>
      <c r="BO183" s="386">
        <f t="shared" si="99"/>
        <v>0</v>
      </c>
      <c r="BP183" s="386">
        <f t="shared" si="100"/>
        <v>0</v>
      </c>
      <c r="BQ183" s="386">
        <f t="shared" si="101"/>
        <v>0</v>
      </c>
      <c r="BR183" s="386">
        <f t="shared" si="102"/>
        <v>0</v>
      </c>
      <c r="BS183" s="386">
        <f t="shared" si="103"/>
        <v>0</v>
      </c>
      <c r="BT183" s="386">
        <f t="shared" si="104"/>
        <v>0</v>
      </c>
      <c r="BU183" s="386">
        <f t="shared" si="105"/>
        <v>0</v>
      </c>
      <c r="BV183" s="386">
        <f t="shared" si="106"/>
        <v>0</v>
      </c>
      <c r="BW183" s="386">
        <f t="shared" si="107"/>
        <v>0</v>
      </c>
      <c r="BX183" s="386">
        <f t="shared" si="122"/>
        <v>0</v>
      </c>
      <c r="BY183" s="386">
        <f t="shared" si="123"/>
        <v>0</v>
      </c>
      <c r="BZ183" s="386">
        <f t="shared" si="124"/>
        <v>0</v>
      </c>
      <c r="CA183" s="386">
        <f t="shared" si="125"/>
        <v>0</v>
      </c>
      <c r="CB183" s="386">
        <f t="shared" si="126"/>
        <v>0</v>
      </c>
      <c r="CC183" s="386">
        <f t="shared" si="108"/>
        <v>0</v>
      </c>
      <c r="CD183" s="386">
        <f t="shared" si="109"/>
        <v>0</v>
      </c>
      <c r="CE183" s="386">
        <f t="shared" si="110"/>
        <v>0</v>
      </c>
      <c r="CF183" s="386">
        <f t="shared" si="111"/>
        <v>0</v>
      </c>
      <c r="CG183" s="386">
        <f t="shared" si="112"/>
        <v>0</v>
      </c>
      <c r="CH183" s="386">
        <f t="shared" si="113"/>
        <v>0</v>
      </c>
      <c r="CI183" s="386">
        <f t="shared" si="114"/>
        <v>0</v>
      </c>
      <c r="CJ183" s="386">
        <f t="shared" si="127"/>
        <v>0</v>
      </c>
      <c r="CK183" s="386" t="str">
        <f t="shared" si="128"/>
        <v/>
      </c>
      <c r="CL183" s="386" t="str">
        <f t="shared" si="129"/>
        <v/>
      </c>
      <c r="CM183" s="386" t="str">
        <f t="shared" si="130"/>
        <v/>
      </c>
      <c r="CN183" s="386" t="str">
        <f t="shared" si="131"/>
        <v>0001-00</v>
      </c>
    </row>
    <row r="184" spans="1:92" ht="15.75" thickBot="1" x14ac:dyDescent="0.3">
      <c r="A184" s="375" t="s">
        <v>161</v>
      </c>
      <c r="B184" s="375" t="s">
        <v>162</v>
      </c>
      <c r="C184" s="375" t="s">
        <v>880</v>
      </c>
      <c r="D184" s="375" t="s">
        <v>881</v>
      </c>
      <c r="E184" s="375" t="s">
        <v>165</v>
      </c>
      <c r="F184" s="376" t="s">
        <v>166</v>
      </c>
      <c r="G184" s="375" t="s">
        <v>549</v>
      </c>
      <c r="H184" s="377"/>
      <c r="I184" s="377"/>
      <c r="J184" s="375" t="s">
        <v>168</v>
      </c>
      <c r="K184" s="375" t="s">
        <v>882</v>
      </c>
      <c r="L184" s="375" t="s">
        <v>210</v>
      </c>
      <c r="M184" s="375" t="s">
        <v>177</v>
      </c>
      <c r="N184" s="375" t="s">
        <v>199</v>
      </c>
      <c r="O184" s="378">
        <v>1</v>
      </c>
      <c r="P184" s="384">
        <v>1</v>
      </c>
      <c r="Q184" s="384">
        <v>1</v>
      </c>
      <c r="R184" s="379">
        <v>80</v>
      </c>
      <c r="S184" s="384">
        <v>1</v>
      </c>
      <c r="T184" s="379">
        <v>41494.11</v>
      </c>
      <c r="U184" s="379">
        <v>0</v>
      </c>
      <c r="V184" s="379">
        <v>20110.43</v>
      </c>
      <c r="W184" s="379">
        <v>42981.120000000003</v>
      </c>
      <c r="X184" s="379">
        <v>20825.14</v>
      </c>
      <c r="Y184" s="379">
        <v>42981.120000000003</v>
      </c>
      <c r="Z184" s="379">
        <v>20618.84</v>
      </c>
      <c r="AA184" s="375" t="s">
        <v>883</v>
      </c>
      <c r="AB184" s="375" t="s">
        <v>884</v>
      </c>
      <c r="AC184" s="375" t="s">
        <v>885</v>
      </c>
      <c r="AD184" s="375" t="s">
        <v>170</v>
      </c>
      <c r="AE184" s="375" t="s">
        <v>882</v>
      </c>
      <c r="AF184" s="375" t="s">
        <v>215</v>
      </c>
      <c r="AG184" s="375" t="s">
        <v>183</v>
      </c>
      <c r="AH184" s="380">
        <v>22.96</v>
      </c>
      <c r="AI184" s="380">
        <v>49452.3</v>
      </c>
      <c r="AJ184" s="375" t="s">
        <v>785</v>
      </c>
      <c r="AK184" s="375" t="s">
        <v>185</v>
      </c>
      <c r="AL184" s="375" t="s">
        <v>173</v>
      </c>
      <c r="AM184" s="375" t="s">
        <v>186</v>
      </c>
      <c r="AN184" s="375" t="s">
        <v>68</v>
      </c>
      <c r="AO184" s="378">
        <v>72</v>
      </c>
      <c r="AP184" s="384">
        <v>1</v>
      </c>
      <c r="AQ184" s="384">
        <v>0.9</v>
      </c>
      <c r="AR184" s="383" t="s">
        <v>187</v>
      </c>
      <c r="AS184" s="386">
        <f t="shared" si="115"/>
        <v>0.9</v>
      </c>
      <c r="AT184">
        <f t="shared" si="116"/>
        <v>1</v>
      </c>
      <c r="AU184" s="386">
        <f>IF(AT184=0,"",IF(AND(AT184=1,M184="F",SUMIF(C2:C557,C184,AS2:AS557)&lt;=1),SUMIF(C2:C557,C184,AS2:AS557),IF(AND(AT184=1,M184="F",SUMIF(C2:C557,C184,AS2:AS557)&gt;1),1,"")))</f>
        <v>0.9</v>
      </c>
      <c r="AV184" s="386" t="str">
        <f>IF(AT184=0,"",IF(AND(AT184=3,M184="F",SUMIF(C2:C557,C184,AS2:AS557)&lt;=1),SUMIF(C2:C557,C184,AS2:AS557),IF(AND(AT184=3,M184="F",SUMIF(C2:C557,C184,AS2:AS557)&gt;1),1,"")))</f>
        <v/>
      </c>
      <c r="AW184" s="386">
        <f>SUMIF(C2:C557,C184,O2:O557)</f>
        <v>1</v>
      </c>
      <c r="AX184" s="386">
        <f>IF(AND(M184="F",AS184&lt;&gt;0),SUMIF(C2:C557,C184,W2:W557),0)</f>
        <v>42981.120000000003</v>
      </c>
      <c r="AY184" s="386">
        <f t="shared" si="117"/>
        <v>42981.120000000003</v>
      </c>
      <c r="AZ184" s="386" t="str">
        <f t="shared" si="118"/>
        <v/>
      </c>
      <c r="BA184" s="386">
        <f t="shared" si="119"/>
        <v>0</v>
      </c>
      <c r="BB184" s="386">
        <f t="shared" si="88"/>
        <v>11650</v>
      </c>
      <c r="BC184" s="386">
        <f t="shared" si="89"/>
        <v>0</v>
      </c>
      <c r="BD184" s="386">
        <f t="shared" si="90"/>
        <v>2664.82944</v>
      </c>
      <c r="BE184" s="386">
        <f t="shared" si="91"/>
        <v>623.22624000000008</v>
      </c>
      <c r="BF184" s="386">
        <f t="shared" si="92"/>
        <v>5131.9457280000006</v>
      </c>
      <c r="BG184" s="386">
        <f t="shared" si="93"/>
        <v>309.89387520000002</v>
      </c>
      <c r="BH184" s="386">
        <f t="shared" si="94"/>
        <v>210.60748800000002</v>
      </c>
      <c r="BI184" s="386">
        <f t="shared" si="95"/>
        <v>131.5222272</v>
      </c>
      <c r="BJ184" s="386">
        <f t="shared" si="96"/>
        <v>103.15468799999999</v>
      </c>
      <c r="BK184" s="386">
        <f t="shared" si="97"/>
        <v>0</v>
      </c>
      <c r="BL184" s="386">
        <f t="shared" si="120"/>
        <v>9175.1796863999989</v>
      </c>
      <c r="BM184" s="386">
        <f t="shared" si="121"/>
        <v>0</v>
      </c>
      <c r="BN184" s="386">
        <f t="shared" si="98"/>
        <v>11650</v>
      </c>
      <c r="BO184" s="386">
        <f t="shared" si="99"/>
        <v>0</v>
      </c>
      <c r="BP184" s="386">
        <f t="shared" si="100"/>
        <v>2664.82944</v>
      </c>
      <c r="BQ184" s="386">
        <f t="shared" si="101"/>
        <v>623.22624000000008</v>
      </c>
      <c r="BR184" s="386">
        <f t="shared" si="102"/>
        <v>5131.9457280000006</v>
      </c>
      <c r="BS184" s="386">
        <f t="shared" si="103"/>
        <v>309.89387520000002</v>
      </c>
      <c r="BT184" s="386">
        <f t="shared" si="104"/>
        <v>0</v>
      </c>
      <c r="BU184" s="386">
        <f t="shared" si="105"/>
        <v>131.5222272</v>
      </c>
      <c r="BV184" s="386">
        <f t="shared" si="106"/>
        <v>107.45280000000001</v>
      </c>
      <c r="BW184" s="386">
        <f t="shared" si="107"/>
        <v>0</v>
      </c>
      <c r="BX184" s="386">
        <f t="shared" si="122"/>
        <v>8968.8703103999978</v>
      </c>
      <c r="BY184" s="386">
        <f t="shared" si="123"/>
        <v>0</v>
      </c>
      <c r="BZ184" s="386">
        <f t="shared" si="124"/>
        <v>0</v>
      </c>
      <c r="CA184" s="386">
        <f t="shared" si="125"/>
        <v>0</v>
      </c>
      <c r="CB184" s="386">
        <f t="shared" si="126"/>
        <v>0</v>
      </c>
      <c r="CC184" s="386">
        <f t="shared" si="108"/>
        <v>0</v>
      </c>
      <c r="CD184" s="386">
        <f t="shared" si="109"/>
        <v>0</v>
      </c>
      <c r="CE184" s="386">
        <f t="shared" si="110"/>
        <v>0</v>
      </c>
      <c r="CF184" s="386">
        <f t="shared" si="111"/>
        <v>-210.60748800000002</v>
      </c>
      <c r="CG184" s="386">
        <f t="shared" si="112"/>
        <v>0</v>
      </c>
      <c r="CH184" s="386">
        <f t="shared" si="113"/>
        <v>4.2981120000000113</v>
      </c>
      <c r="CI184" s="386">
        <f t="shared" si="114"/>
        <v>0</v>
      </c>
      <c r="CJ184" s="386">
        <f t="shared" si="127"/>
        <v>-206.30937600000001</v>
      </c>
      <c r="CK184" s="386" t="str">
        <f t="shared" si="128"/>
        <v/>
      </c>
      <c r="CL184" s="386" t="str">
        <f t="shared" si="129"/>
        <v/>
      </c>
      <c r="CM184" s="386" t="str">
        <f t="shared" si="130"/>
        <v/>
      </c>
      <c r="CN184" s="386" t="str">
        <f t="shared" si="131"/>
        <v>0001-00</v>
      </c>
    </row>
    <row r="185" spans="1:92" ht="15.75" thickBot="1" x14ac:dyDescent="0.3">
      <c r="A185" s="375" t="s">
        <v>161</v>
      </c>
      <c r="B185" s="375" t="s">
        <v>162</v>
      </c>
      <c r="C185" s="375" t="s">
        <v>886</v>
      </c>
      <c r="D185" s="375" t="s">
        <v>561</v>
      </c>
      <c r="E185" s="375" t="s">
        <v>165</v>
      </c>
      <c r="F185" s="376" t="s">
        <v>166</v>
      </c>
      <c r="G185" s="375" t="s">
        <v>549</v>
      </c>
      <c r="H185" s="377"/>
      <c r="I185" s="377"/>
      <c r="J185" s="375" t="s">
        <v>168</v>
      </c>
      <c r="K185" s="375" t="s">
        <v>562</v>
      </c>
      <c r="L185" s="375" t="s">
        <v>170</v>
      </c>
      <c r="M185" s="375" t="s">
        <v>177</v>
      </c>
      <c r="N185" s="375" t="s">
        <v>199</v>
      </c>
      <c r="O185" s="378">
        <v>1</v>
      </c>
      <c r="P185" s="384">
        <v>1</v>
      </c>
      <c r="Q185" s="384">
        <v>1</v>
      </c>
      <c r="R185" s="379">
        <v>80</v>
      </c>
      <c r="S185" s="384">
        <v>1</v>
      </c>
      <c r="T185" s="379">
        <v>52847.519999999997</v>
      </c>
      <c r="U185" s="379">
        <v>0</v>
      </c>
      <c r="V185" s="379">
        <v>22514.94</v>
      </c>
      <c r="W185" s="379">
        <v>55536</v>
      </c>
      <c r="X185" s="379">
        <v>23505.24</v>
      </c>
      <c r="Y185" s="379">
        <v>55536</v>
      </c>
      <c r="Z185" s="379">
        <v>23238.68</v>
      </c>
      <c r="AA185" s="375" t="s">
        <v>887</v>
      </c>
      <c r="AB185" s="375" t="s">
        <v>888</v>
      </c>
      <c r="AC185" s="375" t="s">
        <v>328</v>
      </c>
      <c r="AD185" s="375" t="s">
        <v>647</v>
      </c>
      <c r="AE185" s="375" t="s">
        <v>562</v>
      </c>
      <c r="AF185" s="375" t="s">
        <v>269</v>
      </c>
      <c r="AG185" s="375" t="s">
        <v>183</v>
      </c>
      <c r="AH185" s="380">
        <v>26.7</v>
      </c>
      <c r="AI185" s="378">
        <v>21592</v>
      </c>
      <c r="AJ185" s="375" t="s">
        <v>184</v>
      </c>
      <c r="AK185" s="375" t="s">
        <v>185</v>
      </c>
      <c r="AL185" s="375" t="s">
        <v>173</v>
      </c>
      <c r="AM185" s="375" t="s">
        <v>186</v>
      </c>
      <c r="AN185" s="375" t="s">
        <v>68</v>
      </c>
      <c r="AO185" s="378">
        <v>80</v>
      </c>
      <c r="AP185" s="384">
        <v>1</v>
      </c>
      <c r="AQ185" s="384">
        <v>1</v>
      </c>
      <c r="AR185" s="383" t="s">
        <v>187</v>
      </c>
      <c r="AS185" s="386">
        <f t="shared" si="115"/>
        <v>1</v>
      </c>
      <c r="AT185">
        <f t="shared" si="116"/>
        <v>1</v>
      </c>
      <c r="AU185" s="386">
        <f>IF(AT185=0,"",IF(AND(AT185=1,M185="F",SUMIF(C2:C557,C185,AS2:AS557)&lt;=1),SUMIF(C2:C557,C185,AS2:AS557),IF(AND(AT185=1,M185="F",SUMIF(C2:C557,C185,AS2:AS557)&gt;1),1,"")))</f>
        <v>1</v>
      </c>
      <c r="AV185" s="386" t="str">
        <f>IF(AT185=0,"",IF(AND(AT185=3,M185="F",SUMIF(C2:C557,C185,AS2:AS557)&lt;=1),SUMIF(C2:C557,C185,AS2:AS557),IF(AND(AT185=3,M185="F",SUMIF(C2:C557,C185,AS2:AS557)&gt;1),1,"")))</f>
        <v/>
      </c>
      <c r="AW185" s="386">
        <f>SUMIF(C2:C557,C185,O2:O557)</f>
        <v>1</v>
      </c>
      <c r="AX185" s="386">
        <f>IF(AND(M185="F",AS185&lt;&gt;0),SUMIF(C2:C557,C185,W2:W557),0)</f>
        <v>55536</v>
      </c>
      <c r="AY185" s="386">
        <f t="shared" si="117"/>
        <v>55536</v>
      </c>
      <c r="AZ185" s="386" t="str">
        <f t="shared" si="118"/>
        <v/>
      </c>
      <c r="BA185" s="386">
        <f t="shared" si="119"/>
        <v>0</v>
      </c>
      <c r="BB185" s="386">
        <f t="shared" si="88"/>
        <v>11650</v>
      </c>
      <c r="BC185" s="386">
        <f t="shared" si="89"/>
        <v>0</v>
      </c>
      <c r="BD185" s="386">
        <f t="shared" si="90"/>
        <v>3443.232</v>
      </c>
      <c r="BE185" s="386">
        <f t="shared" si="91"/>
        <v>805.27200000000005</v>
      </c>
      <c r="BF185" s="386">
        <f t="shared" si="92"/>
        <v>6630.9984000000004</v>
      </c>
      <c r="BG185" s="386">
        <f t="shared" si="93"/>
        <v>400.41455999999999</v>
      </c>
      <c r="BH185" s="386">
        <f t="shared" si="94"/>
        <v>272.12639999999999</v>
      </c>
      <c r="BI185" s="386">
        <f t="shared" si="95"/>
        <v>169.94015999999999</v>
      </c>
      <c r="BJ185" s="386">
        <f t="shared" si="96"/>
        <v>133.28639999999999</v>
      </c>
      <c r="BK185" s="386">
        <f t="shared" si="97"/>
        <v>0</v>
      </c>
      <c r="BL185" s="386">
        <f t="shared" si="120"/>
        <v>11855.269920000001</v>
      </c>
      <c r="BM185" s="386">
        <f t="shared" si="121"/>
        <v>0</v>
      </c>
      <c r="BN185" s="386">
        <f t="shared" si="98"/>
        <v>11650</v>
      </c>
      <c r="BO185" s="386">
        <f t="shared" si="99"/>
        <v>0</v>
      </c>
      <c r="BP185" s="386">
        <f t="shared" si="100"/>
        <v>3443.232</v>
      </c>
      <c r="BQ185" s="386">
        <f t="shared" si="101"/>
        <v>805.27200000000005</v>
      </c>
      <c r="BR185" s="386">
        <f t="shared" si="102"/>
        <v>6630.9984000000004</v>
      </c>
      <c r="BS185" s="386">
        <f t="shared" si="103"/>
        <v>400.41455999999999</v>
      </c>
      <c r="BT185" s="386">
        <f t="shared" si="104"/>
        <v>0</v>
      </c>
      <c r="BU185" s="386">
        <f t="shared" si="105"/>
        <v>169.94015999999999</v>
      </c>
      <c r="BV185" s="386">
        <f t="shared" si="106"/>
        <v>138.84</v>
      </c>
      <c r="BW185" s="386">
        <f t="shared" si="107"/>
        <v>0</v>
      </c>
      <c r="BX185" s="386">
        <f t="shared" si="122"/>
        <v>11588.697120000001</v>
      </c>
      <c r="BY185" s="386">
        <f t="shared" si="123"/>
        <v>0</v>
      </c>
      <c r="BZ185" s="386">
        <f t="shared" si="124"/>
        <v>0</v>
      </c>
      <c r="CA185" s="386">
        <f t="shared" si="125"/>
        <v>0</v>
      </c>
      <c r="CB185" s="386">
        <f t="shared" si="126"/>
        <v>0</v>
      </c>
      <c r="CC185" s="386">
        <f t="shared" si="108"/>
        <v>0</v>
      </c>
      <c r="CD185" s="386">
        <f t="shared" si="109"/>
        <v>0</v>
      </c>
      <c r="CE185" s="386">
        <f t="shared" si="110"/>
        <v>0</v>
      </c>
      <c r="CF185" s="386">
        <f t="shared" si="111"/>
        <v>-272.12639999999999</v>
      </c>
      <c r="CG185" s="386">
        <f t="shared" si="112"/>
        <v>0</v>
      </c>
      <c r="CH185" s="386">
        <f t="shared" si="113"/>
        <v>5.5536000000000145</v>
      </c>
      <c r="CI185" s="386">
        <f t="shared" si="114"/>
        <v>0</v>
      </c>
      <c r="CJ185" s="386">
        <f t="shared" si="127"/>
        <v>-266.57279999999997</v>
      </c>
      <c r="CK185" s="386" t="str">
        <f t="shared" si="128"/>
        <v/>
      </c>
      <c r="CL185" s="386" t="str">
        <f t="shared" si="129"/>
        <v/>
      </c>
      <c r="CM185" s="386" t="str">
        <f t="shared" si="130"/>
        <v/>
      </c>
      <c r="CN185" s="386" t="str">
        <f t="shared" si="131"/>
        <v>0001-00</v>
      </c>
    </row>
    <row r="186" spans="1:92" ht="15.75" thickBot="1" x14ac:dyDescent="0.3">
      <c r="A186" s="375" t="s">
        <v>161</v>
      </c>
      <c r="B186" s="375" t="s">
        <v>162</v>
      </c>
      <c r="C186" s="375" t="s">
        <v>889</v>
      </c>
      <c r="D186" s="375" t="s">
        <v>561</v>
      </c>
      <c r="E186" s="375" t="s">
        <v>165</v>
      </c>
      <c r="F186" s="376" t="s">
        <v>166</v>
      </c>
      <c r="G186" s="375" t="s">
        <v>549</v>
      </c>
      <c r="H186" s="377"/>
      <c r="I186" s="377"/>
      <c r="J186" s="375" t="s">
        <v>168</v>
      </c>
      <c r="K186" s="375" t="s">
        <v>562</v>
      </c>
      <c r="L186" s="375" t="s">
        <v>170</v>
      </c>
      <c r="M186" s="375" t="s">
        <v>177</v>
      </c>
      <c r="N186" s="375" t="s">
        <v>199</v>
      </c>
      <c r="O186" s="378">
        <v>1</v>
      </c>
      <c r="P186" s="384">
        <v>1</v>
      </c>
      <c r="Q186" s="384">
        <v>1</v>
      </c>
      <c r="R186" s="379">
        <v>80</v>
      </c>
      <c r="S186" s="384">
        <v>1</v>
      </c>
      <c r="T186" s="379">
        <v>46494.55</v>
      </c>
      <c r="U186" s="379">
        <v>0</v>
      </c>
      <c r="V186" s="379">
        <v>21152.3</v>
      </c>
      <c r="W186" s="379">
        <v>50024</v>
      </c>
      <c r="X186" s="379">
        <v>22328.58</v>
      </c>
      <c r="Y186" s="379">
        <v>50024</v>
      </c>
      <c r="Z186" s="379">
        <v>22088.48</v>
      </c>
      <c r="AA186" s="375" t="s">
        <v>890</v>
      </c>
      <c r="AB186" s="375" t="s">
        <v>891</v>
      </c>
      <c r="AC186" s="375" t="s">
        <v>698</v>
      </c>
      <c r="AD186" s="375" t="s">
        <v>233</v>
      </c>
      <c r="AE186" s="375" t="s">
        <v>562</v>
      </c>
      <c r="AF186" s="375" t="s">
        <v>269</v>
      </c>
      <c r="AG186" s="375" t="s">
        <v>183</v>
      </c>
      <c r="AH186" s="380">
        <v>24.05</v>
      </c>
      <c r="AI186" s="380">
        <v>7984.6</v>
      </c>
      <c r="AJ186" s="375" t="s">
        <v>184</v>
      </c>
      <c r="AK186" s="375" t="s">
        <v>185</v>
      </c>
      <c r="AL186" s="375" t="s">
        <v>173</v>
      </c>
      <c r="AM186" s="375" t="s">
        <v>186</v>
      </c>
      <c r="AN186" s="375" t="s">
        <v>68</v>
      </c>
      <c r="AO186" s="378">
        <v>80</v>
      </c>
      <c r="AP186" s="384">
        <v>1</v>
      </c>
      <c r="AQ186" s="384">
        <v>1</v>
      </c>
      <c r="AR186" s="383" t="s">
        <v>187</v>
      </c>
      <c r="AS186" s="386">
        <f t="shared" si="115"/>
        <v>1</v>
      </c>
      <c r="AT186">
        <f t="shared" si="116"/>
        <v>1</v>
      </c>
      <c r="AU186" s="386">
        <f>IF(AT186=0,"",IF(AND(AT186=1,M186="F",SUMIF(C2:C557,C186,AS2:AS557)&lt;=1),SUMIF(C2:C557,C186,AS2:AS557),IF(AND(AT186=1,M186="F",SUMIF(C2:C557,C186,AS2:AS557)&gt;1),1,"")))</f>
        <v>1</v>
      </c>
      <c r="AV186" s="386" t="str">
        <f>IF(AT186=0,"",IF(AND(AT186=3,M186="F",SUMIF(C2:C557,C186,AS2:AS557)&lt;=1),SUMIF(C2:C557,C186,AS2:AS557),IF(AND(AT186=3,M186="F",SUMIF(C2:C557,C186,AS2:AS557)&gt;1),1,"")))</f>
        <v/>
      </c>
      <c r="AW186" s="386">
        <f>SUMIF(C2:C557,C186,O2:O557)</f>
        <v>1</v>
      </c>
      <c r="AX186" s="386">
        <f>IF(AND(M186="F",AS186&lt;&gt;0),SUMIF(C2:C557,C186,W2:W557),0)</f>
        <v>50024</v>
      </c>
      <c r="AY186" s="386">
        <f t="shared" si="117"/>
        <v>50024</v>
      </c>
      <c r="AZ186" s="386" t="str">
        <f t="shared" si="118"/>
        <v/>
      </c>
      <c r="BA186" s="386">
        <f t="shared" si="119"/>
        <v>0</v>
      </c>
      <c r="BB186" s="386">
        <f t="shared" si="88"/>
        <v>11650</v>
      </c>
      <c r="BC186" s="386">
        <f t="shared" si="89"/>
        <v>0</v>
      </c>
      <c r="BD186" s="386">
        <f t="shared" si="90"/>
        <v>3101.4879999999998</v>
      </c>
      <c r="BE186" s="386">
        <f t="shared" si="91"/>
        <v>725.34800000000007</v>
      </c>
      <c r="BF186" s="386">
        <f t="shared" si="92"/>
        <v>5972.8656000000001</v>
      </c>
      <c r="BG186" s="386">
        <f t="shared" si="93"/>
        <v>360.67304000000001</v>
      </c>
      <c r="BH186" s="386">
        <f t="shared" si="94"/>
        <v>245.11759999999998</v>
      </c>
      <c r="BI186" s="386">
        <f t="shared" si="95"/>
        <v>153.07343999999998</v>
      </c>
      <c r="BJ186" s="386">
        <f t="shared" si="96"/>
        <v>120.05759999999999</v>
      </c>
      <c r="BK186" s="386">
        <f t="shared" si="97"/>
        <v>0</v>
      </c>
      <c r="BL186" s="386">
        <f t="shared" si="120"/>
        <v>10678.62328</v>
      </c>
      <c r="BM186" s="386">
        <f t="shared" si="121"/>
        <v>0</v>
      </c>
      <c r="BN186" s="386">
        <f t="shared" si="98"/>
        <v>11650</v>
      </c>
      <c r="BO186" s="386">
        <f t="shared" si="99"/>
        <v>0</v>
      </c>
      <c r="BP186" s="386">
        <f t="shared" si="100"/>
        <v>3101.4879999999998</v>
      </c>
      <c r="BQ186" s="386">
        <f t="shared" si="101"/>
        <v>725.34800000000007</v>
      </c>
      <c r="BR186" s="386">
        <f t="shared" si="102"/>
        <v>5972.8656000000001</v>
      </c>
      <c r="BS186" s="386">
        <f t="shared" si="103"/>
        <v>360.67304000000001</v>
      </c>
      <c r="BT186" s="386">
        <f t="shared" si="104"/>
        <v>0</v>
      </c>
      <c r="BU186" s="386">
        <f t="shared" si="105"/>
        <v>153.07343999999998</v>
      </c>
      <c r="BV186" s="386">
        <f t="shared" si="106"/>
        <v>125.06</v>
      </c>
      <c r="BW186" s="386">
        <f t="shared" si="107"/>
        <v>0</v>
      </c>
      <c r="BX186" s="386">
        <f t="shared" si="122"/>
        <v>10438.50808</v>
      </c>
      <c r="BY186" s="386">
        <f t="shared" si="123"/>
        <v>0</v>
      </c>
      <c r="BZ186" s="386">
        <f t="shared" si="124"/>
        <v>0</v>
      </c>
      <c r="CA186" s="386">
        <f t="shared" si="125"/>
        <v>0</v>
      </c>
      <c r="CB186" s="386">
        <f t="shared" si="126"/>
        <v>0</v>
      </c>
      <c r="CC186" s="386">
        <f t="shared" si="108"/>
        <v>0</v>
      </c>
      <c r="CD186" s="386">
        <f t="shared" si="109"/>
        <v>0</v>
      </c>
      <c r="CE186" s="386">
        <f t="shared" si="110"/>
        <v>0</v>
      </c>
      <c r="CF186" s="386">
        <f t="shared" si="111"/>
        <v>-245.11759999999998</v>
      </c>
      <c r="CG186" s="386">
        <f t="shared" si="112"/>
        <v>0</v>
      </c>
      <c r="CH186" s="386">
        <f t="shared" si="113"/>
        <v>5.0024000000000131</v>
      </c>
      <c r="CI186" s="386">
        <f t="shared" si="114"/>
        <v>0</v>
      </c>
      <c r="CJ186" s="386">
        <f t="shared" si="127"/>
        <v>-240.11519999999996</v>
      </c>
      <c r="CK186" s="386" t="str">
        <f t="shared" si="128"/>
        <v/>
      </c>
      <c r="CL186" s="386" t="str">
        <f t="shared" si="129"/>
        <v/>
      </c>
      <c r="CM186" s="386" t="str">
        <f t="shared" si="130"/>
        <v/>
      </c>
      <c r="CN186" s="386" t="str">
        <f t="shared" si="131"/>
        <v>0001-00</v>
      </c>
    </row>
    <row r="187" spans="1:92" ht="15.75" thickBot="1" x14ac:dyDescent="0.3">
      <c r="A187" s="375" t="s">
        <v>161</v>
      </c>
      <c r="B187" s="375" t="s">
        <v>162</v>
      </c>
      <c r="C187" s="375" t="s">
        <v>892</v>
      </c>
      <c r="D187" s="375" t="s">
        <v>561</v>
      </c>
      <c r="E187" s="375" t="s">
        <v>165</v>
      </c>
      <c r="F187" s="376" t="s">
        <v>166</v>
      </c>
      <c r="G187" s="375" t="s">
        <v>549</v>
      </c>
      <c r="H187" s="377"/>
      <c r="I187" s="377"/>
      <c r="J187" s="375" t="s">
        <v>168</v>
      </c>
      <c r="K187" s="375" t="s">
        <v>562</v>
      </c>
      <c r="L187" s="375" t="s">
        <v>170</v>
      </c>
      <c r="M187" s="375" t="s">
        <v>177</v>
      </c>
      <c r="N187" s="375" t="s">
        <v>199</v>
      </c>
      <c r="O187" s="378">
        <v>1</v>
      </c>
      <c r="P187" s="384">
        <v>1</v>
      </c>
      <c r="Q187" s="384">
        <v>1</v>
      </c>
      <c r="R187" s="379">
        <v>80</v>
      </c>
      <c r="S187" s="384">
        <v>1</v>
      </c>
      <c r="T187" s="379">
        <v>28099.200000000001</v>
      </c>
      <c r="U187" s="379">
        <v>0</v>
      </c>
      <c r="V187" s="379">
        <v>15994.51</v>
      </c>
      <c r="W187" s="379">
        <v>42952</v>
      </c>
      <c r="X187" s="379">
        <v>20818.93</v>
      </c>
      <c r="Y187" s="379">
        <v>42952</v>
      </c>
      <c r="Z187" s="379">
        <v>20612.77</v>
      </c>
      <c r="AA187" s="375" t="s">
        <v>893</v>
      </c>
      <c r="AB187" s="375" t="s">
        <v>894</v>
      </c>
      <c r="AC187" s="375" t="s">
        <v>895</v>
      </c>
      <c r="AD187" s="375" t="s">
        <v>181</v>
      </c>
      <c r="AE187" s="375" t="s">
        <v>550</v>
      </c>
      <c r="AF187" s="375" t="s">
        <v>245</v>
      </c>
      <c r="AG187" s="375" t="s">
        <v>183</v>
      </c>
      <c r="AH187" s="380">
        <v>20.65</v>
      </c>
      <c r="AI187" s="378">
        <v>0</v>
      </c>
      <c r="AJ187" s="375" t="s">
        <v>184</v>
      </c>
      <c r="AK187" s="375" t="s">
        <v>185</v>
      </c>
      <c r="AL187" s="375" t="s">
        <v>173</v>
      </c>
      <c r="AM187" s="375" t="s">
        <v>186</v>
      </c>
      <c r="AN187" s="375" t="s">
        <v>68</v>
      </c>
      <c r="AO187" s="378">
        <v>80</v>
      </c>
      <c r="AP187" s="384">
        <v>1</v>
      </c>
      <c r="AQ187" s="384">
        <v>1</v>
      </c>
      <c r="AR187" s="383">
        <v>3</v>
      </c>
      <c r="AS187" s="386">
        <f t="shared" si="115"/>
        <v>1</v>
      </c>
      <c r="AT187">
        <f t="shared" si="116"/>
        <v>1</v>
      </c>
      <c r="AU187" s="386">
        <f>IF(AT187=0,"",IF(AND(AT187=1,M187="F",SUMIF(C2:C557,C187,AS2:AS557)&lt;=1),SUMIF(C2:C557,C187,AS2:AS557),IF(AND(AT187=1,M187="F",SUMIF(C2:C557,C187,AS2:AS557)&gt;1),1,"")))</f>
        <v>1</v>
      </c>
      <c r="AV187" s="386" t="str">
        <f>IF(AT187=0,"",IF(AND(AT187=3,M187="F",SUMIF(C2:C557,C187,AS2:AS557)&lt;=1),SUMIF(C2:C557,C187,AS2:AS557),IF(AND(AT187=3,M187="F",SUMIF(C2:C557,C187,AS2:AS557)&gt;1),1,"")))</f>
        <v/>
      </c>
      <c r="AW187" s="386">
        <f>SUMIF(C2:C557,C187,O2:O557)</f>
        <v>1</v>
      </c>
      <c r="AX187" s="386">
        <f>IF(AND(M187="F",AS187&lt;&gt;0),SUMIF(C2:C557,C187,W2:W557),0)</f>
        <v>42952</v>
      </c>
      <c r="AY187" s="386">
        <f t="shared" si="117"/>
        <v>42952</v>
      </c>
      <c r="AZ187" s="386" t="str">
        <f t="shared" si="118"/>
        <v/>
      </c>
      <c r="BA187" s="386">
        <f t="shared" si="119"/>
        <v>0</v>
      </c>
      <c r="BB187" s="386">
        <f t="shared" si="88"/>
        <v>11650</v>
      </c>
      <c r="BC187" s="386">
        <f t="shared" si="89"/>
        <v>0</v>
      </c>
      <c r="BD187" s="386">
        <f t="shared" si="90"/>
        <v>2663.0239999999999</v>
      </c>
      <c r="BE187" s="386">
        <f t="shared" si="91"/>
        <v>622.80400000000009</v>
      </c>
      <c r="BF187" s="386">
        <f t="shared" si="92"/>
        <v>5128.4688000000006</v>
      </c>
      <c r="BG187" s="386">
        <f t="shared" si="93"/>
        <v>309.68392</v>
      </c>
      <c r="BH187" s="386">
        <f t="shared" si="94"/>
        <v>210.4648</v>
      </c>
      <c r="BI187" s="386">
        <f t="shared" si="95"/>
        <v>131.43312</v>
      </c>
      <c r="BJ187" s="386">
        <f t="shared" si="96"/>
        <v>103.08479999999999</v>
      </c>
      <c r="BK187" s="386">
        <f t="shared" si="97"/>
        <v>0</v>
      </c>
      <c r="BL187" s="386">
        <f t="shared" si="120"/>
        <v>9168.9634399999995</v>
      </c>
      <c r="BM187" s="386">
        <f t="shared" si="121"/>
        <v>0</v>
      </c>
      <c r="BN187" s="386">
        <f t="shared" si="98"/>
        <v>11650</v>
      </c>
      <c r="BO187" s="386">
        <f t="shared" si="99"/>
        <v>0</v>
      </c>
      <c r="BP187" s="386">
        <f t="shared" si="100"/>
        <v>2663.0239999999999</v>
      </c>
      <c r="BQ187" s="386">
        <f t="shared" si="101"/>
        <v>622.80400000000009</v>
      </c>
      <c r="BR187" s="386">
        <f t="shared" si="102"/>
        <v>5128.4688000000006</v>
      </c>
      <c r="BS187" s="386">
        <f t="shared" si="103"/>
        <v>309.68392</v>
      </c>
      <c r="BT187" s="386">
        <f t="shared" si="104"/>
        <v>0</v>
      </c>
      <c r="BU187" s="386">
        <f t="shared" si="105"/>
        <v>131.43312</v>
      </c>
      <c r="BV187" s="386">
        <f t="shared" si="106"/>
        <v>107.38</v>
      </c>
      <c r="BW187" s="386">
        <f t="shared" si="107"/>
        <v>0</v>
      </c>
      <c r="BX187" s="386">
        <f t="shared" si="122"/>
        <v>8962.7938399999985</v>
      </c>
      <c r="BY187" s="386">
        <f t="shared" si="123"/>
        <v>0</v>
      </c>
      <c r="BZ187" s="386">
        <f t="shared" si="124"/>
        <v>0</v>
      </c>
      <c r="CA187" s="386">
        <f t="shared" si="125"/>
        <v>0</v>
      </c>
      <c r="CB187" s="386">
        <f t="shared" si="126"/>
        <v>0</v>
      </c>
      <c r="CC187" s="386">
        <f t="shared" si="108"/>
        <v>0</v>
      </c>
      <c r="CD187" s="386">
        <f t="shared" si="109"/>
        <v>0</v>
      </c>
      <c r="CE187" s="386">
        <f t="shared" si="110"/>
        <v>0</v>
      </c>
      <c r="CF187" s="386">
        <f t="shared" si="111"/>
        <v>-210.4648</v>
      </c>
      <c r="CG187" s="386">
        <f t="shared" si="112"/>
        <v>0</v>
      </c>
      <c r="CH187" s="386">
        <f t="shared" si="113"/>
        <v>4.295200000000011</v>
      </c>
      <c r="CI187" s="386">
        <f t="shared" si="114"/>
        <v>0</v>
      </c>
      <c r="CJ187" s="386">
        <f t="shared" si="127"/>
        <v>-206.16959999999997</v>
      </c>
      <c r="CK187" s="386" t="str">
        <f t="shared" si="128"/>
        <v/>
      </c>
      <c r="CL187" s="386" t="str">
        <f t="shared" si="129"/>
        <v/>
      </c>
      <c r="CM187" s="386" t="str">
        <f t="shared" si="130"/>
        <v/>
      </c>
      <c r="CN187" s="386" t="str">
        <f t="shared" si="131"/>
        <v>0001-00</v>
      </c>
    </row>
    <row r="188" spans="1:92" ht="15.75" thickBot="1" x14ac:dyDescent="0.3">
      <c r="A188" s="375" t="s">
        <v>161</v>
      </c>
      <c r="B188" s="375" t="s">
        <v>162</v>
      </c>
      <c r="C188" s="375" t="s">
        <v>896</v>
      </c>
      <c r="D188" s="375" t="s">
        <v>561</v>
      </c>
      <c r="E188" s="375" t="s">
        <v>165</v>
      </c>
      <c r="F188" s="376" t="s">
        <v>166</v>
      </c>
      <c r="G188" s="375" t="s">
        <v>549</v>
      </c>
      <c r="H188" s="377"/>
      <c r="I188" s="377"/>
      <c r="J188" s="375" t="s">
        <v>168</v>
      </c>
      <c r="K188" s="375" t="s">
        <v>562</v>
      </c>
      <c r="L188" s="375" t="s">
        <v>170</v>
      </c>
      <c r="M188" s="375" t="s">
        <v>177</v>
      </c>
      <c r="N188" s="375" t="s">
        <v>199</v>
      </c>
      <c r="O188" s="378">
        <v>1</v>
      </c>
      <c r="P188" s="384">
        <v>1</v>
      </c>
      <c r="Q188" s="384">
        <v>1</v>
      </c>
      <c r="R188" s="379">
        <v>80</v>
      </c>
      <c r="S188" s="384">
        <v>1</v>
      </c>
      <c r="T188" s="379">
        <v>48125.56</v>
      </c>
      <c r="U188" s="379">
        <v>0</v>
      </c>
      <c r="V188" s="379">
        <v>21607.11</v>
      </c>
      <c r="W188" s="379">
        <v>53435.199999999997</v>
      </c>
      <c r="X188" s="379">
        <v>23056.79</v>
      </c>
      <c r="Y188" s="379">
        <v>53435.199999999997</v>
      </c>
      <c r="Z188" s="379">
        <v>22800.3</v>
      </c>
      <c r="AA188" s="375" t="s">
        <v>897</v>
      </c>
      <c r="AB188" s="375" t="s">
        <v>898</v>
      </c>
      <c r="AC188" s="375" t="s">
        <v>899</v>
      </c>
      <c r="AD188" s="375" t="s">
        <v>267</v>
      </c>
      <c r="AE188" s="375" t="s">
        <v>562</v>
      </c>
      <c r="AF188" s="375" t="s">
        <v>269</v>
      </c>
      <c r="AG188" s="375" t="s">
        <v>183</v>
      </c>
      <c r="AH188" s="380">
        <v>25.69</v>
      </c>
      <c r="AI188" s="378">
        <v>10206</v>
      </c>
      <c r="AJ188" s="375" t="s">
        <v>184</v>
      </c>
      <c r="AK188" s="375" t="s">
        <v>185</v>
      </c>
      <c r="AL188" s="375" t="s">
        <v>173</v>
      </c>
      <c r="AM188" s="375" t="s">
        <v>186</v>
      </c>
      <c r="AN188" s="375" t="s">
        <v>68</v>
      </c>
      <c r="AO188" s="378">
        <v>80</v>
      </c>
      <c r="AP188" s="384">
        <v>1</v>
      </c>
      <c r="AQ188" s="384">
        <v>1</v>
      </c>
      <c r="AR188" s="383" t="s">
        <v>187</v>
      </c>
      <c r="AS188" s="386">
        <f t="shared" si="115"/>
        <v>1</v>
      </c>
      <c r="AT188">
        <f t="shared" si="116"/>
        <v>1</v>
      </c>
      <c r="AU188" s="386">
        <f>IF(AT188=0,"",IF(AND(AT188=1,M188="F",SUMIF(C2:C557,C188,AS2:AS557)&lt;=1),SUMIF(C2:C557,C188,AS2:AS557),IF(AND(AT188=1,M188="F",SUMIF(C2:C557,C188,AS2:AS557)&gt;1),1,"")))</f>
        <v>1</v>
      </c>
      <c r="AV188" s="386" t="str">
        <f>IF(AT188=0,"",IF(AND(AT188=3,M188="F",SUMIF(C2:C557,C188,AS2:AS557)&lt;=1),SUMIF(C2:C557,C188,AS2:AS557),IF(AND(AT188=3,M188="F",SUMIF(C2:C557,C188,AS2:AS557)&gt;1),1,"")))</f>
        <v/>
      </c>
      <c r="AW188" s="386">
        <f>SUMIF(C2:C557,C188,O2:O557)</f>
        <v>1</v>
      </c>
      <c r="AX188" s="386">
        <f>IF(AND(M188="F",AS188&lt;&gt;0),SUMIF(C2:C557,C188,W2:W557),0)</f>
        <v>53435.199999999997</v>
      </c>
      <c r="AY188" s="386">
        <f t="shared" si="117"/>
        <v>53435.199999999997</v>
      </c>
      <c r="AZ188" s="386" t="str">
        <f t="shared" si="118"/>
        <v/>
      </c>
      <c r="BA188" s="386">
        <f t="shared" si="119"/>
        <v>0</v>
      </c>
      <c r="BB188" s="386">
        <f t="shared" si="88"/>
        <v>11650</v>
      </c>
      <c r="BC188" s="386">
        <f t="shared" si="89"/>
        <v>0</v>
      </c>
      <c r="BD188" s="386">
        <f t="shared" si="90"/>
        <v>3312.9823999999999</v>
      </c>
      <c r="BE188" s="386">
        <f t="shared" si="91"/>
        <v>774.81039999999996</v>
      </c>
      <c r="BF188" s="386">
        <f t="shared" si="92"/>
        <v>6380.1628799999999</v>
      </c>
      <c r="BG188" s="386">
        <f t="shared" si="93"/>
        <v>385.26779199999999</v>
      </c>
      <c r="BH188" s="386">
        <f t="shared" si="94"/>
        <v>261.83247999999998</v>
      </c>
      <c r="BI188" s="386">
        <f t="shared" si="95"/>
        <v>163.51171199999999</v>
      </c>
      <c r="BJ188" s="386">
        <f t="shared" si="96"/>
        <v>128.24447999999998</v>
      </c>
      <c r="BK188" s="386">
        <f t="shared" si="97"/>
        <v>0</v>
      </c>
      <c r="BL188" s="386">
        <f t="shared" si="120"/>
        <v>11406.812143999998</v>
      </c>
      <c r="BM188" s="386">
        <f t="shared" si="121"/>
        <v>0</v>
      </c>
      <c r="BN188" s="386">
        <f t="shared" si="98"/>
        <v>11650</v>
      </c>
      <c r="BO188" s="386">
        <f t="shared" si="99"/>
        <v>0</v>
      </c>
      <c r="BP188" s="386">
        <f t="shared" si="100"/>
        <v>3312.9823999999999</v>
      </c>
      <c r="BQ188" s="386">
        <f t="shared" si="101"/>
        <v>774.81039999999996</v>
      </c>
      <c r="BR188" s="386">
        <f t="shared" si="102"/>
        <v>6380.1628799999999</v>
      </c>
      <c r="BS188" s="386">
        <f t="shared" si="103"/>
        <v>385.26779199999999</v>
      </c>
      <c r="BT188" s="386">
        <f t="shared" si="104"/>
        <v>0</v>
      </c>
      <c r="BU188" s="386">
        <f t="shared" si="105"/>
        <v>163.51171199999999</v>
      </c>
      <c r="BV188" s="386">
        <f t="shared" si="106"/>
        <v>133.58799999999999</v>
      </c>
      <c r="BW188" s="386">
        <f t="shared" si="107"/>
        <v>0</v>
      </c>
      <c r="BX188" s="386">
        <f t="shared" si="122"/>
        <v>11150.323183999999</v>
      </c>
      <c r="BY188" s="386">
        <f t="shared" si="123"/>
        <v>0</v>
      </c>
      <c r="BZ188" s="386">
        <f t="shared" si="124"/>
        <v>0</v>
      </c>
      <c r="CA188" s="386">
        <f t="shared" si="125"/>
        <v>0</v>
      </c>
      <c r="CB188" s="386">
        <f t="shared" si="126"/>
        <v>0</v>
      </c>
      <c r="CC188" s="386">
        <f t="shared" si="108"/>
        <v>0</v>
      </c>
      <c r="CD188" s="386">
        <f t="shared" si="109"/>
        <v>0</v>
      </c>
      <c r="CE188" s="386">
        <f t="shared" si="110"/>
        <v>0</v>
      </c>
      <c r="CF188" s="386">
        <f t="shared" si="111"/>
        <v>-261.83247999999998</v>
      </c>
      <c r="CG188" s="386">
        <f t="shared" si="112"/>
        <v>0</v>
      </c>
      <c r="CH188" s="386">
        <f t="shared" si="113"/>
        <v>5.343520000000014</v>
      </c>
      <c r="CI188" s="386">
        <f t="shared" si="114"/>
        <v>0</v>
      </c>
      <c r="CJ188" s="386">
        <f t="shared" si="127"/>
        <v>-256.48895999999996</v>
      </c>
      <c r="CK188" s="386" t="str">
        <f t="shared" si="128"/>
        <v/>
      </c>
      <c r="CL188" s="386" t="str">
        <f t="shared" si="129"/>
        <v/>
      </c>
      <c r="CM188" s="386" t="str">
        <f t="shared" si="130"/>
        <v/>
      </c>
      <c r="CN188" s="386" t="str">
        <f t="shared" si="131"/>
        <v>0001-00</v>
      </c>
    </row>
    <row r="189" spans="1:92" ht="15.75" thickBot="1" x14ac:dyDescent="0.3">
      <c r="A189" s="375" t="s">
        <v>161</v>
      </c>
      <c r="B189" s="375" t="s">
        <v>162</v>
      </c>
      <c r="C189" s="375" t="s">
        <v>900</v>
      </c>
      <c r="D189" s="375" t="s">
        <v>555</v>
      </c>
      <c r="E189" s="375" t="s">
        <v>165</v>
      </c>
      <c r="F189" s="376" t="s">
        <v>166</v>
      </c>
      <c r="G189" s="375" t="s">
        <v>549</v>
      </c>
      <c r="H189" s="377"/>
      <c r="I189" s="377"/>
      <c r="J189" s="375" t="s">
        <v>218</v>
      </c>
      <c r="K189" s="375" t="s">
        <v>556</v>
      </c>
      <c r="L189" s="375" t="s">
        <v>220</v>
      </c>
      <c r="M189" s="375" t="s">
        <v>177</v>
      </c>
      <c r="N189" s="375" t="s">
        <v>199</v>
      </c>
      <c r="O189" s="378">
        <v>1</v>
      </c>
      <c r="P189" s="384">
        <v>0.55000000000000004</v>
      </c>
      <c r="Q189" s="384">
        <v>0.55000000000000004</v>
      </c>
      <c r="R189" s="379">
        <v>80</v>
      </c>
      <c r="S189" s="384">
        <v>0.55000000000000004</v>
      </c>
      <c r="T189" s="379">
        <v>34589.730000000003</v>
      </c>
      <c r="U189" s="379">
        <v>0</v>
      </c>
      <c r="V189" s="379">
        <v>13424.21</v>
      </c>
      <c r="W189" s="379">
        <v>37168.559999999998</v>
      </c>
      <c r="X189" s="379">
        <v>14341.85</v>
      </c>
      <c r="Y189" s="379">
        <v>37168.559999999998</v>
      </c>
      <c r="Z189" s="379">
        <v>14163.44</v>
      </c>
      <c r="AA189" s="375" t="s">
        <v>901</v>
      </c>
      <c r="AB189" s="375" t="s">
        <v>902</v>
      </c>
      <c r="AC189" s="375" t="s">
        <v>903</v>
      </c>
      <c r="AD189" s="375" t="s">
        <v>904</v>
      </c>
      <c r="AE189" s="375" t="s">
        <v>556</v>
      </c>
      <c r="AF189" s="375" t="s">
        <v>252</v>
      </c>
      <c r="AG189" s="375" t="s">
        <v>183</v>
      </c>
      <c r="AH189" s="380">
        <v>32.49</v>
      </c>
      <c r="AI189" s="380">
        <v>51307.1</v>
      </c>
      <c r="AJ189" s="375" t="s">
        <v>184</v>
      </c>
      <c r="AK189" s="375" t="s">
        <v>185</v>
      </c>
      <c r="AL189" s="375" t="s">
        <v>173</v>
      </c>
      <c r="AM189" s="375" t="s">
        <v>186</v>
      </c>
      <c r="AN189" s="375" t="s">
        <v>68</v>
      </c>
      <c r="AO189" s="378">
        <v>80</v>
      </c>
      <c r="AP189" s="384">
        <v>1</v>
      </c>
      <c r="AQ189" s="384">
        <v>0.55000000000000004</v>
      </c>
      <c r="AR189" s="383" t="s">
        <v>187</v>
      </c>
      <c r="AS189" s="386">
        <f t="shared" si="115"/>
        <v>0.55000000000000004</v>
      </c>
      <c r="AT189">
        <f t="shared" si="116"/>
        <v>1</v>
      </c>
      <c r="AU189" s="386">
        <f>IF(AT189=0,"",IF(AND(AT189=1,M189="F",SUMIF(C2:C557,C189,AS2:AS557)&lt;=1),SUMIF(C2:C557,C189,AS2:AS557),IF(AND(AT189=1,M189="F",SUMIF(C2:C557,C189,AS2:AS557)&gt;1),1,"")))</f>
        <v>1</v>
      </c>
      <c r="AV189" s="386" t="str">
        <f>IF(AT189=0,"",IF(AND(AT189=3,M189="F",SUMIF(C2:C557,C189,AS2:AS557)&lt;=1),SUMIF(C2:C557,C189,AS2:AS557),IF(AND(AT189=3,M189="F",SUMIF(C2:C557,C189,AS2:AS557)&gt;1),1,"")))</f>
        <v/>
      </c>
      <c r="AW189" s="386">
        <f>SUMIF(C2:C557,C189,O2:O557)</f>
        <v>2</v>
      </c>
      <c r="AX189" s="386">
        <f>IF(AND(M189="F",AS189&lt;&gt;0),SUMIF(C2:C557,C189,W2:W557),0)</f>
        <v>67579.199999999997</v>
      </c>
      <c r="AY189" s="386">
        <f t="shared" si="117"/>
        <v>37168.559999999998</v>
      </c>
      <c r="AZ189" s="386" t="str">
        <f t="shared" si="118"/>
        <v/>
      </c>
      <c r="BA189" s="386">
        <f t="shared" si="119"/>
        <v>0</v>
      </c>
      <c r="BB189" s="386">
        <f t="shared" si="88"/>
        <v>6407.5000000000009</v>
      </c>
      <c r="BC189" s="386">
        <f t="shared" si="89"/>
        <v>0</v>
      </c>
      <c r="BD189" s="386">
        <f t="shared" si="90"/>
        <v>2304.4507199999998</v>
      </c>
      <c r="BE189" s="386">
        <f t="shared" si="91"/>
        <v>538.94412</v>
      </c>
      <c r="BF189" s="386">
        <f t="shared" si="92"/>
        <v>4437.9260640000002</v>
      </c>
      <c r="BG189" s="386">
        <f t="shared" si="93"/>
        <v>267.98531759999997</v>
      </c>
      <c r="BH189" s="386">
        <f t="shared" si="94"/>
        <v>182.12594399999998</v>
      </c>
      <c r="BI189" s="386">
        <f t="shared" si="95"/>
        <v>113.73579359999998</v>
      </c>
      <c r="BJ189" s="386">
        <f t="shared" si="96"/>
        <v>89.204543999999984</v>
      </c>
      <c r="BK189" s="386">
        <f t="shared" si="97"/>
        <v>0</v>
      </c>
      <c r="BL189" s="386">
        <f t="shared" si="120"/>
        <v>7934.3725032000002</v>
      </c>
      <c r="BM189" s="386">
        <f t="shared" si="121"/>
        <v>0</v>
      </c>
      <c r="BN189" s="386">
        <f t="shared" si="98"/>
        <v>6407.5000000000009</v>
      </c>
      <c r="BO189" s="386">
        <f t="shared" si="99"/>
        <v>0</v>
      </c>
      <c r="BP189" s="386">
        <f t="shared" si="100"/>
        <v>2304.4507199999998</v>
      </c>
      <c r="BQ189" s="386">
        <f t="shared" si="101"/>
        <v>538.94412</v>
      </c>
      <c r="BR189" s="386">
        <f t="shared" si="102"/>
        <v>4437.9260640000002</v>
      </c>
      <c r="BS189" s="386">
        <f t="shared" si="103"/>
        <v>267.98531759999997</v>
      </c>
      <c r="BT189" s="386">
        <f t="shared" si="104"/>
        <v>0</v>
      </c>
      <c r="BU189" s="386">
        <f t="shared" si="105"/>
        <v>113.73579359999998</v>
      </c>
      <c r="BV189" s="386">
        <f t="shared" si="106"/>
        <v>92.921399999999991</v>
      </c>
      <c r="BW189" s="386">
        <f t="shared" si="107"/>
        <v>0</v>
      </c>
      <c r="BX189" s="386">
        <f t="shared" si="122"/>
        <v>7755.9634151999999</v>
      </c>
      <c r="BY189" s="386">
        <f t="shared" si="123"/>
        <v>0</v>
      </c>
      <c r="BZ189" s="386">
        <f t="shared" si="124"/>
        <v>0</v>
      </c>
      <c r="CA189" s="386">
        <f t="shared" si="125"/>
        <v>0</v>
      </c>
      <c r="CB189" s="386">
        <f t="shared" si="126"/>
        <v>0</v>
      </c>
      <c r="CC189" s="386">
        <f t="shared" si="108"/>
        <v>0</v>
      </c>
      <c r="CD189" s="386">
        <f t="shared" si="109"/>
        <v>0</v>
      </c>
      <c r="CE189" s="386">
        <f t="shared" si="110"/>
        <v>0</v>
      </c>
      <c r="CF189" s="386">
        <f t="shared" si="111"/>
        <v>-182.12594399999998</v>
      </c>
      <c r="CG189" s="386">
        <f t="shared" si="112"/>
        <v>0</v>
      </c>
      <c r="CH189" s="386">
        <f t="shared" si="113"/>
        <v>3.7168560000000097</v>
      </c>
      <c r="CI189" s="386">
        <f t="shared" si="114"/>
        <v>0</v>
      </c>
      <c r="CJ189" s="386">
        <f t="shared" si="127"/>
        <v>-178.40908799999997</v>
      </c>
      <c r="CK189" s="386" t="str">
        <f t="shared" si="128"/>
        <v/>
      </c>
      <c r="CL189" s="386" t="str">
        <f t="shared" si="129"/>
        <v/>
      </c>
      <c r="CM189" s="386" t="str">
        <f t="shared" si="130"/>
        <v/>
      </c>
      <c r="CN189" s="386" t="str">
        <f t="shared" si="131"/>
        <v>0001-00</v>
      </c>
    </row>
    <row r="190" spans="1:92" ht="15.75" thickBot="1" x14ac:dyDescent="0.3">
      <c r="A190" s="375" t="s">
        <v>161</v>
      </c>
      <c r="B190" s="375" t="s">
        <v>162</v>
      </c>
      <c r="C190" s="375" t="s">
        <v>905</v>
      </c>
      <c r="D190" s="375" t="s">
        <v>555</v>
      </c>
      <c r="E190" s="375" t="s">
        <v>165</v>
      </c>
      <c r="F190" s="376" t="s">
        <v>166</v>
      </c>
      <c r="G190" s="375" t="s">
        <v>549</v>
      </c>
      <c r="H190" s="377"/>
      <c r="I190" s="377"/>
      <c r="J190" s="375" t="s">
        <v>272</v>
      </c>
      <c r="K190" s="375" t="s">
        <v>556</v>
      </c>
      <c r="L190" s="375" t="s">
        <v>220</v>
      </c>
      <c r="M190" s="375" t="s">
        <v>177</v>
      </c>
      <c r="N190" s="375" t="s">
        <v>199</v>
      </c>
      <c r="O190" s="378">
        <v>1</v>
      </c>
      <c r="P190" s="384">
        <v>0.75</v>
      </c>
      <c r="Q190" s="384">
        <v>0.75</v>
      </c>
      <c r="R190" s="379">
        <v>80</v>
      </c>
      <c r="S190" s="384">
        <v>0.75</v>
      </c>
      <c r="T190" s="379">
        <v>46944.11</v>
      </c>
      <c r="U190" s="379">
        <v>0</v>
      </c>
      <c r="V190" s="379">
        <v>18295.689999999999</v>
      </c>
      <c r="W190" s="379">
        <v>48703.199999999997</v>
      </c>
      <c r="X190" s="379">
        <v>19134.150000000001</v>
      </c>
      <c r="Y190" s="379">
        <v>48703.199999999997</v>
      </c>
      <c r="Z190" s="379">
        <v>18900.37</v>
      </c>
      <c r="AA190" s="375" t="s">
        <v>906</v>
      </c>
      <c r="AB190" s="375" t="s">
        <v>907</v>
      </c>
      <c r="AC190" s="375" t="s">
        <v>815</v>
      </c>
      <c r="AD190" s="375" t="s">
        <v>170</v>
      </c>
      <c r="AE190" s="375" t="s">
        <v>556</v>
      </c>
      <c r="AF190" s="375" t="s">
        <v>252</v>
      </c>
      <c r="AG190" s="375" t="s">
        <v>183</v>
      </c>
      <c r="AH190" s="380">
        <v>31.22</v>
      </c>
      <c r="AI190" s="380">
        <v>30095.5</v>
      </c>
      <c r="AJ190" s="375" t="s">
        <v>184</v>
      </c>
      <c r="AK190" s="375" t="s">
        <v>185</v>
      </c>
      <c r="AL190" s="375" t="s">
        <v>173</v>
      </c>
      <c r="AM190" s="375" t="s">
        <v>186</v>
      </c>
      <c r="AN190" s="375" t="s">
        <v>68</v>
      </c>
      <c r="AO190" s="378">
        <v>80</v>
      </c>
      <c r="AP190" s="384">
        <v>1</v>
      </c>
      <c r="AQ190" s="384">
        <v>0.75</v>
      </c>
      <c r="AR190" s="383" t="s">
        <v>187</v>
      </c>
      <c r="AS190" s="386">
        <f t="shared" si="115"/>
        <v>0.75</v>
      </c>
      <c r="AT190">
        <f t="shared" si="116"/>
        <v>1</v>
      </c>
      <c r="AU190" s="386">
        <f>IF(AT190=0,"",IF(AND(AT190=1,M190="F",SUMIF(C2:C557,C190,AS2:AS557)&lt;=1),SUMIF(C2:C557,C190,AS2:AS557),IF(AND(AT190=1,M190="F",SUMIF(C2:C557,C190,AS2:AS557)&gt;1),1,"")))</f>
        <v>1</v>
      </c>
      <c r="AV190" s="386" t="str">
        <f>IF(AT190=0,"",IF(AND(AT190=3,M190="F",SUMIF(C2:C557,C190,AS2:AS557)&lt;=1),SUMIF(C2:C557,C190,AS2:AS557),IF(AND(AT190=3,M190="F",SUMIF(C2:C557,C190,AS2:AS557)&gt;1),1,"")))</f>
        <v/>
      </c>
      <c r="AW190" s="386">
        <f>SUMIF(C2:C557,C190,O2:O557)</f>
        <v>3</v>
      </c>
      <c r="AX190" s="386">
        <f>IF(AND(M190="F",AS190&lt;&gt;0),SUMIF(C2:C557,C190,W2:W557),0)</f>
        <v>64937.599999999991</v>
      </c>
      <c r="AY190" s="386">
        <f t="shared" si="117"/>
        <v>48703.199999999997</v>
      </c>
      <c r="AZ190" s="386" t="str">
        <f t="shared" si="118"/>
        <v/>
      </c>
      <c r="BA190" s="386">
        <f t="shared" si="119"/>
        <v>0</v>
      </c>
      <c r="BB190" s="386">
        <f t="shared" si="88"/>
        <v>8737.5</v>
      </c>
      <c r="BC190" s="386">
        <f t="shared" si="89"/>
        <v>0</v>
      </c>
      <c r="BD190" s="386">
        <f t="shared" si="90"/>
        <v>3019.5983999999999</v>
      </c>
      <c r="BE190" s="386">
        <f t="shared" si="91"/>
        <v>706.19640000000004</v>
      </c>
      <c r="BF190" s="386">
        <f t="shared" si="92"/>
        <v>5815.1620800000001</v>
      </c>
      <c r="BG190" s="386">
        <f t="shared" si="93"/>
        <v>351.15007199999997</v>
      </c>
      <c r="BH190" s="386">
        <f t="shared" si="94"/>
        <v>238.64567999999997</v>
      </c>
      <c r="BI190" s="386">
        <f t="shared" si="95"/>
        <v>149.03179199999997</v>
      </c>
      <c r="BJ190" s="386">
        <f t="shared" si="96"/>
        <v>116.88767999999999</v>
      </c>
      <c r="BK190" s="386">
        <f t="shared" si="97"/>
        <v>0</v>
      </c>
      <c r="BL190" s="386">
        <f t="shared" si="120"/>
        <v>10396.672103999999</v>
      </c>
      <c r="BM190" s="386">
        <f t="shared" si="121"/>
        <v>0</v>
      </c>
      <c r="BN190" s="386">
        <f t="shared" si="98"/>
        <v>8737.5</v>
      </c>
      <c r="BO190" s="386">
        <f t="shared" si="99"/>
        <v>0</v>
      </c>
      <c r="BP190" s="386">
        <f t="shared" si="100"/>
        <v>3019.5983999999999</v>
      </c>
      <c r="BQ190" s="386">
        <f t="shared" si="101"/>
        <v>706.19640000000004</v>
      </c>
      <c r="BR190" s="386">
        <f t="shared" si="102"/>
        <v>5815.1620800000001</v>
      </c>
      <c r="BS190" s="386">
        <f t="shared" si="103"/>
        <v>351.15007199999997</v>
      </c>
      <c r="BT190" s="386">
        <f t="shared" si="104"/>
        <v>0</v>
      </c>
      <c r="BU190" s="386">
        <f t="shared" si="105"/>
        <v>149.03179199999997</v>
      </c>
      <c r="BV190" s="386">
        <f t="shared" si="106"/>
        <v>121.758</v>
      </c>
      <c r="BW190" s="386">
        <f t="shared" si="107"/>
        <v>0</v>
      </c>
      <c r="BX190" s="386">
        <f t="shared" si="122"/>
        <v>10162.896744</v>
      </c>
      <c r="BY190" s="386">
        <f t="shared" si="123"/>
        <v>0</v>
      </c>
      <c r="BZ190" s="386">
        <f t="shared" si="124"/>
        <v>0</v>
      </c>
      <c r="CA190" s="386">
        <f t="shared" si="125"/>
        <v>0</v>
      </c>
      <c r="CB190" s="386">
        <f t="shared" si="126"/>
        <v>0</v>
      </c>
      <c r="CC190" s="386">
        <f t="shared" si="108"/>
        <v>0</v>
      </c>
      <c r="CD190" s="386">
        <f t="shared" si="109"/>
        <v>0</v>
      </c>
      <c r="CE190" s="386">
        <f t="shared" si="110"/>
        <v>0</v>
      </c>
      <c r="CF190" s="386">
        <f t="shared" si="111"/>
        <v>-238.64567999999997</v>
      </c>
      <c r="CG190" s="386">
        <f t="shared" si="112"/>
        <v>0</v>
      </c>
      <c r="CH190" s="386">
        <f t="shared" si="113"/>
        <v>4.8703200000000129</v>
      </c>
      <c r="CI190" s="386">
        <f t="shared" si="114"/>
        <v>0</v>
      </c>
      <c r="CJ190" s="386">
        <f t="shared" si="127"/>
        <v>-233.77535999999995</v>
      </c>
      <c r="CK190" s="386" t="str">
        <f t="shared" si="128"/>
        <v/>
      </c>
      <c r="CL190" s="386" t="str">
        <f t="shared" si="129"/>
        <v/>
      </c>
      <c r="CM190" s="386" t="str">
        <f t="shared" si="130"/>
        <v/>
      </c>
      <c r="CN190" s="386" t="str">
        <f t="shared" si="131"/>
        <v>0001-00</v>
      </c>
    </row>
    <row r="191" spans="1:92" ht="15.75" thickBot="1" x14ac:dyDescent="0.3">
      <c r="A191" s="375" t="s">
        <v>161</v>
      </c>
      <c r="B191" s="375" t="s">
        <v>162</v>
      </c>
      <c r="C191" s="375" t="s">
        <v>908</v>
      </c>
      <c r="D191" s="375" t="s">
        <v>617</v>
      </c>
      <c r="E191" s="375" t="s">
        <v>165</v>
      </c>
      <c r="F191" s="376" t="s">
        <v>166</v>
      </c>
      <c r="G191" s="375" t="s">
        <v>549</v>
      </c>
      <c r="H191" s="377"/>
      <c r="I191" s="377"/>
      <c r="J191" s="375" t="s">
        <v>168</v>
      </c>
      <c r="K191" s="375" t="s">
        <v>618</v>
      </c>
      <c r="L191" s="375" t="s">
        <v>173</v>
      </c>
      <c r="M191" s="375" t="s">
        <v>177</v>
      </c>
      <c r="N191" s="375" t="s">
        <v>199</v>
      </c>
      <c r="O191" s="378">
        <v>1</v>
      </c>
      <c r="P191" s="384">
        <v>1</v>
      </c>
      <c r="Q191" s="384">
        <v>1</v>
      </c>
      <c r="R191" s="379">
        <v>80</v>
      </c>
      <c r="S191" s="384">
        <v>1</v>
      </c>
      <c r="T191" s="379">
        <v>63643.21</v>
      </c>
      <c r="U191" s="379">
        <v>0</v>
      </c>
      <c r="V191" s="379">
        <v>24738.33</v>
      </c>
      <c r="W191" s="379">
        <v>66019.199999999997</v>
      </c>
      <c r="X191" s="379">
        <v>25743.08</v>
      </c>
      <c r="Y191" s="379">
        <v>66019.199999999997</v>
      </c>
      <c r="Z191" s="379">
        <v>25426.19</v>
      </c>
      <c r="AA191" s="375" t="s">
        <v>909</v>
      </c>
      <c r="AB191" s="375" t="s">
        <v>910</v>
      </c>
      <c r="AC191" s="375" t="s">
        <v>911</v>
      </c>
      <c r="AD191" s="375" t="s">
        <v>170</v>
      </c>
      <c r="AE191" s="375" t="s">
        <v>618</v>
      </c>
      <c r="AF191" s="375" t="s">
        <v>305</v>
      </c>
      <c r="AG191" s="375" t="s">
        <v>183</v>
      </c>
      <c r="AH191" s="380">
        <v>31.74</v>
      </c>
      <c r="AI191" s="380">
        <v>23769.5</v>
      </c>
      <c r="AJ191" s="375" t="s">
        <v>184</v>
      </c>
      <c r="AK191" s="375" t="s">
        <v>185</v>
      </c>
      <c r="AL191" s="375" t="s">
        <v>173</v>
      </c>
      <c r="AM191" s="375" t="s">
        <v>186</v>
      </c>
      <c r="AN191" s="375" t="s">
        <v>68</v>
      </c>
      <c r="AO191" s="378">
        <v>80</v>
      </c>
      <c r="AP191" s="384">
        <v>1</v>
      </c>
      <c r="AQ191" s="384">
        <v>1</v>
      </c>
      <c r="AR191" s="383" t="s">
        <v>187</v>
      </c>
      <c r="AS191" s="386">
        <f t="shared" si="115"/>
        <v>1</v>
      </c>
      <c r="AT191">
        <f t="shared" si="116"/>
        <v>1</v>
      </c>
      <c r="AU191" s="386">
        <f>IF(AT191=0,"",IF(AND(AT191=1,M191="F",SUMIF(C2:C557,C191,AS2:AS557)&lt;=1),SUMIF(C2:C557,C191,AS2:AS557),IF(AND(AT191=1,M191="F",SUMIF(C2:C557,C191,AS2:AS557)&gt;1),1,"")))</f>
        <v>1</v>
      </c>
      <c r="AV191" s="386" t="str">
        <f>IF(AT191=0,"",IF(AND(AT191=3,M191="F",SUMIF(C2:C557,C191,AS2:AS557)&lt;=1),SUMIF(C2:C557,C191,AS2:AS557),IF(AND(AT191=3,M191="F",SUMIF(C2:C557,C191,AS2:AS557)&gt;1),1,"")))</f>
        <v/>
      </c>
      <c r="AW191" s="386">
        <f>SUMIF(C2:C557,C191,O2:O557)</f>
        <v>1</v>
      </c>
      <c r="AX191" s="386">
        <f>IF(AND(M191="F",AS191&lt;&gt;0),SUMIF(C2:C557,C191,W2:W557),0)</f>
        <v>66019.199999999997</v>
      </c>
      <c r="AY191" s="386">
        <f t="shared" si="117"/>
        <v>66019.199999999997</v>
      </c>
      <c r="AZ191" s="386" t="str">
        <f t="shared" si="118"/>
        <v/>
      </c>
      <c r="BA191" s="386">
        <f t="shared" si="119"/>
        <v>0</v>
      </c>
      <c r="BB191" s="386">
        <f t="shared" si="88"/>
        <v>11650</v>
      </c>
      <c r="BC191" s="386">
        <f t="shared" si="89"/>
        <v>0</v>
      </c>
      <c r="BD191" s="386">
        <f t="shared" si="90"/>
        <v>4093.1904</v>
      </c>
      <c r="BE191" s="386">
        <f t="shared" si="91"/>
        <v>957.27840000000003</v>
      </c>
      <c r="BF191" s="386">
        <f t="shared" si="92"/>
        <v>7882.6924799999997</v>
      </c>
      <c r="BG191" s="386">
        <f t="shared" si="93"/>
        <v>475.99843199999998</v>
      </c>
      <c r="BH191" s="386">
        <f t="shared" si="94"/>
        <v>323.49408</v>
      </c>
      <c r="BI191" s="386">
        <f t="shared" si="95"/>
        <v>202.01875199999998</v>
      </c>
      <c r="BJ191" s="386">
        <f t="shared" si="96"/>
        <v>158.44607999999997</v>
      </c>
      <c r="BK191" s="386">
        <f t="shared" si="97"/>
        <v>0</v>
      </c>
      <c r="BL191" s="386">
        <f t="shared" si="120"/>
        <v>14093.118624000001</v>
      </c>
      <c r="BM191" s="386">
        <f t="shared" si="121"/>
        <v>0</v>
      </c>
      <c r="BN191" s="386">
        <f t="shared" si="98"/>
        <v>11650</v>
      </c>
      <c r="BO191" s="386">
        <f t="shared" si="99"/>
        <v>0</v>
      </c>
      <c r="BP191" s="386">
        <f t="shared" si="100"/>
        <v>4093.1904</v>
      </c>
      <c r="BQ191" s="386">
        <f t="shared" si="101"/>
        <v>957.27840000000003</v>
      </c>
      <c r="BR191" s="386">
        <f t="shared" si="102"/>
        <v>7882.6924799999997</v>
      </c>
      <c r="BS191" s="386">
        <f t="shared" si="103"/>
        <v>475.99843199999998</v>
      </c>
      <c r="BT191" s="386">
        <f t="shared" si="104"/>
        <v>0</v>
      </c>
      <c r="BU191" s="386">
        <f t="shared" si="105"/>
        <v>202.01875199999998</v>
      </c>
      <c r="BV191" s="386">
        <f t="shared" si="106"/>
        <v>165.048</v>
      </c>
      <c r="BW191" s="386">
        <f t="shared" si="107"/>
        <v>0</v>
      </c>
      <c r="BX191" s="386">
        <f t="shared" si="122"/>
        <v>13776.226464000001</v>
      </c>
      <c r="BY191" s="386">
        <f t="shared" si="123"/>
        <v>0</v>
      </c>
      <c r="BZ191" s="386">
        <f t="shared" si="124"/>
        <v>0</v>
      </c>
      <c r="CA191" s="386">
        <f t="shared" si="125"/>
        <v>0</v>
      </c>
      <c r="CB191" s="386">
        <f t="shared" si="126"/>
        <v>0</v>
      </c>
      <c r="CC191" s="386">
        <f t="shared" si="108"/>
        <v>0</v>
      </c>
      <c r="CD191" s="386">
        <f t="shared" si="109"/>
        <v>0</v>
      </c>
      <c r="CE191" s="386">
        <f t="shared" si="110"/>
        <v>0</v>
      </c>
      <c r="CF191" s="386">
        <f t="shared" si="111"/>
        <v>-323.49408</v>
      </c>
      <c r="CG191" s="386">
        <f t="shared" si="112"/>
        <v>0</v>
      </c>
      <c r="CH191" s="386">
        <f t="shared" si="113"/>
        <v>6.6019200000000167</v>
      </c>
      <c r="CI191" s="386">
        <f t="shared" si="114"/>
        <v>0</v>
      </c>
      <c r="CJ191" s="386">
        <f t="shared" si="127"/>
        <v>-316.89215999999999</v>
      </c>
      <c r="CK191" s="386" t="str">
        <f t="shared" si="128"/>
        <v/>
      </c>
      <c r="CL191" s="386" t="str">
        <f t="shared" si="129"/>
        <v/>
      </c>
      <c r="CM191" s="386" t="str">
        <f t="shared" si="130"/>
        <v/>
      </c>
      <c r="CN191" s="386" t="str">
        <f t="shared" si="131"/>
        <v>0001-00</v>
      </c>
    </row>
    <row r="192" spans="1:92" ht="15.75" thickBot="1" x14ac:dyDescent="0.3">
      <c r="A192" s="375" t="s">
        <v>161</v>
      </c>
      <c r="B192" s="375" t="s">
        <v>162</v>
      </c>
      <c r="C192" s="375" t="s">
        <v>912</v>
      </c>
      <c r="D192" s="375" t="s">
        <v>555</v>
      </c>
      <c r="E192" s="375" t="s">
        <v>165</v>
      </c>
      <c r="F192" s="376" t="s">
        <v>166</v>
      </c>
      <c r="G192" s="375" t="s">
        <v>549</v>
      </c>
      <c r="H192" s="377"/>
      <c r="I192" s="377"/>
      <c r="J192" s="375" t="s">
        <v>168</v>
      </c>
      <c r="K192" s="375" t="s">
        <v>556</v>
      </c>
      <c r="L192" s="375" t="s">
        <v>220</v>
      </c>
      <c r="M192" s="375" t="s">
        <v>177</v>
      </c>
      <c r="N192" s="375" t="s">
        <v>199</v>
      </c>
      <c r="O192" s="378">
        <v>1</v>
      </c>
      <c r="P192" s="384">
        <v>1</v>
      </c>
      <c r="Q192" s="384">
        <v>1</v>
      </c>
      <c r="R192" s="379">
        <v>80</v>
      </c>
      <c r="S192" s="384">
        <v>1</v>
      </c>
      <c r="T192" s="379">
        <v>57599.360000000001</v>
      </c>
      <c r="U192" s="379">
        <v>0</v>
      </c>
      <c r="V192" s="379">
        <v>23124.55</v>
      </c>
      <c r="W192" s="379">
        <v>61193.599999999999</v>
      </c>
      <c r="X192" s="379">
        <v>24712.959999999999</v>
      </c>
      <c r="Y192" s="379">
        <v>61193.599999999999</v>
      </c>
      <c r="Z192" s="379">
        <v>24419.24</v>
      </c>
      <c r="AA192" s="375" t="s">
        <v>913</v>
      </c>
      <c r="AB192" s="375" t="s">
        <v>914</v>
      </c>
      <c r="AC192" s="375" t="s">
        <v>915</v>
      </c>
      <c r="AD192" s="375" t="s">
        <v>352</v>
      </c>
      <c r="AE192" s="375" t="s">
        <v>556</v>
      </c>
      <c r="AF192" s="375" t="s">
        <v>252</v>
      </c>
      <c r="AG192" s="375" t="s">
        <v>183</v>
      </c>
      <c r="AH192" s="380">
        <v>29.42</v>
      </c>
      <c r="AI192" s="380">
        <v>23210.2</v>
      </c>
      <c r="AJ192" s="375" t="s">
        <v>184</v>
      </c>
      <c r="AK192" s="375" t="s">
        <v>185</v>
      </c>
      <c r="AL192" s="375" t="s">
        <v>173</v>
      </c>
      <c r="AM192" s="375" t="s">
        <v>186</v>
      </c>
      <c r="AN192" s="375" t="s">
        <v>68</v>
      </c>
      <c r="AO192" s="378">
        <v>80</v>
      </c>
      <c r="AP192" s="384">
        <v>1</v>
      </c>
      <c r="AQ192" s="384">
        <v>1</v>
      </c>
      <c r="AR192" s="383" t="s">
        <v>187</v>
      </c>
      <c r="AS192" s="386">
        <f t="shared" si="115"/>
        <v>1</v>
      </c>
      <c r="AT192">
        <f t="shared" si="116"/>
        <v>1</v>
      </c>
      <c r="AU192" s="386">
        <f>IF(AT192=0,"",IF(AND(AT192=1,M192="F",SUMIF(C2:C557,C192,AS2:AS557)&lt;=1),SUMIF(C2:C557,C192,AS2:AS557),IF(AND(AT192=1,M192="F",SUMIF(C2:C557,C192,AS2:AS557)&gt;1),1,"")))</f>
        <v>1</v>
      </c>
      <c r="AV192" s="386" t="str">
        <f>IF(AT192=0,"",IF(AND(AT192=3,M192="F",SUMIF(C2:C557,C192,AS2:AS557)&lt;=1),SUMIF(C2:C557,C192,AS2:AS557),IF(AND(AT192=3,M192="F",SUMIF(C2:C557,C192,AS2:AS557)&gt;1),1,"")))</f>
        <v/>
      </c>
      <c r="AW192" s="386">
        <f>SUMIF(C2:C557,C192,O2:O557)</f>
        <v>1</v>
      </c>
      <c r="AX192" s="386">
        <f>IF(AND(M192="F",AS192&lt;&gt;0),SUMIF(C2:C557,C192,W2:W557),0)</f>
        <v>61193.599999999999</v>
      </c>
      <c r="AY192" s="386">
        <f t="shared" si="117"/>
        <v>61193.599999999999</v>
      </c>
      <c r="AZ192" s="386" t="str">
        <f t="shared" si="118"/>
        <v/>
      </c>
      <c r="BA192" s="386">
        <f t="shared" si="119"/>
        <v>0</v>
      </c>
      <c r="BB192" s="386">
        <f t="shared" si="88"/>
        <v>11650</v>
      </c>
      <c r="BC192" s="386">
        <f t="shared" si="89"/>
        <v>0</v>
      </c>
      <c r="BD192" s="386">
        <f t="shared" si="90"/>
        <v>3794.0032000000001</v>
      </c>
      <c r="BE192" s="386">
        <f t="shared" si="91"/>
        <v>887.30720000000008</v>
      </c>
      <c r="BF192" s="386">
        <f t="shared" si="92"/>
        <v>7306.51584</v>
      </c>
      <c r="BG192" s="386">
        <f t="shared" si="93"/>
        <v>441.20585599999998</v>
      </c>
      <c r="BH192" s="386">
        <f t="shared" si="94"/>
        <v>299.84863999999999</v>
      </c>
      <c r="BI192" s="386">
        <f t="shared" si="95"/>
        <v>187.25241599999998</v>
      </c>
      <c r="BJ192" s="386">
        <f t="shared" si="96"/>
        <v>146.86463999999998</v>
      </c>
      <c r="BK192" s="386">
        <f t="shared" si="97"/>
        <v>0</v>
      </c>
      <c r="BL192" s="386">
        <f t="shared" si="120"/>
        <v>13062.997792</v>
      </c>
      <c r="BM192" s="386">
        <f t="shared" si="121"/>
        <v>0</v>
      </c>
      <c r="BN192" s="386">
        <f t="shared" si="98"/>
        <v>11650</v>
      </c>
      <c r="BO192" s="386">
        <f t="shared" si="99"/>
        <v>0</v>
      </c>
      <c r="BP192" s="386">
        <f t="shared" si="100"/>
        <v>3794.0032000000001</v>
      </c>
      <c r="BQ192" s="386">
        <f t="shared" si="101"/>
        <v>887.30720000000008</v>
      </c>
      <c r="BR192" s="386">
        <f t="shared" si="102"/>
        <v>7306.51584</v>
      </c>
      <c r="BS192" s="386">
        <f t="shared" si="103"/>
        <v>441.20585599999998</v>
      </c>
      <c r="BT192" s="386">
        <f t="shared" si="104"/>
        <v>0</v>
      </c>
      <c r="BU192" s="386">
        <f t="shared" si="105"/>
        <v>187.25241599999998</v>
      </c>
      <c r="BV192" s="386">
        <f t="shared" si="106"/>
        <v>152.98400000000001</v>
      </c>
      <c r="BW192" s="386">
        <f t="shared" si="107"/>
        <v>0</v>
      </c>
      <c r="BX192" s="386">
        <f t="shared" si="122"/>
        <v>12769.268512000001</v>
      </c>
      <c r="BY192" s="386">
        <f t="shared" si="123"/>
        <v>0</v>
      </c>
      <c r="BZ192" s="386">
        <f t="shared" si="124"/>
        <v>0</v>
      </c>
      <c r="CA192" s="386">
        <f t="shared" si="125"/>
        <v>0</v>
      </c>
      <c r="CB192" s="386">
        <f t="shared" si="126"/>
        <v>0</v>
      </c>
      <c r="CC192" s="386">
        <f t="shared" si="108"/>
        <v>0</v>
      </c>
      <c r="CD192" s="386">
        <f t="shared" si="109"/>
        <v>0</v>
      </c>
      <c r="CE192" s="386">
        <f t="shared" si="110"/>
        <v>0</v>
      </c>
      <c r="CF192" s="386">
        <f t="shared" si="111"/>
        <v>-299.84863999999999</v>
      </c>
      <c r="CG192" s="386">
        <f t="shared" si="112"/>
        <v>0</v>
      </c>
      <c r="CH192" s="386">
        <f t="shared" si="113"/>
        <v>6.1193600000000163</v>
      </c>
      <c r="CI192" s="386">
        <f t="shared" si="114"/>
        <v>0</v>
      </c>
      <c r="CJ192" s="386">
        <f t="shared" si="127"/>
        <v>-293.72927999999996</v>
      </c>
      <c r="CK192" s="386" t="str">
        <f t="shared" si="128"/>
        <v/>
      </c>
      <c r="CL192" s="386" t="str">
        <f t="shared" si="129"/>
        <v/>
      </c>
      <c r="CM192" s="386" t="str">
        <f t="shared" si="130"/>
        <v/>
      </c>
      <c r="CN192" s="386" t="str">
        <f t="shared" si="131"/>
        <v>0001-00</v>
      </c>
    </row>
    <row r="193" spans="1:92" ht="15.75" thickBot="1" x14ac:dyDescent="0.3">
      <c r="A193" s="375" t="s">
        <v>161</v>
      </c>
      <c r="B193" s="375" t="s">
        <v>162</v>
      </c>
      <c r="C193" s="375" t="s">
        <v>916</v>
      </c>
      <c r="D193" s="375" t="s">
        <v>917</v>
      </c>
      <c r="E193" s="375" t="s">
        <v>165</v>
      </c>
      <c r="F193" s="376" t="s">
        <v>166</v>
      </c>
      <c r="G193" s="375" t="s">
        <v>549</v>
      </c>
      <c r="H193" s="377"/>
      <c r="I193" s="377"/>
      <c r="J193" s="375" t="s">
        <v>218</v>
      </c>
      <c r="K193" s="375" t="s">
        <v>918</v>
      </c>
      <c r="L193" s="375" t="s">
        <v>198</v>
      </c>
      <c r="M193" s="375" t="s">
        <v>177</v>
      </c>
      <c r="N193" s="375" t="s">
        <v>199</v>
      </c>
      <c r="O193" s="378">
        <v>1</v>
      </c>
      <c r="P193" s="384">
        <v>0.8</v>
      </c>
      <c r="Q193" s="384">
        <v>0.8</v>
      </c>
      <c r="R193" s="379">
        <v>80</v>
      </c>
      <c r="S193" s="384">
        <v>0.8</v>
      </c>
      <c r="T193" s="379">
        <v>38147.919999999998</v>
      </c>
      <c r="U193" s="379">
        <v>0</v>
      </c>
      <c r="V193" s="379">
        <v>17183.11</v>
      </c>
      <c r="W193" s="379">
        <v>39569.919999999998</v>
      </c>
      <c r="X193" s="379">
        <v>17766.96</v>
      </c>
      <c r="Y193" s="379">
        <v>39569.919999999998</v>
      </c>
      <c r="Z193" s="379">
        <v>17577.03</v>
      </c>
      <c r="AA193" s="375" t="s">
        <v>919</v>
      </c>
      <c r="AB193" s="375" t="s">
        <v>920</v>
      </c>
      <c r="AC193" s="375" t="s">
        <v>921</v>
      </c>
      <c r="AD193" s="375" t="s">
        <v>274</v>
      </c>
      <c r="AE193" s="375" t="s">
        <v>918</v>
      </c>
      <c r="AF193" s="375" t="s">
        <v>245</v>
      </c>
      <c r="AG193" s="375" t="s">
        <v>183</v>
      </c>
      <c r="AH193" s="380">
        <v>23.78</v>
      </c>
      <c r="AI193" s="380">
        <v>49680.1</v>
      </c>
      <c r="AJ193" s="375" t="s">
        <v>184</v>
      </c>
      <c r="AK193" s="375" t="s">
        <v>185</v>
      </c>
      <c r="AL193" s="375" t="s">
        <v>173</v>
      </c>
      <c r="AM193" s="375" t="s">
        <v>186</v>
      </c>
      <c r="AN193" s="375" t="s">
        <v>68</v>
      </c>
      <c r="AO193" s="378">
        <v>80</v>
      </c>
      <c r="AP193" s="384">
        <v>1</v>
      </c>
      <c r="AQ193" s="384">
        <v>0.8</v>
      </c>
      <c r="AR193" s="383" t="s">
        <v>187</v>
      </c>
      <c r="AS193" s="386">
        <f t="shared" si="115"/>
        <v>0.8</v>
      </c>
      <c r="AT193">
        <f t="shared" si="116"/>
        <v>1</v>
      </c>
      <c r="AU193" s="386">
        <f>IF(AT193=0,"",IF(AND(AT193=1,M193="F",SUMIF(C2:C557,C193,AS2:AS557)&lt;=1),SUMIF(C2:C557,C193,AS2:AS557),IF(AND(AT193=1,M193="F",SUMIF(C2:C557,C193,AS2:AS557)&gt;1),1,"")))</f>
        <v>1</v>
      </c>
      <c r="AV193" s="386" t="str">
        <f>IF(AT193=0,"",IF(AND(AT193=3,M193="F",SUMIF(C2:C557,C193,AS2:AS557)&lt;=1),SUMIF(C2:C557,C193,AS2:AS557),IF(AND(AT193=3,M193="F",SUMIF(C2:C557,C193,AS2:AS557)&gt;1),1,"")))</f>
        <v/>
      </c>
      <c r="AW193" s="386">
        <f>SUMIF(C2:C557,C193,O2:O557)</f>
        <v>2</v>
      </c>
      <c r="AX193" s="386">
        <f>IF(AND(M193="F",AS193&lt;&gt;0),SUMIF(C2:C557,C193,W2:W557),0)</f>
        <v>49462.399999999994</v>
      </c>
      <c r="AY193" s="386">
        <f t="shared" si="117"/>
        <v>39569.919999999998</v>
      </c>
      <c r="AZ193" s="386" t="str">
        <f t="shared" si="118"/>
        <v/>
      </c>
      <c r="BA193" s="386">
        <f t="shared" si="119"/>
        <v>0</v>
      </c>
      <c r="BB193" s="386">
        <f t="shared" si="88"/>
        <v>9320</v>
      </c>
      <c r="BC193" s="386">
        <f t="shared" si="89"/>
        <v>0</v>
      </c>
      <c r="BD193" s="386">
        <f t="shared" si="90"/>
        <v>2453.3350399999999</v>
      </c>
      <c r="BE193" s="386">
        <f t="shared" si="91"/>
        <v>573.76383999999996</v>
      </c>
      <c r="BF193" s="386">
        <f t="shared" si="92"/>
        <v>4724.6484479999999</v>
      </c>
      <c r="BG193" s="386">
        <f t="shared" si="93"/>
        <v>285.2991232</v>
      </c>
      <c r="BH193" s="386">
        <f t="shared" si="94"/>
        <v>193.892608</v>
      </c>
      <c r="BI193" s="386">
        <f t="shared" si="95"/>
        <v>121.08395519999999</v>
      </c>
      <c r="BJ193" s="386">
        <f t="shared" si="96"/>
        <v>94.967807999999991</v>
      </c>
      <c r="BK193" s="386">
        <f t="shared" si="97"/>
        <v>0</v>
      </c>
      <c r="BL193" s="386">
        <f t="shared" si="120"/>
        <v>8446.9908223999992</v>
      </c>
      <c r="BM193" s="386">
        <f t="shared" si="121"/>
        <v>0</v>
      </c>
      <c r="BN193" s="386">
        <f t="shared" si="98"/>
        <v>9320</v>
      </c>
      <c r="BO193" s="386">
        <f t="shared" si="99"/>
        <v>0</v>
      </c>
      <c r="BP193" s="386">
        <f t="shared" si="100"/>
        <v>2453.3350399999999</v>
      </c>
      <c r="BQ193" s="386">
        <f t="shared" si="101"/>
        <v>573.76383999999996</v>
      </c>
      <c r="BR193" s="386">
        <f t="shared" si="102"/>
        <v>4724.6484479999999</v>
      </c>
      <c r="BS193" s="386">
        <f t="shared" si="103"/>
        <v>285.2991232</v>
      </c>
      <c r="BT193" s="386">
        <f t="shared" si="104"/>
        <v>0</v>
      </c>
      <c r="BU193" s="386">
        <f t="shared" si="105"/>
        <v>121.08395519999999</v>
      </c>
      <c r="BV193" s="386">
        <f t="shared" si="106"/>
        <v>98.924800000000005</v>
      </c>
      <c r="BW193" s="386">
        <f t="shared" si="107"/>
        <v>0</v>
      </c>
      <c r="BX193" s="386">
        <f t="shared" si="122"/>
        <v>8257.0552064000003</v>
      </c>
      <c r="BY193" s="386">
        <f t="shared" si="123"/>
        <v>0</v>
      </c>
      <c r="BZ193" s="386">
        <f t="shared" si="124"/>
        <v>0</v>
      </c>
      <c r="CA193" s="386">
        <f t="shared" si="125"/>
        <v>0</v>
      </c>
      <c r="CB193" s="386">
        <f t="shared" si="126"/>
        <v>0</v>
      </c>
      <c r="CC193" s="386">
        <f t="shared" si="108"/>
        <v>0</v>
      </c>
      <c r="CD193" s="386">
        <f t="shared" si="109"/>
        <v>0</v>
      </c>
      <c r="CE193" s="386">
        <f t="shared" si="110"/>
        <v>0</v>
      </c>
      <c r="CF193" s="386">
        <f t="shared" si="111"/>
        <v>-193.892608</v>
      </c>
      <c r="CG193" s="386">
        <f t="shared" si="112"/>
        <v>0</v>
      </c>
      <c r="CH193" s="386">
        <f t="shared" si="113"/>
        <v>3.9569920000000103</v>
      </c>
      <c r="CI193" s="386">
        <f t="shared" si="114"/>
        <v>0</v>
      </c>
      <c r="CJ193" s="386">
        <f t="shared" si="127"/>
        <v>-189.93561599999998</v>
      </c>
      <c r="CK193" s="386" t="str">
        <f t="shared" si="128"/>
        <v/>
      </c>
      <c r="CL193" s="386" t="str">
        <f t="shared" si="129"/>
        <v/>
      </c>
      <c r="CM193" s="386" t="str">
        <f t="shared" si="130"/>
        <v/>
      </c>
      <c r="CN193" s="386" t="str">
        <f t="shared" si="131"/>
        <v>0001-00</v>
      </c>
    </row>
    <row r="194" spans="1:92" ht="15.75" thickBot="1" x14ac:dyDescent="0.3">
      <c r="A194" s="375" t="s">
        <v>161</v>
      </c>
      <c r="B194" s="375" t="s">
        <v>162</v>
      </c>
      <c r="C194" s="375" t="s">
        <v>922</v>
      </c>
      <c r="D194" s="375" t="s">
        <v>259</v>
      </c>
      <c r="E194" s="375" t="s">
        <v>165</v>
      </c>
      <c r="F194" s="376" t="s">
        <v>166</v>
      </c>
      <c r="G194" s="375" t="s">
        <v>549</v>
      </c>
      <c r="H194" s="377"/>
      <c r="I194" s="377"/>
      <c r="J194" s="375" t="s">
        <v>168</v>
      </c>
      <c r="K194" s="375" t="s">
        <v>260</v>
      </c>
      <c r="L194" s="375" t="s">
        <v>261</v>
      </c>
      <c r="M194" s="375" t="s">
        <v>171</v>
      </c>
      <c r="N194" s="375" t="s">
        <v>262</v>
      </c>
      <c r="O194" s="378">
        <v>0</v>
      </c>
      <c r="P194" s="384">
        <v>1</v>
      </c>
      <c r="Q194" s="384">
        <v>0</v>
      </c>
      <c r="R194" s="379">
        <v>0</v>
      </c>
      <c r="S194" s="384">
        <v>0</v>
      </c>
      <c r="T194" s="379">
        <v>0</v>
      </c>
      <c r="U194" s="379">
        <v>0</v>
      </c>
      <c r="V194" s="379">
        <v>0</v>
      </c>
      <c r="W194" s="379">
        <v>0</v>
      </c>
      <c r="X194" s="379">
        <v>0</v>
      </c>
      <c r="Y194" s="379">
        <v>0</v>
      </c>
      <c r="Z194" s="379">
        <v>0</v>
      </c>
      <c r="AA194" s="377"/>
      <c r="AB194" s="375" t="s">
        <v>45</v>
      </c>
      <c r="AC194" s="375" t="s">
        <v>45</v>
      </c>
      <c r="AD194" s="377"/>
      <c r="AE194" s="377"/>
      <c r="AF194" s="377"/>
      <c r="AG194" s="377"/>
      <c r="AH194" s="378">
        <v>0</v>
      </c>
      <c r="AI194" s="378">
        <v>0</v>
      </c>
      <c r="AJ194" s="377"/>
      <c r="AK194" s="377"/>
      <c r="AL194" s="375" t="s">
        <v>173</v>
      </c>
      <c r="AM194" s="377"/>
      <c r="AN194" s="377"/>
      <c r="AO194" s="378">
        <v>0</v>
      </c>
      <c r="AP194" s="384">
        <v>0</v>
      </c>
      <c r="AQ194" s="384">
        <v>0</v>
      </c>
      <c r="AR194" s="382"/>
      <c r="AS194" s="386">
        <f t="shared" si="115"/>
        <v>0</v>
      </c>
      <c r="AT194">
        <f t="shared" si="116"/>
        <v>0</v>
      </c>
      <c r="AU194" s="386" t="str">
        <f>IF(AT194=0,"",IF(AND(AT194=1,M194="F",SUMIF(C2:C557,C194,AS2:AS557)&lt;=1),SUMIF(C2:C557,C194,AS2:AS557),IF(AND(AT194=1,M194="F",SUMIF(C2:C557,C194,AS2:AS557)&gt;1),1,"")))</f>
        <v/>
      </c>
      <c r="AV194" s="386" t="str">
        <f>IF(AT194=0,"",IF(AND(AT194=3,M194="F",SUMIF(C2:C557,C194,AS2:AS557)&lt;=1),SUMIF(C2:C557,C194,AS2:AS557),IF(AND(AT194=3,M194="F",SUMIF(C2:C557,C194,AS2:AS557)&gt;1),1,"")))</f>
        <v/>
      </c>
      <c r="AW194" s="386">
        <f>SUMIF(C2:C557,C194,O2:O557)</f>
        <v>0</v>
      </c>
      <c r="AX194" s="386">
        <f>IF(AND(M194="F",AS194&lt;&gt;0),SUMIF(C2:C557,C194,W2:W557),0)</f>
        <v>0</v>
      </c>
      <c r="AY194" s="386" t="str">
        <f t="shared" si="117"/>
        <v/>
      </c>
      <c r="AZ194" s="386" t="str">
        <f t="shared" si="118"/>
        <v/>
      </c>
      <c r="BA194" s="386">
        <f t="shared" si="119"/>
        <v>0</v>
      </c>
      <c r="BB194" s="386">
        <f t="shared" ref="BB194:BB257" si="132">IF(AND(AT194=1,AK194="E",AU194&gt;=0.75,AW194=1),Health,IF(AND(AT194=1,AK194="E",AU194&gt;=0.75),Health*P194,IF(AND(AT194=1,AK194="E",AU194&gt;=0.5,AW194=1),PTHealth,IF(AND(AT194=1,AK194="E",AU194&gt;=0.5),PTHealth*P194,0))))</f>
        <v>0</v>
      </c>
      <c r="BC194" s="386">
        <f t="shared" ref="BC194:BC257" si="133">IF(AND(AT194=3,AK194="E",AV194&gt;=0.75,AW194=1),Health,IF(AND(AT194=3,AK194="E",AV194&gt;=0.75),Health*P194,IF(AND(AT194=3,AK194="E",AV194&gt;=0.5,AW194=1),PTHealth,IF(AND(AT194=3,AK194="E",AV194&gt;=0.5),PTHealth*P194,0))))</f>
        <v>0</v>
      </c>
      <c r="BD194" s="386">
        <f t="shared" ref="BD194:BD257" si="134">IF(AND(AT194&lt;&gt;0,AX194&gt;=MAXSSDI),SSDI*MAXSSDI*P194,IF(AT194&lt;&gt;0,SSDI*W194,0))</f>
        <v>0</v>
      </c>
      <c r="BE194" s="386">
        <f t="shared" ref="BE194:BE257" si="135">IF(AT194&lt;&gt;0,SSHI*W194,0)</f>
        <v>0</v>
      </c>
      <c r="BF194" s="386">
        <f t="shared" ref="BF194:BF257" si="136">IF(AND(AT194&lt;&gt;0,AN194&lt;&gt;"NE"),VLOOKUP(AN194,Retirement_Rates,3,FALSE)*W194,0)</f>
        <v>0</v>
      </c>
      <c r="BG194" s="386">
        <f t="shared" ref="BG194:BG257" si="137">IF(AND(AT194&lt;&gt;0,AJ194&lt;&gt;"PF"),Life*W194,0)</f>
        <v>0</v>
      </c>
      <c r="BH194" s="386">
        <f t="shared" ref="BH194:BH257" si="138">IF(AND(AT194&lt;&gt;0,AM194="Y"),UI*W194,0)</f>
        <v>0</v>
      </c>
      <c r="BI194" s="386">
        <f t="shared" ref="BI194:BI257" si="139">IF(AND(AT194&lt;&gt;0,N194&lt;&gt;"NR"),DHR*W194,0)</f>
        <v>0</v>
      </c>
      <c r="BJ194" s="386">
        <f t="shared" ref="BJ194:BJ257" si="140">IF(AT194&lt;&gt;0,WC*W194,0)</f>
        <v>0</v>
      </c>
      <c r="BK194" s="386">
        <f t="shared" ref="BK194:BK257" si="141">IF(OR(AND(AT194&lt;&gt;0,AJ194&lt;&gt;"PF",AN194&lt;&gt;"NE",AG194&lt;&gt;"A"),AND(AL194="E",OR(AT194=1,AT194=3))),Sick*W194,0)</f>
        <v>0</v>
      </c>
      <c r="BL194" s="386">
        <f t="shared" si="120"/>
        <v>0</v>
      </c>
      <c r="BM194" s="386">
        <f t="shared" si="121"/>
        <v>0</v>
      </c>
      <c r="BN194" s="386">
        <f t="shared" ref="BN194:BN257" si="142">IF(AND(AT194=1,AK194="E",AU194&gt;=0.75,AW194=1),HealthBY,IF(AND(AT194=1,AK194="E",AU194&gt;=0.75),HealthBY*P194,IF(AND(AT194=1,AK194="E",AU194&gt;=0.5,AW194=1),PTHealthBY,IF(AND(AT194=1,AK194="E",AU194&gt;=0.5),PTHealthBY*P194,0))))</f>
        <v>0</v>
      </c>
      <c r="BO194" s="386">
        <f t="shared" ref="BO194:BO257" si="143">IF(AND(AT194=3,AK194="E",AV194&gt;=0.75,AW194=1),HealthBY,IF(AND(AT194=3,AK194="E",AV194&gt;=0.75),HealthBY*P194,IF(AND(AT194=3,AK194="E",AV194&gt;=0.5,AW194=1),PTHealthBY,IF(AND(AT194=3,AK194="E",AV194&gt;=0.5),PTHealthBY*P194,0))))</f>
        <v>0</v>
      </c>
      <c r="BP194" s="386">
        <f t="shared" ref="BP194:BP257" si="144">IF(AND(AT194&lt;&gt;0,(AX194+BA194)&gt;=MAXSSDIBY),SSDIBY*MAXSSDIBY*P194,IF(AT194&lt;&gt;0,SSDIBY*W194,0))</f>
        <v>0</v>
      </c>
      <c r="BQ194" s="386">
        <f t="shared" ref="BQ194:BQ257" si="145">IF(AT194&lt;&gt;0,SSHIBY*W194,0)</f>
        <v>0</v>
      </c>
      <c r="BR194" s="386">
        <f t="shared" ref="BR194:BR257" si="146">IF(AND(AT194&lt;&gt;0,AN194&lt;&gt;"NE"),VLOOKUP(AN194,Retirement_Rates,4,FALSE)*W194,0)</f>
        <v>0</v>
      </c>
      <c r="BS194" s="386">
        <f t="shared" ref="BS194:BS257" si="147">IF(AND(AT194&lt;&gt;0,AJ194&lt;&gt;"PF"),LifeBY*W194,0)</f>
        <v>0</v>
      </c>
      <c r="BT194" s="386">
        <f t="shared" ref="BT194:BT257" si="148">IF(AND(AT194&lt;&gt;0,AM194="Y"),UIBY*W194,0)</f>
        <v>0</v>
      </c>
      <c r="BU194" s="386">
        <f t="shared" ref="BU194:BU257" si="149">IF(AND(AT194&lt;&gt;0,N194&lt;&gt;"NR"),DHRBY*W194,0)</f>
        <v>0</v>
      </c>
      <c r="BV194" s="386">
        <f t="shared" ref="BV194:BV257" si="150">IF(AT194&lt;&gt;0,WCBY*W194,0)</f>
        <v>0</v>
      </c>
      <c r="BW194" s="386">
        <f t="shared" ref="BW194:BW257" si="151">IF(OR(AND(AT194&lt;&gt;0,AJ194&lt;&gt;"PF",AN194&lt;&gt;"NE",AG194&lt;&gt;"A"),AND(AL194="E",OR(AT194=1,AT194=3))),SickBY*W194,0)</f>
        <v>0</v>
      </c>
      <c r="BX194" s="386">
        <f t="shared" si="122"/>
        <v>0</v>
      </c>
      <c r="BY194" s="386">
        <f t="shared" si="123"/>
        <v>0</v>
      </c>
      <c r="BZ194" s="386">
        <f t="shared" si="124"/>
        <v>0</v>
      </c>
      <c r="CA194" s="386">
        <f t="shared" si="125"/>
        <v>0</v>
      </c>
      <c r="CB194" s="386">
        <f t="shared" si="126"/>
        <v>0</v>
      </c>
      <c r="CC194" s="386">
        <f t="shared" ref="CC194:CC257" si="152">IF(AT194&lt;&gt;0,SSHICHG*Y194,0)</f>
        <v>0</v>
      </c>
      <c r="CD194" s="386">
        <f t="shared" ref="CD194:CD257" si="153">IF(AND(AT194&lt;&gt;0,AN194&lt;&gt;"NE"),VLOOKUP(AN194,Retirement_Rates,5,FALSE)*Y194,0)</f>
        <v>0</v>
      </c>
      <c r="CE194" s="386">
        <f t="shared" ref="CE194:CE257" si="154">IF(AND(AT194&lt;&gt;0,AJ194&lt;&gt;"PF"),LifeCHG*Y194,0)</f>
        <v>0</v>
      </c>
      <c r="CF194" s="386">
        <f t="shared" ref="CF194:CF257" si="155">IF(AND(AT194&lt;&gt;0,AM194="Y"),UICHG*Y194,0)</f>
        <v>0</v>
      </c>
      <c r="CG194" s="386">
        <f t="shared" ref="CG194:CG257" si="156">IF(AND(AT194&lt;&gt;0,N194&lt;&gt;"NR"),DHRCHG*Y194,0)</f>
        <v>0</v>
      </c>
      <c r="CH194" s="386">
        <f t="shared" ref="CH194:CH257" si="157">IF(AT194&lt;&gt;0,WCCHG*Y194,0)</f>
        <v>0</v>
      </c>
      <c r="CI194" s="386">
        <f t="shared" ref="CI194:CI257" si="158">IF(OR(AND(AT194&lt;&gt;0,AJ194&lt;&gt;"PF",AN194&lt;&gt;"NE",AG194&lt;&gt;"A"),AND(AL194="E",OR(AT194=1,AT194=3))),SickCHG*Y194,0)</f>
        <v>0</v>
      </c>
      <c r="CJ194" s="386">
        <f t="shared" si="127"/>
        <v>0</v>
      </c>
      <c r="CK194" s="386" t="str">
        <f t="shared" si="128"/>
        <v/>
      </c>
      <c r="CL194" s="386">
        <f t="shared" si="129"/>
        <v>0</v>
      </c>
      <c r="CM194" s="386">
        <f t="shared" si="130"/>
        <v>0</v>
      </c>
      <c r="CN194" s="386" t="str">
        <f t="shared" si="131"/>
        <v>0001-00</v>
      </c>
    </row>
    <row r="195" spans="1:92" ht="15.75" thickBot="1" x14ac:dyDescent="0.3">
      <c r="A195" s="375" t="s">
        <v>161</v>
      </c>
      <c r="B195" s="375" t="s">
        <v>162</v>
      </c>
      <c r="C195" s="375" t="s">
        <v>923</v>
      </c>
      <c r="D195" s="375" t="s">
        <v>561</v>
      </c>
      <c r="E195" s="375" t="s">
        <v>165</v>
      </c>
      <c r="F195" s="376" t="s">
        <v>166</v>
      </c>
      <c r="G195" s="375" t="s">
        <v>549</v>
      </c>
      <c r="H195" s="377"/>
      <c r="I195" s="377"/>
      <c r="J195" s="375" t="s">
        <v>168</v>
      </c>
      <c r="K195" s="375" t="s">
        <v>562</v>
      </c>
      <c r="L195" s="375" t="s">
        <v>170</v>
      </c>
      <c r="M195" s="375" t="s">
        <v>177</v>
      </c>
      <c r="N195" s="375" t="s">
        <v>199</v>
      </c>
      <c r="O195" s="378">
        <v>1</v>
      </c>
      <c r="P195" s="384">
        <v>1</v>
      </c>
      <c r="Q195" s="384">
        <v>1</v>
      </c>
      <c r="R195" s="379">
        <v>80</v>
      </c>
      <c r="S195" s="384">
        <v>1</v>
      </c>
      <c r="T195" s="379">
        <v>47258.89</v>
      </c>
      <c r="U195" s="379">
        <v>0</v>
      </c>
      <c r="V195" s="379">
        <v>21362.97</v>
      </c>
      <c r="W195" s="379">
        <v>51396.800000000003</v>
      </c>
      <c r="X195" s="379">
        <v>22621.65</v>
      </c>
      <c r="Y195" s="379">
        <v>51396.800000000003</v>
      </c>
      <c r="Z195" s="379">
        <v>22374.95</v>
      </c>
      <c r="AA195" s="375" t="s">
        <v>924</v>
      </c>
      <c r="AB195" s="375" t="s">
        <v>925</v>
      </c>
      <c r="AC195" s="375" t="s">
        <v>926</v>
      </c>
      <c r="AD195" s="375" t="s">
        <v>261</v>
      </c>
      <c r="AE195" s="375" t="s">
        <v>562</v>
      </c>
      <c r="AF195" s="375" t="s">
        <v>269</v>
      </c>
      <c r="AG195" s="375" t="s">
        <v>183</v>
      </c>
      <c r="AH195" s="380">
        <v>24.71</v>
      </c>
      <c r="AI195" s="380">
        <v>6831.5</v>
      </c>
      <c r="AJ195" s="375" t="s">
        <v>184</v>
      </c>
      <c r="AK195" s="375" t="s">
        <v>185</v>
      </c>
      <c r="AL195" s="375" t="s">
        <v>173</v>
      </c>
      <c r="AM195" s="375" t="s">
        <v>186</v>
      </c>
      <c r="AN195" s="375" t="s">
        <v>68</v>
      </c>
      <c r="AO195" s="378">
        <v>80</v>
      </c>
      <c r="AP195" s="384">
        <v>1</v>
      </c>
      <c r="AQ195" s="384">
        <v>1</v>
      </c>
      <c r="AR195" s="383" t="s">
        <v>187</v>
      </c>
      <c r="AS195" s="386">
        <f t="shared" ref="AS195:AS258" si="159">IF(((AO195/80)*AP195*P195)&gt;1,AQ195,((AO195/80)*AP195*P195))</f>
        <v>1</v>
      </c>
      <c r="AT195">
        <f t="shared" ref="AT195:AT258" si="160">IF(AND(M195="F",N195&lt;&gt;"NG",AS195&lt;&gt;0,AND(AR195&lt;&gt;6,AR195&lt;&gt;36,AR195&lt;&gt;56),AG195&lt;&gt;"A",OR(AG195="H",AJ195="FS")),1,IF(AND(M195="F",N195&lt;&gt;"NG",AS195&lt;&gt;0,AG195="A"),3,0))</f>
        <v>1</v>
      </c>
      <c r="AU195" s="386">
        <f>IF(AT195=0,"",IF(AND(AT195=1,M195="F",SUMIF(C2:C557,C195,AS2:AS557)&lt;=1),SUMIF(C2:C557,C195,AS2:AS557),IF(AND(AT195=1,M195="F",SUMIF(C2:C557,C195,AS2:AS557)&gt;1),1,"")))</f>
        <v>1</v>
      </c>
      <c r="AV195" s="386" t="str">
        <f>IF(AT195=0,"",IF(AND(AT195=3,M195="F",SUMIF(C2:C557,C195,AS2:AS557)&lt;=1),SUMIF(C2:C557,C195,AS2:AS557),IF(AND(AT195=3,M195="F",SUMIF(C2:C557,C195,AS2:AS557)&gt;1),1,"")))</f>
        <v/>
      </c>
      <c r="AW195" s="386">
        <f>SUMIF(C2:C557,C195,O2:O557)</f>
        <v>1</v>
      </c>
      <c r="AX195" s="386">
        <f>IF(AND(M195="F",AS195&lt;&gt;0),SUMIF(C2:C557,C195,W2:W557),0)</f>
        <v>51396.800000000003</v>
      </c>
      <c r="AY195" s="386">
        <f t="shared" ref="AY195:AY258" si="161">IF(AT195=1,W195,"")</f>
        <v>51396.800000000003</v>
      </c>
      <c r="AZ195" s="386" t="str">
        <f t="shared" ref="AZ195:AZ258" si="162">IF(AT195=3,W195,"")</f>
        <v/>
      </c>
      <c r="BA195" s="386">
        <f t="shared" ref="BA195:BA258" si="163">IF(AT195=1,Y195-W195,0)</f>
        <v>0</v>
      </c>
      <c r="BB195" s="386">
        <f t="shared" si="132"/>
        <v>11650</v>
      </c>
      <c r="BC195" s="386">
        <f t="shared" si="133"/>
        <v>0</v>
      </c>
      <c r="BD195" s="386">
        <f t="shared" si="134"/>
        <v>3186.6016</v>
      </c>
      <c r="BE195" s="386">
        <f t="shared" si="135"/>
        <v>745.25360000000012</v>
      </c>
      <c r="BF195" s="386">
        <f t="shared" si="136"/>
        <v>6136.7779200000004</v>
      </c>
      <c r="BG195" s="386">
        <f t="shared" si="137"/>
        <v>370.57092800000004</v>
      </c>
      <c r="BH195" s="386">
        <f t="shared" si="138"/>
        <v>251.84432000000001</v>
      </c>
      <c r="BI195" s="386">
        <f t="shared" si="139"/>
        <v>157.27420799999999</v>
      </c>
      <c r="BJ195" s="386">
        <f t="shared" si="140"/>
        <v>123.35231999999999</v>
      </c>
      <c r="BK195" s="386">
        <f t="shared" si="141"/>
        <v>0</v>
      </c>
      <c r="BL195" s="386">
        <f t="shared" ref="BL195:BL258" si="164">IF(AT195=1,SUM(BD195:BK195),0)</f>
        <v>10971.674896</v>
      </c>
      <c r="BM195" s="386">
        <f t="shared" ref="BM195:BM258" si="165">IF(AT195=3,SUM(BD195:BK195),0)</f>
        <v>0</v>
      </c>
      <c r="BN195" s="386">
        <f t="shared" si="142"/>
        <v>11650</v>
      </c>
      <c r="BO195" s="386">
        <f t="shared" si="143"/>
        <v>0</v>
      </c>
      <c r="BP195" s="386">
        <f t="shared" si="144"/>
        <v>3186.6016</v>
      </c>
      <c r="BQ195" s="386">
        <f t="shared" si="145"/>
        <v>745.25360000000012</v>
      </c>
      <c r="BR195" s="386">
        <f t="shared" si="146"/>
        <v>6136.7779200000004</v>
      </c>
      <c r="BS195" s="386">
        <f t="shared" si="147"/>
        <v>370.57092800000004</v>
      </c>
      <c r="BT195" s="386">
        <f t="shared" si="148"/>
        <v>0</v>
      </c>
      <c r="BU195" s="386">
        <f t="shared" si="149"/>
        <v>157.27420799999999</v>
      </c>
      <c r="BV195" s="386">
        <f t="shared" si="150"/>
        <v>128.49200000000002</v>
      </c>
      <c r="BW195" s="386">
        <f t="shared" si="151"/>
        <v>0</v>
      </c>
      <c r="BX195" s="386">
        <f t="shared" ref="BX195:BX258" si="166">IF(AT195=1,SUM(BP195:BW195),0)</f>
        <v>10724.970256000001</v>
      </c>
      <c r="BY195" s="386">
        <f t="shared" ref="BY195:BY258" si="167">IF(AT195=3,SUM(BP195:BW195),0)</f>
        <v>0</v>
      </c>
      <c r="BZ195" s="386">
        <f t="shared" ref="BZ195:BZ258" si="168">IF(AT195=1,BN195-BB195,0)</f>
        <v>0</v>
      </c>
      <c r="CA195" s="386">
        <f t="shared" ref="CA195:CA258" si="169">IF(AT195=3,BO195-BC195,0)</f>
        <v>0</v>
      </c>
      <c r="CB195" s="386">
        <f t="shared" ref="CB195:CB258" si="170">BP195-BD195</f>
        <v>0</v>
      </c>
      <c r="CC195" s="386">
        <f t="shared" si="152"/>
        <v>0</v>
      </c>
      <c r="CD195" s="386">
        <f t="shared" si="153"/>
        <v>0</v>
      </c>
      <c r="CE195" s="386">
        <f t="shared" si="154"/>
        <v>0</v>
      </c>
      <c r="CF195" s="386">
        <f t="shared" si="155"/>
        <v>-251.84432000000001</v>
      </c>
      <c r="CG195" s="386">
        <f t="shared" si="156"/>
        <v>0</v>
      </c>
      <c r="CH195" s="386">
        <f t="shared" si="157"/>
        <v>5.1396800000000136</v>
      </c>
      <c r="CI195" s="386">
        <f t="shared" si="158"/>
        <v>0</v>
      </c>
      <c r="CJ195" s="386">
        <f t="shared" ref="CJ195:CJ258" si="171">IF(AT195=1,SUM(CB195:CI195),0)</f>
        <v>-246.70463999999998</v>
      </c>
      <c r="CK195" s="386" t="str">
        <f t="shared" ref="CK195:CK258" si="172">IF(AT195=3,SUM(CB195:CI195),"")</f>
        <v/>
      </c>
      <c r="CL195" s="386" t="str">
        <f t="shared" ref="CL195:CL258" si="173">IF(OR(N195="NG",AG195="D"),(T195+U195),"")</f>
        <v/>
      </c>
      <c r="CM195" s="386" t="str">
        <f t="shared" ref="CM195:CM258" si="174">IF(OR(N195="NG",AG195="D"),V195,"")</f>
        <v/>
      </c>
      <c r="CN195" s="386" t="str">
        <f t="shared" ref="CN195:CN258" si="175">E195 &amp; "-" &amp; F195</f>
        <v>0001-00</v>
      </c>
    </row>
    <row r="196" spans="1:92" ht="15.75" thickBot="1" x14ac:dyDescent="0.3">
      <c r="A196" s="375" t="s">
        <v>161</v>
      </c>
      <c r="B196" s="375" t="s">
        <v>162</v>
      </c>
      <c r="C196" s="375" t="s">
        <v>927</v>
      </c>
      <c r="D196" s="375" t="s">
        <v>628</v>
      </c>
      <c r="E196" s="375" t="s">
        <v>165</v>
      </c>
      <c r="F196" s="376" t="s">
        <v>166</v>
      </c>
      <c r="G196" s="375" t="s">
        <v>549</v>
      </c>
      <c r="H196" s="377"/>
      <c r="I196" s="377"/>
      <c r="J196" s="375" t="s">
        <v>168</v>
      </c>
      <c r="K196" s="375" t="s">
        <v>629</v>
      </c>
      <c r="L196" s="375" t="s">
        <v>173</v>
      </c>
      <c r="M196" s="375" t="s">
        <v>177</v>
      </c>
      <c r="N196" s="375" t="s">
        <v>199</v>
      </c>
      <c r="O196" s="378">
        <v>1</v>
      </c>
      <c r="P196" s="384">
        <v>1</v>
      </c>
      <c r="Q196" s="384">
        <v>1</v>
      </c>
      <c r="R196" s="379">
        <v>80</v>
      </c>
      <c r="S196" s="384">
        <v>1</v>
      </c>
      <c r="T196" s="379">
        <v>79297.67</v>
      </c>
      <c r="U196" s="379">
        <v>0</v>
      </c>
      <c r="V196" s="379">
        <v>27714.22</v>
      </c>
      <c r="W196" s="379">
        <v>81972.800000000003</v>
      </c>
      <c r="X196" s="379">
        <v>29148.7</v>
      </c>
      <c r="Y196" s="379">
        <v>81972.800000000003</v>
      </c>
      <c r="Z196" s="379">
        <v>28755.24</v>
      </c>
      <c r="AA196" s="375" t="s">
        <v>928</v>
      </c>
      <c r="AB196" s="375" t="s">
        <v>929</v>
      </c>
      <c r="AC196" s="375" t="s">
        <v>930</v>
      </c>
      <c r="AD196" s="375" t="s">
        <v>931</v>
      </c>
      <c r="AE196" s="375" t="s">
        <v>629</v>
      </c>
      <c r="AF196" s="375" t="s">
        <v>305</v>
      </c>
      <c r="AG196" s="375" t="s">
        <v>183</v>
      </c>
      <c r="AH196" s="380">
        <v>39.409999999999997</v>
      </c>
      <c r="AI196" s="378">
        <v>72351</v>
      </c>
      <c r="AJ196" s="375" t="s">
        <v>184</v>
      </c>
      <c r="AK196" s="375" t="s">
        <v>185</v>
      </c>
      <c r="AL196" s="375" t="s">
        <v>173</v>
      </c>
      <c r="AM196" s="375" t="s">
        <v>186</v>
      </c>
      <c r="AN196" s="375" t="s">
        <v>68</v>
      </c>
      <c r="AO196" s="378">
        <v>80</v>
      </c>
      <c r="AP196" s="384">
        <v>1</v>
      </c>
      <c r="AQ196" s="384">
        <v>1</v>
      </c>
      <c r="AR196" s="383" t="s">
        <v>187</v>
      </c>
      <c r="AS196" s="386">
        <f t="shared" si="159"/>
        <v>1</v>
      </c>
      <c r="AT196">
        <f t="shared" si="160"/>
        <v>1</v>
      </c>
      <c r="AU196" s="386">
        <f>IF(AT196=0,"",IF(AND(AT196=1,M196="F",SUMIF(C2:C557,C196,AS2:AS557)&lt;=1),SUMIF(C2:C557,C196,AS2:AS557),IF(AND(AT196=1,M196="F",SUMIF(C2:C557,C196,AS2:AS557)&gt;1),1,"")))</f>
        <v>1</v>
      </c>
      <c r="AV196" s="386" t="str">
        <f>IF(AT196=0,"",IF(AND(AT196=3,M196="F",SUMIF(C2:C557,C196,AS2:AS557)&lt;=1),SUMIF(C2:C557,C196,AS2:AS557),IF(AND(AT196=3,M196="F",SUMIF(C2:C557,C196,AS2:AS557)&gt;1),1,"")))</f>
        <v/>
      </c>
      <c r="AW196" s="386">
        <f>SUMIF(C2:C557,C196,O2:O557)</f>
        <v>1</v>
      </c>
      <c r="AX196" s="386">
        <f>IF(AND(M196="F",AS196&lt;&gt;0),SUMIF(C2:C557,C196,W2:W557),0)</f>
        <v>81972.800000000003</v>
      </c>
      <c r="AY196" s="386">
        <f t="shared" si="161"/>
        <v>81972.800000000003</v>
      </c>
      <c r="AZ196" s="386" t="str">
        <f t="shared" si="162"/>
        <v/>
      </c>
      <c r="BA196" s="386">
        <f t="shared" si="163"/>
        <v>0</v>
      </c>
      <c r="BB196" s="386">
        <f t="shared" si="132"/>
        <v>11650</v>
      </c>
      <c r="BC196" s="386">
        <f t="shared" si="133"/>
        <v>0</v>
      </c>
      <c r="BD196" s="386">
        <f t="shared" si="134"/>
        <v>5082.3136000000004</v>
      </c>
      <c r="BE196" s="386">
        <f t="shared" si="135"/>
        <v>1188.6056000000001</v>
      </c>
      <c r="BF196" s="386">
        <f t="shared" si="136"/>
        <v>9787.5523200000007</v>
      </c>
      <c r="BG196" s="386">
        <f t="shared" si="137"/>
        <v>591.02388800000006</v>
      </c>
      <c r="BH196" s="386">
        <f t="shared" si="138"/>
        <v>401.66672</v>
      </c>
      <c r="BI196" s="386">
        <f t="shared" si="139"/>
        <v>250.83676799999998</v>
      </c>
      <c r="BJ196" s="386">
        <f t="shared" si="140"/>
        <v>196.73471999999998</v>
      </c>
      <c r="BK196" s="386">
        <f t="shared" si="141"/>
        <v>0</v>
      </c>
      <c r="BL196" s="386">
        <f t="shared" si="164"/>
        <v>17498.733616000005</v>
      </c>
      <c r="BM196" s="386">
        <f t="shared" si="165"/>
        <v>0</v>
      </c>
      <c r="BN196" s="386">
        <f t="shared" si="142"/>
        <v>11650</v>
      </c>
      <c r="BO196" s="386">
        <f t="shared" si="143"/>
        <v>0</v>
      </c>
      <c r="BP196" s="386">
        <f t="shared" si="144"/>
        <v>5082.3136000000004</v>
      </c>
      <c r="BQ196" s="386">
        <f t="shared" si="145"/>
        <v>1188.6056000000001</v>
      </c>
      <c r="BR196" s="386">
        <f t="shared" si="146"/>
        <v>9787.5523200000007</v>
      </c>
      <c r="BS196" s="386">
        <f t="shared" si="147"/>
        <v>591.02388800000006</v>
      </c>
      <c r="BT196" s="386">
        <f t="shared" si="148"/>
        <v>0</v>
      </c>
      <c r="BU196" s="386">
        <f t="shared" si="149"/>
        <v>250.83676799999998</v>
      </c>
      <c r="BV196" s="386">
        <f t="shared" si="150"/>
        <v>204.93200000000002</v>
      </c>
      <c r="BW196" s="386">
        <f t="shared" si="151"/>
        <v>0</v>
      </c>
      <c r="BX196" s="386">
        <f t="shared" si="166"/>
        <v>17105.264176000004</v>
      </c>
      <c r="BY196" s="386">
        <f t="shared" si="167"/>
        <v>0</v>
      </c>
      <c r="BZ196" s="386">
        <f t="shared" si="168"/>
        <v>0</v>
      </c>
      <c r="CA196" s="386">
        <f t="shared" si="169"/>
        <v>0</v>
      </c>
      <c r="CB196" s="386">
        <f t="shared" si="170"/>
        <v>0</v>
      </c>
      <c r="CC196" s="386">
        <f t="shared" si="152"/>
        <v>0</v>
      </c>
      <c r="CD196" s="386">
        <f t="shared" si="153"/>
        <v>0</v>
      </c>
      <c r="CE196" s="386">
        <f t="shared" si="154"/>
        <v>0</v>
      </c>
      <c r="CF196" s="386">
        <f t="shared" si="155"/>
        <v>-401.66672</v>
      </c>
      <c r="CG196" s="386">
        <f t="shared" si="156"/>
        <v>0</v>
      </c>
      <c r="CH196" s="386">
        <f t="shared" si="157"/>
        <v>8.1972800000000223</v>
      </c>
      <c r="CI196" s="386">
        <f t="shared" si="158"/>
        <v>0</v>
      </c>
      <c r="CJ196" s="386">
        <f t="shared" si="171"/>
        <v>-393.46943999999996</v>
      </c>
      <c r="CK196" s="386" t="str">
        <f t="shared" si="172"/>
        <v/>
      </c>
      <c r="CL196" s="386" t="str">
        <f t="shared" si="173"/>
        <v/>
      </c>
      <c r="CM196" s="386" t="str">
        <f t="shared" si="174"/>
        <v/>
      </c>
      <c r="CN196" s="386" t="str">
        <f t="shared" si="175"/>
        <v>0001-00</v>
      </c>
    </row>
    <row r="197" spans="1:92" ht="15.75" thickBot="1" x14ac:dyDescent="0.3">
      <c r="A197" s="375" t="s">
        <v>161</v>
      </c>
      <c r="B197" s="375" t="s">
        <v>162</v>
      </c>
      <c r="C197" s="375" t="s">
        <v>932</v>
      </c>
      <c r="D197" s="375" t="s">
        <v>746</v>
      </c>
      <c r="E197" s="375" t="s">
        <v>165</v>
      </c>
      <c r="F197" s="376" t="s">
        <v>166</v>
      </c>
      <c r="G197" s="375" t="s">
        <v>549</v>
      </c>
      <c r="H197" s="377"/>
      <c r="I197" s="377"/>
      <c r="J197" s="375" t="s">
        <v>218</v>
      </c>
      <c r="K197" s="375" t="s">
        <v>747</v>
      </c>
      <c r="L197" s="375" t="s">
        <v>210</v>
      </c>
      <c r="M197" s="375" t="s">
        <v>177</v>
      </c>
      <c r="N197" s="375" t="s">
        <v>199</v>
      </c>
      <c r="O197" s="378">
        <v>1</v>
      </c>
      <c r="P197" s="384">
        <v>0.75</v>
      </c>
      <c r="Q197" s="384">
        <v>0.75</v>
      </c>
      <c r="R197" s="379">
        <v>80</v>
      </c>
      <c r="S197" s="384">
        <v>0.75</v>
      </c>
      <c r="T197" s="379">
        <v>27867.68</v>
      </c>
      <c r="U197" s="379">
        <v>0</v>
      </c>
      <c r="V197" s="379">
        <v>14024.13</v>
      </c>
      <c r="W197" s="379">
        <v>25521.599999999999</v>
      </c>
      <c r="X197" s="379">
        <v>14185.56</v>
      </c>
      <c r="Y197" s="379">
        <v>25521.599999999999</v>
      </c>
      <c r="Z197" s="379">
        <v>14063.06</v>
      </c>
      <c r="AA197" s="375" t="s">
        <v>933</v>
      </c>
      <c r="AB197" s="375" t="s">
        <v>934</v>
      </c>
      <c r="AC197" s="375" t="s">
        <v>574</v>
      </c>
      <c r="AD197" s="375" t="s">
        <v>220</v>
      </c>
      <c r="AE197" s="375" t="s">
        <v>747</v>
      </c>
      <c r="AF197" s="375" t="s">
        <v>215</v>
      </c>
      <c r="AG197" s="375" t="s">
        <v>183</v>
      </c>
      <c r="AH197" s="380">
        <v>16.36</v>
      </c>
      <c r="AI197" s="380">
        <v>39032.9</v>
      </c>
      <c r="AJ197" s="375" t="s">
        <v>184</v>
      </c>
      <c r="AK197" s="375" t="s">
        <v>185</v>
      </c>
      <c r="AL197" s="375" t="s">
        <v>173</v>
      </c>
      <c r="AM197" s="375" t="s">
        <v>186</v>
      </c>
      <c r="AN197" s="375" t="s">
        <v>68</v>
      </c>
      <c r="AO197" s="378">
        <v>80</v>
      </c>
      <c r="AP197" s="384">
        <v>1</v>
      </c>
      <c r="AQ197" s="384">
        <v>0.75</v>
      </c>
      <c r="AR197" s="383" t="s">
        <v>187</v>
      </c>
      <c r="AS197" s="386">
        <f t="shared" si="159"/>
        <v>0.75</v>
      </c>
      <c r="AT197">
        <f t="shared" si="160"/>
        <v>1</v>
      </c>
      <c r="AU197" s="386">
        <f>IF(AT197=0,"",IF(AND(AT197=1,M197="F",SUMIF(C2:C557,C197,AS2:AS557)&lt;=1),SUMIF(C2:C557,C197,AS2:AS557),IF(AND(AT197=1,M197="F",SUMIF(C2:C557,C197,AS2:AS557)&gt;1),1,"")))</f>
        <v>1</v>
      </c>
      <c r="AV197" s="386" t="str">
        <f>IF(AT197=0,"",IF(AND(AT197=3,M197="F",SUMIF(C2:C557,C197,AS2:AS557)&lt;=1),SUMIF(C2:C557,C197,AS2:AS557),IF(AND(AT197=3,M197="F",SUMIF(C2:C557,C197,AS2:AS557)&gt;1),1,"")))</f>
        <v/>
      </c>
      <c r="AW197" s="386">
        <f>SUMIF(C2:C557,C197,O2:O557)</f>
        <v>2</v>
      </c>
      <c r="AX197" s="386">
        <f>IF(AND(M197="F",AS197&lt;&gt;0),SUMIF(C2:C557,C197,W2:W557),0)</f>
        <v>34028.800000000003</v>
      </c>
      <c r="AY197" s="386">
        <f t="shared" si="161"/>
        <v>25521.599999999999</v>
      </c>
      <c r="AZ197" s="386" t="str">
        <f t="shared" si="162"/>
        <v/>
      </c>
      <c r="BA197" s="386">
        <f t="shared" si="163"/>
        <v>0</v>
      </c>
      <c r="BB197" s="386">
        <f t="shared" si="132"/>
        <v>8737.5</v>
      </c>
      <c r="BC197" s="386">
        <f t="shared" si="133"/>
        <v>0</v>
      </c>
      <c r="BD197" s="386">
        <f t="shared" si="134"/>
        <v>1582.3391999999999</v>
      </c>
      <c r="BE197" s="386">
        <f t="shared" si="135"/>
        <v>370.06319999999999</v>
      </c>
      <c r="BF197" s="386">
        <f t="shared" si="136"/>
        <v>3047.2790399999999</v>
      </c>
      <c r="BG197" s="386">
        <f t="shared" si="137"/>
        <v>184.01073600000001</v>
      </c>
      <c r="BH197" s="386">
        <f t="shared" si="138"/>
        <v>125.05583999999999</v>
      </c>
      <c r="BI197" s="386">
        <f t="shared" si="139"/>
        <v>78.096095999999989</v>
      </c>
      <c r="BJ197" s="386">
        <f t="shared" si="140"/>
        <v>61.251839999999994</v>
      </c>
      <c r="BK197" s="386">
        <f t="shared" si="141"/>
        <v>0</v>
      </c>
      <c r="BL197" s="386">
        <f t="shared" si="164"/>
        <v>5448.0959520000006</v>
      </c>
      <c r="BM197" s="386">
        <f t="shared" si="165"/>
        <v>0</v>
      </c>
      <c r="BN197" s="386">
        <f t="shared" si="142"/>
        <v>8737.5</v>
      </c>
      <c r="BO197" s="386">
        <f t="shared" si="143"/>
        <v>0</v>
      </c>
      <c r="BP197" s="386">
        <f t="shared" si="144"/>
        <v>1582.3391999999999</v>
      </c>
      <c r="BQ197" s="386">
        <f t="shared" si="145"/>
        <v>370.06319999999999</v>
      </c>
      <c r="BR197" s="386">
        <f t="shared" si="146"/>
        <v>3047.2790399999999</v>
      </c>
      <c r="BS197" s="386">
        <f t="shared" si="147"/>
        <v>184.01073600000001</v>
      </c>
      <c r="BT197" s="386">
        <f t="shared" si="148"/>
        <v>0</v>
      </c>
      <c r="BU197" s="386">
        <f t="shared" si="149"/>
        <v>78.096095999999989</v>
      </c>
      <c r="BV197" s="386">
        <f t="shared" si="150"/>
        <v>63.803999999999995</v>
      </c>
      <c r="BW197" s="386">
        <f t="shared" si="151"/>
        <v>0</v>
      </c>
      <c r="BX197" s="386">
        <f t="shared" si="166"/>
        <v>5325.5922720000008</v>
      </c>
      <c r="BY197" s="386">
        <f t="shared" si="167"/>
        <v>0</v>
      </c>
      <c r="BZ197" s="386">
        <f t="shared" si="168"/>
        <v>0</v>
      </c>
      <c r="CA197" s="386">
        <f t="shared" si="169"/>
        <v>0</v>
      </c>
      <c r="CB197" s="386">
        <f t="shared" si="170"/>
        <v>0</v>
      </c>
      <c r="CC197" s="386">
        <f t="shared" si="152"/>
        <v>0</v>
      </c>
      <c r="CD197" s="386">
        <f t="shared" si="153"/>
        <v>0</v>
      </c>
      <c r="CE197" s="386">
        <f t="shared" si="154"/>
        <v>0</v>
      </c>
      <c r="CF197" s="386">
        <f t="shared" si="155"/>
        <v>-125.05583999999999</v>
      </c>
      <c r="CG197" s="386">
        <f t="shared" si="156"/>
        <v>0</v>
      </c>
      <c r="CH197" s="386">
        <f t="shared" si="157"/>
        <v>2.5521600000000064</v>
      </c>
      <c r="CI197" s="386">
        <f t="shared" si="158"/>
        <v>0</v>
      </c>
      <c r="CJ197" s="386">
        <f t="shared" si="171"/>
        <v>-122.50367999999999</v>
      </c>
      <c r="CK197" s="386" t="str">
        <f t="shared" si="172"/>
        <v/>
      </c>
      <c r="CL197" s="386" t="str">
        <f t="shared" si="173"/>
        <v/>
      </c>
      <c r="CM197" s="386" t="str">
        <f t="shared" si="174"/>
        <v/>
      </c>
      <c r="CN197" s="386" t="str">
        <f t="shared" si="175"/>
        <v>0001-00</v>
      </c>
    </row>
    <row r="198" spans="1:92" ht="15.75" thickBot="1" x14ac:dyDescent="0.3">
      <c r="A198" s="375" t="s">
        <v>161</v>
      </c>
      <c r="B198" s="375" t="s">
        <v>162</v>
      </c>
      <c r="C198" s="375" t="s">
        <v>935</v>
      </c>
      <c r="D198" s="375" t="s">
        <v>555</v>
      </c>
      <c r="E198" s="375" t="s">
        <v>165</v>
      </c>
      <c r="F198" s="376" t="s">
        <v>166</v>
      </c>
      <c r="G198" s="375" t="s">
        <v>549</v>
      </c>
      <c r="H198" s="377"/>
      <c r="I198" s="377"/>
      <c r="J198" s="375" t="s">
        <v>168</v>
      </c>
      <c r="K198" s="375" t="s">
        <v>556</v>
      </c>
      <c r="L198" s="375" t="s">
        <v>220</v>
      </c>
      <c r="M198" s="375" t="s">
        <v>177</v>
      </c>
      <c r="N198" s="375" t="s">
        <v>199</v>
      </c>
      <c r="O198" s="378">
        <v>1</v>
      </c>
      <c r="P198" s="384">
        <v>1</v>
      </c>
      <c r="Q198" s="384">
        <v>1</v>
      </c>
      <c r="R198" s="379">
        <v>80</v>
      </c>
      <c r="S198" s="384">
        <v>1</v>
      </c>
      <c r="T198" s="379">
        <v>57464.57</v>
      </c>
      <c r="U198" s="379">
        <v>0</v>
      </c>
      <c r="V198" s="379">
        <v>23470.46</v>
      </c>
      <c r="W198" s="379">
        <v>60694.400000000001</v>
      </c>
      <c r="X198" s="379">
        <v>24606.400000000001</v>
      </c>
      <c r="Y198" s="379">
        <v>60694.400000000001</v>
      </c>
      <c r="Z198" s="379">
        <v>24315.07</v>
      </c>
      <c r="AA198" s="375" t="s">
        <v>936</v>
      </c>
      <c r="AB198" s="375" t="s">
        <v>937</v>
      </c>
      <c r="AC198" s="375" t="s">
        <v>938</v>
      </c>
      <c r="AD198" s="375" t="s">
        <v>721</v>
      </c>
      <c r="AE198" s="375" t="s">
        <v>556</v>
      </c>
      <c r="AF198" s="375" t="s">
        <v>252</v>
      </c>
      <c r="AG198" s="375" t="s">
        <v>183</v>
      </c>
      <c r="AH198" s="380">
        <v>29.18</v>
      </c>
      <c r="AI198" s="378">
        <v>22080</v>
      </c>
      <c r="AJ198" s="375" t="s">
        <v>184</v>
      </c>
      <c r="AK198" s="375" t="s">
        <v>185</v>
      </c>
      <c r="AL198" s="375" t="s">
        <v>173</v>
      </c>
      <c r="AM198" s="375" t="s">
        <v>186</v>
      </c>
      <c r="AN198" s="375" t="s">
        <v>68</v>
      </c>
      <c r="AO198" s="378">
        <v>80</v>
      </c>
      <c r="AP198" s="384">
        <v>1</v>
      </c>
      <c r="AQ198" s="384">
        <v>1</v>
      </c>
      <c r="AR198" s="383" t="s">
        <v>187</v>
      </c>
      <c r="AS198" s="386">
        <f t="shared" si="159"/>
        <v>1</v>
      </c>
      <c r="AT198">
        <f t="shared" si="160"/>
        <v>1</v>
      </c>
      <c r="AU198" s="386">
        <f>IF(AT198=0,"",IF(AND(AT198=1,M198="F",SUMIF(C2:C557,C198,AS2:AS557)&lt;=1),SUMIF(C2:C557,C198,AS2:AS557),IF(AND(AT198=1,M198="F",SUMIF(C2:C557,C198,AS2:AS557)&gt;1),1,"")))</f>
        <v>1</v>
      </c>
      <c r="AV198" s="386" t="str">
        <f>IF(AT198=0,"",IF(AND(AT198=3,M198="F",SUMIF(C2:C557,C198,AS2:AS557)&lt;=1),SUMIF(C2:C557,C198,AS2:AS557),IF(AND(AT198=3,M198="F",SUMIF(C2:C557,C198,AS2:AS557)&gt;1),1,"")))</f>
        <v/>
      </c>
      <c r="AW198" s="386">
        <f>SUMIF(C2:C557,C198,O2:O557)</f>
        <v>1</v>
      </c>
      <c r="AX198" s="386">
        <f>IF(AND(M198="F",AS198&lt;&gt;0),SUMIF(C2:C557,C198,W2:W557),0)</f>
        <v>60694.400000000001</v>
      </c>
      <c r="AY198" s="386">
        <f t="shared" si="161"/>
        <v>60694.400000000001</v>
      </c>
      <c r="AZ198" s="386" t="str">
        <f t="shared" si="162"/>
        <v/>
      </c>
      <c r="BA198" s="386">
        <f t="shared" si="163"/>
        <v>0</v>
      </c>
      <c r="BB198" s="386">
        <f t="shared" si="132"/>
        <v>11650</v>
      </c>
      <c r="BC198" s="386">
        <f t="shared" si="133"/>
        <v>0</v>
      </c>
      <c r="BD198" s="386">
        <f t="shared" si="134"/>
        <v>3763.0527999999999</v>
      </c>
      <c r="BE198" s="386">
        <f t="shared" si="135"/>
        <v>880.06880000000001</v>
      </c>
      <c r="BF198" s="386">
        <f t="shared" si="136"/>
        <v>7246.911360000001</v>
      </c>
      <c r="BG198" s="386">
        <f t="shared" si="137"/>
        <v>437.60662400000001</v>
      </c>
      <c r="BH198" s="386">
        <f t="shared" si="138"/>
        <v>297.40255999999999</v>
      </c>
      <c r="BI198" s="386">
        <f t="shared" si="139"/>
        <v>185.724864</v>
      </c>
      <c r="BJ198" s="386">
        <f t="shared" si="140"/>
        <v>145.66656</v>
      </c>
      <c r="BK198" s="386">
        <f t="shared" si="141"/>
        <v>0</v>
      </c>
      <c r="BL198" s="386">
        <f t="shared" si="164"/>
        <v>12956.433568</v>
      </c>
      <c r="BM198" s="386">
        <f t="shared" si="165"/>
        <v>0</v>
      </c>
      <c r="BN198" s="386">
        <f t="shared" si="142"/>
        <v>11650</v>
      </c>
      <c r="BO198" s="386">
        <f t="shared" si="143"/>
        <v>0</v>
      </c>
      <c r="BP198" s="386">
        <f t="shared" si="144"/>
        <v>3763.0527999999999</v>
      </c>
      <c r="BQ198" s="386">
        <f t="shared" si="145"/>
        <v>880.06880000000001</v>
      </c>
      <c r="BR198" s="386">
        <f t="shared" si="146"/>
        <v>7246.911360000001</v>
      </c>
      <c r="BS198" s="386">
        <f t="shared" si="147"/>
        <v>437.60662400000001</v>
      </c>
      <c r="BT198" s="386">
        <f t="shared" si="148"/>
        <v>0</v>
      </c>
      <c r="BU198" s="386">
        <f t="shared" si="149"/>
        <v>185.724864</v>
      </c>
      <c r="BV198" s="386">
        <f t="shared" si="150"/>
        <v>151.73600000000002</v>
      </c>
      <c r="BW198" s="386">
        <f t="shared" si="151"/>
        <v>0</v>
      </c>
      <c r="BX198" s="386">
        <f t="shared" si="166"/>
        <v>12665.100448000001</v>
      </c>
      <c r="BY198" s="386">
        <f t="shared" si="167"/>
        <v>0</v>
      </c>
      <c r="BZ198" s="386">
        <f t="shared" si="168"/>
        <v>0</v>
      </c>
      <c r="CA198" s="386">
        <f t="shared" si="169"/>
        <v>0</v>
      </c>
      <c r="CB198" s="386">
        <f t="shared" si="170"/>
        <v>0</v>
      </c>
      <c r="CC198" s="386">
        <f t="shared" si="152"/>
        <v>0</v>
      </c>
      <c r="CD198" s="386">
        <f t="shared" si="153"/>
        <v>0</v>
      </c>
      <c r="CE198" s="386">
        <f t="shared" si="154"/>
        <v>0</v>
      </c>
      <c r="CF198" s="386">
        <f t="shared" si="155"/>
        <v>-297.40255999999999</v>
      </c>
      <c r="CG198" s="386">
        <f t="shared" si="156"/>
        <v>0</v>
      </c>
      <c r="CH198" s="386">
        <f t="shared" si="157"/>
        <v>6.0694400000000162</v>
      </c>
      <c r="CI198" s="386">
        <f t="shared" si="158"/>
        <v>0</v>
      </c>
      <c r="CJ198" s="386">
        <f t="shared" si="171"/>
        <v>-291.33311999999995</v>
      </c>
      <c r="CK198" s="386" t="str">
        <f t="shared" si="172"/>
        <v/>
      </c>
      <c r="CL198" s="386" t="str">
        <f t="shared" si="173"/>
        <v/>
      </c>
      <c r="CM198" s="386" t="str">
        <f t="shared" si="174"/>
        <v/>
      </c>
      <c r="CN198" s="386" t="str">
        <f t="shared" si="175"/>
        <v>0001-00</v>
      </c>
    </row>
    <row r="199" spans="1:92" ht="15.75" thickBot="1" x14ac:dyDescent="0.3">
      <c r="A199" s="375" t="s">
        <v>161</v>
      </c>
      <c r="B199" s="375" t="s">
        <v>162</v>
      </c>
      <c r="C199" s="375" t="s">
        <v>939</v>
      </c>
      <c r="D199" s="375" t="s">
        <v>628</v>
      </c>
      <c r="E199" s="375" t="s">
        <v>165</v>
      </c>
      <c r="F199" s="376" t="s">
        <v>166</v>
      </c>
      <c r="G199" s="375" t="s">
        <v>549</v>
      </c>
      <c r="H199" s="377"/>
      <c r="I199" s="377"/>
      <c r="J199" s="375" t="s">
        <v>168</v>
      </c>
      <c r="K199" s="375" t="s">
        <v>629</v>
      </c>
      <c r="L199" s="375" t="s">
        <v>173</v>
      </c>
      <c r="M199" s="375" t="s">
        <v>177</v>
      </c>
      <c r="N199" s="375" t="s">
        <v>199</v>
      </c>
      <c r="O199" s="378">
        <v>1</v>
      </c>
      <c r="P199" s="384">
        <v>1</v>
      </c>
      <c r="Q199" s="384">
        <v>1</v>
      </c>
      <c r="R199" s="379">
        <v>80</v>
      </c>
      <c r="S199" s="384">
        <v>1</v>
      </c>
      <c r="T199" s="379">
        <v>68276.84</v>
      </c>
      <c r="U199" s="379">
        <v>0</v>
      </c>
      <c r="V199" s="379">
        <v>25535.45</v>
      </c>
      <c r="W199" s="379">
        <v>70969.600000000006</v>
      </c>
      <c r="X199" s="379">
        <v>26799.85</v>
      </c>
      <c r="Y199" s="379">
        <v>70969.600000000006</v>
      </c>
      <c r="Z199" s="379">
        <v>26459.200000000001</v>
      </c>
      <c r="AA199" s="375" t="s">
        <v>940</v>
      </c>
      <c r="AB199" s="375" t="s">
        <v>941</v>
      </c>
      <c r="AC199" s="375" t="s">
        <v>942</v>
      </c>
      <c r="AD199" s="375" t="s">
        <v>366</v>
      </c>
      <c r="AE199" s="375" t="s">
        <v>629</v>
      </c>
      <c r="AF199" s="375" t="s">
        <v>305</v>
      </c>
      <c r="AG199" s="375" t="s">
        <v>183</v>
      </c>
      <c r="AH199" s="380">
        <v>34.119999999999997</v>
      </c>
      <c r="AI199" s="380">
        <v>28920.5</v>
      </c>
      <c r="AJ199" s="375" t="s">
        <v>184</v>
      </c>
      <c r="AK199" s="375" t="s">
        <v>185</v>
      </c>
      <c r="AL199" s="375" t="s">
        <v>173</v>
      </c>
      <c r="AM199" s="375" t="s">
        <v>186</v>
      </c>
      <c r="AN199" s="375" t="s">
        <v>68</v>
      </c>
      <c r="AO199" s="378">
        <v>80</v>
      </c>
      <c r="AP199" s="384">
        <v>1</v>
      </c>
      <c r="AQ199" s="384">
        <v>1</v>
      </c>
      <c r="AR199" s="383" t="s">
        <v>187</v>
      </c>
      <c r="AS199" s="386">
        <f t="shared" si="159"/>
        <v>1</v>
      </c>
      <c r="AT199">
        <f t="shared" si="160"/>
        <v>1</v>
      </c>
      <c r="AU199" s="386">
        <f>IF(AT199=0,"",IF(AND(AT199=1,M199="F",SUMIF(C2:C557,C199,AS2:AS557)&lt;=1),SUMIF(C2:C557,C199,AS2:AS557),IF(AND(AT199=1,M199="F",SUMIF(C2:C557,C199,AS2:AS557)&gt;1),1,"")))</f>
        <v>1</v>
      </c>
      <c r="AV199" s="386" t="str">
        <f>IF(AT199=0,"",IF(AND(AT199=3,M199="F",SUMIF(C2:C557,C199,AS2:AS557)&lt;=1),SUMIF(C2:C557,C199,AS2:AS557),IF(AND(AT199=3,M199="F",SUMIF(C2:C557,C199,AS2:AS557)&gt;1),1,"")))</f>
        <v/>
      </c>
      <c r="AW199" s="386">
        <f>SUMIF(C2:C557,C199,O2:O557)</f>
        <v>1</v>
      </c>
      <c r="AX199" s="386">
        <f>IF(AND(M199="F",AS199&lt;&gt;0),SUMIF(C2:C557,C199,W2:W557),0)</f>
        <v>70969.600000000006</v>
      </c>
      <c r="AY199" s="386">
        <f t="shared" si="161"/>
        <v>70969.600000000006</v>
      </c>
      <c r="AZ199" s="386" t="str">
        <f t="shared" si="162"/>
        <v/>
      </c>
      <c r="BA199" s="386">
        <f t="shared" si="163"/>
        <v>0</v>
      </c>
      <c r="BB199" s="386">
        <f t="shared" si="132"/>
        <v>11650</v>
      </c>
      <c r="BC199" s="386">
        <f t="shared" si="133"/>
        <v>0</v>
      </c>
      <c r="BD199" s="386">
        <f t="shared" si="134"/>
        <v>4400.1152000000002</v>
      </c>
      <c r="BE199" s="386">
        <f t="shared" si="135"/>
        <v>1029.0592000000001</v>
      </c>
      <c r="BF199" s="386">
        <f t="shared" si="136"/>
        <v>8473.7702400000016</v>
      </c>
      <c r="BG199" s="386">
        <f t="shared" si="137"/>
        <v>511.69081600000004</v>
      </c>
      <c r="BH199" s="386">
        <f t="shared" si="138"/>
        <v>347.75103999999999</v>
      </c>
      <c r="BI199" s="386">
        <f t="shared" si="139"/>
        <v>217.16697600000001</v>
      </c>
      <c r="BJ199" s="386">
        <f t="shared" si="140"/>
        <v>170.32704000000001</v>
      </c>
      <c r="BK199" s="386">
        <f t="shared" si="141"/>
        <v>0</v>
      </c>
      <c r="BL199" s="386">
        <f t="shared" si="164"/>
        <v>15149.880512000002</v>
      </c>
      <c r="BM199" s="386">
        <f t="shared" si="165"/>
        <v>0</v>
      </c>
      <c r="BN199" s="386">
        <f t="shared" si="142"/>
        <v>11650</v>
      </c>
      <c r="BO199" s="386">
        <f t="shared" si="143"/>
        <v>0</v>
      </c>
      <c r="BP199" s="386">
        <f t="shared" si="144"/>
        <v>4400.1152000000002</v>
      </c>
      <c r="BQ199" s="386">
        <f t="shared" si="145"/>
        <v>1029.0592000000001</v>
      </c>
      <c r="BR199" s="386">
        <f t="shared" si="146"/>
        <v>8473.7702400000016</v>
      </c>
      <c r="BS199" s="386">
        <f t="shared" si="147"/>
        <v>511.69081600000004</v>
      </c>
      <c r="BT199" s="386">
        <f t="shared" si="148"/>
        <v>0</v>
      </c>
      <c r="BU199" s="386">
        <f t="shared" si="149"/>
        <v>217.16697600000001</v>
      </c>
      <c r="BV199" s="386">
        <f t="shared" si="150"/>
        <v>177.42400000000001</v>
      </c>
      <c r="BW199" s="386">
        <f t="shared" si="151"/>
        <v>0</v>
      </c>
      <c r="BX199" s="386">
        <f t="shared" si="166"/>
        <v>14809.226432000003</v>
      </c>
      <c r="BY199" s="386">
        <f t="shared" si="167"/>
        <v>0</v>
      </c>
      <c r="BZ199" s="386">
        <f t="shared" si="168"/>
        <v>0</v>
      </c>
      <c r="CA199" s="386">
        <f t="shared" si="169"/>
        <v>0</v>
      </c>
      <c r="CB199" s="386">
        <f t="shared" si="170"/>
        <v>0</v>
      </c>
      <c r="CC199" s="386">
        <f t="shared" si="152"/>
        <v>0</v>
      </c>
      <c r="CD199" s="386">
        <f t="shared" si="153"/>
        <v>0</v>
      </c>
      <c r="CE199" s="386">
        <f t="shared" si="154"/>
        <v>0</v>
      </c>
      <c r="CF199" s="386">
        <f t="shared" si="155"/>
        <v>-347.75103999999999</v>
      </c>
      <c r="CG199" s="386">
        <f t="shared" si="156"/>
        <v>0</v>
      </c>
      <c r="CH199" s="386">
        <f t="shared" si="157"/>
        <v>7.0969600000000188</v>
      </c>
      <c r="CI199" s="386">
        <f t="shared" si="158"/>
        <v>0</v>
      </c>
      <c r="CJ199" s="386">
        <f t="shared" si="171"/>
        <v>-340.65407999999996</v>
      </c>
      <c r="CK199" s="386" t="str">
        <f t="shared" si="172"/>
        <v/>
      </c>
      <c r="CL199" s="386" t="str">
        <f t="shared" si="173"/>
        <v/>
      </c>
      <c r="CM199" s="386" t="str">
        <f t="shared" si="174"/>
        <v/>
      </c>
      <c r="CN199" s="386" t="str">
        <f t="shared" si="175"/>
        <v>0001-00</v>
      </c>
    </row>
    <row r="200" spans="1:92" ht="15.75" thickBot="1" x14ac:dyDescent="0.3">
      <c r="A200" s="375" t="s">
        <v>161</v>
      </c>
      <c r="B200" s="375" t="s">
        <v>162</v>
      </c>
      <c r="C200" s="375" t="s">
        <v>943</v>
      </c>
      <c r="D200" s="375" t="s">
        <v>548</v>
      </c>
      <c r="E200" s="375" t="s">
        <v>165</v>
      </c>
      <c r="F200" s="376" t="s">
        <v>166</v>
      </c>
      <c r="G200" s="375" t="s">
        <v>549</v>
      </c>
      <c r="H200" s="377"/>
      <c r="I200" s="377"/>
      <c r="J200" s="375" t="s">
        <v>168</v>
      </c>
      <c r="K200" s="375" t="s">
        <v>550</v>
      </c>
      <c r="L200" s="375" t="s">
        <v>198</v>
      </c>
      <c r="M200" s="375" t="s">
        <v>177</v>
      </c>
      <c r="N200" s="375" t="s">
        <v>199</v>
      </c>
      <c r="O200" s="378">
        <v>1</v>
      </c>
      <c r="P200" s="384">
        <v>1</v>
      </c>
      <c r="Q200" s="384">
        <v>1</v>
      </c>
      <c r="R200" s="379">
        <v>80</v>
      </c>
      <c r="S200" s="384">
        <v>1</v>
      </c>
      <c r="T200" s="379">
        <v>41886.339999999997</v>
      </c>
      <c r="U200" s="379">
        <v>0</v>
      </c>
      <c r="V200" s="379">
        <v>20243.07</v>
      </c>
      <c r="W200" s="379">
        <v>45531.199999999997</v>
      </c>
      <c r="X200" s="379">
        <v>21369.51</v>
      </c>
      <c r="Y200" s="379">
        <v>45531.199999999997</v>
      </c>
      <c r="Z200" s="379">
        <v>21150.959999999999</v>
      </c>
      <c r="AA200" s="375" t="s">
        <v>944</v>
      </c>
      <c r="AB200" s="375" t="s">
        <v>577</v>
      </c>
      <c r="AC200" s="375" t="s">
        <v>864</v>
      </c>
      <c r="AD200" s="375" t="s">
        <v>195</v>
      </c>
      <c r="AE200" s="375" t="s">
        <v>550</v>
      </c>
      <c r="AF200" s="375" t="s">
        <v>245</v>
      </c>
      <c r="AG200" s="375" t="s">
        <v>183</v>
      </c>
      <c r="AH200" s="380">
        <v>21.89</v>
      </c>
      <c r="AI200" s="380">
        <v>3912.9</v>
      </c>
      <c r="AJ200" s="375" t="s">
        <v>184</v>
      </c>
      <c r="AK200" s="375" t="s">
        <v>185</v>
      </c>
      <c r="AL200" s="375" t="s">
        <v>173</v>
      </c>
      <c r="AM200" s="375" t="s">
        <v>186</v>
      </c>
      <c r="AN200" s="375" t="s">
        <v>68</v>
      </c>
      <c r="AO200" s="378">
        <v>80</v>
      </c>
      <c r="AP200" s="384">
        <v>1</v>
      </c>
      <c r="AQ200" s="384">
        <v>1</v>
      </c>
      <c r="AR200" s="383" t="s">
        <v>187</v>
      </c>
      <c r="AS200" s="386">
        <f t="shared" si="159"/>
        <v>1</v>
      </c>
      <c r="AT200">
        <f t="shared" si="160"/>
        <v>1</v>
      </c>
      <c r="AU200" s="386">
        <f>IF(AT200=0,"",IF(AND(AT200=1,M200="F",SUMIF(C2:C557,C200,AS2:AS557)&lt;=1),SUMIF(C2:C557,C200,AS2:AS557),IF(AND(AT200=1,M200="F",SUMIF(C2:C557,C200,AS2:AS557)&gt;1),1,"")))</f>
        <v>1</v>
      </c>
      <c r="AV200" s="386" t="str">
        <f>IF(AT200=0,"",IF(AND(AT200=3,M200="F",SUMIF(C2:C557,C200,AS2:AS557)&lt;=1),SUMIF(C2:C557,C200,AS2:AS557),IF(AND(AT200=3,M200="F",SUMIF(C2:C557,C200,AS2:AS557)&gt;1),1,"")))</f>
        <v/>
      </c>
      <c r="AW200" s="386">
        <f>SUMIF(C2:C557,C200,O2:O557)</f>
        <v>1</v>
      </c>
      <c r="AX200" s="386">
        <f>IF(AND(M200="F",AS200&lt;&gt;0),SUMIF(C2:C557,C200,W2:W557),0)</f>
        <v>45531.199999999997</v>
      </c>
      <c r="AY200" s="386">
        <f t="shared" si="161"/>
        <v>45531.199999999997</v>
      </c>
      <c r="AZ200" s="386" t="str">
        <f t="shared" si="162"/>
        <v/>
      </c>
      <c r="BA200" s="386">
        <f t="shared" si="163"/>
        <v>0</v>
      </c>
      <c r="BB200" s="386">
        <f t="shared" si="132"/>
        <v>11650</v>
      </c>
      <c r="BC200" s="386">
        <f t="shared" si="133"/>
        <v>0</v>
      </c>
      <c r="BD200" s="386">
        <f t="shared" si="134"/>
        <v>2822.9343999999996</v>
      </c>
      <c r="BE200" s="386">
        <f t="shared" si="135"/>
        <v>660.20240000000001</v>
      </c>
      <c r="BF200" s="386">
        <f t="shared" si="136"/>
        <v>5436.4252800000004</v>
      </c>
      <c r="BG200" s="386">
        <f t="shared" si="137"/>
        <v>328.27995199999998</v>
      </c>
      <c r="BH200" s="386">
        <f t="shared" si="138"/>
        <v>223.10287999999997</v>
      </c>
      <c r="BI200" s="386">
        <f t="shared" si="139"/>
        <v>139.32547199999999</v>
      </c>
      <c r="BJ200" s="386">
        <f t="shared" si="140"/>
        <v>109.27487999999998</v>
      </c>
      <c r="BK200" s="386">
        <f t="shared" si="141"/>
        <v>0</v>
      </c>
      <c r="BL200" s="386">
        <f t="shared" si="164"/>
        <v>9719.5452640000021</v>
      </c>
      <c r="BM200" s="386">
        <f t="shared" si="165"/>
        <v>0</v>
      </c>
      <c r="BN200" s="386">
        <f t="shared" si="142"/>
        <v>11650</v>
      </c>
      <c r="BO200" s="386">
        <f t="shared" si="143"/>
        <v>0</v>
      </c>
      <c r="BP200" s="386">
        <f t="shared" si="144"/>
        <v>2822.9343999999996</v>
      </c>
      <c r="BQ200" s="386">
        <f t="shared" si="145"/>
        <v>660.20240000000001</v>
      </c>
      <c r="BR200" s="386">
        <f t="shared" si="146"/>
        <v>5436.4252800000004</v>
      </c>
      <c r="BS200" s="386">
        <f t="shared" si="147"/>
        <v>328.27995199999998</v>
      </c>
      <c r="BT200" s="386">
        <f t="shared" si="148"/>
        <v>0</v>
      </c>
      <c r="BU200" s="386">
        <f t="shared" si="149"/>
        <v>139.32547199999999</v>
      </c>
      <c r="BV200" s="386">
        <f t="shared" si="150"/>
        <v>113.82799999999999</v>
      </c>
      <c r="BW200" s="386">
        <f t="shared" si="151"/>
        <v>0</v>
      </c>
      <c r="BX200" s="386">
        <f t="shared" si="166"/>
        <v>9500.9955040000004</v>
      </c>
      <c r="BY200" s="386">
        <f t="shared" si="167"/>
        <v>0</v>
      </c>
      <c r="BZ200" s="386">
        <f t="shared" si="168"/>
        <v>0</v>
      </c>
      <c r="CA200" s="386">
        <f t="shared" si="169"/>
        <v>0</v>
      </c>
      <c r="CB200" s="386">
        <f t="shared" si="170"/>
        <v>0</v>
      </c>
      <c r="CC200" s="386">
        <f t="shared" si="152"/>
        <v>0</v>
      </c>
      <c r="CD200" s="386">
        <f t="shared" si="153"/>
        <v>0</v>
      </c>
      <c r="CE200" s="386">
        <f t="shared" si="154"/>
        <v>0</v>
      </c>
      <c r="CF200" s="386">
        <f t="shared" si="155"/>
        <v>-223.10287999999997</v>
      </c>
      <c r="CG200" s="386">
        <f t="shared" si="156"/>
        <v>0</v>
      </c>
      <c r="CH200" s="386">
        <f t="shared" si="157"/>
        <v>4.5531200000000114</v>
      </c>
      <c r="CI200" s="386">
        <f t="shared" si="158"/>
        <v>0</v>
      </c>
      <c r="CJ200" s="386">
        <f t="shared" si="171"/>
        <v>-218.54975999999996</v>
      </c>
      <c r="CK200" s="386" t="str">
        <f t="shared" si="172"/>
        <v/>
      </c>
      <c r="CL200" s="386" t="str">
        <f t="shared" si="173"/>
        <v/>
      </c>
      <c r="CM200" s="386" t="str">
        <f t="shared" si="174"/>
        <v/>
      </c>
      <c r="CN200" s="386" t="str">
        <f t="shared" si="175"/>
        <v>0001-00</v>
      </c>
    </row>
    <row r="201" spans="1:92" ht="15.75" thickBot="1" x14ac:dyDescent="0.3">
      <c r="A201" s="375" t="s">
        <v>161</v>
      </c>
      <c r="B201" s="375" t="s">
        <v>162</v>
      </c>
      <c r="C201" s="375" t="s">
        <v>945</v>
      </c>
      <c r="D201" s="375" t="s">
        <v>555</v>
      </c>
      <c r="E201" s="375" t="s">
        <v>165</v>
      </c>
      <c r="F201" s="376" t="s">
        <v>166</v>
      </c>
      <c r="G201" s="375" t="s">
        <v>549</v>
      </c>
      <c r="H201" s="377"/>
      <c r="I201" s="377"/>
      <c r="J201" s="375" t="s">
        <v>168</v>
      </c>
      <c r="K201" s="375" t="s">
        <v>556</v>
      </c>
      <c r="L201" s="375" t="s">
        <v>220</v>
      </c>
      <c r="M201" s="375" t="s">
        <v>177</v>
      </c>
      <c r="N201" s="375" t="s">
        <v>199</v>
      </c>
      <c r="O201" s="378">
        <v>1</v>
      </c>
      <c r="P201" s="384">
        <v>1</v>
      </c>
      <c r="Q201" s="384">
        <v>1</v>
      </c>
      <c r="R201" s="379">
        <v>80</v>
      </c>
      <c r="S201" s="384">
        <v>1</v>
      </c>
      <c r="T201" s="379">
        <v>54922.97</v>
      </c>
      <c r="U201" s="379">
        <v>0</v>
      </c>
      <c r="V201" s="379">
        <v>22730.05</v>
      </c>
      <c r="W201" s="379">
        <v>58448</v>
      </c>
      <c r="X201" s="379">
        <v>24126.87</v>
      </c>
      <c r="Y201" s="379">
        <v>58448</v>
      </c>
      <c r="Z201" s="379">
        <v>23846.33</v>
      </c>
      <c r="AA201" s="375" t="s">
        <v>946</v>
      </c>
      <c r="AB201" s="375" t="s">
        <v>947</v>
      </c>
      <c r="AC201" s="375" t="s">
        <v>948</v>
      </c>
      <c r="AD201" s="375" t="s">
        <v>220</v>
      </c>
      <c r="AE201" s="375" t="s">
        <v>556</v>
      </c>
      <c r="AF201" s="375" t="s">
        <v>252</v>
      </c>
      <c r="AG201" s="375" t="s">
        <v>183</v>
      </c>
      <c r="AH201" s="380">
        <v>28.1</v>
      </c>
      <c r="AI201" s="380">
        <v>15406.5</v>
      </c>
      <c r="AJ201" s="375" t="s">
        <v>184</v>
      </c>
      <c r="AK201" s="375" t="s">
        <v>185</v>
      </c>
      <c r="AL201" s="375" t="s">
        <v>173</v>
      </c>
      <c r="AM201" s="375" t="s">
        <v>186</v>
      </c>
      <c r="AN201" s="375" t="s">
        <v>68</v>
      </c>
      <c r="AO201" s="378">
        <v>80</v>
      </c>
      <c r="AP201" s="384">
        <v>1</v>
      </c>
      <c r="AQ201" s="384">
        <v>1</v>
      </c>
      <c r="AR201" s="383" t="s">
        <v>187</v>
      </c>
      <c r="AS201" s="386">
        <f t="shared" si="159"/>
        <v>1</v>
      </c>
      <c r="AT201">
        <f t="shared" si="160"/>
        <v>1</v>
      </c>
      <c r="AU201" s="386">
        <f>IF(AT201=0,"",IF(AND(AT201=1,M201="F",SUMIF(C2:C557,C201,AS2:AS557)&lt;=1),SUMIF(C2:C557,C201,AS2:AS557),IF(AND(AT201=1,M201="F",SUMIF(C2:C557,C201,AS2:AS557)&gt;1),1,"")))</f>
        <v>1</v>
      </c>
      <c r="AV201" s="386" t="str">
        <f>IF(AT201=0,"",IF(AND(AT201=3,M201="F",SUMIF(C2:C557,C201,AS2:AS557)&lt;=1),SUMIF(C2:C557,C201,AS2:AS557),IF(AND(AT201=3,M201="F",SUMIF(C2:C557,C201,AS2:AS557)&gt;1),1,"")))</f>
        <v/>
      </c>
      <c r="AW201" s="386">
        <f>SUMIF(C2:C557,C201,O2:O557)</f>
        <v>1</v>
      </c>
      <c r="AX201" s="386">
        <f>IF(AND(M201="F",AS201&lt;&gt;0),SUMIF(C2:C557,C201,W2:W557),0)</f>
        <v>58448</v>
      </c>
      <c r="AY201" s="386">
        <f t="shared" si="161"/>
        <v>58448</v>
      </c>
      <c r="AZ201" s="386" t="str">
        <f t="shared" si="162"/>
        <v/>
      </c>
      <c r="BA201" s="386">
        <f t="shared" si="163"/>
        <v>0</v>
      </c>
      <c r="BB201" s="386">
        <f t="shared" si="132"/>
        <v>11650</v>
      </c>
      <c r="BC201" s="386">
        <f t="shared" si="133"/>
        <v>0</v>
      </c>
      <c r="BD201" s="386">
        <f t="shared" si="134"/>
        <v>3623.7759999999998</v>
      </c>
      <c r="BE201" s="386">
        <f t="shared" si="135"/>
        <v>847.49600000000009</v>
      </c>
      <c r="BF201" s="386">
        <f t="shared" si="136"/>
        <v>6978.6912000000002</v>
      </c>
      <c r="BG201" s="386">
        <f t="shared" si="137"/>
        <v>421.41007999999999</v>
      </c>
      <c r="BH201" s="386">
        <f t="shared" si="138"/>
        <v>286.39519999999999</v>
      </c>
      <c r="BI201" s="386">
        <f t="shared" si="139"/>
        <v>178.85087999999999</v>
      </c>
      <c r="BJ201" s="386">
        <f t="shared" si="140"/>
        <v>140.27519999999998</v>
      </c>
      <c r="BK201" s="386">
        <f t="shared" si="141"/>
        <v>0</v>
      </c>
      <c r="BL201" s="386">
        <f t="shared" si="164"/>
        <v>12476.894560000001</v>
      </c>
      <c r="BM201" s="386">
        <f t="shared" si="165"/>
        <v>0</v>
      </c>
      <c r="BN201" s="386">
        <f t="shared" si="142"/>
        <v>11650</v>
      </c>
      <c r="BO201" s="386">
        <f t="shared" si="143"/>
        <v>0</v>
      </c>
      <c r="BP201" s="386">
        <f t="shared" si="144"/>
        <v>3623.7759999999998</v>
      </c>
      <c r="BQ201" s="386">
        <f t="shared" si="145"/>
        <v>847.49600000000009</v>
      </c>
      <c r="BR201" s="386">
        <f t="shared" si="146"/>
        <v>6978.6912000000002</v>
      </c>
      <c r="BS201" s="386">
        <f t="shared" si="147"/>
        <v>421.41007999999999</v>
      </c>
      <c r="BT201" s="386">
        <f t="shared" si="148"/>
        <v>0</v>
      </c>
      <c r="BU201" s="386">
        <f t="shared" si="149"/>
        <v>178.85087999999999</v>
      </c>
      <c r="BV201" s="386">
        <f t="shared" si="150"/>
        <v>146.12</v>
      </c>
      <c r="BW201" s="386">
        <f t="shared" si="151"/>
        <v>0</v>
      </c>
      <c r="BX201" s="386">
        <f t="shared" si="166"/>
        <v>12196.344160000001</v>
      </c>
      <c r="BY201" s="386">
        <f t="shared" si="167"/>
        <v>0</v>
      </c>
      <c r="BZ201" s="386">
        <f t="shared" si="168"/>
        <v>0</v>
      </c>
      <c r="CA201" s="386">
        <f t="shared" si="169"/>
        <v>0</v>
      </c>
      <c r="CB201" s="386">
        <f t="shared" si="170"/>
        <v>0</v>
      </c>
      <c r="CC201" s="386">
        <f t="shared" si="152"/>
        <v>0</v>
      </c>
      <c r="CD201" s="386">
        <f t="shared" si="153"/>
        <v>0</v>
      </c>
      <c r="CE201" s="386">
        <f t="shared" si="154"/>
        <v>0</v>
      </c>
      <c r="CF201" s="386">
        <f t="shared" si="155"/>
        <v>-286.39519999999999</v>
      </c>
      <c r="CG201" s="386">
        <f t="shared" si="156"/>
        <v>0</v>
      </c>
      <c r="CH201" s="386">
        <f t="shared" si="157"/>
        <v>5.8448000000000153</v>
      </c>
      <c r="CI201" s="386">
        <f t="shared" si="158"/>
        <v>0</v>
      </c>
      <c r="CJ201" s="386">
        <f t="shared" si="171"/>
        <v>-280.55039999999997</v>
      </c>
      <c r="CK201" s="386" t="str">
        <f t="shared" si="172"/>
        <v/>
      </c>
      <c r="CL201" s="386" t="str">
        <f t="shared" si="173"/>
        <v/>
      </c>
      <c r="CM201" s="386" t="str">
        <f t="shared" si="174"/>
        <v/>
      </c>
      <c r="CN201" s="386" t="str">
        <f t="shared" si="175"/>
        <v>0001-00</v>
      </c>
    </row>
    <row r="202" spans="1:92" ht="15.75" thickBot="1" x14ac:dyDescent="0.3">
      <c r="A202" s="375" t="s">
        <v>161</v>
      </c>
      <c r="B202" s="375" t="s">
        <v>162</v>
      </c>
      <c r="C202" s="375" t="s">
        <v>949</v>
      </c>
      <c r="D202" s="375" t="s">
        <v>555</v>
      </c>
      <c r="E202" s="375" t="s">
        <v>165</v>
      </c>
      <c r="F202" s="376" t="s">
        <v>166</v>
      </c>
      <c r="G202" s="375" t="s">
        <v>549</v>
      </c>
      <c r="H202" s="377"/>
      <c r="I202" s="377"/>
      <c r="J202" s="375" t="s">
        <v>168</v>
      </c>
      <c r="K202" s="375" t="s">
        <v>556</v>
      </c>
      <c r="L202" s="375" t="s">
        <v>220</v>
      </c>
      <c r="M202" s="375" t="s">
        <v>177</v>
      </c>
      <c r="N202" s="375" t="s">
        <v>199</v>
      </c>
      <c r="O202" s="378">
        <v>1</v>
      </c>
      <c r="P202" s="384">
        <v>1</v>
      </c>
      <c r="Q202" s="384">
        <v>1</v>
      </c>
      <c r="R202" s="379">
        <v>80</v>
      </c>
      <c r="S202" s="384">
        <v>1</v>
      </c>
      <c r="T202" s="379">
        <v>64364.959999999999</v>
      </c>
      <c r="U202" s="379">
        <v>0</v>
      </c>
      <c r="V202" s="379">
        <v>24733.17</v>
      </c>
      <c r="W202" s="379">
        <v>66684.800000000003</v>
      </c>
      <c r="X202" s="379">
        <v>25885.16</v>
      </c>
      <c r="Y202" s="379">
        <v>66684.800000000003</v>
      </c>
      <c r="Z202" s="379">
        <v>25565.08</v>
      </c>
      <c r="AA202" s="375" t="s">
        <v>950</v>
      </c>
      <c r="AB202" s="375" t="s">
        <v>951</v>
      </c>
      <c r="AC202" s="375" t="s">
        <v>952</v>
      </c>
      <c r="AD202" s="375" t="s">
        <v>170</v>
      </c>
      <c r="AE202" s="375" t="s">
        <v>556</v>
      </c>
      <c r="AF202" s="375" t="s">
        <v>252</v>
      </c>
      <c r="AG202" s="375" t="s">
        <v>183</v>
      </c>
      <c r="AH202" s="380">
        <v>32.06</v>
      </c>
      <c r="AI202" s="380">
        <v>30990.2</v>
      </c>
      <c r="AJ202" s="375" t="s">
        <v>184</v>
      </c>
      <c r="AK202" s="375" t="s">
        <v>185</v>
      </c>
      <c r="AL202" s="375" t="s">
        <v>173</v>
      </c>
      <c r="AM202" s="375" t="s">
        <v>186</v>
      </c>
      <c r="AN202" s="375" t="s">
        <v>68</v>
      </c>
      <c r="AO202" s="378">
        <v>80</v>
      </c>
      <c r="AP202" s="384">
        <v>1</v>
      </c>
      <c r="AQ202" s="384">
        <v>1</v>
      </c>
      <c r="AR202" s="383" t="s">
        <v>187</v>
      </c>
      <c r="AS202" s="386">
        <f t="shared" si="159"/>
        <v>1</v>
      </c>
      <c r="AT202">
        <f t="shared" si="160"/>
        <v>1</v>
      </c>
      <c r="AU202" s="386">
        <f>IF(AT202=0,"",IF(AND(AT202=1,M202="F",SUMIF(C2:C557,C202,AS2:AS557)&lt;=1),SUMIF(C2:C557,C202,AS2:AS557),IF(AND(AT202=1,M202="F",SUMIF(C2:C557,C202,AS2:AS557)&gt;1),1,"")))</f>
        <v>1</v>
      </c>
      <c r="AV202" s="386" t="str">
        <f>IF(AT202=0,"",IF(AND(AT202=3,M202="F",SUMIF(C2:C557,C202,AS2:AS557)&lt;=1),SUMIF(C2:C557,C202,AS2:AS557),IF(AND(AT202=3,M202="F",SUMIF(C2:C557,C202,AS2:AS557)&gt;1),1,"")))</f>
        <v/>
      </c>
      <c r="AW202" s="386">
        <f>SUMIF(C2:C557,C202,O2:O557)</f>
        <v>1</v>
      </c>
      <c r="AX202" s="386">
        <f>IF(AND(M202="F",AS202&lt;&gt;0),SUMIF(C2:C557,C202,W2:W557),0)</f>
        <v>66684.800000000003</v>
      </c>
      <c r="AY202" s="386">
        <f t="shared" si="161"/>
        <v>66684.800000000003</v>
      </c>
      <c r="AZ202" s="386" t="str">
        <f t="shared" si="162"/>
        <v/>
      </c>
      <c r="BA202" s="386">
        <f t="shared" si="163"/>
        <v>0</v>
      </c>
      <c r="BB202" s="386">
        <f t="shared" si="132"/>
        <v>11650</v>
      </c>
      <c r="BC202" s="386">
        <f t="shared" si="133"/>
        <v>0</v>
      </c>
      <c r="BD202" s="386">
        <f t="shared" si="134"/>
        <v>4134.4575999999997</v>
      </c>
      <c r="BE202" s="386">
        <f t="shared" si="135"/>
        <v>966.92960000000005</v>
      </c>
      <c r="BF202" s="386">
        <f t="shared" si="136"/>
        <v>7962.1651200000006</v>
      </c>
      <c r="BG202" s="386">
        <f t="shared" si="137"/>
        <v>480.79740800000002</v>
      </c>
      <c r="BH202" s="386">
        <f t="shared" si="138"/>
        <v>326.75551999999999</v>
      </c>
      <c r="BI202" s="386">
        <f t="shared" si="139"/>
        <v>204.055488</v>
      </c>
      <c r="BJ202" s="386">
        <f t="shared" si="140"/>
        <v>160.04352</v>
      </c>
      <c r="BK202" s="386">
        <f t="shared" si="141"/>
        <v>0</v>
      </c>
      <c r="BL202" s="386">
        <f t="shared" si="164"/>
        <v>14235.204256000001</v>
      </c>
      <c r="BM202" s="386">
        <f t="shared" si="165"/>
        <v>0</v>
      </c>
      <c r="BN202" s="386">
        <f t="shared" si="142"/>
        <v>11650</v>
      </c>
      <c r="BO202" s="386">
        <f t="shared" si="143"/>
        <v>0</v>
      </c>
      <c r="BP202" s="386">
        <f t="shared" si="144"/>
        <v>4134.4575999999997</v>
      </c>
      <c r="BQ202" s="386">
        <f t="shared" si="145"/>
        <v>966.92960000000005</v>
      </c>
      <c r="BR202" s="386">
        <f t="shared" si="146"/>
        <v>7962.1651200000006</v>
      </c>
      <c r="BS202" s="386">
        <f t="shared" si="147"/>
        <v>480.79740800000002</v>
      </c>
      <c r="BT202" s="386">
        <f t="shared" si="148"/>
        <v>0</v>
      </c>
      <c r="BU202" s="386">
        <f t="shared" si="149"/>
        <v>204.055488</v>
      </c>
      <c r="BV202" s="386">
        <f t="shared" si="150"/>
        <v>166.71200000000002</v>
      </c>
      <c r="BW202" s="386">
        <f t="shared" si="151"/>
        <v>0</v>
      </c>
      <c r="BX202" s="386">
        <f t="shared" si="166"/>
        <v>13915.117216000001</v>
      </c>
      <c r="BY202" s="386">
        <f t="shared" si="167"/>
        <v>0</v>
      </c>
      <c r="BZ202" s="386">
        <f t="shared" si="168"/>
        <v>0</v>
      </c>
      <c r="CA202" s="386">
        <f t="shared" si="169"/>
        <v>0</v>
      </c>
      <c r="CB202" s="386">
        <f t="shared" si="170"/>
        <v>0</v>
      </c>
      <c r="CC202" s="386">
        <f t="shared" si="152"/>
        <v>0</v>
      </c>
      <c r="CD202" s="386">
        <f t="shared" si="153"/>
        <v>0</v>
      </c>
      <c r="CE202" s="386">
        <f t="shared" si="154"/>
        <v>0</v>
      </c>
      <c r="CF202" s="386">
        <f t="shared" si="155"/>
        <v>-326.75551999999999</v>
      </c>
      <c r="CG202" s="386">
        <f t="shared" si="156"/>
        <v>0</v>
      </c>
      <c r="CH202" s="386">
        <f t="shared" si="157"/>
        <v>6.6684800000000175</v>
      </c>
      <c r="CI202" s="386">
        <f t="shared" si="158"/>
        <v>0</v>
      </c>
      <c r="CJ202" s="386">
        <f t="shared" si="171"/>
        <v>-320.08703999999994</v>
      </c>
      <c r="CK202" s="386" t="str">
        <f t="shared" si="172"/>
        <v/>
      </c>
      <c r="CL202" s="386" t="str">
        <f t="shared" si="173"/>
        <v/>
      </c>
      <c r="CM202" s="386" t="str">
        <f t="shared" si="174"/>
        <v/>
      </c>
      <c r="CN202" s="386" t="str">
        <f t="shared" si="175"/>
        <v>0001-00</v>
      </c>
    </row>
    <row r="203" spans="1:92" ht="15.75" thickBot="1" x14ac:dyDescent="0.3">
      <c r="A203" s="375" t="s">
        <v>161</v>
      </c>
      <c r="B203" s="375" t="s">
        <v>162</v>
      </c>
      <c r="C203" s="375" t="s">
        <v>953</v>
      </c>
      <c r="D203" s="375" t="s">
        <v>548</v>
      </c>
      <c r="E203" s="375" t="s">
        <v>165</v>
      </c>
      <c r="F203" s="376" t="s">
        <v>166</v>
      </c>
      <c r="G203" s="375" t="s">
        <v>549</v>
      </c>
      <c r="H203" s="377"/>
      <c r="I203" s="377"/>
      <c r="J203" s="375" t="s">
        <v>168</v>
      </c>
      <c r="K203" s="375" t="s">
        <v>550</v>
      </c>
      <c r="L203" s="375" t="s">
        <v>198</v>
      </c>
      <c r="M203" s="375" t="s">
        <v>177</v>
      </c>
      <c r="N203" s="375" t="s">
        <v>199</v>
      </c>
      <c r="O203" s="378">
        <v>1</v>
      </c>
      <c r="P203" s="384">
        <v>1</v>
      </c>
      <c r="Q203" s="384">
        <v>1</v>
      </c>
      <c r="R203" s="379">
        <v>80</v>
      </c>
      <c r="S203" s="384">
        <v>1</v>
      </c>
      <c r="T203" s="379">
        <v>41979.13</v>
      </c>
      <c r="U203" s="379">
        <v>0</v>
      </c>
      <c r="V203" s="379">
        <v>20057.46</v>
      </c>
      <c r="W203" s="379">
        <v>46134.400000000001</v>
      </c>
      <c r="X203" s="379">
        <v>21498.27</v>
      </c>
      <c r="Y203" s="379">
        <v>46134.400000000001</v>
      </c>
      <c r="Z203" s="379">
        <v>21276.83</v>
      </c>
      <c r="AA203" s="375" t="s">
        <v>954</v>
      </c>
      <c r="AB203" s="375" t="s">
        <v>955</v>
      </c>
      <c r="AC203" s="375" t="s">
        <v>956</v>
      </c>
      <c r="AD203" s="375" t="s">
        <v>181</v>
      </c>
      <c r="AE203" s="375" t="s">
        <v>550</v>
      </c>
      <c r="AF203" s="375" t="s">
        <v>245</v>
      </c>
      <c r="AG203" s="375" t="s">
        <v>183</v>
      </c>
      <c r="AH203" s="380">
        <v>22.18</v>
      </c>
      <c r="AI203" s="380">
        <v>11203.2</v>
      </c>
      <c r="AJ203" s="375" t="s">
        <v>184</v>
      </c>
      <c r="AK203" s="375" t="s">
        <v>185</v>
      </c>
      <c r="AL203" s="375" t="s">
        <v>173</v>
      </c>
      <c r="AM203" s="375" t="s">
        <v>186</v>
      </c>
      <c r="AN203" s="375" t="s">
        <v>68</v>
      </c>
      <c r="AO203" s="378">
        <v>80</v>
      </c>
      <c r="AP203" s="384">
        <v>1</v>
      </c>
      <c r="AQ203" s="384">
        <v>1</v>
      </c>
      <c r="AR203" s="383" t="s">
        <v>187</v>
      </c>
      <c r="AS203" s="386">
        <f t="shared" si="159"/>
        <v>1</v>
      </c>
      <c r="AT203">
        <f t="shared" si="160"/>
        <v>1</v>
      </c>
      <c r="AU203" s="386">
        <f>IF(AT203=0,"",IF(AND(AT203=1,M203="F",SUMIF(C2:C557,C203,AS2:AS557)&lt;=1),SUMIF(C2:C557,C203,AS2:AS557),IF(AND(AT203=1,M203="F",SUMIF(C2:C557,C203,AS2:AS557)&gt;1),1,"")))</f>
        <v>1</v>
      </c>
      <c r="AV203" s="386" t="str">
        <f>IF(AT203=0,"",IF(AND(AT203=3,M203="F",SUMIF(C2:C557,C203,AS2:AS557)&lt;=1),SUMIF(C2:C557,C203,AS2:AS557),IF(AND(AT203=3,M203="F",SUMIF(C2:C557,C203,AS2:AS557)&gt;1),1,"")))</f>
        <v/>
      </c>
      <c r="AW203" s="386">
        <f>SUMIF(C2:C557,C203,O2:O557)</f>
        <v>1</v>
      </c>
      <c r="AX203" s="386">
        <f>IF(AND(M203="F",AS203&lt;&gt;0),SUMIF(C2:C557,C203,W2:W557),0)</f>
        <v>46134.400000000001</v>
      </c>
      <c r="AY203" s="386">
        <f t="shared" si="161"/>
        <v>46134.400000000001</v>
      </c>
      <c r="AZ203" s="386" t="str">
        <f t="shared" si="162"/>
        <v/>
      </c>
      <c r="BA203" s="386">
        <f t="shared" si="163"/>
        <v>0</v>
      </c>
      <c r="BB203" s="386">
        <f t="shared" si="132"/>
        <v>11650</v>
      </c>
      <c r="BC203" s="386">
        <f t="shared" si="133"/>
        <v>0</v>
      </c>
      <c r="BD203" s="386">
        <f t="shared" si="134"/>
        <v>2860.3328000000001</v>
      </c>
      <c r="BE203" s="386">
        <f t="shared" si="135"/>
        <v>668.94880000000001</v>
      </c>
      <c r="BF203" s="386">
        <f t="shared" si="136"/>
        <v>5508.4473600000001</v>
      </c>
      <c r="BG203" s="386">
        <f t="shared" si="137"/>
        <v>332.62902400000002</v>
      </c>
      <c r="BH203" s="386">
        <f t="shared" si="138"/>
        <v>226.05856</v>
      </c>
      <c r="BI203" s="386">
        <f t="shared" si="139"/>
        <v>141.17126400000001</v>
      </c>
      <c r="BJ203" s="386">
        <f t="shared" si="140"/>
        <v>110.72255999999999</v>
      </c>
      <c r="BK203" s="386">
        <f t="shared" si="141"/>
        <v>0</v>
      </c>
      <c r="BL203" s="386">
        <f t="shared" si="164"/>
        <v>9848.3103680000004</v>
      </c>
      <c r="BM203" s="386">
        <f t="shared" si="165"/>
        <v>0</v>
      </c>
      <c r="BN203" s="386">
        <f t="shared" si="142"/>
        <v>11650</v>
      </c>
      <c r="BO203" s="386">
        <f t="shared" si="143"/>
        <v>0</v>
      </c>
      <c r="BP203" s="386">
        <f t="shared" si="144"/>
        <v>2860.3328000000001</v>
      </c>
      <c r="BQ203" s="386">
        <f t="shared" si="145"/>
        <v>668.94880000000001</v>
      </c>
      <c r="BR203" s="386">
        <f t="shared" si="146"/>
        <v>5508.4473600000001</v>
      </c>
      <c r="BS203" s="386">
        <f t="shared" si="147"/>
        <v>332.62902400000002</v>
      </c>
      <c r="BT203" s="386">
        <f t="shared" si="148"/>
        <v>0</v>
      </c>
      <c r="BU203" s="386">
        <f t="shared" si="149"/>
        <v>141.17126400000001</v>
      </c>
      <c r="BV203" s="386">
        <f t="shared" si="150"/>
        <v>115.33600000000001</v>
      </c>
      <c r="BW203" s="386">
        <f t="shared" si="151"/>
        <v>0</v>
      </c>
      <c r="BX203" s="386">
        <f t="shared" si="166"/>
        <v>9626.8652480000001</v>
      </c>
      <c r="BY203" s="386">
        <f t="shared" si="167"/>
        <v>0</v>
      </c>
      <c r="BZ203" s="386">
        <f t="shared" si="168"/>
        <v>0</v>
      </c>
      <c r="CA203" s="386">
        <f t="shared" si="169"/>
        <v>0</v>
      </c>
      <c r="CB203" s="386">
        <f t="shared" si="170"/>
        <v>0</v>
      </c>
      <c r="CC203" s="386">
        <f t="shared" si="152"/>
        <v>0</v>
      </c>
      <c r="CD203" s="386">
        <f t="shared" si="153"/>
        <v>0</v>
      </c>
      <c r="CE203" s="386">
        <f t="shared" si="154"/>
        <v>0</v>
      </c>
      <c r="CF203" s="386">
        <f t="shared" si="155"/>
        <v>-226.05856</v>
      </c>
      <c r="CG203" s="386">
        <f t="shared" si="156"/>
        <v>0</v>
      </c>
      <c r="CH203" s="386">
        <f t="shared" si="157"/>
        <v>4.6134400000000122</v>
      </c>
      <c r="CI203" s="386">
        <f t="shared" si="158"/>
        <v>0</v>
      </c>
      <c r="CJ203" s="386">
        <f t="shared" si="171"/>
        <v>-221.44511999999997</v>
      </c>
      <c r="CK203" s="386" t="str">
        <f t="shared" si="172"/>
        <v/>
      </c>
      <c r="CL203" s="386" t="str">
        <f t="shared" si="173"/>
        <v/>
      </c>
      <c r="CM203" s="386" t="str">
        <f t="shared" si="174"/>
        <v/>
      </c>
      <c r="CN203" s="386" t="str">
        <f t="shared" si="175"/>
        <v>0001-00</v>
      </c>
    </row>
    <row r="204" spans="1:92" ht="15.75" thickBot="1" x14ac:dyDescent="0.3">
      <c r="A204" s="375" t="s">
        <v>161</v>
      </c>
      <c r="B204" s="375" t="s">
        <v>162</v>
      </c>
      <c r="C204" s="375" t="s">
        <v>957</v>
      </c>
      <c r="D204" s="375" t="s">
        <v>259</v>
      </c>
      <c r="E204" s="375" t="s">
        <v>165</v>
      </c>
      <c r="F204" s="376" t="s">
        <v>166</v>
      </c>
      <c r="G204" s="375" t="s">
        <v>549</v>
      </c>
      <c r="H204" s="377"/>
      <c r="I204" s="377"/>
      <c r="J204" s="375" t="s">
        <v>168</v>
      </c>
      <c r="K204" s="375" t="s">
        <v>260</v>
      </c>
      <c r="L204" s="375" t="s">
        <v>261</v>
      </c>
      <c r="M204" s="375" t="s">
        <v>171</v>
      </c>
      <c r="N204" s="375" t="s">
        <v>262</v>
      </c>
      <c r="O204" s="378">
        <v>0</v>
      </c>
      <c r="P204" s="384">
        <v>1</v>
      </c>
      <c r="Q204" s="384">
        <v>0</v>
      </c>
      <c r="R204" s="379">
        <v>0</v>
      </c>
      <c r="S204" s="384">
        <v>0</v>
      </c>
      <c r="T204" s="379">
        <v>0</v>
      </c>
      <c r="U204" s="379">
        <v>0</v>
      </c>
      <c r="V204" s="379">
        <v>0</v>
      </c>
      <c r="W204" s="379">
        <v>0</v>
      </c>
      <c r="X204" s="379">
        <v>0</v>
      </c>
      <c r="Y204" s="379">
        <v>0</v>
      </c>
      <c r="Z204" s="379">
        <v>0</v>
      </c>
      <c r="AA204" s="377"/>
      <c r="AB204" s="375" t="s">
        <v>45</v>
      </c>
      <c r="AC204" s="375" t="s">
        <v>45</v>
      </c>
      <c r="AD204" s="377"/>
      <c r="AE204" s="377"/>
      <c r="AF204" s="377"/>
      <c r="AG204" s="377"/>
      <c r="AH204" s="378">
        <v>0</v>
      </c>
      <c r="AI204" s="378">
        <v>0</v>
      </c>
      <c r="AJ204" s="377"/>
      <c r="AK204" s="377"/>
      <c r="AL204" s="375" t="s">
        <v>173</v>
      </c>
      <c r="AM204" s="377"/>
      <c r="AN204" s="377"/>
      <c r="AO204" s="378">
        <v>0</v>
      </c>
      <c r="AP204" s="384">
        <v>0</v>
      </c>
      <c r="AQ204" s="384">
        <v>0</v>
      </c>
      <c r="AR204" s="382"/>
      <c r="AS204" s="386">
        <f t="shared" si="159"/>
        <v>0</v>
      </c>
      <c r="AT204">
        <f t="shared" si="160"/>
        <v>0</v>
      </c>
      <c r="AU204" s="386" t="str">
        <f>IF(AT204=0,"",IF(AND(AT204=1,M204="F",SUMIF(C2:C557,C204,AS2:AS557)&lt;=1),SUMIF(C2:C557,C204,AS2:AS557),IF(AND(AT204=1,M204="F",SUMIF(C2:C557,C204,AS2:AS557)&gt;1),1,"")))</f>
        <v/>
      </c>
      <c r="AV204" s="386" t="str">
        <f>IF(AT204=0,"",IF(AND(AT204=3,M204="F",SUMIF(C2:C557,C204,AS2:AS557)&lt;=1),SUMIF(C2:C557,C204,AS2:AS557),IF(AND(AT204=3,M204="F",SUMIF(C2:C557,C204,AS2:AS557)&gt;1),1,"")))</f>
        <v/>
      </c>
      <c r="AW204" s="386">
        <f>SUMIF(C2:C557,C204,O2:O557)</f>
        <v>0</v>
      </c>
      <c r="AX204" s="386">
        <f>IF(AND(M204="F",AS204&lt;&gt;0),SUMIF(C2:C557,C204,W2:W557),0)</f>
        <v>0</v>
      </c>
      <c r="AY204" s="386" t="str">
        <f t="shared" si="161"/>
        <v/>
      </c>
      <c r="AZ204" s="386" t="str">
        <f t="shared" si="162"/>
        <v/>
      </c>
      <c r="BA204" s="386">
        <f t="shared" si="163"/>
        <v>0</v>
      </c>
      <c r="BB204" s="386">
        <f t="shared" si="132"/>
        <v>0</v>
      </c>
      <c r="BC204" s="386">
        <f t="shared" si="133"/>
        <v>0</v>
      </c>
      <c r="BD204" s="386">
        <f t="shared" si="134"/>
        <v>0</v>
      </c>
      <c r="BE204" s="386">
        <f t="shared" si="135"/>
        <v>0</v>
      </c>
      <c r="BF204" s="386">
        <f t="shared" si="136"/>
        <v>0</v>
      </c>
      <c r="BG204" s="386">
        <f t="shared" si="137"/>
        <v>0</v>
      </c>
      <c r="BH204" s="386">
        <f t="shared" si="138"/>
        <v>0</v>
      </c>
      <c r="BI204" s="386">
        <f t="shared" si="139"/>
        <v>0</v>
      </c>
      <c r="BJ204" s="386">
        <f t="shared" si="140"/>
        <v>0</v>
      </c>
      <c r="BK204" s="386">
        <f t="shared" si="141"/>
        <v>0</v>
      </c>
      <c r="BL204" s="386">
        <f t="shared" si="164"/>
        <v>0</v>
      </c>
      <c r="BM204" s="386">
        <f t="shared" si="165"/>
        <v>0</v>
      </c>
      <c r="BN204" s="386">
        <f t="shared" si="142"/>
        <v>0</v>
      </c>
      <c r="BO204" s="386">
        <f t="shared" si="143"/>
        <v>0</v>
      </c>
      <c r="BP204" s="386">
        <f t="shared" si="144"/>
        <v>0</v>
      </c>
      <c r="BQ204" s="386">
        <f t="shared" si="145"/>
        <v>0</v>
      </c>
      <c r="BR204" s="386">
        <f t="shared" si="146"/>
        <v>0</v>
      </c>
      <c r="BS204" s="386">
        <f t="shared" si="147"/>
        <v>0</v>
      </c>
      <c r="BT204" s="386">
        <f t="shared" si="148"/>
        <v>0</v>
      </c>
      <c r="BU204" s="386">
        <f t="shared" si="149"/>
        <v>0</v>
      </c>
      <c r="BV204" s="386">
        <f t="shared" si="150"/>
        <v>0</v>
      </c>
      <c r="BW204" s="386">
        <f t="shared" si="151"/>
        <v>0</v>
      </c>
      <c r="BX204" s="386">
        <f t="shared" si="166"/>
        <v>0</v>
      </c>
      <c r="BY204" s="386">
        <f t="shared" si="167"/>
        <v>0</v>
      </c>
      <c r="BZ204" s="386">
        <f t="shared" si="168"/>
        <v>0</v>
      </c>
      <c r="CA204" s="386">
        <f t="shared" si="169"/>
        <v>0</v>
      </c>
      <c r="CB204" s="386">
        <f t="shared" si="170"/>
        <v>0</v>
      </c>
      <c r="CC204" s="386">
        <f t="shared" si="152"/>
        <v>0</v>
      </c>
      <c r="CD204" s="386">
        <f t="shared" si="153"/>
        <v>0</v>
      </c>
      <c r="CE204" s="386">
        <f t="shared" si="154"/>
        <v>0</v>
      </c>
      <c r="CF204" s="386">
        <f t="shared" si="155"/>
        <v>0</v>
      </c>
      <c r="CG204" s="386">
        <f t="shared" si="156"/>
        <v>0</v>
      </c>
      <c r="CH204" s="386">
        <f t="shared" si="157"/>
        <v>0</v>
      </c>
      <c r="CI204" s="386">
        <f t="shared" si="158"/>
        <v>0</v>
      </c>
      <c r="CJ204" s="386">
        <f t="shared" si="171"/>
        <v>0</v>
      </c>
      <c r="CK204" s="386" t="str">
        <f t="shared" si="172"/>
        <v/>
      </c>
      <c r="CL204" s="386">
        <f t="shared" si="173"/>
        <v>0</v>
      </c>
      <c r="CM204" s="386">
        <f t="shared" si="174"/>
        <v>0</v>
      </c>
      <c r="CN204" s="386" t="str">
        <f t="shared" si="175"/>
        <v>0001-00</v>
      </c>
    </row>
    <row r="205" spans="1:92" ht="15.75" thickBot="1" x14ac:dyDescent="0.3">
      <c r="A205" s="375" t="s">
        <v>161</v>
      </c>
      <c r="B205" s="375" t="s">
        <v>162</v>
      </c>
      <c r="C205" s="375" t="s">
        <v>958</v>
      </c>
      <c r="D205" s="375" t="s">
        <v>561</v>
      </c>
      <c r="E205" s="375" t="s">
        <v>165</v>
      </c>
      <c r="F205" s="376" t="s">
        <v>166</v>
      </c>
      <c r="G205" s="375" t="s">
        <v>549</v>
      </c>
      <c r="H205" s="377"/>
      <c r="I205" s="377"/>
      <c r="J205" s="375" t="s">
        <v>168</v>
      </c>
      <c r="K205" s="375" t="s">
        <v>562</v>
      </c>
      <c r="L205" s="375" t="s">
        <v>170</v>
      </c>
      <c r="M205" s="375" t="s">
        <v>177</v>
      </c>
      <c r="N205" s="375" t="s">
        <v>199</v>
      </c>
      <c r="O205" s="378">
        <v>1</v>
      </c>
      <c r="P205" s="384">
        <v>1</v>
      </c>
      <c r="Q205" s="384">
        <v>1</v>
      </c>
      <c r="R205" s="379">
        <v>80</v>
      </c>
      <c r="S205" s="384">
        <v>1</v>
      </c>
      <c r="T205" s="379">
        <v>59651.98</v>
      </c>
      <c r="U205" s="379">
        <v>0</v>
      </c>
      <c r="V205" s="379">
        <v>21756.959999999999</v>
      </c>
      <c r="W205" s="379">
        <v>51833.599999999999</v>
      </c>
      <c r="X205" s="379">
        <v>22714.9</v>
      </c>
      <c r="Y205" s="379">
        <v>51833.599999999999</v>
      </c>
      <c r="Z205" s="379">
        <v>22466.1</v>
      </c>
      <c r="AA205" s="375" t="s">
        <v>959</v>
      </c>
      <c r="AB205" s="375" t="s">
        <v>960</v>
      </c>
      <c r="AC205" s="375" t="s">
        <v>961</v>
      </c>
      <c r="AD205" s="375" t="s">
        <v>183</v>
      </c>
      <c r="AE205" s="375" t="s">
        <v>562</v>
      </c>
      <c r="AF205" s="375" t="s">
        <v>269</v>
      </c>
      <c r="AG205" s="375" t="s">
        <v>183</v>
      </c>
      <c r="AH205" s="380">
        <v>24.92</v>
      </c>
      <c r="AI205" s="378">
        <v>9216</v>
      </c>
      <c r="AJ205" s="375" t="s">
        <v>184</v>
      </c>
      <c r="AK205" s="375" t="s">
        <v>185</v>
      </c>
      <c r="AL205" s="375" t="s">
        <v>173</v>
      </c>
      <c r="AM205" s="375" t="s">
        <v>186</v>
      </c>
      <c r="AN205" s="375" t="s">
        <v>68</v>
      </c>
      <c r="AO205" s="378">
        <v>80</v>
      </c>
      <c r="AP205" s="384">
        <v>1</v>
      </c>
      <c r="AQ205" s="384">
        <v>1</v>
      </c>
      <c r="AR205" s="383" t="s">
        <v>187</v>
      </c>
      <c r="AS205" s="386">
        <f t="shared" si="159"/>
        <v>1</v>
      </c>
      <c r="AT205">
        <f t="shared" si="160"/>
        <v>1</v>
      </c>
      <c r="AU205" s="386">
        <f>IF(AT205=0,"",IF(AND(AT205=1,M205="F",SUMIF(C2:C557,C205,AS2:AS557)&lt;=1),SUMIF(C2:C557,C205,AS2:AS557),IF(AND(AT205=1,M205="F",SUMIF(C2:C557,C205,AS2:AS557)&gt;1),1,"")))</f>
        <v>1</v>
      </c>
      <c r="AV205" s="386" t="str">
        <f>IF(AT205=0,"",IF(AND(AT205=3,M205="F",SUMIF(C2:C557,C205,AS2:AS557)&lt;=1),SUMIF(C2:C557,C205,AS2:AS557),IF(AND(AT205=3,M205="F",SUMIF(C2:C557,C205,AS2:AS557)&gt;1),1,"")))</f>
        <v/>
      </c>
      <c r="AW205" s="386">
        <f>SUMIF(C2:C557,C205,O2:O557)</f>
        <v>1</v>
      </c>
      <c r="AX205" s="386">
        <f>IF(AND(M205="F",AS205&lt;&gt;0),SUMIF(C2:C557,C205,W2:W557),0)</f>
        <v>51833.599999999999</v>
      </c>
      <c r="AY205" s="386">
        <f t="shared" si="161"/>
        <v>51833.599999999999</v>
      </c>
      <c r="AZ205" s="386" t="str">
        <f t="shared" si="162"/>
        <v/>
      </c>
      <c r="BA205" s="386">
        <f t="shared" si="163"/>
        <v>0</v>
      </c>
      <c r="BB205" s="386">
        <f t="shared" si="132"/>
        <v>11650</v>
      </c>
      <c r="BC205" s="386">
        <f t="shared" si="133"/>
        <v>0</v>
      </c>
      <c r="BD205" s="386">
        <f t="shared" si="134"/>
        <v>3213.6831999999999</v>
      </c>
      <c r="BE205" s="386">
        <f t="shared" si="135"/>
        <v>751.58720000000005</v>
      </c>
      <c r="BF205" s="386">
        <f t="shared" si="136"/>
        <v>6188.9318400000002</v>
      </c>
      <c r="BG205" s="386">
        <f t="shared" si="137"/>
        <v>373.72025600000001</v>
      </c>
      <c r="BH205" s="386">
        <f t="shared" si="138"/>
        <v>253.98463999999998</v>
      </c>
      <c r="BI205" s="386">
        <f t="shared" si="139"/>
        <v>158.61081599999997</v>
      </c>
      <c r="BJ205" s="386">
        <f t="shared" si="140"/>
        <v>124.40063999999998</v>
      </c>
      <c r="BK205" s="386">
        <f t="shared" si="141"/>
        <v>0</v>
      </c>
      <c r="BL205" s="386">
        <f t="shared" si="164"/>
        <v>11064.918592000002</v>
      </c>
      <c r="BM205" s="386">
        <f t="shared" si="165"/>
        <v>0</v>
      </c>
      <c r="BN205" s="386">
        <f t="shared" si="142"/>
        <v>11650</v>
      </c>
      <c r="BO205" s="386">
        <f t="shared" si="143"/>
        <v>0</v>
      </c>
      <c r="BP205" s="386">
        <f t="shared" si="144"/>
        <v>3213.6831999999999</v>
      </c>
      <c r="BQ205" s="386">
        <f t="shared" si="145"/>
        <v>751.58720000000005</v>
      </c>
      <c r="BR205" s="386">
        <f t="shared" si="146"/>
        <v>6188.9318400000002</v>
      </c>
      <c r="BS205" s="386">
        <f t="shared" si="147"/>
        <v>373.72025600000001</v>
      </c>
      <c r="BT205" s="386">
        <f t="shared" si="148"/>
        <v>0</v>
      </c>
      <c r="BU205" s="386">
        <f t="shared" si="149"/>
        <v>158.61081599999997</v>
      </c>
      <c r="BV205" s="386">
        <f t="shared" si="150"/>
        <v>129.584</v>
      </c>
      <c r="BW205" s="386">
        <f t="shared" si="151"/>
        <v>0</v>
      </c>
      <c r="BX205" s="386">
        <f t="shared" si="166"/>
        <v>10816.117312000002</v>
      </c>
      <c r="BY205" s="386">
        <f t="shared" si="167"/>
        <v>0</v>
      </c>
      <c r="BZ205" s="386">
        <f t="shared" si="168"/>
        <v>0</v>
      </c>
      <c r="CA205" s="386">
        <f t="shared" si="169"/>
        <v>0</v>
      </c>
      <c r="CB205" s="386">
        <f t="shared" si="170"/>
        <v>0</v>
      </c>
      <c r="CC205" s="386">
        <f t="shared" si="152"/>
        <v>0</v>
      </c>
      <c r="CD205" s="386">
        <f t="shared" si="153"/>
        <v>0</v>
      </c>
      <c r="CE205" s="386">
        <f t="shared" si="154"/>
        <v>0</v>
      </c>
      <c r="CF205" s="386">
        <f t="shared" si="155"/>
        <v>-253.98463999999998</v>
      </c>
      <c r="CG205" s="386">
        <f t="shared" si="156"/>
        <v>0</v>
      </c>
      <c r="CH205" s="386">
        <f t="shared" si="157"/>
        <v>5.1833600000000137</v>
      </c>
      <c r="CI205" s="386">
        <f t="shared" si="158"/>
        <v>0</v>
      </c>
      <c r="CJ205" s="386">
        <f t="shared" si="171"/>
        <v>-248.80127999999996</v>
      </c>
      <c r="CK205" s="386" t="str">
        <f t="shared" si="172"/>
        <v/>
      </c>
      <c r="CL205" s="386" t="str">
        <f t="shared" si="173"/>
        <v/>
      </c>
      <c r="CM205" s="386" t="str">
        <f t="shared" si="174"/>
        <v/>
      </c>
      <c r="CN205" s="386" t="str">
        <f t="shared" si="175"/>
        <v>0001-00</v>
      </c>
    </row>
    <row r="206" spans="1:92" ht="15.75" thickBot="1" x14ac:dyDescent="0.3">
      <c r="A206" s="375" t="s">
        <v>161</v>
      </c>
      <c r="B206" s="375" t="s">
        <v>162</v>
      </c>
      <c r="C206" s="375" t="s">
        <v>962</v>
      </c>
      <c r="D206" s="375" t="s">
        <v>617</v>
      </c>
      <c r="E206" s="375" t="s">
        <v>165</v>
      </c>
      <c r="F206" s="376" t="s">
        <v>166</v>
      </c>
      <c r="G206" s="375" t="s">
        <v>549</v>
      </c>
      <c r="H206" s="377"/>
      <c r="I206" s="377"/>
      <c r="J206" s="375" t="s">
        <v>218</v>
      </c>
      <c r="K206" s="375" t="s">
        <v>618</v>
      </c>
      <c r="L206" s="375" t="s">
        <v>173</v>
      </c>
      <c r="M206" s="375" t="s">
        <v>177</v>
      </c>
      <c r="N206" s="375" t="s">
        <v>199</v>
      </c>
      <c r="O206" s="378">
        <v>1</v>
      </c>
      <c r="P206" s="384">
        <v>0.5</v>
      </c>
      <c r="Q206" s="384">
        <v>0.5</v>
      </c>
      <c r="R206" s="379">
        <v>80</v>
      </c>
      <c r="S206" s="384">
        <v>0.5</v>
      </c>
      <c r="T206" s="379">
        <v>44232.04</v>
      </c>
      <c r="U206" s="379">
        <v>0</v>
      </c>
      <c r="V206" s="379">
        <v>14923.82</v>
      </c>
      <c r="W206" s="379">
        <v>45666.400000000001</v>
      </c>
      <c r="X206" s="379">
        <v>15573.38</v>
      </c>
      <c r="Y206" s="379">
        <v>45666.400000000001</v>
      </c>
      <c r="Z206" s="379">
        <v>15354.19</v>
      </c>
      <c r="AA206" s="375" t="s">
        <v>963</v>
      </c>
      <c r="AB206" s="375" t="s">
        <v>964</v>
      </c>
      <c r="AC206" s="375" t="s">
        <v>961</v>
      </c>
      <c r="AD206" s="375" t="s">
        <v>233</v>
      </c>
      <c r="AE206" s="375" t="s">
        <v>618</v>
      </c>
      <c r="AF206" s="375" t="s">
        <v>305</v>
      </c>
      <c r="AG206" s="375" t="s">
        <v>183</v>
      </c>
      <c r="AH206" s="380">
        <v>43.91</v>
      </c>
      <c r="AI206" s="380">
        <v>83348.899999999994</v>
      </c>
      <c r="AJ206" s="375" t="s">
        <v>184</v>
      </c>
      <c r="AK206" s="375" t="s">
        <v>185</v>
      </c>
      <c r="AL206" s="375" t="s">
        <v>173</v>
      </c>
      <c r="AM206" s="375" t="s">
        <v>186</v>
      </c>
      <c r="AN206" s="375" t="s">
        <v>68</v>
      </c>
      <c r="AO206" s="378">
        <v>80</v>
      </c>
      <c r="AP206" s="384">
        <v>1</v>
      </c>
      <c r="AQ206" s="384">
        <v>0.5</v>
      </c>
      <c r="AR206" s="383" t="s">
        <v>187</v>
      </c>
      <c r="AS206" s="386">
        <f t="shared" si="159"/>
        <v>0.5</v>
      </c>
      <c r="AT206">
        <f t="shared" si="160"/>
        <v>1</v>
      </c>
      <c r="AU206" s="386">
        <f>IF(AT206=0,"",IF(AND(AT206=1,M206="F",SUMIF(C2:C557,C206,AS2:AS557)&lt;=1),SUMIF(C2:C557,C206,AS2:AS557),IF(AND(AT206=1,M206="F",SUMIF(C2:C557,C206,AS2:AS557)&gt;1),1,"")))</f>
        <v>1</v>
      </c>
      <c r="AV206" s="386" t="str">
        <f>IF(AT206=0,"",IF(AND(AT206=3,M206="F",SUMIF(C2:C557,C206,AS2:AS557)&lt;=1),SUMIF(C2:C557,C206,AS2:AS557),IF(AND(AT206=3,M206="F",SUMIF(C2:C557,C206,AS2:AS557)&gt;1),1,"")))</f>
        <v/>
      </c>
      <c r="AW206" s="386">
        <f>SUMIF(C2:C557,C206,O2:O557)</f>
        <v>2</v>
      </c>
      <c r="AX206" s="386">
        <f>IF(AND(M206="F",AS206&lt;&gt;0),SUMIF(C2:C557,C206,W2:W557),0)</f>
        <v>91332.800000000003</v>
      </c>
      <c r="AY206" s="386">
        <f t="shared" si="161"/>
        <v>45666.400000000001</v>
      </c>
      <c r="AZ206" s="386" t="str">
        <f t="shared" si="162"/>
        <v/>
      </c>
      <c r="BA206" s="386">
        <f t="shared" si="163"/>
        <v>0</v>
      </c>
      <c r="BB206" s="386">
        <f t="shared" si="132"/>
        <v>5825</v>
      </c>
      <c r="BC206" s="386">
        <f t="shared" si="133"/>
        <v>0</v>
      </c>
      <c r="BD206" s="386">
        <f t="shared" si="134"/>
        <v>2831.3168000000001</v>
      </c>
      <c r="BE206" s="386">
        <f t="shared" si="135"/>
        <v>662.16280000000006</v>
      </c>
      <c r="BF206" s="386">
        <f t="shared" si="136"/>
        <v>5452.5681600000007</v>
      </c>
      <c r="BG206" s="386">
        <f t="shared" si="137"/>
        <v>329.25474400000002</v>
      </c>
      <c r="BH206" s="386">
        <f t="shared" si="138"/>
        <v>223.76535999999999</v>
      </c>
      <c r="BI206" s="386">
        <f t="shared" si="139"/>
        <v>139.73918399999999</v>
      </c>
      <c r="BJ206" s="386">
        <f t="shared" si="140"/>
        <v>109.59935999999999</v>
      </c>
      <c r="BK206" s="386">
        <f t="shared" si="141"/>
        <v>0</v>
      </c>
      <c r="BL206" s="386">
        <f t="shared" si="164"/>
        <v>9748.4064080000007</v>
      </c>
      <c r="BM206" s="386">
        <f t="shared" si="165"/>
        <v>0</v>
      </c>
      <c r="BN206" s="386">
        <f t="shared" si="142"/>
        <v>5825</v>
      </c>
      <c r="BO206" s="386">
        <f t="shared" si="143"/>
        <v>0</v>
      </c>
      <c r="BP206" s="386">
        <f t="shared" si="144"/>
        <v>2831.3168000000001</v>
      </c>
      <c r="BQ206" s="386">
        <f t="shared" si="145"/>
        <v>662.16280000000006</v>
      </c>
      <c r="BR206" s="386">
        <f t="shared" si="146"/>
        <v>5452.5681600000007</v>
      </c>
      <c r="BS206" s="386">
        <f t="shared" si="147"/>
        <v>329.25474400000002</v>
      </c>
      <c r="BT206" s="386">
        <f t="shared" si="148"/>
        <v>0</v>
      </c>
      <c r="BU206" s="386">
        <f t="shared" si="149"/>
        <v>139.73918399999999</v>
      </c>
      <c r="BV206" s="386">
        <f t="shared" si="150"/>
        <v>114.16600000000001</v>
      </c>
      <c r="BW206" s="386">
        <f t="shared" si="151"/>
        <v>0</v>
      </c>
      <c r="BX206" s="386">
        <f t="shared" si="166"/>
        <v>9529.2076880000004</v>
      </c>
      <c r="BY206" s="386">
        <f t="shared" si="167"/>
        <v>0</v>
      </c>
      <c r="BZ206" s="386">
        <f t="shared" si="168"/>
        <v>0</v>
      </c>
      <c r="CA206" s="386">
        <f t="shared" si="169"/>
        <v>0</v>
      </c>
      <c r="CB206" s="386">
        <f t="shared" si="170"/>
        <v>0</v>
      </c>
      <c r="CC206" s="386">
        <f t="shared" si="152"/>
        <v>0</v>
      </c>
      <c r="CD206" s="386">
        <f t="shared" si="153"/>
        <v>0</v>
      </c>
      <c r="CE206" s="386">
        <f t="shared" si="154"/>
        <v>0</v>
      </c>
      <c r="CF206" s="386">
        <f t="shared" si="155"/>
        <v>-223.76535999999999</v>
      </c>
      <c r="CG206" s="386">
        <f t="shared" si="156"/>
        <v>0</v>
      </c>
      <c r="CH206" s="386">
        <f t="shared" si="157"/>
        <v>4.566640000000012</v>
      </c>
      <c r="CI206" s="386">
        <f t="shared" si="158"/>
        <v>0</v>
      </c>
      <c r="CJ206" s="386">
        <f t="shared" si="171"/>
        <v>-219.19871999999998</v>
      </c>
      <c r="CK206" s="386" t="str">
        <f t="shared" si="172"/>
        <v/>
      </c>
      <c r="CL206" s="386" t="str">
        <f t="shared" si="173"/>
        <v/>
      </c>
      <c r="CM206" s="386" t="str">
        <f t="shared" si="174"/>
        <v/>
      </c>
      <c r="CN206" s="386" t="str">
        <f t="shared" si="175"/>
        <v>0001-00</v>
      </c>
    </row>
    <row r="207" spans="1:92" ht="15.75" thickBot="1" x14ac:dyDescent="0.3">
      <c r="A207" s="375" t="s">
        <v>161</v>
      </c>
      <c r="B207" s="375" t="s">
        <v>162</v>
      </c>
      <c r="C207" s="375" t="s">
        <v>965</v>
      </c>
      <c r="D207" s="375" t="s">
        <v>548</v>
      </c>
      <c r="E207" s="375" t="s">
        <v>165</v>
      </c>
      <c r="F207" s="376" t="s">
        <v>166</v>
      </c>
      <c r="G207" s="375" t="s">
        <v>549</v>
      </c>
      <c r="H207" s="377"/>
      <c r="I207" s="377"/>
      <c r="J207" s="375" t="s">
        <v>168</v>
      </c>
      <c r="K207" s="375" t="s">
        <v>550</v>
      </c>
      <c r="L207" s="375" t="s">
        <v>198</v>
      </c>
      <c r="M207" s="375" t="s">
        <v>177</v>
      </c>
      <c r="N207" s="375" t="s">
        <v>199</v>
      </c>
      <c r="O207" s="378">
        <v>1</v>
      </c>
      <c r="P207" s="384">
        <v>1</v>
      </c>
      <c r="Q207" s="384">
        <v>1</v>
      </c>
      <c r="R207" s="379">
        <v>80</v>
      </c>
      <c r="S207" s="384">
        <v>1</v>
      </c>
      <c r="T207" s="379">
        <v>41645.56</v>
      </c>
      <c r="U207" s="379">
        <v>0</v>
      </c>
      <c r="V207" s="379">
        <v>20207.82</v>
      </c>
      <c r="W207" s="379">
        <v>45531.199999999997</v>
      </c>
      <c r="X207" s="379">
        <v>21369.51</v>
      </c>
      <c r="Y207" s="379">
        <v>45531.199999999997</v>
      </c>
      <c r="Z207" s="379">
        <v>21150.959999999999</v>
      </c>
      <c r="AA207" s="375" t="s">
        <v>966</v>
      </c>
      <c r="AB207" s="375" t="s">
        <v>967</v>
      </c>
      <c r="AC207" s="375" t="s">
        <v>968</v>
      </c>
      <c r="AD207" s="375" t="s">
        <v>244</v>
      </c>
      <c r="AE207" s="375" t="s">
        <v>550</v>
      </c>
      <c r="AF207" s="375" t="s">
        <v>245</v>
      </c>
      <c r="AG207" s="375" t="s">
        <v>183</v>
      </c>
      <c r="AH207" s="380">
        <v>21.89</v>
      </c>
      <c r="AI207" s="380">
        <v>3745.5</v>
      </c>
      <c r="AJ207" s="375" t="s">
        <v>184</v>
      </c>
      <c r="AK207" s="375" t="s">
        <v>185</v>
      </c>
      <c r="AL207" s="375" t="s">
        <v>173</v>
      </c>
      <c r="AM207" s="375" t="s">
        <v>186</v>
      </c>
      <c r="AN207" s="375" t="s">
        <v>68</v>
      </c>
      <c r="AO207" s="378">
        <v>80</v>
      </c>
      <c r="AP207" s="384">
        <v>1</v>
      </c>
      <c r="AQ207" s="384">
        <v>1</v>
      </c>
      <c r="AR207" s="383" t="s">
        <v>187</v>
      </c>
      <c r="AS207" s="386">
        <f t="shared" si="159"/>
        <v>1</v>
      </c>
      <c r="AT207">
        <f t="shared" si="160"/>
        <v>1</v>
      </c>
      <c r="AU207" s="386">
        <f>IF(AT207=0,"",IF(AND(AT207=1,M207="F",SUMIF(C2:C557,C207,AS2:AS557)&lt;=1),SUMIF(C2:C557,C207,AS2:AS557),IF(AND(AT207=1,M207="F",SUMIF(C2:C557,C207,AS2:AS557)&gt;1),1,"")))</f>
        <v>1</v>
      </c>
      <c r="AV207" s="386" t="str">
        <f>IF(AT207=0,"",IF(AND(AT207=3,M207="F",SUMIF(C2:C557,C207,AS2:AS557)&lt;=1),SUMIF(C2:C557,C207,AS2:AS557),IF(AND(AT207=3,M207="F",SUMIF(C2:C557,C207,AS2:AS557)&gt;1),1,"")))</f>
        <v/>
      </c>
      <c r="AW207" s="386">
        <f>SUMIF(C2:C557,C207,O2:O557)</f>
        <v>1</v>
      </c>
      <c r="AX207" s="386">
        <f>IF(AND(M207="F",AS207&lt;&gt;0),SUMIF(C2:C557,C207,W2:W557),0)</f>
        <v>45531.199999999997</v>
      </c>
      <c r="AY207" s="386">
        <f t="shared" si="161"/>
        <v>45531.199999999997</v>
      </c>
      <c r="AZ207" s="386" t="str">
        <f t="shared" si="162"/>
        <v/>
      </c>
      <c r="BA207" s="386">
        <f t="shared" si="163"/>
        <v>0</v>
      </c>
      <c r="BB207" s="386">
        <f t="shared" si="132"/>
        <v>11650</v>
      </c>
      <c r="BC207" s="386">
        <f t="shared" si="133"/>
        <v>0</v>
      </c>
      <c r="BD207" s="386">
        <f t="shared" si="134"/>
        <v>2822.9343999999996</v>
      </c>
      <c r="BE207" s="386">
        <f t="shared" si="135"/>
        <v>660.20240000000001</v>
      </c>
      <c r="BF207" s="386">
        <f t="shared" si="136"/>
        <v>5436.4252800000004</v>
      </c>
      <c r="BG207" s="386">
        <f t="shared" si="137"/>
        <v>328.27995199999998</v>
      </c>
      <c r="BH207" s="386">
        <f t="shared" si="138"/>
        <v>223.10287999999997</v>
      </c>
      <c r="BI207" s="386">
        <f t="shared" si="139"/>
        <v>139.32547199999999</v>
      </c>
      <c r="BJ207" s="386">
        <f t="shared" si="140"/>
        <v>109.27487999999998</v>
      </c>
      <c r="BK207" s="386">
        <f t="shared" si="141"/>
        <v>0</v>
      </c>
      <c r="BL207" s="386">
        <f t="shared" si="164"/>
        <v>9719.5452640000021</v>
      </c>
      <c r="BM207" s="386">
        <f t="shared" si="165"/>
        <v>0</v>
      </c>
      <c r="BN207" s="386">
        <f t="shared" si="142"/>
        <v>11650</v>
      </c>
      <c r="BO207" s="386">
        <f t="shared" si="143"/>
        <v>0</v>
      </c>
      <c r="BP207" s="386">
        <f t="shared" si="144"/>
        <v>2822.9343999999996</v>
      </c>
      <c r="BQ207" s="386">
        <f t="shared" si="145"/>
        <v>660.20240000000001</v>
      </c>
      <c r="BR207" s="386">
        <f t="shared" si="146"/>
        <v>5436.4252800000004</v>
      </c>
      <c r="BS207" s="386">
        <f t="shared" si="147"/>
        <v>328.27995199999998</v>
      </c>
      <c r="BT207" s="386">
        <f t="shared" si="148"/>
        <v>0</v>
      </c>
      <c r="BU207" s="386">
        <f t="shared" si="149"/>
        <v>139.32547199999999</v>
      </c>
      <c r="BV207" s="386">
        <f t="shared" si="150"/>
        <v>113.82799999999999</v>
      </c>
      <c r="BW207" s="386">
        <f t="shared" si="151"/>
        <v>0</v>
      </c>
      <c r="BX207" s="386">
        <f t="shared" si="166"/>
        <v>9500.9955040000004</v>
      </c>
      <c r="BY207" s="386">
        <f t="shared" si="167"/>
        <v>0</v>
      </c>
      <c r="BZ207" s="386">
        <f t="shared" si="168"/>
        <v>0</v>
      </c>
      <c r="CA207" s="386">
        <f t="shared" si="169"/>
        <v>0</v>
      </c>
      <c r="CB207" s="386">
        <f t="shared" si="170"/>
        <v>0</v>
      </c>
      <c r="CC207" s="386">
        <f t="shared" si="152"/>
        <v>0</v>
      </c>
      <c r="CD207" s="386">
        <f t="shared" si="153"/>
        <v>0</v>
      </c>
      <c r="CE207" s="386">
        <f t="shared" si="154"/>
        <v>0</v>
      </c>
      <c r="CF207" s="386">
        <f t="shared" si="155"/>
        <v>-223.10287999999997</v>
      </c>
      <c r="CG207" s="386">
        <f t="shared" si="156"/>
        <v>0</v>
      </c>
      <c r="CH207" s="386">
        <f t="shared" si="157"/>
        <v>4.5531200000000114</v>
      </c>
      <c r="CI207" s="386">
        <f t="shared" si="158"/>
        <v>0</v>
      </c>
      <c r="CJ207" s="386">
        <f t="shared" si="171"/>
        <v>-218.54975999999996</v>
      </c>
      <c r="CK207" s="386" t="str">
        <f t="shared" si="172"/>
        <v/>
      </c>
      <c r="CL207" s="386" t="str">
        <f t="shared" si="173"/>
        <v/>
      </c>
      <c r="CM207" s="386" t="str">
        <f t="shared" si="174"/>
        <v/>
      </c>
      <c r="CN207" s="386" t="str">
        <f t="shared" si="175"/>
        <v>0001-00</v>
      </c>
    </row>
    <row r="208" spans="1:92" ht="15.75" thickBot="1" x14ac:dyDescent="0.3">
      <c r="A208" s="375" t="s">
        <v>161</v>
      </c>
      <c r="B208" s="375" t="s">
        <v>162</v>
      </c>
      <c r="C208" s="375" t="s">
        <v>969</v>
      </c>
      <c r="D208" s="375" t="s">
        <v>710</v>
      </c>
      <c r="E208" s="375" t="s">
        <v>165</v>
      </c>
      <c r="F208" s="376" t="s">
        <v>166</v>
      </c>
      <c r="G208" s="375" t="s">
        <v>549</v>
      </c>
      <c r="H208" s="377"/>
      <c r="I208" s="377"/>
      <c r="J208" s="375" t="s">
        <v>168</v>
      </c>
      <c r="K208" s="375" t="s">
        <v>711</v>
      </c>
      <c r="L208" s="375" t="s">
        <v>183</v>
      </c>
      <c r="M208" s="375" t="s">
        <v>171</v>
      </c>
      <c r="N208" s="375" t="s">
        <v>262</v>
      </c>
      <c r="O208" s="378">
        <v>0</v>
      </c>
      <c r="P208" s="384">
        <v>1</v>
      </c>
      <c r="Q208" s="384">
        <v>0</v>
      </c>
      <c r="R208" s="379">
        <v>0</v>
      </c>
      <c r="S208" s="384">
        <v>0</v>
      </c>
      <c r="T208" s="379">
        <v>0</v>
      </c>
      <c r="U208" s="379">
        <v>0</v>
      </c>
      <c r="V208" s="379">
        <v>0</v>
      </c>
      <c r="W208" s="379">
        <v>0</v>
      </c>
      <c r="X208" s="379">
        <v>0</v>
      </c>
      <c r="Y208" s="379">
        <v>0</v>
      </c>
      <c r="Z208" s="379">
        <v>0</v>
      </c>
      <c r="AA208" s="377"/>
      <c r="AB208" s="375" t="s">
        <v>45</v>
      </c>
      <c r="AC208" s="375" t="s">
        <v>45</v>
      </c>
      <c r="AD208" s="377"/>
      <c r="AE208" s="377"/>
      <c r="AF208" s="377"/>
      <c r="AG208" s="377"/>
      <c r="AH208" s="378">
        <v>0</v>
      </c>
      <c r="AI208" s="378">
        <v>0</v>
      </c>
      <c r="AJ208" s="377"/>
      <c r="AK208" s="377"/>
      <c r="AL208" s="375" t="s">
        <v>173</v>
      </c>
      <c r="AM208" s="377"/>
      <c r="AN208" s="377"/>
      <c r="AO208" s="378">
        <v>0</v>
      </c>
      <c r="AP208" s="384">
        <v>0</v>
      </c>
      <c r="AQ208" s="384">
        <v>0</v>
      </c>
      <c r="AR208" s="382"/>
      <c r="AS208" s="386">
        <f t="shared" si="159"/>
        <v>0</v>
      </c>
      <c r="AT208">
        <f t="shared" si="160"/>
        <v>0</v>
      </c>
      <c r="AU208" s="386" t="str">
        <f>IF(AT208=0,"",IF(AND(AT208=1,M208="F",SUMIF(C2:C557,C208,AS2:AS557)&lt;=1),SUMIF(C2:C557,C208,AS2:AS557),IF(AND(AT208=1,M208="F",SUMIF(C2:C557,C208,AS2:AS557)&gt;1),1,"")))</f>
        <v/>
      </c>
      <c r="AV208" s="386" t="str">
        <f>IF(AT208=0,"",IF(AND(AT208=3,M208="F",SUMIF(C2:C557,C208,AS2:AS557)&lt;=1),SUMIF(C2:C557,C208,AS2:AS557),IF(AND(AT208=3,M208="F",SUMIF(C2:C557,C208,AS2:AS557)&gt;1),1,"")))</f>
        <v/>
      </c>
      <c r="AW208" s="386">
        <f>SUMIF(C2:C557,C208,O2:O557)</f>
        <v>0</v>
      </c>
      <c r="AX208" s="386">
        <f>IF(AND(M208="F",AS208&lt;&gt;0),SUMIF(C2:C557,C208,W2:W557),0)</f>
        <v>0</v>
      </c>
      <c r="AY208" s="386" t="str">
        <f t="shared" si="161"/>
        <v/>
      </c>
      <c r="AZ208" s="386" t="str">
        <f t="shared" si="162"/>
        <v/>
      </c>
      <c r="BA208" s="386">
        <f t="shared" si="163"/>
        <v>0</v>
      </c>
      <c r="BB208" s="386">
        <f t="shared" si="132"/>
        <v>0</v>
      </c>
      <c r="BC208" s="386">
        <f t="shared" si="133"/>
        <v>0</v>
      </c>
      <c r="BD208" s="386">
        <f t="shared" si="134"/>
        <v>0</v>
      </c>
      <c r="BE208" s="386">
        <f t="shared" si="135"/>
        <v>0</v>
      </c>
      <c r="BF208" s="386">
        <f t="shared" si="136"/>
        <v>0</v>
      </c>
      <c r="BG208" s="386">
        <f t="shared" si="137"/>
        <v>0</v>
      </c>
      <c r="BH208" s="386">
        <f t="shared" si="138"/>
        <v>0</v>
      </c>
      <c r="BI208" s="386">
        <f t="shared" si="139"/>
        <v>0</v>
      </c>
      <c r="BJ208" s="386">
        <f t="shared" si="140"/>
        <v>0</v>
      </c>
      <c r="BK208" s="386">
        <f t="shared" si="141"/>
        <v>0</v>
      </c>
      <c r="BL208" s="386">
        <f t="shared" si="164"/>
        <v>0</v>
      </c>
      <c r="BM208" s="386">
        <f t="shared" si="165"/>
        <v>0</v>
      </c>
      <c r="BN208" s="386">
        <f t="shared" si="142"/>
        <v>0</v>
      </c>
      <c r="BO208" s="386">
        <f t="shared" si="143"/>
        <v>0</v>
      </c>
      <c r="BP208" s="386">
        <f t="shared" si="144"/>
        <v>0</v>
      </c>
      <c r="BQ208" s="386">
        <f t="shared" si="145"/>
        <v>0</v>
      </c>
      <c r="BR208" s="386">
        <f t="shared" si="146"/>
        <v>0</v>
      </c>
      <c r="BS208" s="386">
        <f t="shared" si="147"/>
        <v>0</v>
      </c>
      <c r="BT208" s="386">
        <f t="shared" si="148"/>
        <v>0</v>
      </c>
      <c r="BU208" s="386">
        <f t="shared" si="149"/>
        <v>0</v>
      </c>
      <c r="BV208" s="386">
        <f t="shared" si="150"/>
        <v>0</v>
      </c>
      <c r="BW208" s="386">
        <f t="shared" si="151"/>
        <v>0</v>
      </c>
      <c r="BX208" s="386">
        <f t="shared" si="166"/>
        <v>0</v>
      </c>
      <c r="BY208" s="386">
        <f t="shared" si="167"/>
        <v>0</v>
      </c>
      <c r="BZ208" s="386">
        <f t="shared" si="168"/>
        <v>0</v>
      </c>
      <c r="CA208" s="386">
        <f t="shared" si="169"/>
        <v>0</v>
      </c>
      <c r="CB208" s="386">
        <f t="shared" si="170"/>
        <v>0</v>
      </c>
      <c r="CC208" s="386">
        <f t="shared" si="152"/>
        <v>0</v>
      </c>
      <c r="CD208" s="386">
        <f t="shared" si="153"/>
        <v>0</v>
      </c>
      <c r="CE208" s="386">
        <f t="shared" si="154"/>
        <v>0</v>
      </c>
      <c r="CF208" s="386">
        <f t="shared" si="155"/>
        <v>0</v>
      </c>
      <c r="CG208" s="386">
        <f t="shared" si="156"/>
        <v>0</v>
      </c>
      <c r="CH208" s="386">
        <f t="shared" si="157"/>
        <v>0</v>
      </c>
      <c r="CI208" s="386">
        <f t="shared" si="158"/>
        <v>0</v>
      </c>
      <c r="CJ208" s="386">
        <f t="shared" si="171"/>
        <v>0</v>
      </c>
      <c r="CK208" s="386" t="str">
        <f t="shared" si="172"/>
        <v/>
      </c>
      <c r="CL208" s="386">
        <f t="shared" si="173"/>
        <v>0</v>
      </c>
      <c r="CM208" s="386">
        <f t="shared" si="174"/>
        <v>0</v>
      </c>
      <c r="CN208" s="386" t="str">
        <f t="shared" si="175"/>
        <v>0001-00</v>
      </c>
    </row>
    <row r="209" spans="1:92" ht="15.75" thickBot="1" x14ac:dyDescent="0.3">
      <c r="A209" s="375" t="s">
        <v>161</v>
      </c>
      <c r="B209" s="375" t="s">
        <v>162</v>
      </c>
      <c r="C209" s="375" t="s">
        <v>970</v>
      </c>
      <c r="D209" s="375" t="s">
        <v>561</v>
      </c>
      <c r="E209" s="375" t="s">
        <v>165</v>
      </c>
      <c r="F209" s="376" t="s">
        <v>166</v>
      </c>
      <c r="G209" s="375" t="s">
        <v>549</v>
      </c>
      <c r="H209" s="377"/>
      <c r="I209" s="377"/>
      <c r="J209" s="375" t="s">
        <v>168</v>
      </c>
      <c r="K209" s="375" t="s">
        <v>562</v>
      </c>
      <c r="L209" s="375" t="s">
        <v>170</v>
      </c>
      <c r="M209" s="375" t="s">
        <v>177</v>
      </c>
      <c r="N209" s="375" t="s">
        <v>199</v>
      </c>
      <c r="O209" s="378">
        <v>1</v>
      </c>
      <c r="P209" s="384">
        <v>1</v>
      </c>
      <c r="Q209" s="384">
        <v>1</v>
      </c>
      <c r="R209" s="379">
        <v>80</v>
      </c>
      <c r="S209" s="384">
        <v>1</v>
      </c>
      <c r="T209" s="379">
        <v>46509.919999999998</v>
      </c>
      <c r="U209" s="379">
        <v>0</v>
      </c>
      <c r="V209" s="379">
        <v>17384.21</v>
      </c>
      <c r="W209" s="379">
        <v>42952</v>
      </c>
      <c r="X209" s="379">
        <v>20818.93</v>
      </c>
      <c r="Y209" s="379">
        <v>42952</v>
      </c>
      <c r="Z209" s="379">
        <v>20612.77</v>
      </c>
      <c r="AA209" s="375" t="s">
        <v>971</v>
      </c>
      <c r="AB209" s="375" t="s">
        <v>972</v>
      </c>
      <c r="AC209" s="375" t="s">
        <v>973</v>
      </c>
      <c r="AD209" s="375" t="s">
        <v>181</v>
      </c>
      <c r="AE209" s="375" t="s">
        <v>550</v>
      </c>
      <c r="AF209" s="375" t="s">
        <v>245</v>
      </c>
      <c r="AG209" s="375" t="s">
        <v>183</v>
      </c>
      <c r="AH209" s="380">
        <v>20.65</v>
      </c>
      <c r="AI209" s="380">
        <v>3474.9</v>
      </c>
      <c r="AJ209" s="375" t="s">
        <v>184</v>
      </c>
      <c r="AK209" s="375" t="s">
        <v>185</v>
      </c>
      <c r="AL209" s="375" t="s">
        <v>173</v>
      </c>
      <c r="AM209" s="375" t="s">
        <v>186</v>
      </c>
      <c r="AN209" s="375" t="s">
        <v>68</v>
      </c>
      <c r="AO209" s="378">
        <v>80</v>
      </c>
      <c r="AP209" s="384">
        <v>1</v>
      </c>
      <c r="AQ209" s="384">
        <v>1</v>
      </c>
      <c r="AR209" s="383">
        <v>3</v>
      </c>
      <c r="AS209" s="386">
        <f t="shared" si="159"/>
        <v>1</v>
      </c>
      <c r="AT209">
        <f t="shared" si="160"/>
        <v>1</v>
      </c>
      <c r="AU209" s="386">
        <f>IF(AT209=0,"",IF(AND(AT209=1,M209="F",SUMIF(C2:C557,C209,AS2:AS557)&lt;=1),SUMIF(C2:C557,C209,AS2:AS557),IF(AND(AT209=1,M209="F",SUMIF(C2:C557,C209,AS2:AS557)&gt;1),1,"")))</f>
        <v>1</v>
      </c>
      <c r="AV209" s="386" t="str">
        <f>IF(AT209=0,"",IF(AND(AT209=3,M209="F",SUMIF(C2:C557,C209,AS2:AS557)&lt;=1),SUMIF(C2:C557,C209,AS2:AS557),IF(AND(AT209=3,M209="F",SUMIF(C2:C557,C209,AS2:AS557)&gt;1),1,"")))</f>
        <v/>
      </c>
      <c r="AW209" s="386">
        <f>SUMIF(C2:C557,C209,O2:O557)</f>
        <v>1</v>
      </c>
      <c r="AX209" s="386">
        <f>IF(AND(M209="F",AS209&lt;&gt;0),SUMIF(C2:C557,C209,W2:W557),0)</f>
        <v>42952</v>
      </c>
      <c r="AY209" s="386">
        <f t="shared" si="161"/>
        <v>42952</v>
      </c>
      <c r="AZ209" s="386" t="str">
        <f t="shared" si="162"/>
        <v/>
      </c>
      <c r="BA209" s="386">
        <f t="shared" si="163"/>
        <v>0</v>
      </c>
      <c r="BB209" s="386">
        <f t="shared" si="132"/>
        <v>11650</v>
      </c>
      <c r="BC209" s="386">
        <f t="shared" si="133"/>
        <v>0</v>
      </c>
      <c r="BD209" s="386">
        <f t="shared" si="134"/>
        <v>2663.0239999999999</v>
      </c>
      <c r="BE209" s="386">
        <f t="shared" si="135"/>
        <v>622.80400000000009</v>
      </c>
      <c r="BF209" s="386">
        <f t="shared" si="136"/>
        <v>5128.4688000000006</v>
      </c>
      <c r="BG209" s="386">
        <f t="shared" si="137"/>
        <v>309.68392</v>
      </c>
      <c r="BH209" s="386">
        <f t="shared" si="138"/>
        <v>210.4648</v>
      </c>
      <c r="BI209" s="386">
        <f t="shared" si="139"/>
        <v>131.43312</v>
      </c>
      <c r="BJ209" s="386">
        <f t="shared" si="140"/>
        <v>103.08479999999999</v>
      </c>
      <c r="BK209" s="386">
        <f t="shared" si="141"/>
        <v>0</v>
      </c>
      <c r="BL209" s="386">
        <f t="shared" si="164"/>
        <v>9168.9634399999995</v>
      </c>
      <c r="BM209" s="386">
        <f t="shared" si="165"/>
        <v>0</v>
      </c>
      <c r="BN209" s="386">
        <f t="shared" si="142"/>
        <v>11650</v>
      </c>
      <c r="BO209" s="386">
        <f t="shared" si="143"/>
        <v>0</v>
      </c>
      <c r="BP209" s="386">
        <f t="shared" si="144"/>
        <v>2663.0239999999999</v>
      </c>
      <c r="BQ209" s="386">
        <f t="shared" si="145"/>
        <v>622.80400000000009</v>
      </c>
      <c r="BR209" s="386">
        <f t="shared" si="146"/>
        <v>5128.4688000000006</v>
      </c>
      <c r="BS209" s="386">
        <f t="shared" si="147"/>
        <v>309.68392</v>
      </c>
      <c r="BT209" s="386">
        <f t="shared" si="148"/>
        <v>0</v>
      </c>
      <c r="BU209" s="386">
        <f t="shared" si="149"/>
        <v>131.43312</v>
      </c>
      <c r="BV209" s="386">
        <f t="shared" si="150"/>
        <v>107.38</v>
      </c>
      <c r="BW209" s="386">
        <f t="shared" si="151"/>
        <v>0</v>
      </c>
      <c r="BX209" s="386">
        <f t="shared" si="166"/>
        <v>8962.7938399999985</v>
      </c>
      <c r="BY209" s="386">
        <f t="shared" si="167"/>
        <v>0</v>
      </c>
      <c r="BZ209" s="386">
        <f t="shared" si="168"/>
        <v>0</v>
      </c>
      <c r="CA209" s="386">
        <f t="shared" si="169"/>
        <v>0</v>
      </c>
      <c r="CB209" s="386">
        <f t="shared" si="170"/>
        <v>0</v>
      </c>
      <c r="CC209" s="386">
        <f t="shared" si="152"/>
        <v>0</v>
      </c>
      <c r="CD209" s="386">
        <f t="shared" si="153"/>
        <v>0</v>
      </c>
      <c r="CE209" s="386">
        <f t="shared" si="154"/>
        <v>0</v>
      </c>
      <c r="CF209" s="386">
        <f t="shared" si="155"/>
        <v>-210.4648</v>
      </c>
      <c r="CG209" s="386">
        <f t="shared" si="156"/>
        <v>0</v>
      </c>
      <c r="CH209" s="386">
        <f t="shared" si="157"/>
        <v>4.295200000000011</v>
      </c>
      <c r="CI209" s="386">
        <f t="shared" si="158"/>
        <v>0</v>
      </c>
      <c r="CJ209" s="386">
        <f t="shared" si="171"/>
        <v>-206.16959999999997</v>
      </c>
      <c r="CK209" s="386" t="str">
        <f t="shared" si="172"/>
        <v/>
      </c>
      <c r="CL209" s="386" t="str">
        <f t="shared" si="173"/>
        <v/>
      </c>
      <c r="CM209" s="386" t="str">
        <f t="shared" si="174"/>
        <v/>
      </c>
      <c r="CN209" s="386" t="str">
        <f t="shared" si="175"/>
        <v>0001-00</v>
      </c>
    </row>
    <row r="210" spans="1:92" ht="15.75" thickBot="1" x14ac:dyDescent="0.3">
      <c r="A210" s="375" t="s">
        <v>161</v>
      </c>
      <c r="B210" s="375" t="s">
        <v>162</v>
      </c>
      <c r="C210" s="375" t="s">
        <v>974</v>
      </c>
      <c r="D210" s="375" t="s">
        <v>517</v>
      </c>
      <c r="E210" s="375" t="s">
        <v>165</v>
      </c>
      <c r="F210" s="376" t="s">
        <v>166</v>
      </c>
      <c r="G210" s="375" t="s">
        <v>549</v>
      </c>
      <c r="H210" s="377"/>
      <c r="I210" s="377"/>
      <c r="J210" s="375" t="s">
        <v>168</v>
      </c>
      <c r="K210" s="375" t="s">
        <v>518</v>
      </c>
      <c r="L210" s="375" t="s">
        <v>170</v>
      </c>
      <c r="M210" s="375" t="s">
        <v>177</v>
      </c>
      <c r="N210" s="375" t="s">
        <v>199</v>
      </c>
      <c r="O210" s="378">
        <v>1</v>
      </c>
      <c r="P210" s="384">
        <v>1</v>
      </c>
      <c r="Q210" s="384">
        <v>1</v>
      </c>
      <c r="R210" s="379">
        <v>80</v>
      </c>
      <c r="S210" s="384">
        <v>1</v>
      </c>
      <c r="T210" s="379">
        <v>33398.400000000001</v>
      </c>
      <c r="U210" s="379">
        <v>0</v>
      </c>
      <c r="V210" s="379">
        <v>15653.13</v>
      </c>
      <c r="W210" s="379">
        <v>50668.800000000003</v>
      </c>
      <c r="X210" s="379">
        <v>22466.23</v>
      </c>
      <c r="Y210" s="379">
        <v>50668.800000000003</v>
      </c>
      <c r="Z210" s="379">
        <v>22223.03</v>
      </c>
      <c r="AA210" s="375" t="s">
        <v>975</v>
      </c>
      <c r="AB210" s="375" t="s">
        <v>976</v>
      </c>
      <c r="AC210" s="375" t="s">
        <v>977</v>
      </c>
      <c r="AD210" s="375" t="s">
        <v>214</v>
      </c>
      <c r="AE210" s="375" t="s">
        <v>518</v>
      </c>
      <c r="AF210" s="375" t="s">
        <v>269</v>
      </c>
      <c r="AG210" s="375" t="s">
        <v>183</v>
      </c>
      <c r="AH210" s="380">
        <v>24.36</v>
      </c>
      <c r="AI210" s="380">
        <v>3672.9</v>
      </c>
      <c r="AJ210" s="375" t="s">
        <v>184</v>
      </c>
      <c r="AK210" s="375" t="s">
        <v>185</v>
      </c>
      <c r="AL210" s="375" t="s">
        <v>173</v>
      </c>
      <c r="AM210" s="375" t="s">
        <v>186</v>
      </c>
      <c r="AN210" s="375" t="s">
        <v>68</v>
      </c>
      <c r="AO210" s="378">
        <v>80</v>
      </c>
      <c r="AP210" s="384">
        <v>1</v>
      </c>
      <c r="AQ210" s="384">
        <v>1</v>
      </c>
      <c r="AR210" s="383" t="s">
        <v>187</v>
      </c>
      <c r="AS210" s="386">
        <f t="shared" si="159"/>
        <v>1</v>
      </c>
      <c r="AT210">
        <f t="shared" si="160"/>
        <v>1</v>
      </c>
      <c r="AU210" s="386">
        <f>IF(AT210=0,"",IF(AND(AT210=1,M210="F",SUMIF(C2:C557,C210,AS2:AS557)&lt;=1),SUMIF(C2:C557,C210,AS2:AS557),IF(AND(AT210=1,M210="F",SUMIF(C2:C557,C210,AS2:AS557)&gt;1),1,"")))</f>
        <v>1</v>
      </c>
      <c r="AV210" s="386" t="str">
        <f>IF(AT210=0,"",IF(AND(AT210=3,M210="F",SUMIF(C2:C557,C210,AS2:AS557)&lt;=1),SUMIF(C2:C557,C210,AS2:AS557),IF(AND(AT210=3,M210="F",SUMIF(C2:C557,C210,AS2:AS557)&gt;1),1,"")))</f>
        <v/>
      </c>
      <c r="AW210" s="386">
        <f>SUMIF(C2:C557,C210,O2:O557)</f>
        <v>1</v>
      </c>
      <c r="AX210" s="386">
        <f>IF(AND(M210="F",AS210&lt;&gt;0),SUMIF(C2:C557,C210,W2:W557),0)</f>
        <v>50668.800000000003</v>
      </c>
      <c r="AY210" s="386">
        <f t="shared" si="161"/>
        <v>50668.800000000003</v>
      </c>
      <c r="AZ210" s="386" t="str">
        <f t="shared" si="162"/>
        <v/>
      </c>
      <c r="BA210" s="386">
        <f t="shared" si="163"/>
        <v>0</v>
      </c>
      <c r="BB210" s="386">
        <f t="shared" si="132"/>
        <v>11650</v>
      </c>
      <c r="BC210" s="386">
        <f t="shared" si="133"/>
        <v>0</v>
      </c>
      <c r="BD210" s="386">
        <f t="shared" si="134"/>
        <v>3141.4656</v>
      </c>
      <c r="BE210" s="386">
        <f t="shared" si="135"/>
        <v>734.69760000000008</v>
      </c>
      <c r="BF210" s="386">
        <f t="shared" si="136"/>
        <v>6049.8547200000003</v>
      </c>
      <c r="BG210" s="386">
        <f t="shared" si="137"/>
        <v>365.32204800000005</v>
      </c>
      <c r="BH210" s="386">
        <f t="shared" si="138"/>
        <v>248.27712</v>
      </c>
      <c r="BI210" s="386">
        <f t="shared" si="139"/>
        <v>155.046528</v>
      </c>
      <c r="BJ210" s="386">
        <f t="shared" si="140"/>
        <v>121.60512</v>
      </c>
      <c r="BK210" s="386">
        <f t="shared" si="141"/>
        <v>0</v>
      </c>
      <c r="BL210" s="386">
        <f t="shared" si="164"/>
        <v>10816.268736000002</v>
      </c>
      <c r="BM210" s="386">
        <f t="shared" si="165"/>
        <v>0</v>
      </c>
      <c r="BN210" s="386">
        <f t="shared" si="142"/>
        <v>11650</v>
      </c>
      <c r="BO210" s="386">
        <f t="shared" si="143"/>
        <v>0</v>
      </c>
      <c r="BP210" s="386">
        <f t="shared" si="144"/>
        <v>3141.4656</v>
      </c>
      <c r="BQ210" s="386">
        <f t="shared" si="145"/>
        <v>734.69760000000008</v>
      </c>
      <c r="BR210" s="386">
        <f t="shared" si="146"/>
        <v>6049.8547200000003</v>
      </c>
      <c r="BS210" s="386">
        <f t="shared" si="147"/>
        <v>365.32204800000005</v>
      </c>
      <c r="BT210" s="386">
        <f t="shared" si="148"/>
        <v>0</v>
      </c>
      <c r="BU210" s="386">
        <f t="shared" si="149"/>
        <v>155.046528</v>
      </c>
      <c r="BV210" s="386">
        <f t="shared" si="150"/>
        <v>126.67200000000001</v>
      </c>
      <c r="BW210" s="386">
        <f t="shared" si="151"/>
        <v>0</v>
      </c>
      <c r="BX210" s="386">
        <f t="shared" si="166"/>
        <v>10573.058496000001</v>
      </c>
      <c r="BY210" s="386">
        <f t="shared" si="167"/>
        <v>0</v>
      </c>
      <c r="BZ210" s="386">
        <f t="shared" si="168"/>
        <v>0</v>
      </c>
      <c r="CA210" s="386">
        <f t="shared" si="169"/>
        <v>0</v>
      </c>
      <c r="CB210" s="386">
        <f t="shared" si="170"/>
        <v>0</v>
      </c>
      <c r="CC210" s="386">
        <f t="shared" si="152"/>
        <v>0</v>
      </c>
      <c r="CD210" s="386">
        <f t="shared" si="153"/>
        <v>0</v>
      </c>
      <c r="CE210" s="386">
        <f t="shared" si="154"/>
        <v>0</v>
      </c>
      <c r="CF210" s="386">
        <f t="shared" si="155"/>
        <v>-248.27712</v>
      </c>
      <c r="CG210" s="386">
        <f t="shared" si="156"/>
        <v>0</v>
      </c>
      <c r="CH210" s="386">
        <f t="shared" si="157"/>
        <v>5.0668800000000136</v>
      </c>
      <c r="CI210" s="386">
        <f t="shared" si="158"/>
        <v>0</v>
      </c>
      <c r="CJ210" s="386">
        <f t="shared" si="171"/>
        <v>-243.21023999999997</v>
      </c>
      <c r="CK210" s="386" t="str">
        <f t="shared" si="172"/>
        <v/>
      </c>
      <c r="CL210" s="386" t="str">
        <f t="shared" si="173"/>
        <v/>
      </c>
      <c r="CM210" s="386" t="str">
        <f t="shared" si="174"/>
        <v/>
      </c>
      <c r="CN210" s="386" t="str">
        <f t="shared" si="175"/>
        <v>0001-00</v>
      </c>
    </row>
    <row r="211" spans="1:92" ht="15.75" thickBot="1" x14ac:dyDescent="0.3">
      <c r="A211" s="375" t="s">
        <v>161</v>
      </c>
      <c r="B211" s="375" t="s">
        <v>162</v>
      </c>
      <c r="C211" s="375" t="s">
        <v>978</v>
      </c>
      <c r="D211" s="375" t="s">
        <v>979</v>
      </c>
      <c r="E211" s="375" t="s">
        <v>165</v>
      </c>
      <c r="F211" s="376" t="s">
        <v>166</v>
      </c>
      <c r="G211" s="375" t="s">
        <v>549</v>
      </c>
      <c r="H211" s="377"/>
      <c r="I211" s="377"/>
      <c r="J211" s="375" t="s">
        <v>168</v>
      </c>
      <c r="K211" s="375" t="s">
        <v>980</v>
      </c>
      <c r="L211" s="377"/>
      <c r="M211" s="377"/>
      <c r="N211" s="377"/>
      <c r="O211" s="378">
        <v>0</v>
      </c>
      <c r="P211" s="384">
        <v>0</v>
      </c>
      <c r="Q211" s="384">
        <v>0</v>
      </c>
      <c r="R211" s="379">
        <v>0</v>
      </c>
      <c r="S211" s="384">
        <v>0</v>
      </c>
      <c r="T211" s="379">
        <v>-113800.89</v>
      </c>
      <c r="U211" s="379">
        <v>0</v>
      </c>
      <c r="V211" s="379">
        <v>0</v>
      </c>
      <c r="W211" s="379">
        <v>0</v>
      </c>
      <c r="X211" s="379">
        <v>0</v>
      </c>
      <c r="Y211" s="379">
        <v>0</v>
      </c>
      <c r="Z211" s="379">
        <v>0</v>
      </c>
      <c r="AA211" s="377"/>
      <c r="AB211" s="375" t="s">
        <v>45</v>
      </c>
      <c r="AC211" s="375" t="s">
        <v>45</v>
      </c>
      <c r="AD211" s="377"/>
      <c r="AE211" s="377"/>
      <c r="AF211" s="377"/>
      <c r="AG211" s="377"/>
      <c r="AH211" s="378">
        <v>0</v>
      </c>
      <c r="AI211" s="378">
        <v>0</v>
      </c>
      <c r="AJ211" s="377"/>
      <c r="AK211" s="377"/>
      <c r="AL211" s="375" t="s">
        <v>173</v>
      </c>
      <c r="AM211" s="377"/>
      <c r="AN211" s="377"/>
      <c r="AO211" s="378">
        <v>0</v>
      </c>
      <c r="AP211" s="384">
        <v>0</v>
      </c>
      <c r="AQ211" s="384">
        <v>0</v>
      </c>
      <c r="AR211" s="382"/>
      <c r="AS211" s="386">
        <f t="shared" si="159"/>
        <v>0</v>
      </c>
      <c r="AT211">
        <f t="shared" si="160"/>
        <v>0</v>
      </c>
      <c r="AU211" s="386" t="str">
        <f>IF(AT211=0,"",IF(AND(AT211=1,M211="F",SUMIF(C2:C557,C211,AS2:AS557)&lt;=1),SUMIF(C2:C557,C211,AS2:AS557),IF(AND(AT211=1,M211="F",SUMIF(C2:C557,C211,AS2:AS557)&gt;1),1,"")))</f>
        <v/>
      </c>
      <c r="AV211" s="386" t="str">
        <f>IF(AT211=0,"",IF(AND(AT211=3,M211="F",SUMIF(C2:C557,C211,AS2:AS557)&lt;=1),SUMIF(C2:C557,C211,AS2:AS557),IF(AND(AT211=3,M211="F",SUMIF(C2:C557,C211,AS2:AS557)&gt;1),1,"")))</f>
        <v/>
      </c>
      <c r="AW211" s="386">
        <f>SUMIF(C2:C557,C211,O2:O557)</f>
        <v>0</v>
      </c>
      <c r="AX211" s="386">
        <f>IF(AND(M211="F",AS211&lt;&gt;0),SUMIF(C2:C557,C211,W2:W557),0)</f>
        <v>0</v>
      </c>
      <c r="AY211" s="386" t="str">
        <f t="shared" si="161"/>
        <v/>
      </c>
      <c r="AZ211" s="386" t="str">
        <f t="shared" si="162"/>
        <v/>
      </c>
      <c r="BA211" s="386">
        <f t="shared" si="163"/>
        <v>0</v>
      </c>
      <c r="BB211" s="386">
        <f t="shared" si="132"/>
        <v>0</v>
      </c>
      <c r="BC211" s="386">
        <f t="shared" si="133"/>
        <v>0</v>
      </c>
      <c r="BD211" s="386">
        <f t="shared" si="134"/>
        <v>0</v>
      </c>
      <c r="BE211" s="386">
        <f t="shared" si="135"/>
        <v>0</v>
      </c>
      <c r="BF211" s="386">
        <f t="shared" si="136"/>
        <v>0</v>
      </c>
      <c r="BG211" s="386">
        <f t="shared" si="137"/>
        <v>0</v>
      </c>
      <c r="BH211" s="386">
        <f t="shared" si="138"/>
        <v>0</v>
      </c>
      <c r="BI211" s="386">
        <f t="shared" si="139"/>
        <v>0</v>
      </c>
      <c r="BJ211" s="386">
        <f t="shared" si="140"/>
        <v>0</v>
      </c>
      <c r="BK211" s="386">
        <f t="shared" si="141"/>
        <v>0</v>
      </c>
      <c r="BL211" s="386">
        <f t="shared" si="164"/>
        <v>0</v>
      </c>
      <c r="BM211" s="386">
        <f t="shared" si="165"/>
        <v>0</v>
      </c>
      <c r="BN211" s="386">
        <f t="shared" si="142"/>
        <v>0</v>
      </c>
      <c r="BO211" s="386">
        <f t="shared" si="143"/>
        <v>0</v>
      </c>
      <c r="BP211" s="386">
        <f t="shared" si="144"/>
        <v>0</v>
      </c>
      <c r="BQ211" s="386">
        <f t="shared" si="145"/>
        <v>0</v>
      </c>
      <c r="BR211" s="386">
        <f t="shared" si="146"/>
        <v>0</v>
      </c>
      <c r="BS211" s="386">
        <f t="shared" si="147"/>
        <v>0</v>
      </c>
      <c r="BT211" s="386">
        <f t="shared" si="148"/>
        <v>0</v>
      </c>
      <c r="BU211" s="386">
        <f t="shared" si="149"/>
        <v>0</v>
      </c>
      <c r="BV211" s="386">
        <f t="shared" si="150"/>
        <v>0</v>
      </c>
      <c r="BW211" s="386">
        <f t="shared" si="151"/>
        <v>0</v>
      </c>
      <c r="BX211" s="386">
        <f t="shared" si="166"/>
        <v>0</v>
      </c>
      <c r="BY211" s="386">
        <f t="shared" si="167"/>
        <v>0</v>
      </c>
      <c r="BZ211" s="386">
        <f t="shared" si="168"/>
        <v>0</v>
      </c>
      <c r="CA211" s="386">
        <f t="shared" si="169"/>
        <v>0</v>
      </c>
      <c r="CB211" s="386">
        <f t="shared" si="170"/>
        <v>0</v>
      </c>
      <c r="CC211" s="386">
        <f t="shared" si="152"/>
        <v>0</v>
      </c>
      <c r="CD211" s="386">
        <f t="shared" si="153"/>
        <v>0</v>
      </c>
      <c r="CE211" s="386">
        <f t="shared" si="154"/>
        <v>0</v>
      </c>
      <c r="CF211" s="386">
        <f t="shared" si="155"/>
        <v>0</v>
      </c>
      <c r="CG211" s="386">
        <f t="shared" si="156"/>
        <v>0</v>
      </c>
      <c r="CH211" s="386">
        <f t="shared" si="157"/>
        <v>0</v>
      </c>
      <c r="CI211" s="386">
        <f t="shared" si="158"/>
        <v>0</v>
      </c>
      <c r="CJ211" s="386">
        <f t="shared" si="171"/>
        <v>0</v>
      </c>
      <c r="CK211" s="386" t="str">
        <f t="shared" si="172"/>
        <v/>
      </c>
      <c r="CL211" s="386" t="str">
        <f t="shared" si="173"/>
        <v/>
      </c>
      <c r="CM211" s="386" t="str">
        <f t="shared" si="174"/>
        <v/>
      </c>
      <c r="CN211" s="386" t="str">
        <f t="shared" si="175"/>
        <v>0001-00</v>
      </c>
    </row>
    <row r="212" spans="1:92" ht="15.75" thickBot="1" x14ac:dyDescent="0.3">
      <c r="A212" s="375" t="s">
        <v>161</v>
      </c>
      <c r="B212" s="375" t="s">
        <v>162</v>
      </c>
      <c r="C212" s="375" t="s">
        <v>981</v>
      </c>
      <c r="D212" s="375" t="s">
        <v>617</v>
      </c>
      <c r="E212" s="375" t="s">
        <v>165</v>
      </c>
      <c r="F212" s="376" t="s">
        <v>166</v>
      </c>
      <c r="G212" s="375" t="s">
        <v>549</v>
      </c>
      <c r="H212" s="377"/>
      <c r="I212" s="377"/>
      <c r="J212" s="375" t="s">
        <v>168</v>
      </c>
      <c r="K212" s="375" t="s">
        <v>618</v>
      </c>
      <c r="L212" s="375" t="s">
        <v>173</v>
      </c>
      <c r="M212" s="375" t="s">
        <v>177</v>
      </c>
      <c r="N212" s="375" t="s">
        <v>199</v>
      </c>
      <c r="O212" s="378">
        <v>1</v>
      </c>
      <c r="P212" s="384">
        <v>1</v>
      </c>
      <c r="Q212" s="384">
        <v>1</v>
      </c>
      <c r="R212" s="379">
        <v>80</v>
      </c>
      <c r="S212" s="384">
        <v>1</v>
      </c>
      <c r="T212" s="379">
        <v>63601.64</v>
      </c>
      <c r="U212" s="379">
        <v>0</v>
      </c>
      <c r="V212" s="379">
        <v>24415.46</v>
      </c>
      <c r="W212" s="379">
        <v>65977.600000000006</v>
      </c>
      <c r="X212" s="379">
        <v>25734.21</v>
      </c>
      <c r="Y212" s="379">
        <v>65977.600000000006</v>
      </c>
      <c r="Z212" s="379">
        <v>25417.52</v>
      </c>
      <c r="AA212" s="375" t="s">
        <v>982</v>
      </c>
      <c r="AB212" s="375" t="s">
        <v>983</v>
      </c>
      <c r="AC212" s="375" t="s">
        <v>984</v>
      </c>
      <c r="AD212" s="375" t="s">
        <v>198</v>
      </c>
      <c r="AE212" s="375" t="s">
        <v>618</v>
      </c>
      <c r="AF212" s="375" t="s">
        <v>305</v>
      </c>
      <c r="AG212" s="375" t="s">
        <v>183</v>
      </c>
      <c r="AH212" s="380">
        <v>31.72</v>
      </c>
      <c r="AI212" s="380">
        <v>54885.599999999999</v>
      </c>
      <c r="AJ212" s="375" t="s">
        <v>184</v>
      </c>
      <c r="AK212" s="375" t="s">
        <v>185</v>
      </c>
      <c r="AL212" s="375" t="s">
        <v>173</v>
      </c>
      <c r="AM212" s="375" t="s">
        <v>186</v>
      </c>
      <c r="AN212" s="375" t="s">
        <v>68</v>
      </c>
      <c r="AO212" s="378">
        <v>80</v>
      </c>
      <c r="AP212" s="384">
        <v>1</v>
      </c>
      <c r="AQ212" s="384">
        <v>1</v>
      </c>
      <c r="AR212" s="383" t="s">
        <v>187</v>
      </c>
      <c r="AS212" s="386">
        <f t="shared" si="159"/>
        <v>1</v>
      </c>
      <c r="AT212">
        <f t="shared" si="160"/>
        <v>1</v>
      </c>
      <c r="AU212" s="386">
        <f>IF(AT212=0,"",IF(AND(AT212=1,M212="F",SUMIF(C2:C557,C212,AS2:AS557)&lt;=1),SUMIF(C2:C557,C212,AS2:AS557),IF(AND(AT212=1,M212="F",SUMIF(C2:C557,C212,AS2:AS557)&gt;1),1,"")))</f>
        <v>1</v>
      </c>
      <c r="AV212" s="386" t="str">
        <f>IF(AT212=0,"",IF(AND(AT212=3,M212="F",SUMIF(C2:C557,C212,AS2:AS557)&lt;=1),SUMIF(C2:C557,C212,AS2:AS557),IF(AND(AT212=3,M212="F",SUMIF(C2:C557,C212,AS2:AS557)&gt;1),1,"")))</f>
        <v/>
      </c>
      <c r="AW212" s="386">
        <f>SUMIF(C2:C557,C212,O2:O557)</f>
        <v>1</v>
      </c>
      <c r="AX212" s="386">
        <f>IF(AND(M212="F",AS212&lt;&gt;0),SUMIF(C2:C557,C212,W2:W557),0)</f>
        <v>65977.600000000006</v>
      </c>
      <c r="AY212" s="386">
        <f t="shared" si="161"/>
        <v>65977.600000000006</v>
      </c>
      <c r="AZ212" s="386" t="str">
        <f t="shared" si="162"/>
        <v/>
      </c>
      <c r="BA212" s="386">
        <f t="shared" si="163"/>
        <v>0</v>
      </c>
      <c r="BB212" s="386">
        <f t="shared" si="132"/>
        <v>11650</v>
      </c>
      <c r="BC212" s="386">
        <f t="shared" si="133"/>
        <v>0</v>
      </c>
      <c r="BD212" s="386">
        <f t="shared" si="134"/>
        <v>4090.6112000000003</v>
      </c>
      <c r="BE212" s="386">
        <f t="shared" si="135"/>
        <v>956.67520000000013</v>
      </c>
      <c r="BF212" s="386">
        <f t="shared" si="136"/>
        <v>7877.7254400000011</v>
      </c>
      <c r="BG212" s="386">
        <f t="shared" si="137"/>
        <v>475.69849600000003</v>
      </c>
      <c r="BH212" s="386">
        <f t="shared" si="138"/>
        <v>323.29024000000004</v>
      </c>
      <c r="BI212" s="386">
        <f t="shared" si="139"/>
        <v>201.89145600000001</v>
      </c>
      <c r="BJ212" s="386">
        <f t="shared" si="140"/>
        <v>158.34623999999999</v>
      </c>
      <c r="BK212" s="386">
        <f t="shared" si="141"/>
        <v>0</v>
      </c>
      <c r="BL212" s="386">
        <f t="shared" si="164"/>
        <v>14084.238272000004</v>
      </c>
      <c r="BM212" s="386">
        <f t="shared" si="165"/>
        <v>0</v>
      </c>
      <c r="BN212" s="386">
        <f t="shared" si="142"/>
        <v>11650</v>
      </c>
      <c r="BO212" s="386">
        <f t="shared" si="143"/>
        <v>0</v>
      </c>
      <c r="BP212" s="386">
        <f t="shared" si="144"/>
        <v>4090.6112000000003</v>
      </c>
      <c r="BQ212" s="386">
        <f t="shared" si="145"/>
        <v>956.67520000000013</v>
      </c>
      <c r="BR212" s="386">
        <f t="shared" si="146"/>
        <v>7877.7254400000011</v>
      </c>
      <c r="BS212" s="386">
        <f t="shared" si="147"/>
        <v>475.69849600000003</v>
      </c>
      <c r="BT212" s="386">
        <f t="shared" si="148"/>
        <v>0</v>
      </c>
      <c r="BU212" s="386">
        <f t="shared" si="149"/>
        <v>201.89145600000001</v>
      </c>
      <c r="BV212" s="386">
        <f t="shared" si="150"/>
        <v>164.94400000000002</v>
      </c>
      <c r="BW212" s="386">
        <f t="shared" si="151"/>
        <v>0</v>
      </c>
      <c r="BX212" s="386">
        <f t="shared" si="166"/>
        <v>13767.545792000003</v>
      </c>
      <c r="BY212" s="386">
        <f t="shared" si="167"/>
        <v>0</v>
      </c>
      <c r="BZ212" s="386">
        <f t="shared" si="168"/>
        <v>0</v>
      </c>
      <c r="CA212" s="386">
        <f t="shared" si="169"/>
        <v>0</v>
      </c>
      <c r="CB212" s="386">
        <f t="shared" si="170"/>
        <v>0</v>
      </c>
      <c r="CC212" s="386">
        <f t="shared" si="152"/>
        <v>0</v>
      </c>
      <c r="CD212" s="386">
        <f t="shared" si="153"/>
        <v>0</v>
      </c>
      <c r="CE212" s="386">
        <f t="shared" si="154"/>
        <v>0</v>
      </c>
      <c r="CF212" s="386">
        <f t="shared" si="155"/>
        <v>-323.29024000000004</v>
      </c>
      <c r="CG212" s="386">
        <f t="shared" si="156"/>
        <v>0</v>
      </c>
      <c r="CH212" s="386">
        <f t="shared" si="157"/>
        <v>6.5977600000000178</v>
      </c>
      <c r="CI212" s="386">
        <f t="shared" si="158"/>
        <v>0</v>
      </c>
      <c r="CJ212" s="386">
        <f t="shared" si="171"/>
        <v>-316.69248000000005</v>
      </c>
      <c r="CK212" s="386" t="str">
        <f t="shared" si="172"/>
        <v/>
      </c>
      <c r="CL212" s="386" t="str">
        <f t="shared" si="173"/>
        <v/>
      </c>
      <c r="CM212" s="386" t="str">
        <f t="shared" si="174"/>
        <v/>
      </c>
      <c r="CN212" s="386" t="str">
        <f t="shared" si="175"/>
        <v>0001-00</v>
      </c>
    </row>
    <row r="213" spans="1:92" ht="15.75" thickBot="1" x14ac:dyDescent="0.3">
      <c r="A213" s="375" t="s">
        <v>161</v>
      </c>
      <c r="B213" s="375" t="s">
        <v>162</v>
      </c>
      <c r="C213" s="375" t="s">
        <v>985</v>
      </c>
      <c r="D213" s="375" t="s">
        <v>617</v>
      </c>
      <c r="E213" s="375" t="s">
        <v>165</v>
      </c>
      <c r="F213" s="376" t="s">
        <v>166</v>
      </c>
      <c r="G213" s="375" t="s">
        <v>549</v>
      </c>
      <c r="H213" s="377"/>
      <c r="I213" s="377"/>
      <c r="J213" s="375" t="s">
        <v>168</v>
      </c>
      <c r="K213" s="375" t="s">
        <v>618</v>
      </c>
      <c r="L213" s="375" t="s">
        <v>173</v>
      </c>
      <c r="M213" s="375" t="s">
        <v>177</v>
      </c>
      <c r="N213" s="375" t="s">
        <v>199</v>
      </c>
      <c r="O213" s="378">
        <v>1</v>
      </c>
      <c r="P213" s="384">
        <v>1</v>
      </c>
      <c r="Q213" s="384">
        <v>1</v>
      </c>
      <c r="R213" s="379">
        <v>80</v>
      </c>
      <c r="S213" s="384">
        <v>1</v>
      </c>
      <c r="T213" s="379">
        <v>67769.600000000006</v>
      </c>
      <c r="U213" s="379">
        <v>0</v>
      </c>
      <c r="V213" s="379">
        <v>25605.23</v>
      </c>
      <c r="W213" s="379">
        <v>70304</v>
      </c>
      <c r="X213" s="379">
        <v>26657.75</v>
      </c>
      <c r="Y213" s="379">
        <v>70304</v>
      </c>
      <c r="Z213" s="379">
        <v>26320.31</v>
      </c>
      <c r="AA213" s="375" t="s">
        <v>986</v>
      </c>
      <c r="AB213" s="375" t="s">
        <v>987</v>
      </c>
      <c r="AC213" s="375" t="s">
        <v>988</v>
      </c>
      <c r="AD213" s="375" t="s">
        <v>185</v>
      </c>
      <c r="AE213" s="375" t="s">
        <v>618</v>
      </c>
      <c r="AF213" s="375" t="s">
        <v>305</v>
      </c>
      <c r="AG213" s="375" t="s">
        <v>183</v>
      </c>
      <c r="AH213" s="380">
        <v>33.799999999999997</v>
      </c>
      <c r="AI213" s="378">
        <v>28664</v>
      </c>
      <c r="AJ213" s="375" t="s">
        <v>184</v>
      </c>
      <c r="AK213" s="375" t="s">
        <v>185</v>
      </c>
      <c r="AL213" s="375" t="s">
        <v>173</v>
      </c>
      <c r="AM213" s="375" t="s">
        <v>186</v>
      </c>
      <c r="AN213" s="375" t="s">
        <v>68</v>
      </c>
      <c r="AO213" s="378">
        <v>80</v>
      </c>
      <c r="AP213" s="384">
        <v>1</v>
      </c>
      <c r="AQ213" s="384">
        <v>1</v>
      </c>
      <c r="AR213" s="383" t="s">
        <v>187</v>
      </c>
      <c r="AS213" s="386">
        <f t="shared" si="159"/>
        <v>1</v>
      </c>
      <c r="AT213">
        <f t="shared" si="160"/>
        <v>1</v>
      </c>
      <c r="AU213" s="386">
        <f>IF(AT213=0,"",IF(AND(AT213=1,M213="F",SUMIF(C2:C557,C213,AS2:AS557)&lt;=1),SUMIF(C2:C557,C213,AS2:AS557),IF(AND(AT213=1,M213="F",SUMIF(C2:C557,C213,AS2:AS557)&gt;1),1,"")))</f>
        <v>1</v>
      </c>
      <c r="AV213" s="386" t="str">
        <f>IF(AT213=0,"",IF(AND(AT213=3,M213="F",SUMIF(C2:C557,C213,AS2:AS557)&lt;=1),SUMIF(C2:C557,C213,AS2:AS557),IF(AND(AT213=3,M213="F",SUMIF(C2:C557,C213,AS2:AS557)&gt;1),1,"")))</f>
        <v/>
      </c>
      <c r="AW213" s="386">
        <f>SUMIF(C2:C557,C213,O2:O557)</f>
        <v>1</v>
      </c>
      <c r="AX213" s="386">
        <f>IF(AND(M213="F",AS213&lt;&gt;0),SUMIF(C2:C557,C213,W2:W557),0)</f>
        <v>70304</v>
      </c>
      <c r="AY213" s="386">
        <f t="shared" si="161"/>
        <v>70304</v>
      </c>
      <c r="AZ213" s="386" t="str">
        <f t="shared" si="162"/>
        <v/>
      </c>
      <c r="BA213" s="386">
        <f t="shared" si="163"/>
        <v>0</v>
      </c>
      <c r="BB213" s="386">
        <f t="shared" si="132"/>
        <v>11650</v>
      </c>
      <c r="BC213" s="386">
        <f t="shared" si="133"/>
        <v>0</v>
      </c>
      <c r="BD213" s="386">
        <f t="shared" si="134"/>
        <v>4358.848</v>
      </c>
      <c r="BE213" s="386">
        <f t="shared" si="135"/>
        <v>1019.408</v>
      </c>
      <c r="BF213" s="386">
        <f t="shared" si="136"/>
        <v>8394.2975999999999</v>
      </c>
      <c r="BG213" s="386">
        <f t="shared" si="137"/>
        <v>506.89184</v>
      </c>
      <c r="BH213" s="386">
        <f t="shared" si="138"/>
        <v>344.4896</v>
      </c>
      <c r="BI213" s="386">
        <f t="shared" si="139"/>
        <v>215.13023999999999</v>
      </c>
      <c r="BJ213" s="386">
        <f t="shared" si="140"/>
        <v>168.72959999999998</v>
      </c>
      <c r="BK213" s="386">
        <f t="shared" si="141"/>
        <v>0</v>
      </c>
      <c r="BL213" s="386">
        <f t="shared" si="164"/>
        <v>15007.794880000001</v>
      </c>
      <c r="BM213" s="386">
        <f t="shared" si="165"/>
        <v>0</v>
      </c>
      <c r="BN213" s="386">
        <f t="shared" si="142"/>
        <v>11650</v>
      </c>
      <c r="BO213" s="386">
        <f t="shared" si="143"/>
        <v>0</v>
      </c>
      <c r="BP213" s="386">
        <f t="shared" si="144"/>
        <v>4358.848</v>
      </c>
      <c r="BQ213" s="386">
        <f t="shared" si="145"/>
        <v>1019.408</v>
      </c>
      <c r="BR213" s="386">
        <f t="shared" si="146"/>
        <v>8394.2975999999999</v>
      </c>
      <c r="BS213" s="386">
        <f t="shared" si="147"/>
        <v>506.89184</v>
      </c>
      <c r="BT213" s="386">
        <f t="shared" si="148"/>
        <v>0</v>
      </c>
      <c r="BU213" s="386">
        <f t="shared" si="149"/>
        <v>215.13023999999999</v>
      </c>
      <c r="BV213" s="386">
        <f t="shared" si="150"/>
        <v>175.76</v>
      </c>
      <c r="BW213" s="386">
        <f t="shared" si="151"/>
        <v>0</v>
      </c>
      <c r="BX213" s="386">
        <f t="shared" si="166"/>
        <v>14670.33568</v>
      </c>
      <c r="BY213" s="386">
        <f t="shared" si="167"/>
        <v>0</v>
      </c>
      <c r="BZ213" s="386">
        <f t="shared" si="168"/>
        <v>0</v>
      </c>
      <c r="CA213" s="386">
        <f t="shared" si="169"/>
        <v>0</v>
      </c>
      <c r="CB213" s="386">
        <f t="shared" si="170"/>
        <v>0</v>
      </c>
      <c r="CC213" s="386">
        <f t="shared" si="152"/>
        <v>0</v>
      </c>
      <c r="CD213" s="386">
        <f t="shared" si="153"/>
        <v>0</v>
      </c>
      <c r="CE213" s="386">
        <f t="shared" si="154"/>
        <v>0</v>
      </c>
      <c r="CF213" s="386">
        <f t="shared" si="155"/>
        <v>-344.4896</v>
      </c>
      <c r="CG213" s="386">
        <f t="shared" si="156"/>
        <v>0</v>
      </c>
      <c r="CH213" s="386">
        <f t="shared" si="157"/>
        <v>7.0304000000000189</v>
      </c>
      <c r="CI213" s="386">
        <f t="shared" si="158"/>
        <v>0</v>
      </c>
      <c r="CJ213" s="386">
        <f t="shared" si="171"/>
        <v>-337.45919999999995</v>
      </c>
      <c r="CK213" s="386" t="str">
        <f t="shared" si="172"/>
        <v/>
      </c>
      <c r="CL213" s="386" t="str">
        <f t="shared" si="173"/>
        <v/>
      </c>
      <c r="CM213" s="386" t="str">
        <f t="shared" si="174"/>
        <v/>
      </c>
      <c r="CN213" s="386" t="str">
        <f t="shared" si="175"/>
        <v>0001-00</v>
      </c>
    </row>
    <row r="214" spans="1:92" ht="15.75" thickBot="1" x14ac:dyDescent="0.3">
      <c r="A214" s="375" t="s">
        <v>161</v>
      </c>
      <c r="B214" s="375" t="s">
        <v>162</v>
      </c>
      <c r="C214" s="375" t="s">
        <v>989</v>
      </c>
      <c r="D214" s="375" t="s">
        <v>548</v>
      </c>
      <c r="E214" s="375" t="s">
        <v>165</v>
      </c>
      <c r="F214" s="376" t="s">
        <v>166</v>
      </c>
      <c r="G214" s="375" t="s">
        <v>549</v>
      </c>
      <c r="H214" s="377"/>
      <c r="I214" s="377"/>
      <c r="J214" s="375" t="s">
        <v>168</v>
      </c>
      <c r="K214" s="375" t="s">
        <v>550</v>
      </c>
      <c r="L214" s="375" t="s">
        <v>198</v>
      </c>
      <c r="M214" s="375" t="s">
        <v>177</v>
      </c>
      <c r="N214" s="375" t="s">
        <v>199</v>
      </c>
      <c r="O214" s="378">
        <v>1</v>
      </c>
      <c r="P214" s="384">
        <v>1</v>
      </c>
      <c r="Q214" s="384">
        <v>1</v>
      </c>
      <c r="R214" s="379">
        <v>80</v>
      </c>
      <c r="S214" s="384">
        <v>1</v>
      </c>
      <c r="T214" s="379">
        <v>44932.480000000003</v>
      </c>
      <c r="U214" s="379">
        <v>0</v>
      </c>
      <c r="V214" s="379">
        <v>20665.84</v>
      </c>
      <c r="W214" s="379">
        <v>47944</v>
      </c>
      <c r="X214" s="379">
        <v>21884.560000000001</v>
      </c>
      <c r="Y214" s="379">
        <v>47944</v>
      </c>
      <c r="Z214" s="379">
        <v>21654.44</v>
      </c>
      <c r="AA214" s="375" t="s">
        <v>990</v>
      </c>
      <c r="AB214" s="375" t="s">
        <v>991</v>
      </c>
      <c r="AC214" s="375" t="s">
        <v>992</v>
      </c>
      <c r="AD214" s="375" t="s">
        <v>183</v>
      </c>
      <c r="AE214" s="375" t="s">
        <v>550</v>
      </c>
      <c r="AF214" s="375" t="s">
        <v>245</v>
      </c>
      <c r="AG214" s="375" t="s">
        <v>183</v>
      </c>
      <c r="AH214" s="380">
        <v>23.05</v>
      </c>
      <c r="AI214" s="380">
        <v>10760.7</v>
      </c>
      <c r="AJ214" s="375" t="s">
        <v>184</v>
      </c>
      <c r="AK214" s="375" t="s">
        <v>185</v>
      </c>
      <c r="AL214" s="375" t="s">
        <v>173</v>
      </c>
      <c r="AM214" s="375" t="s">
        <v>186</v>
      </c>
      <c r="AN214" s="375" t="s">
        <v>68</v>
      </c>
      <c r="AO214" s="378">
        <v>80</v>
      </c>
      <c r="AP214" s="384">
        <v>1</v>
      </c>
      <c r="AQ214" s="384">
        <v>1</v>
      </c>
      <c r="AR214" s="383" t="s">
        <v>187</v>
      </c>
      <c r="AS214" s="386">
        <f t="shared" si="159"/>
        <v>1</v>
      </c>
      <c r="AT214">
        <f t="shared" si="160"/>
        <v>1</v>
      </c>
      <c r="AU214" s="386">
        <f>IF(AT214=0,"",IF(AND(AT214=1,M214="F",SUMIF(C2:C557,C214,AS2:AS557)&lt;=1),SUMIF(C2:C557,C214,AS2:AS557),IF(AND(AT214=1,M214="F",SUMIF(C2:C557,C214,AS2:AS557)&gt;1),1,"")))</f>
        <v>1</v>
      </c>
      <c r="AV214" s="386" t="str">
        <f>IF(AT214=0,"",IF(AND(AT214=3,M214="F",SUMIF(C2:C557,C214,AS2:AS557)&lt;=1),SUMIF(C2:C557,C214,AS2:AS557),IF(AND(AT214=3,M214="F",SUMIF(C2:C557,C214,AS2:AS557)&gt;1),1,"")))</f>
        <v/>
      </c>
      <c r="AW214" s="386">
        <f>SUMIF(C2:C557,C214,O2:O557)</f>
        <v>1</v>
      </c>
      <c r="AX214" s="386">
        <f>IF(AND(M214="F",AS214&lt;&gt;0),SUMIF(C2:C557,C214,W2:W557),0)</f>
        <v>47944</v>
      </c>
      <c r="AY214" s="386">
        <f t="shared" si="161"/>
        <v>47944</v>
      </c>
      <c r="AZ214" s="386" t="str">
        <f t="shared" si="162"/>
        <v/>
      </c>
      <c r="BA214" s="386">
        <f t="shared" si="163"/>
        <v>0</v>
      </c>
      <c r="BB214" s="386">
        <f t="shared" si="132"/>
        <v>11650</v>
      </c>
      <c r="BC214" s="386">
        <f t="shared" si="133"/>
        <v>0</v>
      </c>
      <c r="BD214" s="386">
        <f t="shared" si="134"/>
        <v>2972.5279999999998</v>
      </c>
      <c r="BE214" s="386">
        <f t="shared" si="135"/>
        <v>695.18799999999999</v>
      </c>
      <c r="BF214" s="386">
        <f t="shared" si="136"/>
        <v>5724.5136000000002</v>
      </c>
      <c r="BG214" s="386">
        <f t="shared" si="137"/>
        <v>345.67624000000001</v>
      </c>
      <c r="BH214" s="386">
        <f t="shared" si="138"/>
        <v>234.9256</v>
      </c>
      <c r="BI214" s="386">
        <f t="shared" si="139"/>
        <v>146.70864</v>
      </c>
      <c r="BJ214" s="386">
        <f t="shared" si="140"/>
        <v>115.06559999999999</v>
      </c>
      <c r="BK214" s="386">
        <f t="shared" si="141"/>
        <v>0</v>
      </c>
      <c r="BL214" s="386">
        <f t="shared" si="164"/>
        <v>10234.605680000002</v>
      </c>
      <c r="BM214" s="386">
        <f t="shared" si="165"/>
        <v>0</v>
      </c>
      <c r="BN214" s="386">
        <f t="shared" si="142"/>
        <v>11650</v>
      </c>
      <c r="BO214" s="386">
        <f t="shared" si="143"/>
        <v>0</v>
      </c>
      <c r="BP214" s="386">
        <f t="shared" si="144"/>
        <v>2972.5279999999998</v>
      </c>
      <c r="BQ214" s="386">
        <f t="shared" si="145"/>
        <v>695.18799999999999</v>
      </c>
      <c r="BR214" s="386">
        <f t="shared" si="146"/>
        <v>5724.5136000000002</v>
      </c>
      <c r="BS214" s="386">
        <f t="shared" si="147"/>
        <v>345.67624000000001</v>
      </c>
      <c r="BT214" s="386">
        <f t="shared" si="148"/>
        <v>0</v>
      </c>
      <c r="BU214" s="386">
        <f t="shared" si="149"/>
        <v>146.70864</v>
      </c>
      <c r="BV214" s="386">
        <f t="shared" si="150"/>
        <v>119.86</v>
      </c>
      <c r="BW214" s="386">
        <f t="shared" si="151"/>
        <v>0</v>
      </c>
      <c r="BX214" s="386">
        <f t="shared" si="166"/>
        <v>10004.474480000003</v>
      </c>
      <c r="BY214" s="386">
        <f t="shared" si="167"/>
        <v>0</v>
      </c>
      <c r="BZ214" s="386">
        <f t="shared" si="168"/>
        <v>0</v>
      </c>
      <c r="CA214" s="386">
        <f t="shared" si="169"/>
        <v>0</v>
      </c>
      <c r="CB214" s="386">
        <f t="shared" si="170"/>
        <v>0</v>
      </c>
      <c r="CC214" s="386">
        <f t="shared" si="152"/>
        <v>0</v>
      </c>
      <c r="CD214" s="386">
        <f t="shared" si="153"/>
        <v>0</v>
      </c>
      <c r="CE214" s="386">
        <f t="shared" si="154"/>
        <v>0</v>
      </c>
      <c r="CF214" s="386">
        <f t="shared" si="155"/>
        <v>-234.9256</v>
      </c>
      <c r="CG214" s="386">
        <f t="shared" si="156"/>
        <v>0</v>
      </c>
      <c r="CH214" s="386">
        <f t="shared" si="157"/>
        <v>4.7944000000000129</v>
      </c>
      <c r="CI214" s="386">
        <f t="shared" si="158"/>
        <v>0</v>
      </c>
      <c r="CJ214" s="386">
        <f t="shared" si="171"/>
        <v>-230.13119999999998</v>
      </c>
      <c r="CK214" s="386" t="str">
        <f t="shared" si="172"/>
        <v/>
      </c>
      <c r="CL214" s="386" t="str">
        <f t="shared" si="173"/>
        <v/>
      </c>
      <c r="CM214" s="386" t="str">
        <f t="shared" si="174"/>
        <v/>
      </c>
      <c r="CN214" s="386" t="str">
        <f t="shared" si="175"/>
        <v>0001-00</v>
      </c>
    </row>
    <row r="215" spans="1:92" ht="15.75" thickBot="1" x14ac:dyDescent="0.3">
      <c r="A215" s="375" t="s">
        <v>161</v>
      </c>
      <c r="B215" s="375" t="s">
        <v>162</v>
      </c>
      <c r="C215" s="375" t="s">
        <v>905</v>
      </c>
      <c r="D215" s="375" t="s">
        <v>555</v>
      </c>
      <c r="E215" s="375" t="s">
        <v>526</v>
      </c>
      <c r="F215" s="381" t="s">
        <v>527</v>
      </c>
      <c r="G215" s="375" t="s">
        <v>549</v>
      </c>
      <c r="H215" s="377"/>
      <c r="I215" s="377"/>
      <c r="J215" s="375" t="s">
        <v>272</v>
      </c>
      <c r="K215" s="375" t="s">
        <v>556</v>
      </c>
      <c r="L215" s="375" t="s">
        <v>220</v>
      </c>
      <c r="M215" s="375" t="s">
        <v>177</v>
      </c>
      <c r="N215" s="375" t="s">
        <v>199</v>
      </c>
      <c r="O215" s="378">
        <v>1</v>
      </c>
      <c r="P215" s="384">
        <v>0.05</v>
      </c>
      <c r="Q215" s="384">
        <v>0.05</v>
      </c>
      <c r="R215" s="379">
        <v>80</v>
      </c>
      <c r="S215" s="384">
        <v>0.05</v>
      </c>
      <c r="T215" s="379">
        <v>3129.7</v>
      </c>
      <c r="U215" s="379">
        <v>0</v>
      </c>
      <c r="V215" s="379">
        <v>1220.03</v>
      </c>
      <c r="W215" s="379">
        <v>3246.88</v>
      </c>
      <c r="X215" s="379">
        <v>1275.6099999999999</v>
      </c>
      <c r="Y215" s="379">
        <v>3246.88</v>
      </c>
      <c r="Z215" s="379">
        <v>1260.02</v>
      </c>
      <c r="AA215" s="375" t="s">
        <v>906</v>
      </c>
      <c r="AB215" s="375" t="s">
        <v>907</v>
      </c>
      <c r="AC215" s="375" t="s">
        <v>815</v>
      </c>
      <c r="AD215" s="375" t="s">
        <v>170</v>
      </c>
      <c r="AE215" s="375" t="s">
        <v>556</v>
      </c>
      <c r="AF215" s="375" t="s">
        <v>252</v>
      </c>
      <c r="AG215" s="375" t="s">
        <v>183</v>
      </c>
      <c r="AH215" s="380">
        <v>31.22</v>
      </c>
      <c r="AI215" s="380">
        <v>30095.5</v>
      </c>
      <c r="AJ215" s="375" t="s">
        <v>184</v>
      </c>
      <c r="AK215" s="375" t="s">
        <v>185</v>
      </c>
      <c r="AL215" s="375" t="s">
        <v>173</v>
      </c>
      <c r="AM215" s="375" t="s">
        <v>186</v>
      </c>
      <c r="AN215" s="375" t="s">
        <v>68</v>
      </c>
      <c r="AO215" s="378">
        <v>80</v>
      </c>
      <c r="AP215" s="384">
        <v>1</v>
      </c>
      <c r="AQ215" s="384">
        <v>0.05</v>
      </c>
      <c r="AR215" s="383" t="s">
        <v>187</v>
      </c>
      <c r="AS215" s="386">
        <f t="shared" si="159"/>
        <v>0.05</v>
      </c>
      <c r="AT215">
        <f t="shared" si="160"/>
        <v>1</v>
      </c>
      <c r="AU215" s="386">
        <f>IF(AT215=0,"",IF(AND(AT215=1,M215="F",SUMIF(C2:C557,C215,AS2:AS557)&lt;=1),SUMIF(C2:C557,C215,AS2:AS557),IF(AND(AT215=1,M215="F",SUMIF(C2:C557,C215,AS2:AS557)&gt;1),1,"")))</f>
        <v>1</v>
      </c>
      <c r="AV215" s="386" t="str">
        <f>IF(AT215=0,"",IF(AND(AT215=3,M215="F",SUMIF(C2:C557,C215,AS2:AS557)&lt;=1),SUMIF(C2:C557,C215,AS2:AS557),IF(AND(AT215=3,M215="F",SUMIF(C2:C557,C215,AS2:AS557)&gt;1),1,"")))</f>
        <v/>
      </c>
      <c r="AW215" s="386">
        <f>SUMIF(C2:C557,C215,O2:O557)</f>
        <v>3</v>
      </c>
      <c r="AX215" s="386">
        <f>IF(AND(M215="F",AS215&lt;&gt;0),SUMIF(C2:C557,C215,W2:W557),0)</f>
        <v>64937.599999999991</v>
      </c>
      <c r="AY215" s="386">
        <f t="shared" si="161"/>
        <v>3246.88</v>
      </c>
      <c r="AZ215" s="386" t="str">
        <f t="shared" si="162"/>
        <v/>
      </c>
      <c r="BA215" s="386">
        <f t="shared" si="163"/>
        <v>0</v>
      </c>
      <c r="BB215" s="386">
        <f t="shared" si="132"/>
        <v>582.5</v>
      </c>
      <c r="BC215" s="386">
        <f t="shared" si="133"/>
        <v>0</v>
      </c>
      <c r="BD215" s="386">
        <f t="shared" si="134"/>
        <v>201.30656000000002</v>
      </c>
      <c r="BE215" s="386">
        <f t="shared" si="135"/>
        <v>47.079760000000007</v>
      </c>
      <c r="BF215" s="386">
        <f t="shared" si="136"/>
        <v>387.67747200000002</v>
      </c>
      <c r="BG215" s="386">
        <f t="shared" si="137"/>
        <v>23.410004800000003</v>
      </c>
      <c r="BH215" s="386">
        <f t="shared" si="138"/>
        <v>15.909712000000001</v>
      </c>
      <c r="BI215" s="386">
        <f t="shared" si="139"/>
        <v>9.9354528000000002</v>
      </c>
      <c r="BJ215" s="386">
        <f t="shared" si="140"/>
        <v>7.7925119999999994</v>
      </c>
      <c r="BK215" s="386">
        <f t="shared" si="141"/>
        <v>0</v>
      </c>
      <c r="BL215" s="386">
        <f t="shared" si="164"/>
        <v>693.11147360000007</v>
      </c>
      <c r="BM215" s="386">
        <f t="shared" si="165"/>
        <v>0</v>
      </c>
      <c r="BN215" s="386">
        <f t="shared" si="142"/>
        <v>582.5</v>
      </c>
      <c r="BO215" s="386">
        <f t="shared" si="143"/>
        <v>0</v>
      </c>
      <c r="BP215" s="386">
        <f t="shared" si="144"/>
        <v>201.30656000000002</v>
      </c>
      <c r="BQ215" s="386">
        <f t="shared" si="145"/>
        <v>47.079760000000007</v>
      </c>
      <c r="BR215" s="386">
        <f t="shared" si="146"/>
        <v>387.67747200000002</v>
      </c>
      <c r="BS215" s="386">
        <f t="shared" si="147"/>
        <v>23.410004800000003</v>
      </c>
      <c r="BT215" s="386">
        <f t="shared" si="148"/>
        <v>0</v>
      </c>
      <c r="BU215" s="386">
        <f t="shared" si="149"/>
        <v>9.9354528000000002</v>
      </c>
      <c r="BV215" s="386">
        <f t="shared" si="150"/>
        <v>8.1172000000000004</v>
      </c>
      <c r="BW215" s="386">
        <f t="shared" si="151"/>
        <v>0</v>
      </c>
      <c r="BX215" s="386">
        <f t="shared" si="166"/>
        <v>677.52644960000009</v>
      </c>
      <c r="BY215" s="386">
        <f t="shared" si="167"/>
        <v>0</v>
      </c>
      <c r="BZ215" s="386">
        <f t="shared" si="168"/>
        <v>0</v>
      </c>
      <c r="CA215" s="386">
        <f t="shared" si="169"/>
        <v>0</v>
      </c>
      <c r="CB215" s="386">
        <f t="shared" si="170"/>
        <v>0</v>
      </c>
      <c r="CC215" s="386">
        <f t="shared" si="152"/>
        <v>0</v>
      </c>
      <c r="CD215" s="386">
        <f t="shared" si="153"/>
        <v>0</v>
      </c>
      <c r="CE215" s="386">
        <f t="shared" si="154"/>
        <v>0</v>
      </c>
      <c r="CF215" s="386">
        <f t="shared" si="155"/>
        <v>-15.909712000000001</v>
      </c>
      <c r="CG215" s="386">
        <f t="shared" si="156"/>
        <v>0</v>
      </c>
      <c r="CH215" s="386">
        <f t="shared" si="157"/>
        <v>0.32468800000000086</v>
      </c>
      <c r="CI215" s="386">
        <f t="shared" si="158"/>
        <v>0</v>
      </c>
      <c r="CJ215" s="386">
        <f t="shared" si="171"/>
        <v>-15.585024000000001</v>
      </c>
      <c r="CK215" s="386" t="str">
        <f t="shared" si="172"/>
        <v/>
      </c>
      <c r="CL215" s="386" t="str">
        <f t="shared" si="173"/>
        <v/>
      </c>
      <c r="CM215" s="386" t="str">
        <f t="shared" si="174"/>
        <v/>
      </c>
      <c r="CN215" s="386" t="str">
        <f t="shared" si="175"/>
        <v>0338-01</v>
      </c>
    </row>
    <row r="216" spans="1:92" ht="15.75" thickBot="1" x14ac:dyDescent="0.3">
      <c r="A216" s="375" t="s">
        <v>161</v>
      </c>
      <c r="B216" s="375" t="s">
        <v>162</v>
      </c>
      <c r="C216" s="375" t="s">
        <v>722</v>
      </c>
      <c r="D216" s="375" t="s">
        <v>617</v>
      </c>
      <c r="E216" s="375" t="s">
        <v>526</v>
      </c>
      <c r="F216" s="381" t="s">
        <v>527</v>
      </c>
      <c r="G216" s="375" t="s">
        <v>549</v>
      </c>
      <c r="H216" s="377"/>
      <c r="I216" s="377"/>
      <c r="J216" s="375" t="s">
        <v>272</v>
      </c>
      <c r="K216" s="375" t="s">
        <v>618</v>
      </c>
      <c r="L216" s="375" t="s">
        <v>173</v>
      </c>
      <c r="M216" s="375" t="s">
        <v>177</v>
      </c>
      <c r="N216" s="375" t="s">
        <v>199</v>
      </c>
      <c r="O216" s="378">
        <v>1</v>
      </c>
      <c r="P216" s="384">
        <v>0.05</v>
      </c>
      <c r="Q216" s="384">
        <v>0.05</v>
      </c>
      <c r="R216" s="379">
        <v>80</v>
      </c>
      <c r="S216" s="384">
        <v>0.05</v>
      </c>
      <c r="T216" s="379">
        <v>3082.74</v>
      </c>
      <c r="U216" s="379">
        <v>0</v>
      </c>
      <c r="V216" s="379">
        <v>1217.68</v>
      </c>
      <c r="W216" s="379">
        <v>3198</v>
      </c>
      <c r="X216" s="379">
        <v>1265.17</v>
      </c>
      <c r="Y216" s="379">
        <v>3198</v>
      </c>
      <c r="Z216" s="379">
        <v>1249.82</v>
      </c>
      <c r="AA216" s="375" t="s">
        <v>723</v>
      </c>
      <c r="AB216" s="375" t="s">
        <v>471</v>
      </c>
      <c r="AC216" s="375" t="s">
        <v>724</v>
      </c>
      <c r="AD216" s="375" t="s">
        <v>233</v>
      </c>
      <c r="AE216" s="375" t="s">
        <v>618</v>
      </c>
      <c r="AF216" s="375" t="s">
        <v>305</v>
      </c>
      <c r="AG216" s="375" t="s">
        <v>183</v>
      </c>
      <c r="AH216" s="380">
        <v>30.75</v>
      </c>
      <c r="AI216" s="380">
        <v>51663.7</v>
      </c>
      <c r="AJ216" s="375" t="s">
        <v>184</v>
      </c>
      <c r="AK216" s="375" t="s">
        <v>185</v>
      </c>
      <c r="AL216" s="375" t="s">
        <v>173</v>
      </c>
      <c r="AM216" s="375" t="s">
        <v>186</v>
      </c>
      <c r="AN216" s="375" t="s">
        <v>68</v>
      </c>
      <c r="AO216" s="378">
        <v>80</v>
      </c>
      <c r="AP216" s="384">
        <v>1</v>
      </c>
      <c r="AQ216" s="384">
        <v>0.05</v>
      </c>
      <c r="AR216" s="383" t="s">
        <v>187</v>
      </c>
      <c r="AS216" s="386">
        <f t="shared" si="159"/>
        <v>0.05</v>
      </c>
      <c r="AT216">
        <f t="shared" si="160"/>
        <v>1</v>
      </c>
      <c r="AU216" s="386">
        <f>IF(AT216=0,"",IF(AND(AT216=1,M216="F",SUMIF(C2:C557,C216,AS2:AS557)&lt;=1),SUMIF(C2:C557,C216,AS2:AS557),IF(AND(AT216=1,M216="F",SUMIF(C2:C557,C216,AS2:AS557)&gt;1),1,"")))</f>
        <v>1</v>
      </c>
      <c r="AV216" s="386" t="str">
        <f>IF(AT216=0,"",IF(AND(AT216=3,M216="F",SUMIF(C2:C557,C216,AS2:AS557)&lt;=1),SUMIF(C2:C557,C216,AS2:AS557),IF(AND(AT216=3,M216="F",SUMIF(C2:C557,C216,AS2:AS557)&gt;1),1,"")))</f>
        <v/>
      </c>
      <c r="AW216" s="386">
        <f>SUMIF(C2:C557,C216,O2:O557)</f>
        <v>3</v>
      </c>
      <c r="AX216" s="386">
        <f>IF(AND(M216="F",AS216&lt;&gt;0),SUMIF(C2:C557,C216,W2:W557),0)</f>
        <v>63960</v>
      </c>
      <c r="AY216" s="386">
        <f t="shared" si="161"/>
        <v>3198</v>
      </c>
      <c r="AZ216" s="386" t="str">
        <f t="shared" si="162"/>
        <v/>
      </c>
      <c r="BA216" s="386">
        <f t="shared" si="163"/>
        <v>0</v>
      </c>
      <c r="BB216" s="386">
        <f t="shared" si="132"/>
        <v>582.5</v>
      </c>
      <c r="BC216" s="386">
        <f t="shared" si="133"/>
        <v>0</v>
      </c>
      <c r="BD216" s="386">
        <f t="shared" si="134"/>
        <v>198.27600000000001</v>
      </c>
      <c r="BE216" s="386">
        <f t="shared" si="135"/>
        <v>46.371000000000002</v>
      </c>
      <c r="BF216" s="386">
        <f t="shared" si="136"/>
        <v>381.84120000000001</v>
      </c>
      <c r="BG216" s="386">
        <f t="shared" si="137"/>
        <v>23.057580000000002</v>
      </c>
      <c r="BH216" s="386">
        <f t="shared" si="138"/>
        <v>15.670199999999999</v>
      </c>
      <c r="BI216" s="386">
        <f t="shared" si="139"/>
        <v>9.7858799999999988</v>
      </c>
      <c r="BJ216" s="386">
        <f t="shared" si="140"/>
        <v>7.6751999999999994</v>
      </c>
      <c r="BK216" s="386">
        <f t="shared" si="141"/>
        <v>0</v>
      </c>
      <c r="BL216" s="386">
        <f t="shared" si="164"/>
        <v>682.6770600000001</v>
      </c>
      <c r="BM216" s="386">
        <f t="shared" si="165"/>
        <v>0</v>
      </c>
      <c r="BN216" s="386">
        <f t="shared" si="142"/>
        <v>582.5</v>
      </c>
      <c r="BO216" s="386">
        <f t="shared" si="143"/>
        <v>0</v>
      </c>
      <c r="BP216" s="386">
        <f t="shared" si="144"/>
        <v>198.27600000000001</v>
      </c>
      <c r="BQ216" s="386">
        <f t="shared" si="145"/>
        <v>46.371000000000002</v>
      </c>
      <c r="BR216" s="386">
        <f t="shared" si="146"/>
        <v>381.84120000000001</v>
      </c>
      <c r="BS216" s="386">
        <f t="shared" si="147"/>
        <v>23.057580000000002</v>
      </c>
      <c r="BT216" s="386">
        <f t="shared" si="148"/>
        <v>0</v>
      </c>
      <c r="BU216" s="386">
        <f t="shared" si="149"/>
        <v>9.7858799999999988</v>
      </c>
      <c r="BV216" s="386">
        <f t="shared" si="150"/>
        <v>7.9950000000000001</v>
      </c>
      <c r="BW216" s="386">
        <f t="shared" si="151"/>
        <v>0</v>
      </c>
      <c r="BX216" s="386">
        <f t="shared" si="166"/>
        <v>667.32666000000006</v>
      </c>
      <c r="BY216" s="386">
        <f t="shared" si="167"/>
        <v>0</v>
      </c>
      <c r="BZ216" s="386">
        <f t="shared" si="168"/>
        <v>0</v>
      </c>
      <c r="CA216" s="386">
        <f t="shared" si="169"/>
        <v>0</v>
      </c>
      <c r="CB216" s="386">
        <f t="shared" si="170"/>
        <v>0</v>
      </c>
      <c r="CC216" s="386">
        <f t="shared" si="152"/>
        <v>0</v>
      </c>
      <c r="CD216" s="386">
        <f t="shared" si="153"/>
        <v>0</v>
      </c>
      <c r="CE216" s="386">
        <f t="shared" si="154"/>
        <v>0</v>
      </c>
      <c r="CF216" s="386">
        <f t="shared" si="155"/>
        <v>-15.670199999999999</v>
      </c>
      <c r="CG216" s="386">
        <f t="shared" si="156"/>
        <v>0</v>
      </c>
      <c r="CH216" s="386">
        <f t="shared" si="157"/>
        <v>0.31980000000000086</v>
      </c>
      <c r="CI216" s="386">
        <f t="shared" si="158"/>
        <v>0</v>
      </c>
      <c r="CJ216" s="386">
        <f t="shared" si="171"/>
        <v>-15.350399999999999</v>
      </c>
      <c r="CK216" s="386" t="str">
        <f t="shared" si="172"/>
        <v/>
      </c>
      <c r="CL216" s="386" t="str">
        <f t="shared" si="173"/>
        <v/>
      </c>
      <c r="CM216" s="386" t="str">
        <f t="shared" si="174"/>
        <v/>
      </c>
      <c r="CN216" s="386" t="str">
        <f t="shared" si="175"/>
        <v>0338-01</v>
      </c>
    </row>
    <row r="217" spans="1:92" ht="15.75" thickBot="1" x14ac:dyDescent="0.3">
      <c r="A217" s="375" t="s">
        <v>161</v>
      </c>
      <c r="B217" s="375" t="s">
        <v>162</v>
      </c>
      <c r="C217" s="375" t="s">
        <v>837</v>
      </c>
      <c r="D217" s="375" t="s">
        <v>555</v>
      </c>
      <c r="E217" s="375" t="s">
        <v>526</v>
      </c>
      <c r="F217" s="381" t="s">
        <v>527</v>
      </c>
      <c r="G217" s="375" t="s">
        <v>549</v>
      </c>
      <c r="H217" s="377"/>
      <c r="I217" s="377"/>
      <c r="J217" s="375" t="s">
        <v>272</v>
      </c>
      <c r="K217" s="375" t="s">
        <v>556</v>
      </c>
      <c r="L217" s="375" t="s">
        <v>220</v>
      </c>
      <c r="M217" s="375" t="s">
        <v>177</v>
      </c>
      <c r="N217" s="375" t="s">
        <v>199</v>
      </c>
      <c r="O217" s="378">
        <v>1</v>
      </c>
      <c r="P217" s="384">
        <v>0.05</v>
      </c>
      <c r="Q217" s="384">
        <v>0.05</v>
      </c>
      <c r="R217" s="379">
        <v>80</v>
      </c>
      <c r="S217" s="384">
        <v>0.05</v>
      </c>
      <c r="T217" s="379">
        <v>2373.34</v>
      </c>
      <c r="U217" s="379">
        <v>0</v>
      </c>
      <c r="V217" s="379">
        <v>1067.24</v>
      </c>
      <c r="W217" s="379">
        <v>2816.32</v>
      </c>
      <c r="X217" s="379">
        <v>1183.69</v>
      </c>
      <c r="Y217" s="379">
        <v>2816.32</v>
      </c>
      <c r="Z217" s="379">
        <v>1170.18</v>
      </c>
      <c r="AA217" s="375" t="s">
        <v>838</v>
      </c>
      <c r="AB217" s="375" t="s">
        <v>839</v>
      </c>
      <c r="AC217" s="375" t="s">
        <v>840</v>
      </c>
      <c r="AD217" s="375" t="s">
        <v>352</v>
      </c>
      <c r="AE217" s="375" t="s">
        <v>556</v>
      </c>
      <c r="AF217" s="375" t="s">
        <v>252</v>
      </c>
      <c r="AG217" s="375" t="s">
        <v>183</v>
      </c>
      <c r="AH217" s="380">
        <v>27.08</v>
      </c>
      <c r="AI217" s="378">
        <v>8493</v>
      </c>
      <c r="AJ217" s="375" t="s">
        <v>184</v>
      </c>
      <c r="AK217" s="375" t="s">
        <v>185</v>
      </c>
      <c r="AL217" s="375" t="s">
        <v>173</v>
      </c>
      <c r="AM217" s="375" t="s">
        <v>186</v>
      </c>
      <c r="AN217" s="375" t="s">
        <v>68</v>
      </c>
      <c r="AO217" s="378">
        <v>80</v>
      </c>
      <c r="AP217" s="384">
        <v>1</v>
      </c>
      <c r="AQ217" s="384">
        <v>0.05</v>
      </c>
      <c r="AR217" s="383" t="s">
        <v>187</v>
      </c>
      <c r="AS217" s="386">
        <f t="shared" si="159"/>
        <v>0.05</v>
      </c>
      <c r="AT217">
        <f t="shared" si="160"/>
        <v>1</v>
      </c>
      <c r="AU217" s="386">
        <f>IF(AT217=0,"",IF(AND(AT217=1,M217="F",SUMIF(C2:C557,C217,AS2:AS557)&lt;=1),SUMIF(C2:C557,C217,AS2:AS557),IF(AND(AT217=1,M217="F",SUMIF(C2:C557,C217,AS2:AS557)&gt;1),1,"")))</f>
        <v>1</v>
      </c>
      <c r="AV217" s="386" t="str">
        <f>IF(AT217=0,"",IF(AND(AT217=3,M217="F",SUMIF(C2:C557,C217,AS2:AS557)&lt;=1),SUMIF(C2:C557,C217,AS2:AS557),IF(AND(AT217=3,M217="F",SUMIF(C2:C557,C217,AS2:AS557)&gt;1),1,"")))</f>
        <v/>
      </c>
      <c r="AW217" s="386">
        <f>SUMIF(C2:C557,C217,O2:O557)</f>
        <v>3</v>
      </c>
      <c r="AX217" s="386">
        <f>IF(AND(M217="F",AS217&lt;&gt;0),SUMIF(C2:C557,C217,W2:W557),0)</f>
        <v>56326.400000000001</v>
      </c>
      <c r="AY217" s="386">
        <f t="shared" si="161"/>
        <v>2816.32</v>
      </c>
      <c r="AZ217" s="386" t="str">
        <f t="shared" si="162"/>
        <v/>
      </c>
      <c r="BA217" s="386">
        <f t="shared" si="163"/>
        <v>0</v>
      </c>
      <c r="BB217" s="386">
        <f t="shared" si="132"/>
        <v>582.5</v>
      </c>
      <c r="BC217" s="386">
        <f t="shared" si="133"/>
        <v>0</v>
      </c>
      <c r="BD217" s="386">
        <f t="shared" si="134"/>
        <v>174.61184</v>
      </c>
      <c r="BE217" s="386">
        <f t="shared" si="135"/>
        <v>40.836640000000003</v>
      </c>
      <c r="BF217" s="386">
        <f t="shared" si="136"/>
        <v>336.26860800000003</v>
      </c>
      <c r="BG217" s="386">
        <f t="shared" si="137"/>
        <v>20.305667200000002</v>
      </c>
      <c r="BH217" s="386">
        <f t="shared" si="138"/>
        <v>13.799968</v>
      </c>
      <c r="BI217" s="386">
        <f t="shared" si="139"/>
        <v>8.6179392000000004</v>
      </c>
      <c r="BJ217" s="386">
        <f t="shared" si="140"/>
        <v>6.7591679999999998</v>
      </c>
      <c r="BK217" s="386">
        <f t="shared" si="141"/>
        <v>0</v>
      </c>
      <c r="BL217" s="386">
        <f t="shared" si="164"/>
        <v>601.19983040000022</v>
      </c>
      <c r="BM217" s="386">
        <f t="shared" si="165"/>
        <v>0</v>
      </c>
      <c r="BN217" s="386">
        <f t="shared" si="142"/>
        <v>582.5</v>
      </c>
      <c r="BO217" s="386">
        <f t="shared" si="143"/>
        <v>0</v>
      </c>
      <c r="BP217" s="386">
        <f t="shared" si="144"/>
        <v>174.61184</v>
      </c>
      <c r="BQ217" s="386">
        <f t="shared" si="145"/>
        <v>40.836640000000003</v>
      </c>
      <c r="BR217" s="386">
        <f t="shared" si="146"/>
        <v>336.26860800000003</v>
      </c>
      <c r="BS217" s="386">
        <f t="shared" si="147"/>
        <v>20.305667200000002</v>
      </c>
      <c r="BT217" s="386">
        <f t="shared" si="148"/>
        <v>0</v>
      </c>
      <c r="BU217" s="386">
        <f t="shared" si="149"/>
        <v>8.6179392000000004</v>
      </c>
      <c r="BV217" s="386">
        <f t="shared" si="150"/>
        <v>7.0408000000000008</v>
      </c>
      <c r="BW217" s="386">
        <f t="shared" si="151"/>
        <v>0</v>
      </c>
      <c r="BX217" s="386">
        <f t="shared" si="166"/>
        <v>587.68149440000013</v>
      </c>
      <c r="BY217" s="386">
        <f t="shared" si="167"/>
        <v>0</v>
      </c>
      <c r="BZ217" s="386">
        <f t="shared" si="168"/>
        <v>0</v>
      </c>
      <c r="CA217" s="386">
        <f t="shared" si="169"/>
        <v>0</v>
      </c>
      <c r="CB217" s="386">
        <f t="shared" si="170"/>
        <v>0</v>
      </c>
      <c r="CC217" s="386">
        <f t="shared" si="152"/>
        <v>0</v>
      </c>
      <c r="CD217" s="386">
        <f t="shared" si="153"/>
        <v>0</v>
      </c>
      <c r="CE217" s="386">
        <f t="shared" si="154"/>
        <v>0</v>
      </c>
      <c r="CF217" s="386">
        <f t="shared" si="155"/>
        <v>-13.799968</v>
      </c>
      <c r="CG217" s="386">
        <f t="shared" si="156"/>
        <v>0</v>
      </c>
      <c r="CH217" s="386">
        <f t="shared" si="157"/>
        <v>0.28163200000000077</v>
      </c>
      <c r="CI217" s="386">
        <f t="shared" si="158"/>
        <v>0</v>
      </c>
      <c r="CJ217" s="386">
        <f t="shared" si="171"/>
        <v>-13.518336</v>
      </c>
      <c r="CK217" s="386" t="str">
        <f t="shared" si="172"/>
        <v/>
      </c>
      <c r="CL217" s="386" t="str">
        <f t="shared" si="173"/>
        <v/>
      </c>
      <c r="CM217" s="386" t="str">
        <f t="shared" si="174"/>
        <v/>
      </c>
      <c r="CN217" s="386" t="str">
        <f t="shared" si="175"/>
        <v>0338-01</v>
      </c>
    </row>
    <row r="218" spans="1:92" ht="15.75" thickBot="1" x14ac:dyDescent="0.3">
      <c r="A218" s="375" t="s">
        <v>161</v>
      </c>
      <c r="B218" s="375" t="s">
        <v>162</v>
      </c>
      <c r="C218" s="375" t="s">
        <v>993</v>
      </c>
      <c r="D218" s="375" t="s">
        <v>561</v>
      </c>
      <c r="E218" s="375" t="s">
        <v>526</v>
      </c>
      <c r="F218" s="381" t="s">
        <v>529</v>
      </c>
      <c r="G218" s="375" t="s">
        <v>549</v>
      </c>
      <c r="H218" s="377"/>
      <c r="I218" s="377"/>
      <c r="J218" s="375" t="s">
        <v>168</v>
      </c>
      <c r="K218" s="375" t="s">
        <v>562</v>
      </c>
      <c r="L218" s="375" t="s">
        <v>170</v>
      </c>
      <c r="M218" s="375" t="s">
        <v>177</v>
      </c>
      <c r="N218" s="375" t="s">
        <v>199</v>
      </c>
      <c r="O218" s="378">
        <v>1</v>
      </c>
      <c r="P218" s="384">
        <v>1</v>
      </c>
      <c r="Q218" s="384">
        <v>1</v>
      </c>
      <c r="R218" s="379">
        <v>80</v>
      </c>
      <c r="S218" s="384">
        <v>1</v>
      </c>
      <c r="T218" s="379">
        <v>47258.879999999997</v>
      </c>
      <c r="U218" s="379">
        <v>0</v>
      </c>
      <c r="V218" s="379">
        <v>20968.32</v>
      </c>
      <c r="W218" s="379">
        <v>51396.800000000003</v>
      </c>
      <c r="X218" s="379">
        <v>22621.65</v>
      </c>
      <c r="Y218" s="379">
        <v>51396.800000000003</v>
      </c>
      <c r="Z218" s="379">
        <v>22374.95</v>
      </c>
      <c r="AA218" s="375" t="s">
        <v>994</v>
      </c>
      <c r="AB218" s="375" t="s">
        <v>520</v>
      </c>
      <c r="AC218" s="375" t="s">
        <v>995</v>
      </c>
      <c r="AD218" s="375" t="s">
        <v>267</v>
      </c>
      <c r="AE218" s="375" t="s">
        <v>562</v>
      </c>
      <c r="AF218" s="375" t="s">
        <v>269</v>
      </c>
      <c r="AG218" s="375" t="s">
        <v>183</v>
      </c>
      <c r="AH218" s="380">
        <v>24.71</v>
      </c>
      <c r="AI218" s="378">
        <v>6164</v>
      </c>
      <c r="AJ218" s="375" t="s">
        <v>184</v>
      </c>
      <c r="AK218" s="375" t="s">
        <v>185</v>
      </c>
      <c r="AL218" s="375" t="s">
        <v>173</v>
      </c>
      <c r="AM218" s="375" t="s">
        <v>186</v>
      </c>
      <c r="AN218" s="375" t="s">
        <v>68</v>
      </c>
      <c r="AO218" s="378">
        <v>80</v>
      </c>
      <c r="AP218" s="384">
        <v>1</v>
      </c>
      <c r="AQ218" s="384">
        <v>1</v>
      </c>
      <c r="AR218" s="383" t="s">
        <v>187</v>
      </c>
      <c r="AS218" s="386">
        <f t="shared" si="159"/>
        <v>1</v>
      </c>
      <c r="AT218">
        <f t="shared" si="160"/>
        <v>1</v>
      </c>
      <c r="AU218" s="386">
        <f>IF(AT218=0,"",IF(AND(AT218=1,M218="F",SUMIF(C2:C557,C218,AS2:AS557)&lt;=1),SUMIF(C2:C557,C218,AS2:AS557),IF(AND(AT218=1,M218="F",SUMIF(C2:C557,C218,AS2:AS557)&gt;1),1,"")))</f>
        <v>1</v>
      </c>
      <c r="AV218" s="386" t="str">
        <f>IF(AT218=0,"",IF(AND(AT218=3,M218="F",SUMIF(C2:C557,C218,AS2:AS557)&lt;=1),SUMIF(C2:C557,C218,AS2:AS557),IF(AND(AT218=3,M218="F",SUMIF(C2:C557,C218,AS2:AS557)&gt;1),1,"")))</f>
        <v/>
      </c>
      <c r="AW218" s="386">
        <f>SUMIF(C2:C557,C218,O2:O557)</f>
        <v>1</v>
      </c>
      <c r="AX218" s="386">
        <f>IF(AND(M218="F",AS218&lt;&gt;0),SUMIF(C2:C557,C218,W2:W557),0)</f>
        <v>51396.800000000003</v>
      </c>
      <c r="AY218" s="386">
        <f t="shared" si="161"/>
        <v>51396.800000000003</v>
      </c>
      <c r="AZ218" s="386" t="str">
        <f t="shared" si="162"/>
        <v/>
      </c>
      <c r="BA218" s="386">
        <f t="shared" si="163"/>
        <v>0</v>
      </c>
      <c r="BB218" s="386">
        <f t="shared" si="132"/>
        <v>11650</v>
      </c>
      <c r="BC218" s="386">
        <f t="shared" si="133"/>
        <v>0</v>
      </c>
      <c r="BD218" s="386">
        <f t="shared" si="134"/>
        <v>3186.6016</v>
      </c>
      <c r="BE218" s="386">
        <f t="shared" si="135"/>
        <v>745.25360000000012</v>
      </c>
      <c r="BF218" s="386">
        <f t="shared" si="136"/>
        <v>6136.7779200000004</v>
      </c>
      <c r="BG218" s="386">
        <f t="shared" si="137"/>
        <v>370.57092800000004</v>
      </c>
      <c r="BH218" s="386">
        <f t="shared" si="138"/>
        <v>251.84432000000001</v>
      </c>
      <c r="BI218" s="386">
        <f t="shared" si="139"/>
        <v>157.27420799999999</v>
      </c>
      <c r="BJ218" s="386">
        <f t="shared" si="140"/>
        <v>123.35231999999999</v>
      </c>
      <c r="BK218" s="386">
        <f t="shared" si="141"/>
        <v>0</v>
      </c>
      <c r="BL218" s="386">
        <f t="shared" si="164"/>
        <v>10971.674896</v>
      </c>
      <c r="BM218" s="386">
        <f t="shared" si="165"/>
        <v>0</v>
      </c>
      <c r="BN218" s="386">
        <f t="shared" si="142"/>
        <v>11650</v>
      </c>
      <c r="BO218" s="386">
        <f t="shared" si="143"/>
        <v>0</v>
      </c>
      <c r="BP218" s="386">
        <f t="shared" si="144"/>
        <v>3186.6016</v>
      </c>
      <c r="BQ218" s="386">
        <f t="shared" si="145"/>
        <v>745.25360000000012</v>
      </c>
      <c r="BR218" s="386">
        <f t="shared" si="146"/>
        <v>6136.7779200000004</v>
      </c>
      <c r="BS218" s="386">
        <f t="shared" si="147"/>
        <v>370.57092800000004</v>
      </c>
      <c r="BT218" s="386">
        <f t="shared" si="148"/>
        <v>0</v>
      </c>
      <c r="BU218" s="386">
        <f t="shared" si="149"/>
        <v>157.27420799999999</v>
      </c>
      <c r="BV218" s="386">
        <f t="shared" si="150"/>
        <v>128.49200000000002</v>
      </c>
      <c r="BW218" s="386">
        <f t="shared" si="151"/>
        <v>0</v>
      </c>
      <c r="BX218" s="386">
        <f t="shared" si="166"/>
        <v>10724.970256000001</v>
      </c>
      <c r="BY218" s="386">
        <f t="shared" si="167"/>
        <v>0</v>
      </c>
      <c r="BZ218" s="386">
        <f t="shared" si="168"/>
        <v>0</v>
      </c>
      <c r="CA218" s="386">
        <f t="shared" si="169"/>
        <v>0</v>
      </c>
      <c r="CB218" s="386">
        <f t="shared" si="170"/>
        <v>0</v>
      </c>
      <c r="CC218" s="386">
        <f t="shared" si="152"/>
        <v>0</v>
      </c>
      <c r="CD218" s="386">
        <f t="shared" si="153"/>
        <v>0</v>
      </c>
      <c r="CE218" s="386">
        <f t="shared" si="154"/>
        <v>0</v>
      </c>
      <c r="CF218" s="386">
        <f t="shared" si="155"/>
        <v>-251.84432000000001</v>
      </c>
      <c r="CG218" s="386">
        <f t="shared" si="156"/>
        <v>0</v>
      </c>
      <c r="CH218" s="386">
        <f t="shared" si="157"/>
        <v>5.1396800000000136</v>
      </c>
      <c r="CI218" s="386">
        <f t="shared" si="158"/>
        <v>0</v>
      </c>
      <c r="CJ218" s="386">
        <f t="shared" si="171"/>
        <v>-246.70463999999998</v>
      </c>
      <c r="CK218" s="386" t="str">
        <f t="shared" si="172"/>
        <v/>
      </c>
      <c r="CL218" s="386" t="str">
        <f t="shared" si="173"/>
        <v/>
      </c>
      <c r="CM218" s="386" t="str">
        <f t="shared" si="174"/>
        <v/>
      </c>
      <c r="CN218" s="386" t="str">
        <f t="shared" si="175"/>
        <v>0338-02</v>
      </c>
    </row>
    <row r="219" spans="1:92" ht="15.75" thickBot="1" x14ac:dyDescent="0.3">
      <c r="A219" s="375" t="s">
        <v>161</v>
      </c>
      <c r="B219" s="375" t="s">
        <v>162</v>
      </c>
      <c r="C219" s="375" t="s">
        <v>996</v>
      </c>
      <c r="D219" s="375" t="s">
        <v>555</v>
      </c>
      <c r="E219" s="375" t="s">
        <v>526</v>
      </c>
      <c r="F219" s="381" t="s">
        <v>529</v>
      </c>
      <c r="G219" s="375" t="s">
        <v>549</v>
      </c>
      <c r="H219" s="377"/>
      <c r="I219" s="377"/>
      <c r="J219" s="375" t="s">
        <v>168</v>
      </c>
      <c r="K219" s="375" t="s">
        <v>556</v>
      </c>
      <c r="L219" s="375" t="s">
        <v>220</v>
      </c>
      <c r="M219" s="375" t="s">
        <v>177</v>
      </c>
      <c r="N219" s="375" t="s">
        <v>199</v>
      </c>
      <c r="O219" s="378">
        <v>1</v>
      </c>
      <c r="P219" s="384">
        <v>1</v>
      </c>
      <c r="Q219" s="384">
        <v>1</v>
      </c>
      <c r="R219" s="379">
        <v>80</v>
      </c>
      <c r="S219" s="384">
        <v>1</v>
      </c>
      <c r="T219" s="379">
        <v>70936.479999999996</v>
      </c>
      <c r="U219" s="379">
        <v>0</v>
      </c>
      <c r="V219" s="379">
        <v>26161.58</v>
      </c>
      <c r="W219" s="379">
        <v>73465.600000000006</v>
      </c>
      <c r="X219" s="379">
        <v>27332.67</v>
      </c>
      <c r="Y219" s="379">
        <v>73465.600000000006</v>
      </c>
      <c r="Z219" s="379">
        <v>26980.04</v>
      </c>
      <c r="AA219" s="375" t="s">
        <v>997</v>
      </c>
      <c r="AB219" s="375" t="s">
        <v>998</v>
      </c>
      <c r="AC219" s="375" t="s">
        <v>233</v>
      </c>
      <c r="AD219" s="375" t="s">
        <v>257</v>
      </c>
      <c r="AE219" s="375" t="s">
        <v>556</v>
      </c>
      <c r="AF219" s="375" t="s">
        <v>252</v>
      </c>
      <c r="AG219" s="375" t="s">
        <v>183</v>
      </c>
      <c r="AH219" s="380">
        <v>35.32</v>
      </c>
      <c r="AI219" s="380">
        <v>68673.399999999994</v>
      </c>
      <c r="AJ219" s="375" t="s">
        <v>184</v>
      </c>
      <c r="AK219" s="375" t="s">
        <v>185</v>
      </c>
      <c r="AL219" s="375" t="s">
        <v>173</v>
      </c>
      <c r="AM219" s="375" t="s">
        <v>186</v>
      </c>
      <c r="AN219" s="375" t="s">
        <v>68</v>
      </c>
      <c r="AO219" s="378">
        <v>80</v>
      </c>
      <c r="AP219" s="384">
        <v>1</v>
      </c>
      <c r="AQ219" s="384">
        <v>1</v>
      </c>
      <c r="AR219" s="383" t="s">
        <v>187</v>
      </c>
      <c r="AS219" s="386">
        <f t="shared" si="159"/>
        <v>1</v>
      </c>
      <c r="AT219">
        <f t="shared" si="160"/>
        <v>1</v>
      </c>
      <c r="AU219" s="386">
        <f>IF(AT219=0,"",IF(AND(AT219=1,M219="F",SUMIF(C2:C557,C219,AS2:AS557)&lt;=1),SUMIF(C2:C557,C219,AS2:AS557),IF(AND(AT219=1,M219="F",SUMIF(C2:C557,C219,AS2:AS557)&gt;1),1,"")))</f>
        <v>1</v>
      </c>
      <c r="AV219" s="386" t="str">
        <f>IF(AT219=0,"",IF(AND(AT219=3,M219="F",SUMIF(C2:C557,C219,AS2:AS557)&lt;=1),SUMIF(C2:C557,C219,AS2:AS557),IF(AND(AT219=3,M219="F",SUMIF(C2:C557,C219,AS2:AS557)&gt;1),1,"")))</f>
        <v/>
      </c>
      <c r="AW219" s="386">
        <f>SUMIF(C2:C557,C219,O2:O557)</f>
        <v>1</v>
      </c>
      <c r="AX219" s="386">
        <f>IF(AND(M219="F",AS219&lt;&gt;0),SUMIF(C2:C557,C219,W2:W557),0)</f>
        <v>73465.600000000006</v>
      </c>
      <c r="AY219" s="386">
        <f t="shared" si="161"/>
        <v>73465.600000000006</v>
      </c>
      <c r="AZ219" s="386" t="str">
        <f t="shared" si="162"/>
        <v/>
      </c>
      <c r="BA219" s="386">
        <f t="shared" si="163"/>
        <v>0</v>
      </c>
      <c r="BB219" s="386">
        <f t="shared" si="132"/>
        <v>11650</v>
      </c>
      <c r="BC219" s="386">
        <f t="shared" si="133"/>
        <v>0</v>
      </c>
      <c r="BD219" s="386">
        <f t="shared" si="134"/>
        <v>4554.8672000000006</v>
      </c>
      <c r="BE219" s="386">
        <f t="shared" si="135"/>
        <v>1065.2512000000002</v>
      </c>
      <c r="BF219" s="386">
        <f t="shared" si="136"/>
        <v>8771.7926400000015</v>
      </c>
      <c r="BG219" s="386">
        <f t="shared" si="137"/>
        <v>529.68697600000007</v>
      </c>
      <c r="BH219" s="386">
        <f t="shared" si="138"/>
        <v>359.98144000000002</v>
      </c>
      <c r="BI219" s="386">
        <f t="shared" si="139"/>
        <v>224.80473599999999</v>
      </c>
      <c r="BJ219" s="386">
        <f t="shared" si="140"/>
        <v>176.31744</v>
      </c>
      <c r="BK219" s="386">
        <f t="shared" si="141"/>
        <v>0</v>
      </c>
      <c r="BL219" s="386">
        <f t="shared" si="164"/>
        <v>15682.701632000004</v>
      </c>
      <c r="BM219" s="386">
        <f t="shared" si="165"/>
        <v>0</v>
      </c>
      <c r="BN219" s="386">
        <f t="shared" si="142"/>
        <v>11650</v>
      </c>
      <c r="BO219" s="386">
        <f t="shared" si="143"/>
        <v>0</v>
      </c>
      <c r="BP219" s="386">
        <f t="shared" si="144"/>
        <v>4554.8672000000006</v>
      </c>
      <c r="BQ219" s="386">
        <f t="shared" si="145"/>
        <v>1065.2512000000002</v>
      </c>
      <c r="BR219" s="386">
        <f t="shared" si="146"/>
        <v>8771.7926400000015</v>
      </c>
      <c r="BS219" s="386">
        <f t="shared" si="147"/>
        <v>529.68697600000007</v>
      </c>
      <c r="BT219" s="386">
        <f t="shared" si="148"/>
        <v>0</v>
      </c>
      <c r="BU219" s="386">
        <f t="shared" si="149"/>
        <v>224.80473599999999</v>
      </c>
      <c r="BV219" s="386">
        <f t="shared" si="150"/>
        <v>183.66400000000002</v>
      </c>
      <c r="BW219" s="386">
        <f t="shared" si="151"/>
        <v>0</v>
      </c>
      <c r="BX219" s="386">
        <f t="shared" si="166"/>
        <v>15330.066752000004</v>
      </c>
      <c r="BY219" s="386">
        <f t="shared" si="167"/>
        <v>0</v>
      </c>
      <c r="BZ219" s="386">
        <f t="shared" si="168"/>
        <v>0</v>
      </c>
      <c r="CA219" s="386">
        <f t="shared" si="169"/>
        <v>0</v>
      </c>
      <c r="CB219" s="386">
        <f t="shared" si="170"/>
        <v>0</v>
      </c>
      <c r="CC219" s="386">
        <f t="shared" si="152"/>
        <v>0</v>
      </c>
      <c r="CD219" s="386">
        <f t="shared" si="153"/>
        <v>0</v>
      </c>
      <c r="CE219" s="386">
        <f t="shared" si="154"/>
        <v>0</v>
      </c>
      <c r="CF219" s="386">
        <f t="shared" si="155"/>
        <v>-359.98144000000002</v>
      </c>
      <c r="CG219" s="386">
        <f t="shared" si="156"/>
        <v>0</v>
      </c>
      <c r="CH219" s="386">
        <f t="shared" si="157"/>
        <v>7.3465600000000197</v>
      </c>
      <c r="CI219" s="386">
        <f t="shared" si="158"/>
        <v>0</v>
      </c>
      <c r="CJ219" s="386">
        <f t="shared" si="171"/>
        <v>-352.63488000000001</v>
      </c>
      <c r="CK219" s="386" t="str">
        <f t="shared" si="172"/>
        <v/>
      </c>
      <c r="CL219" s="386" t="str">
        <f t="shared" si="173"/>
        <v/>
      </c>
      <c r="CM219" s="386" t="str">
        <f t="shared" si="174"/>
        <v/>
      </c>
      <c r="CN219" s="386" t="str">
        <f t="shared" si="175"/>
        <v>0338-02</v>
      </c>
    </row>
    <row r="220" spans="1:92" ht="15.75" thickBot="1" x14ac:dyDescent="0.3">
      <c r="A220" s="375" t="s">
        <v>161</v>
      </c>
      <c r="B220" s="375" t="s">
        <v>162</v>
      </c>
      <c r="C220" s="375" t="s">
        <v>999</v>
      </c>
      <c r="D220" s="375" t="s">
        <v>628</v>
      </c>
      <c r="E220" s="375" t="s">
        <v>526</v>
      </c>
      <c r="F220" s="381" t="s">
        <v>529</v>
      </c>
      <c r="G220" s="375" t="s">
        <v>549</v>
      </c>
      <c r="H220" s="377"/>
      <c r="I220" s="377"/>
      <c r="J220" s="375" t="s">
        <v>168</v>
      </c>
      <c r="K220" s="375" t="s">
        <v>629</v>
      </c>
      <c r="L220" s="375" t="s">
        <v>173</v>
      </c>
      <c r="M220" s="375" t="s">
        <v>177</v>
      </c>
      <c r="N220" s="375" t="s">
        <v>199</v>
      </c>
      <c r="O220" s="378">
        <v>1</v>
      </c>
      <c r="P220" s="384">
        <v>1</v>
      </c>
      <c r="Q220" s="384">
        <v>1</v>
      </c>
      <c r="R220" s="379">
        <v>80</v>
      </c>
      <c r="S220" s="384">
        <v>1</v>
      </c>
      <c r="T220" s="379">
        <v>42199.56</v>
      </c>
      <c r="U220" s="379">
        <v>0</v>
      </c>
      <c r="V220" s="379">
        <v>15854.87</v>
      </c>
      <c r="W220" s="379">
        <v>76044.800000000003</v>
      </c>
      <c r="X220" s="379">
        <v>27883.23</v>
      </c>
      <c r="Y220" s="379">
        <v>76044.800000000003</v>
      </c>
      <c r="Z220" s="379">
        <v>27518.23</v>
      </c>
      <c r="AA220" s="375" t="s">
        <v>1000</v>
      </c>
      <c r="AB220" s="375" t="s">
        <v>1001</v>
      </c>
      <c r="AC220" s="375" t="s">
        <v>1002</v>
      </c>
      <c r="AD220" s="375" t="s">
        <v>233</v>
      </c>
      <c r="AE220" s="375" t="s">
        <v>629</v>
      </c>
      <c r="AF220" s="375" t="s">
        <v>305</v>
      </c>
      <c r="AG220" s="375" t="s">
        <v>183</v>
      </c>
      <c r="AH220" s="380">
        <v>36.56</v>
      </c>
      <c r="AI220" s="380">
        <v>42727.5</v>
      </c>
      <c r="AJ220" s="375" t="s">
        <v>184</v>
      </c>
      <c r="AK220" s="375" t="s">
        <v>185</v>
      </c>
      <c r="AL220" s="375" t="s">
        <v>173</v>
      </c>
      <c r="AM220" s="375" t="s">
        <v>186</v>
      </c>
      <c r="AN220" s="375" t="s">
        <v>68</v>
      </c>
      <c r="AO220" s="378">
        <v>80</v>
      </c>
      <c r="AP220" s="384">
        <v>1</v>
      </c>
      <c r="AQ220" s="384">
        <v>1</v>
      </c>
      <c r="AR220" s="383" t="s">
        <v>187</v>
      </c>
      <c r="AS220" s="386">
        <f t="shared" si="159"/>
        <v>1</v>
      </c>
      <c r="AT220">
        <f t="shared" si="160"/>
        <v>1</v>
      </c>
      <c r="AU220" s="386">
        <f>IF(AT220=0,"",IF(AND(AT220=1,M220="F",SUMIF(C2:C557,C220,AS2:AS557)&lt;=1),SUMIF(C2:C557,C220,AS2:AS557),IF(AND(AT220=1,M220="F",SUMIF(C2:C557,C220,AS2:AS557)&gt;1),1,"")))</f>
        <v>1</v>
      </c>
      <c r="AV220" s="386" t="str">
        <f>IF(AT220=0,"",IF(AND(AT220=3,M220="F",SUMIF(C2:C557,C220,AS2:AS557)&lt;=1),SUMIF(C2:C557,C220,AS2:AS557),IF(AND(AT220=3,M220="F",SUMIF(C2:C557,C220,AS2:AS557)&gt;1),1,"")))</f>
        <v/>
      </c>
      <c r="AW220" s="386">
        <f>SUMIF(C2:C557,C220,O2:O557)</f>
        <v>1</v>
      </c>
      <c r="AX220" s="386">
        <f>IF(AND(M220="F",AS220&lt;&gt;0),SUMIF(C2:C557,C220,W2:W557),0)</f>
        <v>76044.800000000003</v>
      </c>
      <c r="AY220" s="386">
        <f t="shared" si="161"/>
        <v>76044.800000000003</v>
      </c>
      <c r="AZ220" s="386" t="str">
        <f t="shared" si="162"/>
        <v/>
      </c>
      <c r="BA220" s="386">
        <f t="shared" si="163"/>
        <v>0</v>
      </c>
      <c r="BB220" s="386">
        <f t="shared" si="132"/>
        <v>11650</v>
      </c>
      <c r="BC220" s="386">
        <f t="shared" si="133"/>
        <v>0</v>
      </c>
      <c r="BD220" s="386">
        <f t="shared" si="134"/>
        <v>4714.7776000000003</v>
      </c>
      <c r="BE220" s="386">
        <f t="shared" si="135"/>
        <v>1102.6496000000002</v>
      </c>
      <c r="BF220" s="386">
        <f t="shared" si="136"/>
        <v>9079.7491200000004</v>
      </c>
      <c r="BG220" s="386">
        <f t="shared" si="137"/>
        <v>548.283008</v>
      </c>
      <c r="BH220" s="386">
        <f t="shared" si="138"/>
        <v>372.61952000000002</v>
      </c>
      <c r="BI220" s="386">
        <f t="shared" si="139"/>
        <v>232.69708799999998</v>
      </c>
      <c r="BJ220" s="386">
        <f t="shared" si="140"/>
        <v>182.50752</v>
      </c>
      <c r="BK220" s="386">
        <f t="shared" si="141"/>
        <v>0</v>
      </c>
      <c r="BL220" s="386">
        <f t="shared" si="164"/>
        <v>16233.283456000001</v>
      </c>
      <c r="BM220" s="386">
        <f t="shared" si="165"/>
        <v>0</v>
      </c>
      <c r="BN220" s="386">
        <f t="shared" si="142"/>
        <v>11650</v>
      </c>
      <c r="BO220" s="386">
        <f t="shared" si="143"/>
        <v>0</v>
      </c>
      <c r="BP220" s="386">
        <f t="shared" si="144"/>
        <v>4714.7776000000003</v>
      </c>
      <c r="BQ220" s="386">
        <f t="shared" si="145"/>
        <v>1102.6496000000002</v>
      </c>
      <c r="BR220" s="386">
        <f t="shared" si="146"/>
        <v>9079.7491200000004</v>
      </c>
      <c r="BS220" s="386">
        <f t="shared" si="147"/>
        <v>548.283008</v>
      </c>
      <c r="BT220" s="386">
        <f t="shared" si="148"/>
        <v>0</v>
      </c>
      <c r="BU220" s="386">
        <f t="shared" si="149"/>
        <v>232.69708799999998</v>
      </c>
      <c r="BV220" s="386">
        <f t="shared" si="150"/>
        <v>190.11200000000002</v>
      </c>
      <c r="BW220" s="386">
        <f t="shared" si="151"/>
        <v>0</v>
      </c>
      <c r="BX220" s="386">
        <f t="shared" si="166"/>
        <v>15868.268416000001</v>
      </c>
      <c r="BY220" s="386">
        <f t="shared" si="167"/>
        <v>0</v>
      </c>
      <c r="BZ220" s="386">
        <f t="shared" si="168"/>
        <v>0</v>
      </c>
      <c r="CA220" s="386">
        <f t="shared" si="169"/>
        <v>0</v>
      </c>
      <c r="CB220" s="386">
        <f t="shared" si="170"/>
        <v>0</v>
      </c>
      <c r="CC220" s="386">
        <f t="shared" si="152"/>
        <v>0</v>
      </c>
      <c r="CD220" s="386">
        <f t="shared" si="153"/>
        <v>0</v>
      </c>
      <c r="CE220" s="386">
        <f t="shared" si="154"/>
        <v>0</v>
      </c>
      <c r="CF220" s="386">
        <f t="shared" si="155"/>
        <v>-372.61952000000002</v>
      </c>
      <c r="CG220" s="386">
        <f t="shared" si="156"/>
        <v>0</v>
      </c>
      <c r="CH220" s="386">
        <f t="shared" si="157"/>
        <v>7.6044800000000201</v>
      </c>
      <c r="CI220" s="386">
        <f t="shared" si="158"/>
        <v>0</v>
      </c>
      <c r="CJ220" s="386">
        <f t="shared" si="171"/>
        <v>-365.01504</v>
      </c>
      <c r="CK220" s="386" t="str">
        <f t="shared" si="172"/>
        <v/>
      </c>
      <c r="CL220" s="386" t="str">
        <f t="shared" si="173"/>
        <v/>
      </c>
      <c r="CM220" s="386" t="str">
        <f t="shared" si="174"/>
        <v/>
      </c>
      <c r="CN220" s="386" t="str">
        <f t="shared" si="175"/>
        <v>0338-02</v>
      </c>
    </row>
    <row r="221" spans="1:92" ht="15.75" thickBot="1" x14ac:dyDescent="0.3">
      <c r="A221" s="375" t="s">
        <v>161</v>
      </c>
      <c r="B221" s="375" t="s">
        <v>162</v>
      </c>
      <c r="C221" s="375" t="s">
        <v>1003</v>
      </c>
      <c r="D221" s="375" t="s">
        <v>555</v>
      </c>
      <c r="E221" s="375" t="s">
        <v>526</v>
      </c>
      <c r="F221" s="381" t="s">
        <v>529</v>
      </c>
      <c r="G221" s="375" t="s">
        <v>549</v>
      </c>
      <c r="H221" s="377"/>
      <c r="I221" s="377"/>
      <c r="J221" s="375" t="s">
        <v>168</v>
      </c>
      <c r="K221" s="375" t="s">
        <v>556</v>
      </c>
      <c r="L221" s="375" t="s">
        <v>220</v>
      </c>
      <c r="M221" s="375" t="s">
        <v>177</v>
      </c>
      <c r="N221" s="375" t="s">
        <v>199</v>
      </c>
      <c r="O221" s="378">
        <v>1</v>
      </c>
      <c r="P221" s="384">
        <v>1</v>
      </c>
      <c r="Q221" s="384">
        <v>1</v>
      </c>
      <c r="R221" s="379">
        <v>80</v>
      </c>
      <c r="S221" s="384">
        <v>1</v>
      </c>
      <c r="T221" s="379">
        <v>64734.720000000001</v>
      </c>
      <c r="U221" s="379">
        <v>0</v>
      </c>
      <c r="V221" s="379">
        <v>24905.25</v>
      </c>
      <c r="W221" s="379">
        <v>67080</v>
      </c>
      <c r="X221" s="379">
        <v>25969.55</v>
      </c>
      <c r="Y221" s="379">
        <v>67080</v>
      </c>
      <c r="Z221" s="379">
        <v>25647.57</v>
      </c>
      <c r="AA221" s="375" t="s">
        <v>1004</v>
      </c>
      <c r="AB221" s="375" t="s">
        <v>1005</v>
      </c>
      <c r="AC221" s="375" t="s">
        <v>1006</v>
      </c>
      <c r="AD221" s="375" t="s">
        <v>1007</v>
      </c>
      <c r="AE221" s="375" t="s">
        <v>556</v>
      </c>
      <c r="AF221" s="375" t="s">
        <v>252</v>
      </c>
      <c r="AG221" s="375" t="s">
        <v>183</v>
      </c>
      <c r="AH221" s="380">
        <v>32.25</v>
      </c>
      <c r="AI221" s="380">
        <v>29823.5</v>
      </c>
      <c r="AJ221" s="375" t="s">
        <v>184</v>
      </c>
      <c r="AK221" s="375" t="s">
        <v>185</v>
      </c>
      <c r="AL221" s="375" t="s">
        <v>173</v>
      </c>
      <c r="AM221" s="375" t="s">
        <v>186</v>
      </c>
      <c r="AN221" s="375" t="s">
        <v>68</v>
      </c>
      <c r="AO221" s="378">
        <v>80</v>
      </c>
      <c r="AP221" s="384">
        <v>1</v>
      </c>
      <c r="AQ221" s="384">
        <v>1</v>
      </c>
      <c r="AR221" s="383" t="s">
        <v>187</v>
      </c>
      <c r="AS221" s="386">
        <f t="shared" si="159"/>
        <v>1</v>
      </c>
      <c r="AT221">
        <f t="shared" si="160"/>
        <v>1</v>
      </c>
      <c r="AU221" s="386">
        <f>IF(AT221=0,"",IF(AND(AT221=1,M221="F",SUMIF(C2:C557,C221,AS2:AS557)&lt;=1),SUMIF(C2:C557,C221,AS2:AS557),IF(AND(AT221=1,M221="F",SUMIF(C2:C557,C221,AS2:AS557)&gt;1),1,"")))</f>
        <v>1</v>
      </c>
      <c r="AV221" s="386" t="str">
        <f>IF(AT221=0,"",IF(AND(AT221=3,M221="F",SUMIF(C2:C557,C221,AS2:AS557)&lt;=1),SUMIF(C2:C557,C221,AS2:AS557),IF(AND(AT221=3,M221="F",SUMIF(C2:C557,C221,AS2:AS557)&gt;1),1,"")))</f>
        <v/>
      </c>
      <c r="AW221" s="386">
        <f>SUMIF(C2:C557,C221,O2:O557)</f>
        <v>1</v>
      </c>
      <c r="AX221" s="386">
        <f>IF(AND(M221="F",AS221&lt;&gt;0),SUMIF(C2:C557,C221,W2:W557),0)</f>
        <v>67080</v>
      </c>
      <c r="AY221" s="386">
        <f t="shared" si="161"/>
        <v>67080</v>
      </c>
      <c r="AZ221" s="386" t="str">
        <f t="shared" si="162"/>
        <v/>
      </c>
      <c r="BA221" s="386">
        <f t="shared" si="163"/>
        <v>0</v>
      </c>
      <c r="BB221" s="386">
        <f t="shared" si="132"/>
        <v>11650</v>
      </c>
      <c r="BC221" s="386">
        <f t="shared" si="133"/>
        <v>0</v>
      </c>
      <c r="BD221" s="386">
        <f t="shared" si="134"/>
        <v>4158.96</v>
      </c>
      <c r="BE221" s="386">
        <f t="shared" si="135"/>
        <v>972.66000000000008</v>
      </c>
      <c r="BF221" s="386">
        <f t="shared" si="136"/>
        <v>8009.3520000000008</v>
      </c>
      <c r="BG221" s="386">
        <f t="shared" si="137"/>
        <v>483.64680000000004</v>
      </c>
      <c r="BH221" s="386">
        <f t="shared" si="138"/>
        <v>328.69200000000001</v>
      </c>
      <c r="BI221" s="386">
        <f t="shared" si="139"/>
        <v>205.26479999999998</v>
      </c>
      <c r="BJ221" s="386">
        <f t="shared" si="140"/>
        <v>160.99199999999999</v>
      </c>
      <c r="BK221" s="386">
        <f t="shared" si="141"/>
        <v>0</v>
      </c>
      <c r="BL221" s="386">
        <f t="shared" si="164"/>
        <v>14319.567600000004</v>
      </c>
      <c r="BM221" s="386">
        <f t="shared" si="165"/>
        <v>0</v>
      </c>
      <c r="BN221" s="386">
        <f t="shared" si="142"/>
        <v>11650</v>
      </c>
      <c r="BO221" s="386">
        <f t="shared" si="143"/>
        <v>0</v>
      </c>
      <c r="BP221" s="386">
        <f t="shared" si="144"/>
        <v>4158.96</v>
      </c>
      <c r="BQ221" s="386">
        <f t="shared" si="145"/>
        <v>972.66000000000008</v>
      </c>
      <c r="BR221" s="386">
        <f t="shared" si="146"/>
        <v>8009.3520000000008</v>
      </c>
      <c r="BS221" s="386">
        <f t="shared" si="147"/>
        <v>483.64680000000004</v>
      </c>
      <c r="BT221" s="386">
        <f t="shared" si="148"/>
        <v>0</v>
      </c>
      <c r="BU221" s="386">
        <f t="shared" si="149"/>
        <v>205.26479999999998</v>
      </c>
      <c r="BV221" s="386">
        <f t="shared" si="150"/>
        <v>167.70000000000002</v>
      </c>
      <c r="BW221" s="386">
        <f t="shared" si="151"/>
        <v>0</v>
      </c>
      <c r="BX221" s="386">
        <f t="shared" si="166"/>
        <v>13997.583600000004</v>
      </c>
      <c r="BY221" s="386">
        <f t="shared" si="167"/>
        <v>0</v>
      </c>
      <c r="BZ221" s="386">
        <f t="shared" si="168"/>
        <v>0</v>
      </c>
      <c r="CA221" s="386">
        <f t="shared" si="169"/>
        <v>0</v>
      </c>
      <c r="CB221" s="386">
        <f t="shared" si="170"/>
        <v>0</v>
      </c>
      <c r="CC221" s="386">
        <f t="shared" si="152"/>
        <v>0</v>
      </c>
      <c r="CD221" s="386">
        <f t="shared" si="153"/>
        <v>0</v>
      </c>
      <c r="CE221" s="386">
        <f t="shared" si="154"/>
        <v>0</v>
      </c>
      <c r="CF221" s="386">
        <f t="shared" si="155"/>
        <v>-328.69200000000001</v>
      </c>
      <c r="CG221" s="386">
        <f t="shared" si="156"/>
        <v>0</v>
      </c>
      <c r="CH221" s="386">
        <f t="shared" si="157"/>
        <v>6.7080000000000179</v>
      </c>
      <c r="CI221" s="386">
        <f t="shared" si="158"/>
        <v>0</v>
      </c>
      <c r="CJ221" s="386">
        <f t="shared" si="171"/>
        <v>-321.98399999999998</v>
      </c>
      <c r="CK221" s="386" t="str">
        <f t="shared" si="172"/>
        <v/>
      </c>
      <c r="CL221" s="386" t="str">
        <f t="shared" si="173"/>
        <v/>
      </c>
      <c r="CM221" s="386" t="str">
        <f t="shared" si="174"/>
        <v/>
      </c>
      <c r="CN221" s="386" t="str">
        <f t="shared" si="175"/>
        <v>0338-02</v>
      </c>
    </row>
    <row r="222" spans="1:92" ht="15.75" thickBot="1" x14ac:dyDescent="0.3">
      <c r="A222" s="375" t="s">
        <v>161</v>
      </c>
      <c r="B222" s="375" t="s">
        <v>162</v>
      </c>
      <c r="C222" s="375" t="s">
        <v>1008</v>
      </c>
      <c r="D222" s="375" t="s">
        <v>746</v>
      </c>
      <c r="E222" s="375" t="s">
        <v>526</v>
      </c>
      <c r="F222" s="381" t="s">
        <v>529</v>
      </c>
      <c r="G222" s="375" t="s">
        <v>549</v>
      </c>
      <c r="H222" s="377"/>
      <c r="I222" s="377"/>
      <c r="J222" s="375" t="s">
        <v>168</v>
      </c>
      <c r="K222" s="375" t="s">
        <v>747</v>
      </c>
      <c r="L222" s="375" t="s">
        <v>210</v>
      </c>
      <c r="M222" s="375" t="s">
        <v>177</v>
      </c>
      <c r="N222" s="375" t="s">
        <v>199</v>
      </c>
      <c r="O222" s="378">
        <v>1</v>
      </c>
      <c r="P222" s="384">
        <v>1</v>
      </c>
      <c r="Q222" s="384">
        <v>1</v>
      </c>
      <c r="R222" s="379">
        <v>80</v>
      </c>
      <c r="S222" s="384">
        <v>1</v>
      </c>
      <c r="T222" s="379">
        <v>37670.400000000001</v>
      </c>
      <c r="U222" s="379">
        <v>0</v>
      </c>
      <c r="V222" s="379">
        <v>19438.63</v>
      </c>
      <c r="W222" s="379">
        <v>39166.400000000001</v>
      </c>
      <c r="X222" s="379">
        <v>20010.8</v>
      </c>
      <c r="Y222" s="379">
        <v>39166.400000000001</v>
      </c>
      <c r="Z222" s="379">
        <v>19822.810000000001</v>
      </c>
      <c r="AA222" s="375" t="s">
        <v>1009</v>
      </c>
      <c r="AB222" s="375" t="s">
        <v>531</v>
      </c>
      <c r="AC222" s="375" t="s">
        <v>1010</v>
      </c>
      <c r="AD222" s="375" t="s">
        <v>194</v>
      </c>
      <c r="AE222" s="375" t="s">
        <v>747</v>
      </c>
      <c r="AF222" s="375" t="s">
        <v>215</v>
      </c>
      <c r="AG222" s="375" t="s">
        <v>183</v>
      </c>
      <c r="AH222" s="380">
        <v>18.829999999999998</v>
      </c>
      <c r="AI222" s="380">
        <v>35000.9</v>
      </c>
      <c r="AJ222" s="375" t="s">
        <v>184</v>
      </c>
      <c r="AK222" s="375" t="s">
        <v>185</v>
      </c>
      <c r="AL222" s="375" t="s">
        <v>173</v>
      </c>
      <c r="AM222" s="375" t="s">
        <v>186</v>
      </c>
      <c r="AN222" s="375" t="s">
        <v>68</v>
      </c>
      <c r="AO222" s="378">
        <v>80</v>
      </c>
      <c r="AP222" s="384">
        <v>1</v>
      </c>
      <c r="AQ222" s="384">
        <v>1</v>
      </c>
      <c r="AR222" s="383" t="s">
        <v>187</v>
      </c>
      <c r="AS222" s="386">
        <f t="shared" si="159"/>
        <v>1</v>
      </c>
      <c r="AT222">
        <f t="shared" si="160"/>
        <v>1</v>
      </c>
      <c r="AU222" s="386">
        <f>IF(AT222=0,"",IF(AND(AT222=1,M222="F",SUMIF(C2:C557,C222,AS2:AS557)&lt;=1),SUMIF(C2:C557,C222,AS2:AS557),IF(AND(AT222=1,M222="F",SUMIF(C2:C557,C222,AS2:AS557)&gt;1),1,"")))</f>
        <v>1</v>
      </c>
      <c r="AV222" s="386" t="str">
        <f>IF(AT222=0,"",IF(AND(AT222=3,M222="F",SUMIF(C2:C557,C222,AS2:AS557)&lt;=1),SUMIF(C2:C557,C222,AS2:AS557),IF(AND(AT222=3,M222="F",SUMIF(C2:C557,C222,AS2:AS557)&gt;1),1,"")))</f>
        <v/>
      </c>
      <c r="AW222" s="386">
        <f>SUMIF(C2:C557,C222,O2:O557)</f>
        <v>1</v>
      </c>
      <c r="AX222" s="386">
        <f>IF(AND(M222="F",AS222&lt;&gt;0),SUMIF(C2:C557,C222,W2:W557),0)</f>
        <v>39166.400000000001</v>
      </c>
      <c r="AY222" s="386">
        <f t="shared" si="161"/>
        <v>39166.400000000001</v>
      </c>
      <c r="AZ222" s="386" t="str">
        <f t="shared" si="162"/>
        <v/>
      </c>
      <c r="BA222" s="386">
        <f t="shared" si="163"/>
        <v>0</v>
      </c>
      <c r="BB222" s="386">
        <f t="shared" si="132"/>
        <v>11650</v>
      </c>
      <c r="BC222" s="386">
        <f t="shared" si="133"/>
        <v>0</v>
      </c>
      <c r="BD222" s="386">
        <f t="shared" si="134"/>
        <v>2428.3168000000001</v>
      </c>
      <c r="BE222" s="386">
        <f t="shared" si="135"/>
        <v>567.91280000000006</v>
      </c>
      <c r="BF222" s="386">
        <f t="shared" si="136"/>
        <v>4676.4681600000004</v>
      </c>
      <c r="BG222" s="386">
        <f t="shared" si="137"/>
        <v>282.38974400000001</v>
      </c>
      <c r="BH222" s="386">
        <f t="shared" si="138"/>
        <v>191.91535999999999</v>
      </c>
      <c r="BI222" s="386">
        <f t="shared" si="139"/>
        <v>119.84918399999999</v>
      </c>
      <c r="BJ222" s="386">
        <f t="shared" si="140"/>
        <v>93.999359999999996</v>
      </c>
      <c r="BK222" s="386">
        <f t="shared" si="141"/>
        <v>0</v>
      </c>
      <c r="BL222" s="386">
        <f t="shared" si="164"/>
        <v>8360.8514080000004</v>
      </c>
      <c r="BM222" s="386">
        <f t="shared" si="165"/>
        <v>0</v>
      </c>
      <c r="BN222" s="386">
        <f t="shared" si="142"/>
        <v>11650</v>
      </c>
      <c r="BO222" s="386">
        <f t="shared" si="143"/>
        <v>0</v>
      </c>
      <c r="BP222" s="386">
        <f t="shared" si="144"/>
        <v>2428.3168000000001</v>
      </c>
      <c r="BQ222" s="386">
        <f t="shared" si="145"/>
        <v>567.91280000000006</v>
      </c>
      <c r="BR222" s="386">
        <f t="shared" si="146"/>
        <v>4676.4681600000004</v>
      </c>
      <c r="BS222" s="386">
        <f t="shared" si="147"/>
        <v>282.38974400000001</v>
      </c>
      <c r="BT222" s="386">
        <f t="shared" si="148"/>
        <v>0</v>
      </c>
      <c r="BU222" s="386">
        <f t="shared" si="149"/>
        <v>119.84918399999999</v>
      </c>
      <c r="BV222" s="386">
        <f t="shared" si="150"/>
        <v>97.916000000000011</v>
      </c>
      <c r="BW222" s="386">
        <f t="shared" si="151"/>
        <v>0</v>
      </c>
      <c r="BX222" s="386">
        <f t="shared" si="166"/>
        <v>8172.8526880000009</v>
      </c>
      <c r="BY222" s="386">
        <f t="shared" si="167"/>
        <v>0</v>
      </c>
      <c r="BZ222" s="386">
        <f t="shared" si="168"/>
        <v>0</v>
      </c>
      <c r="CA222" s="386">
        <f t="shared" si="169"/>
        <v>0</v>
      </c>
      <c r="CB222" s="386">
        <f t="shared" si="170"/>
        <v>0</v>
      </c>
      <c r="CC222" s="386">
        <f t="shared" si="152"/>
        <v>0</v>
      </c>
      <c r="CD222" s="386">
        <f t="shared" si="153"/>
        <v>0</v>
      </c>
      <c r="CE222" s="386">
        <f t="shared" si="154"/>
        <v>0</v>
      </c>
      <c r="CF222" s="386">
        <f t="shared" si="155"/>
        <v>-191.91535999999999</v>
      </c>
      <c r="CG222" s="386">
        <f t="shared" si="156"/>
        <v>0</v>
      </c>
      <c r="CH222" s="386">
        <f t="shared" si="157"/>
        <v>3.9166400000000103</v>
      </c>
      <c r="CI222" s="386">
        <f t="shared" si="158"/>
        <v>0</v>
      </c>
      <c r="CJ222" s="386">
        <f t="shared" si="171"/>
        <v>-187.99871999999999</v>
      </c>
      <c r="CK222" s="386" t="str">
        <f t="shared" si="172"/>
        <v/>
      </c>
      <c r="CL222" s="386" t="str">
        <f t="shared" si="173"/>
        <v/>
      </c>
      <c r="CM222" s="386" t="str">
        <f t="shared" si="174"/>
        <v/>
      </c>
      <c r="CN222" s="386" t="str">
        <f t="shared" si="175"/>
        <v>0338-02</v>
      </c>
    </row>
    <row r="223" spans="1:92" ht="15.75" thickBot="1" x14ac:dyDescent="0.3">
      <c r="A223" s="375" t="s">
        <v>161</v>
      </c>
      <c r="B223" s="375" t="s">
        <v>162</v>
      </c>
      <c r="C223" s="375" t="s">
        <v>1011</v>
      </c>
      <c r="D223" s="375" t="s">
        <v>617</v>
      </c>
      <c r="E223" s="375" t="s">
        <v>526</v>
      </c>
      <c r="F223" s="381" t="s">
        <v>529</v>
      </c>
      <c r="G223" s="375" t="s">
        <v>549</v>
      </c>
      <c r="H223" s="377"/>
      <c r="I223" s="377"/>
      <c r="J223" s="375" t="s">
        <v>168</v>
      </c>
      <c r="K223" s="375" t="s">
        <v>618</v>
      </c>
      <c r="L223" s="375" t="s">
        <v>173</v>
      </c>
      <c r="M223" s="375" t="s">
        <v>177</v>
      </c>
      <c r="N223" s="375" t="s">
        <v>199</v>
      </c>
      <c r="O223" s="378">
        <v>1</v>
      </c>
      <c r="P223" s="384">
        <v>1</v>
      </c>
      <c r="Q223" s="384">
        <v>1</v>
      </c>
      <c r="R223" s="379">
        <v>80</v>
      </c>
      <c r="S223" s="384">
        <v>1</v>
      </c>
      <c r="T223" s="379">
        <v>52720</v>
      </c>
      <c r="U223" s="379">
        <v>0</v>
      </c>
      <c r="V223" s="379">
        <v>21406.07</v>
      </c>
      <c r="W223" s="379">
        <v>63440</v>
      </c>
      <c r="X223" s="379">
        <v>25192.51</v>
      </c>
      <c r="Y223" s="379">
        <v>63440</v>
      </c>
      <c r="Z223" s="379">
        <v>24888.01</v>
      </c>
      <c r="AA223" s="375" t="s">
        <v>1012</v>
      </c>
      <c r="AB223" s="375" t="s">
        <v>1013</v>
      </c>
      <c r="AC223" s="375" t="s">
        <v>1014</v>
      </c>
      <c r="AD223" s="375" t="s">
        <v>220</v>
      </c>
      <c r="AE223" s="375" t="s">
        <v>618</v>
      </c>
      <c r="AF223" s="375" t="s">
        <v>305</v>
      </c>
      <c r="AG223" s="375" t="s">
        <v>183</v>
      </c>
      <c r="AH223" s="380">
        <v>30.5</v>
      </c>
      <c r="AI223" s="378">
        <v>16641</v>
      </c>
      <c r="AJ223" s="375" t="s">
        <v>184</v>
      </c>
      <c r="AK223" s="375" t="s">
        <v>185</v>
      </c>
      <c r="AL223" s="375" t="s">
        <v>173</v>
      </c>
      <c r="AM223" s="375" t="s">
        <v>186</v>
      </c>
      <c r="AN223" s="375" t="s">
        <v>68</v>
      </c>
      <c r="AO223" s="378">
        <v>80</v>
      </c>
      <c r="AP223" s="384">
        <v>1</v>
      </c>
      <c r="AQ223" s="384">
        <v>1</v>
      </c>
      <c r="AR223" s="383" t="s">
        <v>187</v>
      </c>
      <c r="AS223" s="386">
        <f t="shared" si="159"/>
        <v>1</v>
      </c>
      <c r="AT223">
        <f t="shared" si="160"/>
        <v>1</v>
      </c>
      <c r="AU223" s="386">
        <f>IF(AT223=0,"",IF(AND(AT223=1,M223="F",SUMIF(C2:C557,C223,AS2:AS557)&lt;=1),SUMIF(C2:C557,C223,AS2:AS557),IF(AND(AT223=1,M223="F",SUMIF(C2:C557,C223,AS2:AS557)&gt;1),1,"")))</f>
        <v>1</v>
      </c>
      <c r="AV223" s="386" t="str">
        <f>IF(AT223=0,"",IF(AND(AT223=3,M223="F",SUMIF(C2:C557,C223,AS2:AS557)&lt;=1),SUMIF(C2:C557,C223,AS2:AS557),IF(AND(AT223=3,M223="F",SUMIF(C2:C557,C223,AS2:AS557)&gt;1),1,"")))</f>
        <v/>
      </c>
      <c r="AW223" s="386">
        <f>SUMIF(C2:C557,C223,O2:O557)</f>
        <v>1</v>
      </c>
      <c r="AX223" s="386">
        <f>IF(AND(M223="F",AS223&lt;&gt;0),SUMIF(C2:C557,C223,W2:W557),0)</f>
        <v>63440</v>
      </c>
      <c r="AY223" s="386">
        <f t="shared" si="161"/>
        <v>63440</v>
      </c>
      <c r="AZ223" s="386" t="str">
        <f t="shared" si="162"/>
        <v/>
      </c>
      <c r="BA223" s="386">
        <f t="shared" si="163"/>
        <v>0</v>
      </c>
      <c r="BB223" s="386">
        <f t="shared" si="132"/>
        <v>11650</v>
      </c>
      <c r="BC223" s="386">
        <f t="shared" si="133"/>
        <v>0</v>
      </c>
      <c r="BD223" s="386">
        <f t="shared" si="134"/>
        <v>3933.2799999999997</v>
      </c>
      <c r="BE223" s="386">
        <f t="shared" si="135"/>
        <v>919.88</v>
      </c>
      <c r="BF223" s="386">
        <f t="shared" si="136"/>
        <v>7574.7360000000008</v>
      </c>
      <c r="BG223" s="386">
        <f t="shared" si="137"/>
        <v>457.4024</v>
      </c>
      <c r="BH223" s="386">
        <f t="shared" si="138"/>
        <v>310.85599999999999</v>
      </c>
      <c r="BI223" s="386">
        <f t="shared" si="139"/>
        <v>194.12639999999999</v>
      </c>
      <c r="BJ223" s="386">
        <f t="shared" si="140"/>
        <v>152.256</v>
      </c>
      <c r="BK223" s="386">
        <f t="shared" si="141"/>
        <v>0</v>
      </c>
      <c r="BL223" s="386">
        <f t="shared" si="164"/>
        <v>13542.5368</v>
      </c>
      <c r="BM223" s="386">
        <f t="shared" si="165"/>
        <v>0</v>
      </c>
      <c r="BN223" s="386">
        <f t="shared" si="142"/>
        <v>11650</v>
      </c>
      <c r="BO223" s="386">
        <f t="shared" si="143"/>
        <v>0</v>
      </c>
      <c r="BP223" s="386">
        <f t="shared" si="144"/>
        <v>3933.2799999999997</v>
      </c>
      <c r="BQ223" s="386">
        <f t="shared" si="145"/>
        <v>919.88</v>
      </c>
      <c r="BR223" s="386">
        <f t="shared" si="146"/>
        <v>7574.7360000000008</v>
      </c>
      <c r="BS223" s="386">
        <f t="shared" si="147"/>
        <v>457.4024</v>
      </c>
      <c r="BT223" s="386">
        <f t="shared" si="148"/>
        <v>0</v>
      </c>
      <c r="BU223" s="386">
        <f t="shared" si="149"/>
        <v>194.12639999999999</v>
      </c>
      <c r="BV223" s="386">
        <f t="shared" si="150"/>
        <v>158.6</v>
      </c>
      <c r="BW223" s="386">
        <f t="shared" si="151"/>
        <v>0</v>
      </c>
      <c r="BX223" s="386">
        <f t="shared" si="166"/>
        <v>13238.024800000001</v>
      </c>
      <c r="BY223" s="386">
        <f t="shared" si="167"/>
        <v>0</v>
      </c>
      <c r="BZ223" s="386">
        <f t="shared" si="168"/>
        <v>0</v>
      </c>
      <c r="CA223" s="386">
        <f t="shared" si="169"/>
        <v>0</v>
      </c>
      <c r="CB223" s="386">
        <f t="shared" si="170"/>
        <v>0</v>
      </c>
      <c r="CC223" s="386">
        <f t="shared" si="152"/>
        <v>0</v>
      </c>
      <c r="CD223" s="386">
        <f t="shared" si="153"/>
        <v>0</v>
      </c>
      <c r="CE223" s="386">
        <f t="shared" si="154"/>
        <v>0</v>
      </c>
      <c r="CF223" s="386">
        <f t="shared" si="155"/>
        <v>-310.85599999999999</v>
      </c>
      <c r="CG223" s="386">
        <f t="shared" si="156"/>
        <v>0</v>
      </c>
      <c r="CH223" s="386">
        <f t="shared" si="157"/>
        <v>6.3440000000000163</v>
      </c>
      <c r="CI223" s="386">
        <f t="shared" si="158"/>
        <v>0</v>
      </c>
      <c r="CJ223" s="386">
        <f t="shared" si="171"/>
        <v>-304.512</v>
      </c>
      <c r="CK223" s="386" t="str">
        <f t="shared" si="172"/>
        <v/>
      </c>
      <c r="CL223" s="386" t="str">
        <f t="shared" si="173"/>
        <v/>
      </c>
      <c r="CM223" s="386" t="str">
        <f t="shared" si="174"/>
        <v/>
      </c>
      <c r="CN223" s="386" t="str">
        <f t="shared" si="175"/>
        <v>0338-02</v>
      </c>
    </row>
    <row r="224" spans="1:92" ht="15.75" thickBot="1" x14ac:dyDescent="0.3">
      <c r="A224" s="375" t="s">
        <v>161</v>
      </c>
      <c r="B224" s="375" t="s">
        <v>162</v>
      </c>
      <c r="C224" s="375" t="s">
        <v>1015</v>
      </c>
      <c r="D224" s="375" t="s">
        <v>710</v>
      </c>
      <c r="E224" s="375" t="s">
        <v>526</v>
      </c>
      <c r="F224" s="381" t="s">
        <v>529</v>
      </c>
      <c r="G224" s="375" t="s">
        <v>549</v>
      </c>
      <c r="H224" s="377"/>
      <c r="I224" s="377"/>
      <c r="J224" s="375" t="s">
        <v>168</v>
      </c>
      <c r="K224" s="375" t="s">
        <v>711</v>
      </c>
      <c r="L224" s="375" t="s">
        <v>183</v>
      </c>
      <c r="M224" s="375" t="s">
        <v>171</v>
      </c>
      <c r="N224" s="375" t="s">
        <v>262</v>
      </c>
      <c r="O224" s="378">
        <v>0</v>
      </c>
      <c r="P224" s="384">
        <v>1</v>
      </c>
      <c r="Q224" s="384">
        <v>0</v>
      </c>
      <c r="R224" s="379">
        <v>0</v>
      </c>
      <c r="S224" s="384">
        <v>0</v>
      </c>
      <c r="T224" s="379">
        <v>0</v>
      </c>
      <c r="U224" s="379">
        <v>0</v>
      </c>
      <c r="V224" s="379">
        <v>0</v>
      </c>
      <c r="W224" s="379">
        <v>0</v>
      </c>
      <c r="X224" s="379">
        <v>0</v>
      </c>
      <c r="Y224" s="379">
        <v>0</v>
      </c>
      <c r="Z224" s="379">
        <v>0</v>
      </c>
      <c r="AA224" s="377"/>
      <c r="AB224" s="375" t="s">
        <v>45</v>
      </c>
      <c r="AC224" s="375" t="s">
        <v>45</v>
      </c>
      <c r="AD224" s="377"/>
      <c r="AE224" s="377"/>
      <c r="AF224" s="377"/>
      <c r="AG224" s="377"/>
      <c r="AH224" s="378">
        <v>0</v>
      </c>
      <c r="AI224" s="378">
        <v>0</v>
      </c>
      <c r="AJ224" s="377"/>
      <c r="AK224" s="377"/>
      <c r="AL224" s="375" t="s">
        <v>173</v>
      </c>
      <c r="AM224" s="377"/>
      <c r="AN224" s="377"/>
      <c r="AO224" s="378">
        <v>0</v>
      </c>
      <c r="AP224" s="384">
        <v>0</v>
      </c>
      <c r="AQ224" s="384">
        <v>0</v>
      </c>
      <c r="AR224" s="382"/>
      <c r="AS224" s="386">
        <f t="shared" si="159"/>
        <v>0</v>
      </c>
      <c r="AT224">
        <f t="shared" si="160"/>
        <v>0</v>
      </c>
      <c r="AU224" s="386" t="str">
        <f>IF(AT224=0,"",IF(AND(AT224=1,M224="F",SUMIF(C2:C557,C224,AS2:AS557)&lt;=1),SUMIF(C2:C557,C224,AS2:AS557),IF(AND(AT224=1,M224="F",SUMIF(C2:C557,C224,AS2:AS557)&gt;1),1,"")))</f>
        <v/>
      </c>
      <c r="AV224" s="386" t="str">
        <f>IF(AT224=0,"",IF(AND(AT224=3,M224="F",SUMIF(C2:C557,C224,AS2:AS557)&lt;=1),SUMIF(C2:C557,C224,AS2:AS557),IF(AND(AT224=3,M224="F",SUMIF(C2:C557,C224,AS2:AS557)&gt;1),1,"")))</f>
        <v/>
      </c>
      <c r="AW224" s="386">
        <f>SUMIF(C2:C557,C224,O2:O557)</f>
        <v>0</v>
      </c>
      <c r="AX224" s="386">
        <f>IF(AND(M224="F",AS224&lt;&gt;0),SUMIF(C2:C557,C224,W2:W557),0)</f>
        <v>0</v>
      </c>
      <c r="AY224" s="386" t="str">
        <f t="shared" si="161"/>
        <v/>
      </c>
      <c r="AZ224" s="386" t="str">
        <f t="shared" si="162"/>
        <v/>
      </c>
      <c r="BA224" s="386">
        <f t="shared" si="163"/>
        <v>0</v>
      </c>
      <c r="BB224" s="386">
        <f t="shared" si="132"/>
        <v>0</v>
      </c>
      <c r="BC224" s="386">
        <f t="shared" si="133"/>
        <v>0</v>
      </c>
      <c r="BD224" s="386">
        <f t="shared" si="134"/>
        <v>0</v>
      </c>
      <c r="BE224" s="386">
        <f t="shared" si="135"/>
        <v>0</v>
      </c>
      <c r="BF224" s="386">
        <f t="shared" si="136"/>
        <v>0</v>
      </c>
      <c r="BG224" s="386">
        <f t="shared" si="137"/>
        <v>0</v>
      </c>
      <c r="BH224" s="386">
        <f t="shared" si="138"/>
        <v>0</v>
      </c>
      <c r="BI224" s="386">
        <f t="shared" si="139"/>
        <v>0</v>
      </c>
      <c r="BJ224" s="386">
        <f t="shared" si="140"/>
        <v>0</v>
      </c>
      <c r="BK224" s="386">
        <f t="shared" si="141"/>
        <v>0</v>
      </c>
      <c r="BL224" s="386">
        <f t="shared" si="164"/>
        <v>0</v>
      </c>
      <c r="BM224" s="386">
        <f t="shared" si="165"/>
        <v>0</v>
      </c>
      <c r="BN224" s="386">
        <f t="shared" si="142"/>
        <v>0</v>
      </c>
      <c r="BO224" s="386">
        <f t="shared" si="143"/>
        <v>0</v>
      </c>
      <c r="BP224" s="386">
        <f t="shared" si="144"/>
        <v>0</v>
      </c>
      <c r="BQ224" s="386">
        <f t="shared" si="145"/>
        <v>0</v>
      </c>
      <c r="BR224" s="386">
        <f t="shared" si="146"/>
        <v>0</v>
      </c>
      <c r="BS224" s="386">
        <f t="shared" si="147"/>
        <v>0</v>
      </c>
      <c r="BT224" s="386">
        <f t="shared" si="148"/>
        <v>0</v>
      </c>
      <c r="BU224" s="386">
        <f t="shared" si="149"/>
        <v>0</v>
      </c>
      <c r="BV224" s="386">
        <f t="shared" si="150"/>
        <v>0</v>
      </c>
      <c r="BW224" s="386">
        <f t="shared" si="151"/>
        <v>0</v>
      </c>
      <c r="BX224" s="386">
        <f t="shared" si="166"/>
        <v>0</v>
      </c>
      <c r="BY224" s="386">
        <f t="shared" si="167"/>
        <v>0</v>
      </c>
      <c r="BZ224" s="386">
        <f t="shared" si="168"/>
        <v>0</v>
      </c>
      <c r="CA224" s="386">
        <f t="shared" si="169"/>
        <v>0</v>
      </c>
      <c r="CB224" s="386">
        <f t="shared" si="170"/>
        <v>0</v>
      </c>
      <c r="CC224" s="386">
        <f t="shared" si="152"/>
        <v>0</v>
      </c>
      <c r="CD224" s="386">
        <f t="shared" si="153"/>
        <v>0</v>
      </c>
      <c r="CE224" s="386">
        <f t="shared" si="154"/>
        <v>0</v>
      </c>
      <c r="CF224" s="386">
        <f t="shared" si="155"/>
        <v>0</v>
      </c>
      <c r="CG224" s="386">
        <f t="shared" si="156"/>
        <v>0</v>
      </c>
      <c r="CH224" s="386">
        <f t="shared" si="157"/>
        <v>0</v>
      </c>
      <c r="CI224" s="386">
        <f t="shared" si="158"/>
        <v>0</v>
      </c>
      <c r="CJ224" s="386">
        <f t="shared" si="171"/>
        <v>0</v>
      </c>
      <c r="CK224" s="386" t="str">
        <f t="shared" si="172"/>
        <v/>
      </c>
      <c r="CL224" s="386">
        <f t="shared" si="173"/>
        <v>0</v>
      </c>
      <c r="CM224" s="386">
        <f t="shared" si="174"/>
        <v>0</v>
      </c>
      <c r="CN224" s="386" t="str">
        <f t="shared" si="175"/>
        <v>0338-02</v>
      </c>
    </row>
    <row r="225" spans="1:92" ht="15.75" thickBot="1" x14ac:dyDescent="0.3">
      <c r="A225" s="375" t="s">
        <v>161</v>
      </c>
      <c r="B225" s="375" t="s">
        <v>162</v>
      </c>
      <c r="C225" s="375" t="s">
        <v>1016</v>
      </c>
      <c r="D225" s="375" t="s">
        <v>617</v>
      </c>
      <c r="E225" s="375" t="s">
        <v>526</v>
      </c>
      <c r="F225" s="381" t="s">
        <v>529</v>
      </c>
      <c r="G225" s="375" t="s">
        <v>549</v>
      </c>
      <c r="H225" s="377"/>
      <c r="I225" s="377"/>
      <c r="J225" s="375" t="s">
        <v>168</v>
      </c>
      <c r="K225" s="375" t="s">
        <v>618</v>
      </c>
      <c r="L225" s="375" t="s">
        <v>173</v>
      </c>
      <c r="M225" s="375" t="s">
        <v>177</v>
      </c>
      <c r="N225" s="375" t="s">
        <v>199</v>
      </c>
      <c r="O225" s="378">
        <v>1</v>
      </c>
      <c r="P225" s="384">
        <v>1</v>
      </c>
      <c r="Q225" s="384">
        <v>1</v>
      </c>
      <c r="R225" s="379">
        <v>80</v>
      </c>
      <c r="S225" s="384">
        <v>1</v>
      </c>
      <c r="T225" s="379">
        <v>67475.210000000006</v>
      </c>
      <c r="U225" s="379">
        <v>0</v>
      </c>
      <c r="V225" s="379">
        <v>25470.52</v>
      </c>
      <c r="W225" s="379">
        <v>69992</v>
      </c>
      <c r="X225" s="379">
        <v>26591.17</v>
      </c>
      <c r="Y225" s="379">
        <v>69992</v>
      </c>
      <c r="Z225" s="379">
        <v>26255.21</v>
      </c>
      <c r="AA225" s="375" t="s">
        <v>1017</v>
      </c>
      <c r="AB225" s="375" t="s">
        <v>891</v>
      </c>
      <c r="AC225" s="375" t="s">
        <v>361</v>
      </c>
      <c r="AD225" s="375" t="s">
        <v>214</v>
      </c>
      <c r="AE225" s="375" t="s">
        <v>618</v>
      </c>
      <c r="AF225" s="375" t="s">
        <v>305</v>
      </c>
      <c r="AG225" s="375" t="s">
        <v>183</v>
      </c>
      <c r="AH225" s="380">
        <v>33.65</v>
      </c>
      <c r="AI225" s="380">
        <v>27906.7</v>
      </c>
      <c r="AJ225" s="375" t="s">
        <v>184</v>
      </c>
      <c r="AK225" s="375" t="s">
        <v>185</v>
      </c>
      <c r="AL225" s="375" t="s">
        <v>173</v>
      </c>
      <c r="AM225" s="375" t="s">
        <v>186</v>
      </c>
      <c r="AN225" s="375" t="s">
        <v>68</v>
      </c>
      <c r="AO225" s="378">
        <v>80</v>
      </c>
      <c r="AP225" s="384">
        <v>1</v>
      </c>
      <c r="AQ225" s="384">
        <v>1</v>
      </c>
      <c r="AR225" s="383" t="s">
        <v>187</v>
      </c>
      <c r="AS225" s="386">
        <f t="shared" si="159"/>
        <v>1</v>
      </c>
      <c r="AT225">
        <f t="shared" si="160"/>
        <v>1</v>
      </c>
      <c r="AU225" s="386">
        <f>IF(AT225=0,"",IF(AND(AT225=1,M225="F",SUMIF(C2:C557,C225,AS2:AS557)&lt;=1),SUMIF(C2:C557,C225,AS2:AS557),IF(AND(AT225=1,M225="F",SUMIF(C2:C557,C225,AS2:AS557)&gt;1),1,"")))</f>
        <v>1</v>
      </c>
      <c r="AV225" s="386" t="str">
        <f>IF(AT225=0,"",IF(AND(AT225=3,M225="F",SUMIF(C2:C557,C225,AS2:AS557)&lt;=1),SUMIF(C2:C557,C225,AS2:AS557),IF(AND(AT225=3,M225="F",SUMIF(C2:C557,C225,AS2:AS557)&gt;1),1,"")))</f>
        <v/>
      </c>
      <c r="AW225" s="386">
        <f>SUMIF(C2:C557,C225,O2:O557)</f>
        <v>1</v>
      </c>
      <c r="AX225" s="386">
        <f>IF(AND(M225="F",AS225&lt;&gt;0),SUMIF(C2:C557,C225,W2:W557),0)</f>
        <v>69992</v>
      </c>
      <c r="AY225" s="386">
        <f t="shared" si="161"/>
        <v>69992</v>
      </c>
      <c r="AZ225" s="386" t="str">
        <f t="shared" si="162"/>
        <v/>
      </c>
      <c r="BA225" s="386">
        <f t="shared" si="163"/>
        <v>0</v>
      </c>
      <c r="BB225" s="386">
        <f t="shared" si="132"/>
        <v>11650</v>
      </c>
      <c r="BC225" s="386">
        <f t="shared" si="133"/>
        <v>0</v>
      </c>
      <c r="BD225" s="386">
        <f t="shared" si="134"/>
        <v>4339.5039999999999</v>
      </c>
      <c r="BE225" s="386">
        <f t="shared" si="135"/>
        <v>1014.884</v>
      </c>
      <c r="BF225" s="386">
        <f t="shared" si="136"/>
        <v>8357.0447999999997</v>
      </c>
      <c r="BG225" s="386">
        <f t="shared" si="137"/>
        <v>504.64232000000004</v>
      </c>
      <c r="BH225" s="386">
        <f t="shared" si="138"/>
        <v>342.96080000000001</v>
      </c>
      <c r="BI225" s="386">
        <f t="shared" si="139"/>
        <v>214.17551999999998</v>
      </c>
      <c r="BJ225" s="386">
        <f t="shared" si="140"/>
        <v>167.98079999999999</v>
      </c>
      <c r="BK225" s="386">
        <f t="shared" si="141"/>
        <v>0</v>
      </c>
      <c r="BL225" s="386">
        <f t="shared" si="164"/>
        <v>14941.19224</v>
      </c>
      <c r="BM225" s="386">
        <f t="shared" si="165"/>
        <v>0</v>
      </c>
      <c r="BN225" s="386">
        <f t="shared" si="142"/>
        <v>11650</v>
      </c>
      <c r="BO225" s="386">
        <f t="shared" si="143"/>
        <v>0</v>
      </c>
      <c r="BP225" s="386">
        <f t="shared" si="144"/>
        <v>4339.5039999999999</v>
      </c>
      <c r="BQ225" s="386">
        <f t="shared" si="145"/>
        <v>1014.884</v>
      </c>
      <c r="BR225" s="386">
        <f t="shared" si="146"/>
        <v>8357.0447999999997</v>
      </c>
      <c r="BS225" s="386">
        <f t="shared" si="147"/>
        <v>504.64232000000004</v>
      </c>
      <c r="BT225" s="386">
        <f t="shared" si="148"/>
        <v>0</v>
      </c>
      <c r="BU225" s="386">
        <f t="shared" si="149"/>
        <v>214.17551999999998</v>
      </c>
      <c r="BV225" s="386">
        <f t="shared" si="150"/>
        <v>174.98</v>
      </c>
      <c r="BW225" s="386">
        <f t="shared" si="151"/>
        <v>0</v>
      </c>
      <c r="BX225" s="386">
        <f t="shared" si="166"/>
        <v>14605.23064</v>
      </c>
      <c r="BY225" s="386">
        <f t="shared" si="167"/>
        <v>0</v>
      </c>
      <c r="BZ225" s="386">
        <f t="shared" si="168"/>
        <v>0</v>
      </c>
      <c r="CA225" s="386">
        <f t="shared" si="169"/>
        <v>0</v>
      </c>
      <c r="CB225" s="386">
        <f t="shared" si="170"/>
        <v>0</v>
      </c>
      <c r="CC225" s="386">
        <f t="shared" si="152"/>
        <v>0</v>
      </c>
      <c r="CD225" s="386">
        <f t="shared" si="153"/>
        <v>0</v>
      </c>
      <c r="CE225" s="386">
        <f t="shared" si="154"/>
        <v>0</v>
      </c>
      <c r="CF225" s="386">
        <f t="shared" si="155"/>
        <v>-342.96080000000001</v>
      </c>
      <c r="CG225" s="386">
        <f t="shared" si="156"/>
        <v>0</v>
      </c>
      <c r="CH225" s="386">
        <f t="shared" si="157"/>
        <v>6.9992000000000187</v>
      </c>
      <c r="CI225" s="386">
        <f t="shared" si="158"/>
        <v>0</v>
      </c>
      <c r="CJ225" s="386">
        <f t="shared" si="171"/>
        <v>-335.96159999999998</v>
      </c>
      <c r="CK225" s="386" t="str">
        <f t="shared" si="172"/>
        <v/>
      </c>
      <c r="CL225" s="386" t="str">
        <f t="shared" si="173"/>
        <v/>
      </c>
      <c r="CM225" s="386" t="str">
        <f t="shared" si="174"/>
        <v/>
      </c>
      <c r="CN225" s="386" t="str">
        <f t="shared" si="175"/>
        <v>0338-02</v>
      </c>
    </row>
    <row r="226" spans="1:92" ht="15.75" thickBot="1" x14ac:dyDescent="0.3">
      <c r="A226" s="375" t="s">
        <v>161</v>
      </c>
      <c r="B226" s="375" t="s">
        <v>162</v>
      </c>
      <c r="C226" s="375" t="s">
        <v>533</v>
      </c>
      <c r="D226" s="375" t="s">
        <v>189</v>
      </c>
      <c r="E226" s="375" t="s">
        <v>526</v>
      </c>
      <c r="F226" s="381" t="s">
        <v>529</v>
      </c>
      <c r="G226" s="375" t="s">
        <v>549</v>
      </c>
      <c r="H226" s="377"/>
      <c r="I226" s="377"/>
      <c r="J226" s="375" t="s">
        <v>168</v>
      </c>
      <c r="K226" s="375" t="s">
        <v>190</v>
      </c>
      <c r="L226" s="375" t="s">
        <v>166</v>
      </c>
      <c r="M226" s="375" t="s">
        <v>177</v>
      </c>
      <c r="N226" s="375" t="s">
        <v>172</v>
      </c>
      <c r="O226" s="378">
        <v>1</v>
      </c>
      <c r="P226" s="384">
        <v>0</v>
      </c>
      <c r="Q226" s="384">
        <v>0</v>
      </c>
      <c r="R226" s="379">
        <v>80</v>
      </c>
      <c r="S226" s="384">
        <v>0</v>
      </c>
      <c r="T226" s="379">
        <v>104089.86</v>
      </c>
      <c r="U226" s="379">
        <v>0</v>
      </c>
      <c r="V226" s="379">
        <v>34401.339999999997</v>
      </c>
      <c r="W226" s="379">
        <v>0</v>
      </c>
      <c r="X226" s="379">
        <v>0</v>
      </c>
      <c r="Y226" s="379">
        <v>0</v>
      </c>
      <c r="Z226" s="379">
        <v>0</v>
      </c>
      <c r="AA226" s="375" t="s">
        <v>534</v>
      </c>
      <c r="AB226" s="375" t="s">
        <v>535</v>
      </c>
      <c r="AC226" s="375" t="s">
        <v>536</v>
      </c>
      <c r="AD226" s="375" t="s">
        <v>181</v>
      </c>
      <c r="AE226" s="375" t="s">
        <v>190</v>
      </c>
      <c r="AF226" s="375" t="s">
        <v>182</v>
      </c>
      <c r="AG226" s="375" t="s">
        <v>195</v>
      </c>
      <c r="AH226" s="378">
        <v>106072</v>
      </c>
      <c r="AI226" s="378">
        <v>1520</v>
      </c>
      <c r="AJ226" s="375" t="s">
        <v>184</v>
      </c>
      <c r="AK226" s="375" t="s">
        <v>185</v>
      </c>
      <c r="AL226" s="375" t="s">
        <v>173</v>
      </c>
      <c r="AM226" s="375" t="s">
        <v>173</v>
      </c>
      <c r="AN226" s="375" t="s">
        <v>68</v>
      </c>
      <c r="AO226" s="378">
        <v>80</v>
      </c>
      <c r="AP226" s="384">
        <v>1</v>
      </c>
      <c r="AQ226" s="384">
        <v>0</v>
      </c>
      <c r="AR226" s="383" t="s">
        <v>187</v>
      </c>
      <c r="AS226" s="386">
        <f t="shared" si="159"/>
        <v>0</v>
      </c>
      <c r="AT226">
        <f t="shared" si="160"/>
        <v>0</v>
      </c>
      <c r="AU226" s="386" t="str">
        <f>IF(AT226=0,"",IF(AND(AT226=1,M226="F",SUMIF(C2:C557,C226,AS2:AS557)&lt;=1),SUMIF(C2:C557,C226,AS2:AS557),IF(AND(AT226=1,M226="F",SUMIF(C2:C557,C226,AS2:AS557)&gt;1),1,"")))</f>
        <v/>
      </c>
      <c r="AV226" s="386" t="str">
        <f>IF(AT226=0,"",IF(AND(AT226=3,M226="F",SUMIF(C2:C557,C226,AS2:AS557)&lt;=1),SUMIF(C2:C557,C226,AS2:AS557),IF(AND(AT226=3,M226="F",SUMIF(C2:C557,C226,AS2:AS557)&gt;1),1,"")))</f>
        <v/>
      </c>
      <c r="AW226" s="386">
        <f>SUMIF(C2:C557,C226,O2:O557)</f>
        <v>2</v>
      </c>
      <c r="AX226" s="386">
        <f>IF(AND(M226="F",AS226&lt;&gt;0),SUMIF(C2:C557,C226,W2:W557),0)</f>
        <v>0</v>
      </c>
      <c r="AY226" s="386" t="str">
        <f t="shared" si="161"/>
        <v/>
      </c>
      <c r="AZ226" s="386" t="str">
        <f t="shared" si="162"/>
        <v/>
      </c>
      <c r="BA226" s="386">
        <f t="shared" si="163"/>
        <v>0</v>
      </c>
      <c r="BB226" s="386">
        <f t="shared" si="132"/>
        <v>0</v>
      </c>
      <c r="BC226" s="386">
        <f t="shared" si="133"/>
        <v>0</v>
      </c>
      <c r="BD226" s="386">
        <f t="shared" si="134"/>
        <v>0</v>
      </c>
      <c r="BE226" s="386">
        <f t="shared" si="135"/>
        <v>0</v>
      </c>
      <c r="BF226" s="386">
        <f t="shared" si="136"/>
        <v>0</v>
      </c>
      <c r="BG226" s="386">
        <f t="shared" si="137"/>
        <v>0</v>
      </c>
      <c r="BH226" s="386">
        <f t="shared" si="138"/>
        <v>0</v>
      </c>
      <c r="BI226" s="386">
        <f t="shared" si="139"/>
        <v>0</v>
      </c>
      <c r="BJ226" s="386">
        <f t="shared" si="140"/>
        <v>0</v>
      </c>
      <c r="BK226" s="386">
        <f t="shared" si="141"/>
        <v>0</v>
      </c>
      <c r="BL226" s="386">
        <f t="shared" si="164"/>
        <v>0</v>
      </c>
      <c r="BM226" s="386">
        <f t="shared" si="165"/>
        <v>0</v>
      </c>
      <c r="BN226" s="386">
        <f t="shared" si="142"/>
        <v>0</v>
      </c>
      <c r="BO226" s="386">
        <f t="shared" si="143"/>
        <v>0</v>
      </c>
      <c r="BP226" s="386">
        <f t="shared" si="144"/>
        <v>0</v>
      </c>
      <c r="BQ226" s="386">
        <f t="shared" si="145"/>
        <v>0</v>
      </c>
      <c r="BR226" s="386">
        <f t="shared" si="146"/>
        <v>0</v>
      </c>
      <c r="BS226" s="386">
        <f t="shared" si="147"/>
        <v>0</v>
      </c>
      <c r="BT226" s="386">
        <f t="shared" si="148"/>
        <v>0</v>
      </c>
      <c r="BU226" s="386">
        <f t="shared" si="149"/>
        <v>0</v>
      </c>
      <c r="BV226" s="386">
        <f t="shared" si="150"/>
        <v>0</v>
      </c>
      <c r="BW226" s="386">
        <f t="shared" si="151"/>
        <v>0</v>
      </c>
      <c r="BX226" s="386">
        <f t="shared" si="166"/>
        <v>0</v>
      </c>
      <c r="BY226" s="386">
        <f t="shared" si="167"/>
        <v>0</v>
      </c>
      <c r="BZ226" s="386">
        <f t="shared" si="168"/>
        <v>0</v>
      </c>
      <c r="CA226" s="386">
        <f t="shared" si="169"/>
        <v>0</v>
      </c>
      <c r="CB226" s="386">
        <f t="shared" si="170"/>
        <v>0</v>
      </c>
      <c r="CC226" s="386">
        <f t="shared" si="152"/>
        <v>0</v>
      </c>
      <c r="CD226" s="386">
        <f t="shared" si="153"/>
        <v>0</v>
      </c>
      <c r="CE226" s="386">
        <f t="shared" si="154"/>
        <v>0</v>
      </c>
      <c r="CF226" s="386">
        <f t="shared" si="155"/>
        <v>0</v>
      </c>
      <c r="CG226" s="386">
        <f t="shared" si="156"/>
        <v>0</v>
      </c>
      <c r="CH226" s="386">
        <f t="shared" si="157"/>
        <v>0</v>
      </c>
      <c r="CI226" s="386">
        <f t="shared" si="158"/>
        <v>0</v>
      </c>
      <c r="CJ226" s="386">
        <f t="shared" si="171"/>
        <v>0</v>
      </c>
      <c r="CK226" s="386" t="str">
        <f t="shared" si="172"/>
        <v/>
      </c>
      <c r="CL226" s="386" t="str">
        <f t="shared" si="173"/>
        <v/>
      </c>
      <c r="CM226" s="386" t="str">
        <f t="shared" si="174"/>
        <v/>
      </c>
      <c r="CN226" s="386" t="str">
        <f t="shared" si="175"/>
        <v>0338-02</v>
      </c>
    </row>
    <row r="227" spans="1:92" ht="15.75" thickBot="1" x14ac:dyDescent="0.3">
      <c r="A227" s="375" t="s">
        <v>161</v>
      </c>
      <c r="B227" s="375" t="s">
        <v>162</v>
      </c>
      <c r="C227" s="375" t="s">
        <v>699</v>
      </c>
      <c r="D227" s="375" t="s">
        <v>611</v>
      </c>
      <c r="E227" s="375" t="s">
        <v>526</v>
      </c>
      <c r="F227" s="381" t="s">
        <v>529</v>
      </c>
      <c r="G227" s="375" t="s">
        <v>549</v>
      </c>
      <c r="H227" s="377"/>
      <c r="I227" s="377"/>
      <c r="J227" s="375" t="s">
        <v>218</v>
      </c>
      <c r="K227" s="375" t="s">
        <v>612</v>
      </c>
      <c r="L227" s="375" t="s">
        <v>316</v>
      </c>
      <c r="M227" s="375" t="s">
        <v>177</v>
      </c>
      <c r="N227" s="375" t="s">
        <v>199</v>
      </c>
      <c r="O227" s="378">
        <v>1</v>
      </c>
      <c r="P227" s="384">
        <v>0.65</v>
      </c>
      <c r="Q227" s="384">
        <v>0.65</v>
      </c>
      <c r="R227" s="379">
        <v>80</v>
      </c>
      <c r="S227" s="384">
        <v>0.65</v>
      </c>
      <c r="T227" s="379">
        <v>58815.13</v>
      </c>
      <c r="U227" s="379">
        <v>0</v>
      </c>
      <c r="V227" s="379">
        <v>19641.75</v>
      </c>
      <c r="W227" s="379">
        <v>60988.72</v>
      </c>
      <c r="X227" s="379">
        <v>20591.73</v>
      </c>
      <c r="Y227" s="379">
        <v>60988.72</v>
      </c>
      <c r="Z227" s="379">
        <v>20298.990000000002</v>
      </c>
      <c r="AA227" s="375" t="s">
        <v>700</v>
      </c>
      <c r="AB227" s="375" t="s">
        <v>701</v>
      </c>
      <c r="AC227" s="375" t="s">
        <v>257</v>
      </c>
      <c r="AD227" s="375" t="s">
        <v>351</v>
      </c>
      <c r="AE227" s="375" t="s">
        <v>612</v>
      </c>
      <c r="AF227" s="375" t="s">
        <v>374</v>
      </c>
      <c r="AG227" s="375" t="s">
        <v>183</v>
      </c>
      <c r="AH227" s="380">
        <v>45.11</v>
      </c>
      <c r="AI227" s="378">
        <v>64640</v>
      </c>
      <c r="AJ227" s="375" t="s">
        <v>184</v>
      </c>
      <c r="AK227" s="375" t="s">
        <v>185</v>
      </c>
      <c r="AL227" s="375" t="s">
        <v>173</v>
      </c>
      <c r="AM227" s="375" t="s">
        <v>186</v>
      </c>
      <c r="AN227" s="375" t="s">
        <v>68</v>
      </c>
      <c r="AO227" s="378">
        <v>80</v>
      </c>
      <c r="AP227" s="384">
        <v>1</v>
      </c>
      <c r="AQ227" s="384">
        <v>0.65</v>
      </c>
      <c r="AR227" s="383" t="s">
        <v>187</v>
      </c>
      <c r="AS227" s="386">
        <f t="shared" si="159"/>
        <v>0.65</v>
      </c>
      <c r="AT227">
        <f t="shared" si="160"/>
        <v>1</v>
      </c>
      <c r="AU227" s="386">
        <f>IF(AT227=0,"",IF(AND(AT227=1,M227="F",SUMIF(C2:C557,C227,AS2:AS557)&lt;=1),SUMIF(C2:C557,C227,AS2:AS557),IF(AND(AT227=1,M227="F",SUMIF(C2:C557,C227,AS2:AS557)&gt;1),1,"")))</f>
        <v>1</v>
      </c>
      <c r="AV227" s="386" t="str">
        <f>IF(AT227=0,"",IF(AND(AT227=3,M227="F",SUMIF(C2:C557,C227,AS2:AS557)&lt;=1),SUMIF(C2:C557,C227,AS2:AS557),IF(AND(AT227=3,M227="F",SUMIF(C2:C557,C227,AS2:AS557)&gt;1),1,"")))</f>
        <v/>
      </c>
      <c r="AW227" s="386">
        <f>SUMIF(C2:C557,C227,O2:O557)</f>
        <v>2</v>
      </c>
      <c r="AX227" s="386">
        <f>IF(AND(M227="F",AS227&lt;&gt;0),SUMIF(C2:C557,C227,W2:W557),0)</f>
        <v>93828.800000000003</v>
      </c>
      <c r="AY227" s="386">
        <f t="shared" si="161"/>
        <v>60988.72</v>
      </c>
      <c r="AZ227" s="386" t="str">
        <f t="shared" si="162"/>
        <v/>
      </c>
      <c r="BA227" s="386">
        <f t="shared" si="163"/>
        <v>0</v>
      </c>
      <c r="BB227" s="386">
        <f t="shared" si="132"/>
        <v>7572.5</v>
      </c>
      <c r="BC227" s="386">
        <f t="shared" si="133"/>
        <v>0</v>
      </c>
      <c r="BD227" s="386">
        <f t="shared" si="134"/>
        <v>3781.3006399999999</v>
      </c>
      <c r="BE227" s="386">
        <f t="shared" si="135"/>
        <v>884.33644000000004</v>
      </c>
      <c r="BF227" s="386">
        <f t="shared" si="136"/>
        <v>7282.0531680000004</v>
      </c>
      <c r="BG227" s="386">
        <f t="shared" si="137"/>
        <v>439.72867120000001</v>
      </c>
      <c r="BH227" s="386">
        <f t="shared" si="138"/>
        <v>298.84472799999998</v>
      </c>
      <c r="BI227" s="386">
        <f t="shared" si="139"/>
        <v>186.62548319999999</v>
      </c>
      <c r="BJ227" s="386">
        <f t="shared" si="140"/>
        <v>146.372928</v>
      </c>
      <c r="BK227" s="386">
        <f t="shared" si="141"/>
        <v>0</v>
      </c>
      <c r="BL227" s="386">
        <f t="shared" si="164"/>
        <v>13019.262058400001</v>
      </c>
      <c r="BM227" s="386">
        <f t="shared" si="165"/>
        <v>0</v>
      </c>
      <c r="BN227" s="386">
        <f t="shared" si="142"/>
        <v>7572.5</v>
      </c>
      <c r="BO227" s="386">
        <f t="shared" si="143"/>
        <v>0</v>
      </c>
      <c r="BP227" s="386">
        <f t="shared" si="144"/>
        <v>3781.3006399999999</v>
      </c>
      <c r="BQ227" s="386">
        <f t="shared" si="145"/>
        <v>884.33644000000004</v>
      </c>
      <c r="BR227" s="386">
        <f t="shared" si="146"/>
        <v>7282.0531680000004</v>
      </c>
      <c r="BS227" s="386">
        <f t="shared" si="147"/>
        <v>439.72867120000001</v>
      </c>
      <c r="BT227" s="386">
        <f t="shared" si="148"/>
        <v>0</v>
      </c>
      <c r="BU227" s="386">
        <f t="shared" si="149"/>
        <v>186.62548319999999</v>
      </c>
      <c r="BV227" s="386">
        <f t="shared" si="150"/>
        <v>152.4718</v>
      </c>
      <c r="BW227" s="386">
        <f t="shared" si="151"/>
        <v>0</v>
      </c>
      <c r="BX227" s="386">
        <f t="shared" si="166"/>
        <v>12726.5162024</v>
      </c>
      <c r="BY227" s="386">
        <f t="shared" si="167"/>
        <v>0</v>
      </c>
      <c r="BZ227" s="386">
        <f t="shared" si="168"/>
        <v>0</v>
      </c>
      <c r="CA227" s="386">
        <f t="shared" si="169"/>
        <v>0</v>
      </c>
      <c r="CB227" s="386">
        <f t="shared" si="170"/>
        <v>0</v>
      </c>
      <c r="CC227" s="386">
        <f t="shared" si="152"/>
        <v>0</v>
      </c>
      <c r="CD227" s="386">
        <f t="shared" si="153"/>
        <v>0</v>
      </c>
      <c r="CE227" s="386">
        <f t="shared" si="154"/>
        <v>0</v>
      </c>
      <c r="CF227" s="386">
        <f t="shared" si="155"/>
        <v>-298.84472799999998</v>
      </c>
      <c r="CG227" s="386">
        <f t="shared" si="156"/>
        <v>0</v>
      </c>
      <c r="CH227" s="386">
        <f t="shared" si="157"/>
        <v>6.0988720000000161</v>
      </c>
      <c r="CI227" s="386">
        <f t="shared" si="158"/>
        <v>0</v>
      </c>
      <c r="CJ227" s="386">
        <f t="shared" si="171"/>
        <v>-292.74585599999995</v>
      </c>
      <c r="CK227" s="386" t="str">
        <f t="shared" si="172"/>
        <v/>
      </c>
      <c r="CL227" s="386" t="str">
        <f t="shared" si="173"/>
        <v/>
      </c>
      <c r="CM227" s="386" t="str">
        <f t="shared" si="174"/>
        <v/>
      </c>
      <c r="CN227" s="386" t="str">
        <f t="shared" si="175"/>
        <v>0338-02</v>
      </c>
    </row>
    <row r="228" spans="1:92" ht="15.75" thickBot="1" x14ac:dyDescent="0.3">
      <c r="A228" s="375" t="s">
        <v>161</v>
      </c>
      <c r="B228" s="375" t="s">
        <v>162</v>
      </c>
      <c r="C228" s="375" t="s">
        <v>728</v>
      </c>
      <c r="D228" s="375" t="s">
        <v>729</v>
      </c>
      <c r="E228" s="375" t="s">
        <v>526</v>
      </c>
      <c r="F228" s="381" t="s">
        <v>529</v>
      </c>
      <c r="G228" s="375" t="s">
        <v>549</v>
      </c>
      <c r="H228" s="377"/>
      <c r="I228" s="377"/>
      <c r="J228" s="375" t="s">
        <v>218</v>
      </c>
      <c r="K228" s="375" t="s">
        <v>730</v>
      </c>
      <c r="L228" s="375" t="s">
        <v>731</v>
      </c>
      <c r="M228" s="375" t="s">
        <v>177</v>
      </c>
      <c r="N228" s="375" t="s">
        <v>172</v>
      </c>
      <c r="O228" s="378">
        <v>1</v>
      </c>
      <c r="P228" s="384">
        <v>0.5</v>
      </c>
      <c r="Q228" s="384">
        <v>0.5</v>
      </c>
      <c r="R228" s="379">
        <v>80</v>
      </c>
      <c r="S228" s="384">
        <v>0.5</v>
      </c>
      <c r="T228" s="379">
        <v>46764.800000000003</v>
      </c>
      <c r="U228" s="379">
        <v>0</v>
      </c>
      <c r="V228" s="379">
        <v>15202.13</v>
      </c>
      <c r="W228" s="379">
        <v>50138.400000000001</v>
      </c>
      <c r="X228" s="379">
        <v>16374.6</v>
      </c>
      <c r="Y228" s="379">
        <v>50138.400000000001</v>
      </c>
      <c r="Z228" s="379">
        <v>16133.94</v>
      </c>
      <c r="AA228" s="375" t="s">
        <v>732</v>
      </c>
      <c r="AB228" s="375" t="s">
        <v>733</v>
      </c>
      <c r="AC228" s="375" t="s">
        <v>734</v>
      </c>
      <c r="AD228" s="375" t="s">
        <v>214</v>
      </c>
      <c r="AE228" s="375" t="s">
        <v>730</v>
      </c>
      <c r="AF228" s="375" t="s">
        <v>182</v>
      </c>
      <c r="AG228" s="375" t="s">
        <v>183</v>
      </c>
      <c r="AH228" s="380">
        <v>48.21</v>
      </c>
      <c r="AI228" s="380">
        <v>24206.2</v>
      </c>
      <c r="AJ228" s="375" t="s">
        <v>184</v>
      </c>
      <c r="AK228" s="375" t="s">
        <v>185</v>
      </c>
      <c r="AL228" s="375" t="s">
        <v>173</v>
      </c>
      <c r="AM228" s="375" t="s">
        <v>186</v>
      </c>
      <c r="AN228" s="375" t="s">
        <v>68</v>
      </c>
      <c r="AO228" s="378">
        <v>80</v>
      </c>
      <c r="AP228" s="384">
        <v>1</v>
      </c>
      <c r="AQ228" s="384">
        <v>0.5</v>
      </c>
      <c r="AR228" s="383" t="s">
        <v>187</v>
      </c>
      <c r="AS228" s="386">
        <f t="shared" si="159"/>
        <v>0.5</v>
      </c>
      <c r="AT228">
        <f t="shared" si="160"/>
        <v>1</v>
      </c>
      <c r="AU228" s="386">
        <f>IF(AT228=0,"",IF(AND(AT228=1,M228="F",SUMIF(C2:C557,C228,AS2:AS557)&lt;=1),SUMIF(C2:C557,C228,AS2:AS557),IF(AND(AT228=1,M228="F",SUMIF(C2:C557,C228,AS2:AS557)&gt;1),1,"")))</f>
        <v>1</v>
      </c>
      <c r="AV228" s="386" t="str">
        <f>IF(AT228=0,"",IF(AND(AT228=3,M228="F",SUMIF(C2:C557,C228,AS2:AS557)&lt;=1),SUMIF(C2:C557,C228,AS2:AS557),IF(AND(AT228=3,M228="F",SUMIF(C2:C557,C228,AS2:AS557)&gt;1),1,"")))</f>
        <v/>
      </c>
      <c r="AW228" s="386">
        <f>SUMIF(C2:C557,C228,O2:O557)</f>
        <v>2</v>
      </c>
      <c r="AX228" s="386">
        <f>IF(AND(M228="F",AS228&lt;&gt;0),SUMIF(C2:C557,C228,W2:W557),0)</f>
        <v>100276.8</v>
      </c>
      <c r="AY228" s="386">
        <f t="shared" si="161"/>
        <v>50138.400000000001</v>
      </c>
      <c r="AZ228" s="386" t="str">
        <f t="shared" si="162"/>
        <v/>
      </c>
      <c r="BA228" s="386">
        <f t="shared" si="163"/>
        <v>0</v>
      </c>
      <c r="BB228" s="386">
        <f t="shared" si="132"/>
        <v>5825</v>
      </c>
      <c r="BC228" s="386">
        <f t="shared" si="133"/>
        <v>0</v>
      </c>
      <c r="BD228" s="386">
        <f t="shared" si="134"/>
        <v>3108.5808000000002</v>
      </c>
      <c r="BE228" s="386">
        <f t="shared" si="135"/>
        <v>727.00680000000011</v>
      </c>
      <c r="BF228" s="386">
        <f t="shared" si="136"/>
        <v>5986.5249600000006</v>
      </c>
      <c r="BG228" s="386">
        <f t="shared" si="137"/>
        <v>361.49786400000005</v>
      </c>
      <c r="BH228" s="386">
        <f t="shared" si="138"/>
        <v>245.67815999999999</v>
      </c>
      <c r="BI228" s="386">
        <f t="shared" si="139"/>
        <v>0</v>
      </c>
      <c r="BJ228" s="386">
        <f t="shared" si="140"/>
        <v>120.33215999999999</v>
      </c>
      <c r="BK228" s="386">
        <f t="shared" si="141"/>
        <v>0</v>
      </c>
      <c r="BL228" s="386">
        <f t="shared" si="164"/>
        <v>10549.620744000002</v>
      </c>
      <c r="BM228" s="386">
        <f t="shared" si="165"/>
        <v>0</v>
      </c>
      <c r="BN228" s="386">
        <f t="shared" si="142"/>
        <v>5825</v>
      </c>
      <c r="BO228" s="386">
        <f t="shared" si="143"/>
        <v>0</v>
      </c>
      <c r="BP228" s="386">
        <f t="shared" si="144"/>
        <v>3108.5808000000002</v>
      </c>
      <c r="BQ228" s="386">
        <f t="shared" si="145"/>
        <v>727.00680000000011</v>
      </c>
      <c r="BR228" s="386">
        <f t="shared" si="146"/>
        <v>5986.5249600000006</v>
      </c>
      <c r="BS228" s="386">
        <f t="shared" si="147"/>
        <v>361.49786400000005</v>
      </c>
      <c r="BT228" s="386">
        <f t="shared" si="148"/>
        <v>0</v>
      </c>
      <c r="BU228" s="386">
        <f t="shared" si="149"/>
        <v>0</v>
      </c>
      <c r="BV228" s="386">
        <f t="shared" si="150"/>
        <v>125.346</v>
      </c>
      <c r="BW228" s="386">
        <f t="shared" si="151"/>
        <v>0</v>
      </c>
      <c r="BX228" s="386">
        <f t="shared" si="166"/>
        <v>10308.956424000002</v>
      </c>
      <c r="BY228" s="386">
        <f t="shared" si="167"/>
        <v>0</v>
      </c>
      <c r="BZ228" s="386">
        <f t="shared" si="168"/>
        <v>0</v>
      </c>
      <c r="CA228" s="386">
        <f t="shared" si="169"/>
        <v>0</v>
      </c>
      <c r="CB228" s="386">
        <f t="shared" si="170"/>
        <v>0</v>
      </c>
      <c r="CC228" s="386">
        <f t="shared" si="152"/>
        <v>0</v>
      </c>
      <c r="CD228" s="386">
        <f t="shared" si="153"/>
        <v>0</v>
      </c>
      <c r="CE228" s="386">
        <f t="shared" si="154"/>
        <v>0</v>
      </c>
      <c r="CF228" s="386">
        <f t="shared" si="155"/>
        <v>-245.67815999999999</v>
      </c>
      <c r="CG228" s="386">
        <f t="shared" si="156"/>
        <v>0</v>
      </c>
      <c r="CH228" s="386">
        <f t="shared" si="157"/>
        <v>5.0138400000000134</v>
      </c>
      <c r="CI228" s="386">
        <f t="shared" si="158"/>
        <v>0</v>
      </c>
      <c r="CJ228" s="386">
        <f t="shared" si="171"/>
        <v>-240.66431999999998</v>
      </c>
      <c r="CK228" s="386" t="str">
        <f t="shared" si="172"/>
        <v/>
      </c>
      <c r="CL228" s="386" t="str">
        <f t="shared" si="173"/>
        <v/>
      </c>
      <c r="CM228" s="386" t="str">
        <f t="shared" si="174"/>
        <v/>
      </c>
      <c r="CN228" s="386" t="str">
        <f t="shared" si="175"/>
        <v>0338-02</v>
      </c>
    </row>
    <row r="229" spans="1:92" ht="15.75" thickBot="1" x14ac:dyDescent="0.3">
      <c r="A229" s="375" t="s">
        <v>161</v>
      </c>
      <c r="B229" s="375" t="s">
        <v>162</v>
      </c>
      <c r="C229" s="375" t="s">
        <v>1018</v>
      </c>
      <c r="D229" s="375" t="s">
        <v>555</v>
      </c>
      <c r="E229" s="375" t="s">
        <v>526</v>
      </c>
      <c r="F229" s="381" t="s">
        <v>529</v>
      </c>
      <c r="G229" s="375" t="s">
        <v>549</v>
      </c>
      <c r="H229" s="377"/>
      <c r="I229" s="377"/>
      <c r="J229" s="375" t="s">
        <v>168</v>
      </c>
      <c r="K229" s="375" t="s">
        <v>556</v>
      </c>
      <c r="L229" s="375" t="s">
        <v>220</v>
      </c>
      <c r="M229" s="375" t="s">
        <v>171</v>
      </c>
      <c r="N229" s="375" t="s">
        <v>199</v>
      </c>
      <c r="O229" s="378">
        <v>0</v>
      </c>
      <c r="P229" s="384">
        <v>1</v>
      </c>
      <c r="Q229" s="384">
        <v>1</v>
      </c>
      <c r="R229" s="379">
        <v>80</v>
      </c>
      <c r="S229" s="384">
        <v>1</v>
      </c>
      <c r="T229" s="379">
        <v>48028.800000000003</v>
      </c>
      <c r="U229" s="379">
        <v>0</v>
      </c>
      <c r="V229" s="379">
        <v>17968.53</v>
      </c>
      <c r="W229" s="379">
        <v>60465.599999999999</v>
      </c>
      <c r="X229" s="379">
        <v>26483.93</v>
      </c>
      <c r="Y229" s="379">
        <v>60465.599999999999</v>
      </c>
      <c r="Z229" s="379">
        <v>26181.599999999999</v>
      </c>
      <c r="AA229" s="377"/>
      <c r="AB229" s="375" t="s">
        <v>45</v>
      </c>
      <c r="AC229" s="375" t="s">
        <v>45</v>
      </c>
      <c r="AD229" s="377"/>
      <c r="AE229" s="377"/>
      <c r="AF229" s="377"/>
      <c r="AG229" s="377"/>
      <c r="AH229" s="378">
        <v>0</v>
      </c>
      <c r="AI229" s="378">
        <v>0</v>
      </c>
      <c r="AJ229" s="377"/>
      <c r="AK229" s="377"/>
      <c r="AL229" s="375" t="s">
        <v>173</v>
      </c>
      <c r="AM229" s="377"/>
      <c r="AN229" s="377"/>
      <c r="AO229" s="378">
        <v>0</v>
      </c>
      <c r="AP229" s="384">
        <v>0</v>
      </c>
      <c r="AQ229" s="384">
        <v>0</v>
      </c>
      <c r="AR229" s="382"/>
      <c r="AS229" s="386">
        <f t="shared" si="159"/>
        <v>0</v>
      </c>
      <c r="AT229">
        <f t="shared" si="160"/>
        <v>0</v>
      </c>
      <c r="AU229" s="386" t="str">
        <f>IF(AT229=0,"",IF(AND(AT229=1,M229="F",SUMIF(C2:C557,C229,AS2:AS557)&lt;=1),SUMIF(C2:C557,C229,AS2:AS557),IF(AND(AT229=1,M229="F",SUMIF(C2:C557,C229,AS2:AS557)&gt;1),1,"")))</f>
        <v/>
      </c>
      <c r="AV229" s="386" t="str">
        <f>IF(AT229=0,"",IF(AND(AT229=3,M229="F",SUMIF(C2:C557,C229,AS2:AS557)&lt;=1),SUMIF(C2:C557,C229,AS2:AS557),IF(AND(AT229=3,M229="F",SUMIF(C2:C557,C229,AS2:AS557)&gt;1),1,"")))</f>
        <v/>
      </c>
      <c r="AW229" s="386">
        <f>SUMIF(C2:C557,C229,O2:O557)</f>
        <v>0</v>
      </c>
      <c r="AX229" s="386">
        <f>IF(AND(M229="F",AS229&lt;&gt;0),SUMIF(C2:C557,C229,W2:W557),0)</f>
        <v>0</v>
      </c>
      <c r="AY229" s="386" t="str">
        <f t="shared" si="161"/>
        <v/>
      </c>
      <c r="AZ229" s="386" t="str">
        <f t="shared" si="162"/>
        <v/>
      </c>
      <c r="BA229" s="386">
        <f t="shared" si="163"/>
        <v>0</v>
      </c>
      <c r="BB229" s="386">
        <f t="shared" si="132"/>
        <v>0</v>
      </c>
      <c r="BC229" s="386">
        <f t="shared" si="133"/>
        <v>0</v>
      </c>
      <c r="BD229" s="386">
        <f t="shared" si="134"/>
        <v>0</v>
      </c>
      <c r="BE229" s="386">
        <f t="shared" si="135"/>
        <v>0</v>
      </c>
      <c r="BF229" s="386">
        <f t="shared" si="136"/>
        <v>0</v>
      </c>
      <c r="BG229" s="386">
        <f t="shared" si="137"/>
        <v>0</v>
      </c>
      <c r="BH229" s="386">
        <f t="shared" si="138"/>
        <v>0</v>
      </c>
      <c r="BI229" s="386">
        <f t="shared" si="139"/>
        <v>0</v>
      </c>
      <c r="BJ229" s="386">
        <f t="shared" si="140"/>
        <v>0</v>
      </c>
      <c r="BK229" s="386">
        <f t="shared" si="141"/>
        <v>0</v>
      </c>
      <c r="BL229" s="386">
        <f t="shared" si="164"/>
        <v>0</v>
      </c>
      <c r="BM229" s="386">
        <f t="shared" si="165"/>
        <v>0</v>
      </c>
      <c r="BN229" s="386">
        <f t="shared" si="142"/>
        <v>0</v>
      </c>
      <c r="BO229" s="386">
        <f t="shared" si="143"/>
        <v>0</v>
      </c>
      <c r="BP229" s="386">
        <f t="shared" si="144"/>
        <v>0</v>
      </c>
      <c r="BQ229" s="386">
        <f t="shared" si="145"/>
        <v>0</v>
      </c>
      <c r="BR229" s="386">
        <f t="shared" si="146"/>
        <v>0</v>
      </c>
      <c r="BS229" s="386">
        <f t="shared" si="147"/>
        <v>0</v>
      </c>
      <c r="BT229" s="386">
        <f t="shared" si="148"/>
        <v>0</v>
      </c>
      <c r="BU229" s="386">
        <f t="shared" si="149"/>
        <v>0</v>
      </c>
      <c r="BV229" s="386">
        <f t="shared" si="150"/>
        <v>0</v>
      </c>
      <c r="BW229" s="386">
        <f t="shared" si="151"/>
        <v>0</v>
      </c>
      <c r="BX229" s="386">
        <f t="shared" si="166"/>
        <v>0</v>
      </c>
      <c r="BY229" s="386">
        <f t="shared" si="167"/>
        <v>0</v>
      </c>
      <c r="BZ229" s="386">
        <f t="shared" si="168"/>
        <v>0</v>
      </c>
      <c r="CA229" s="386">
        <f t="shared" si="169"/>
        <v>0</v>
      </c>
      <c r="CB229" s="386">
        <f t="shared" si="170"/>
        <v>0</v>
      </c>
      <c r="CC229" s="386">
        <f t="shared" si="152"/>
        <v>0</v>
      </c>
      <c r="CD229" s="386">
        <f t="shared" si="153"/>
        <v>0</v>
      </c>
      <c r="CE229" s="386">
        <f t="shared" si="154"/>
        <v>0</v>
      </c>
      <c r="CF229" s="386">
        <f t="shared" si="155"/>
        <v>0</v>
      </c>
      <c r="CG229" s="386">
        <f t="shared" si="156"/>
        <v>0</v>
      </c>
      <c r="CH229" s="386">
        <f t="shared" si="157"/>
        <v>0</v>
      </c>
      <c r="CI229" s="386">
        <f t="shared" si="158"/>
        <v>0</v>
      </c>
      <c r="CJ229" s="386">
        <f t="shared" si="171"/>
        <v>0</v>
      </c>
      <c r="CK229" s="386" t="str">
        <f t="shared" si="172"/>
        <v/>
      </c>
      <c r="CL229" s="386" t="str">
        <f t="shared" si="173"/>
        <v/>
      </c>
      <c r="CM229" s="386" t="str">
        <f t="shared" si="174"/>
        <v/>
      </c>
      <c r="CN229" s="386" t="str">
        <f t="shared" si="175"/>
        <v>0338-02</v>
      </c>
    </row>
    <row r="230" spans="1:92" ht="15.75" thickBot="1" x14ac:dyDescent="0.3">
      <c r="A230" s="375" t="s">
        <v>161</v>
      </c>
      <c r="B230" s="375" t="s">
        <v>162</v>
      </c>
      <c r="C230" s="375" t="s">
        <v>1019</v>
      </c>
      <c r="D230" s="375" t="s">
        <v>665</v>
      </c>
      <c r="E230" s="375" t="s">
        <v>526</v>
      </c>
      <c r="F230" s="381" t="s">
        <v>529</v>
      </c>
      <c r="G230" s="375" t="s">
        <v>549</v>
      </c>
      <c r="H230" s="377"/>
      <c r="I230" s="377"/>
      <c r="J230" s="375" t="s">
        <v>168</v>
      </c>
      <c r="K230" s="375" t="s">
        <v>666</v>
      </c>
      <c r="L230" s="375" t="s">
        <v>183</v>
      </c>
      <c r="M230" s="375" t="s">
        <v>177</v>
      </c>
      <c r="N230" s="375" t="s">
        <v>199</v>
      </c>
      <c r="O230" s="378">
        <v>1</v>
      </c>
      <c r="P230" s="384">
        <v>1</v>
      </c>
      <c r="Q230" s="384">
        <v>1</v>
      </c>
      <c r="R230" s="379">
        <v>80</v>
      </c>
      <c r="S230" s="384">
        <v>1</v>
      </c>
      <c r="T230" s="379">
        <v>27971.200000000001</v>
      </c>
      <c r="U230" s="379">
        <v>0</v>
      </c>
      <c r="V230" s="379">
        <v>17439.13</v>
      </c>
      <c r="W230" s="379">
        <v>31262.400000000001</v>
      </c>
      <c r="X230" s="379">
        <v>18323.55</v>
      </c>
      <c r="Y230" s="379">
        <v>31262.400000000001</v>
      </c>
      <c r="Z230" s="379">
        <v>18173.5</v>
      </c>
      <c r="AA230" s="375" t="s">
        <v>1020</v>
      </c>
      <c r="AB230" s="375" t="s">
        <v>1021</v>
      </c>
      <c r="AC230" s="375" t="s">
        <v>1022</v>
      </c>
      <c r="AD230" s="375" t="s">
        <v>195</v>
      </c>
      <c r="AE230" s="375" t="s">
        <v>666</v>
      </c>
      <c r="AF230" s="375" t="s">
        <v>206</v>
      </c>
      <c r="AG230" s="375" t="s">
        <v>183</v>
      </c>
      <c r="AH230" s="380">
        <v>15.03</v>
      </c>
      <c r="AI230" s="378">
        <v>3706</v>
      </c>
      <c r="AJ230" s="375" t="s">
        <v>184</v>
      </c>
      <c r="AK230" s="375" t="s">
        <v>185</v>
      </c>
      <c r="AL230" s="375" t="s">
        <v>173</v>
      </c>
      <c r="AM230" s="375" t="s">
        <v>186</v>
      </c>
      <c r="AN230" s="375" t="s">
        <v>68</v>
      </c>
      <c r="AO230" s="378">
        <v>80</v>
      </c>
      <c r="AP230" s="384">
        <v>1</v>
      </c>
      <c r="AQ230" s="384">
        <v>1</v>
      </c>
      <c r="AR230" s="383" t="s">
        <v>187</v>
      </c>
      <c r="AS230" s="386">
        <f t="shared" si="159"/>
        <v>1</v>
      </c>
      <c r="AT230">
        <f t="shared" si="160"/>
        <v>1</v>
      </c>
      <c r="AU230" s="386">
        <f>IF(AT230=0,"",IF(AND(AT230=1,M230="F",SUMIF(C2:C557,C230,AS2:AS557)&lt;=1),SUMIF(C2:C557,C230,AS2:AS557),IF(AND(AT230=1,M230="F",SUMIF(C2:C557,C230,AS2:AS557)&gt;1),1,"")))</f>
        <v>1</v>
      </c>
      <c r="AV230" s="386" t="str">
        <f>IF(AT230=0,"",IF(AND(AT230=3,M230="F",SUMIF(C2:C557,C230,AS2:AS557)&lt;=1),SUMIF(C2:C557,C230,AS2:AS557),IF(AND(AT230=3,M230="F",SUMIF(C2:C557,C230,AS2:AS557)&gt;1),1,"")))</f>
        <v/>
      </c>
      <c r="AW230" s="386">
        <f>SUMIF(C2:C557,C230,O2:O557)</f>
        <v>1</v>
      </c>
      <c r="AX230" s="386">
        <f>IF(AND(M230="F",AS230&lt;&gt;0),SUMIF(C2:C557,C230,W2:W557),0)</f>
        <v>31262.400000000001</v>
      </c>
      <c r="AY230" s="386">
        <f t="shared" si="161"/>
        <v>31262.400000000001</v>
      </c>
      <c r="AZ230" s="386" t="str">
        <f t="shared" si="162"/>
        <v/>
      </c>
      <c r="BA230" s="386">
        <f t="shared" si="163"/>
        <v>0</v>
      </c>
      <c r="BB230" s="386">
        <f t="shared" si="132"/>
        <v>11650</v>
      </c>
      <c r="BC230" s="386">
        <f t="shared" si="133"/>
        <v>0</v>
      </c>
      <c r="BD230" s="386">
        <f t="shared" si="134"/>
        <v>1938.2688000000001</v>
      </c>
      <c r="BE230" s="386">
        <f t="shared" si="135"/>
        <v>453.30480000000006</v>
      </c>
      <c r="BF230" s="386">
        <f t="shared" si="136"/>
        <v>3732.7305600000004</v>
      </c>
      <c r="BG230" s="386">
        <f t="shared" si="137"/>
        <v>225.40190400000003</v>
      </c>
      <c r="BH230" s="386">
        <f t="shared" si="138"/>
        <v>153.18576000000002</v>
      </c>
      <c r="BI230" s="386">
        <f t="shared" si="139"/>
        <v>95.662943999999996</v>
      </c>
      <c r="BJ230" s="386">
        <f t="shared" si="140"/>
        <v>75.029759999999996</v>
      </c>
      <c r="BK230" s="386">
        <f t="shared" si="141"/>
        <v>0</v>
      </c>
      <c r="BL230" s="386">
        <f t="shared" si="164"/>
        <v>6673.5845280000012</v>
      </c>
      <c r="BM230" s="386">
        <f t="shared" si="165"/>
        <v>0</v>
      </c>
      <c r="BN230" s="386">
        <f t="shared" si="142"/>
        <v>11650</v>
      </c>
      <c r="BO230" s="386">
        <f t="shared" si="143"/>
        <v>0</v>
      </c>
      <c r="BP230" s="386">
        <f t="shared" si="144"/>
        <v>1938.2688000000001</v>
      </c>
      <c r="BQ230" s="386">
        <f t="shared" si="145"/>
        <v>453.30480000000006</v>
      </c>
      <c r="BR230" s="386">
        <f t="shared" si="146"/>
        <v>3732.7305600000004</v>
      </c>
      <c r="BS230" s="386">
        <f t="shared" si="147"/>
        <v>225.40190400000003</v>
      </c>
      <c r="BT230" s="386">
        <f t="shared" si="148"/>
        <v>0</v>
      </c>
      <c r="BU230" s="386">
        <f t="shared" si="149"/>
        <v>95.662943999999996</v>
      </c>
      <c r="BV230" s="386">
        <f t="shared" si="150"/>
        <v>78.156000000000006</v>
      </c>
      <c r="BW230" s="386">
        <f t="shared" si="151"/>
        <v>0</v>
      </c>
      <c r="BX230" s="386">
        <f t="shared" si="166"/>
        <v>6523.5250080000005</v>
      </c>
      <c r="BY230" s="386">
        <f t="shared" si="167"/>
        <v>0</v>
      </c>
      <c r="BZ230" s="386">
        <f t="shared" si="168"/>
        <v>0</v>
      </c>
      <c r="CA230" s="386">
        <f t="shared" si="169"/>
        <v>0</v>
      </c>
      <c r="CB230" s="386">
        <f t="shared" si="170"/>
        <v>0</v>
      </c>
      <c r="CC230" s="386">
        <f t="shared" si="152"/>
        <v>0</v>
      </c>
      <c r="CD230" s="386">
        <f t="shared" si="153"/>
        <v>0</v>
      </c>
      <c r="CE230" s="386">
        <f t="shared" si="154"/>
        <v>0</v>
      </c>
      <c r="CF230" s="386">
        <f t="shared" si="155"/>
        <v>-153.18576000000002</v>
      </c>
      <c r="CG230" s="386">
        <f t="shared" si="156"/>
        <v>0</v>
      </c>
      <c r="CH230" s="386">
        <f t="shared" si="157"/>
        <v>3.1262400000000081</v>
      </c>
      <c r="CI230" s="386">
        <f t="shared" si="158"/>
        <v>0</v>
      </c>
      <c r="CJ230" s="386">
        <f t="shared" si="171"/>
        <v>-150.05952000000002</v>
      </c>
      <c r="CK230" s="386" t="str">
        <f t="shared" si="172"/>
        <v/>
      </c>
      <c r="CL230" s="386" t="str">
        <f t="shared" si="173"/>
        <v/>
      </c>
      <c r="CM230" s="386" t="str">
        <f t="shared" si="174"/>
        <v/>
      </c>
      <c r="CN230" s="386" t="str">
        <f t="shared" si="175"/>
        <v>0338-02</v>
      </c>
    </row>
    <row r="231" spans="1:92" ht="15.75" thickBot="1" x14ac:dyDescent="0.3">
      <c r="A231" s="375" t="s">
        <v>161</v>
      </c>
      <c r="B231" s="375" t="s">
        <v>162</v>
      </c>
      <c r="C231" s="375" t="s">
        <v>1023</v>
      </c>
      <c r="D231" s="375" t="s">
        <v>665</v>
      </c>
      <c r="E231" s="375" t="s">
        <v>526</v>
      </c>
      <c r="F231" s="381" t="s">
        <v>529</v>
      </c>
      <c r="G231" s="375" t="s">
        <v>549</v>
      </c>
      <c r="H231" s="377"/>
      <c r="I231" s="377"/>
      <c r="J231" s="375" t="s">
        <v>168</v>
      </c>
      <c r="K231" s="375" t="s">
        <v>666</v>
      </c>
      <c r="L231" s="375" t="s">
        <v>183</v>
      </c>
      <c r="M231" s="375" t="s">
        <v>177</v>
      </c>
      <c r="N231" s="375" t="s">
        <v>199</v>
      </c>
      <c r="O231" s="378">
        <v>1</v>
      </c>
      <c r="P231" s="384">
        <v>1</v>
      </c>
      <c r="Q231" s="384">
        <v>1</v>
      </c>
      <c r="R231" s="379">
        <v>80</v>
      </c>
      <c r="S231" s="384">
        <v>1</v>
      </c>
      <c r="T231" s="379">
        <v>31832.05</v>
      </c>
      <c r="U231" s="379">
        <v>0</v>
      </c>
      <c r="V231" s="379">
        <v>18141.38</v>
      </c>
      <c r="W231" s="379">
        <v>32676.799999999999</v>
      </c>
      <c r="X231" s="379">
        <v>18625.48</v>
      </c>
      <c r="Y231" s="379">
        <v>32676.799999999999</v>
      </c>
      <c r="Z231" s="379">
        <v>18468.64</v>
      </c>
      <c r="AA231" s="375" t="s">
        <v>1024</v>
      </c>
      <c r="AB231" s="375" t="s">
        <v>859</v>
      </c>
      <c r="AC231" s="375" t="s">
        <v>1025</v>
      </c>
      <c r="AD231" s="375" t="s">
        <v>198</v>
      </c>
      <c r="AE231" s="375" t="s">
        <v>666</v>
      </c>
      <c r="AF231" s="375" t="s">
        <v>206</v>
      </c>
      <c r="AG231" s="375" t="s">
        <v>183</v>
      </c>
      <c r="AH231" s="380">
        <v>15.71</v>
      </c>
      <c r="AI231" s="378">
        <v>19351</v>
      </c>
      <c r="AJ231" s="375" t="s">
        <v>184</v>
      </c>
      <c r="AK231" s="375" t="s">
        <v>185</v>
      </c>
      <c r="AL231" s="375" t="s">
        <v>173</v>
      </c>
      <c r="AM231" s="375" t="s">
        <v>186</v>
      </c>
      <c r="AN231" s="375" t="s">
        <v>68</v>
      </c>
      <c r="AO231" s="378">
        <v>80</v>
      </c>
      <c r="AP231" s="384">
        <v>1</v>
      </c>
      <c r="AQ231" s="384">
        <v>1</v>
      </c>
      <c r="AR231" s="383" t="s">
        <v>187</v>
      </c>
      <c r="AS231" s="386">
        <f t="shared" si="159"/>
        <v>1</v>
      </c>
      <c r="AT231">
        <f t="shared" si="160"/>
        <v>1</v>
      </c>
      <c r="AU231" s="386">
        <f>IF(AT231=0,"",IF(AND(AT231=1,M231="F",SUMIF(C2:C557,C231,AS2:AS557)&lt;=1),SUMIF(C2:C557,C231,AS2:AS557),IF(AND(AT231=1,M231="F",SUMIF(C2:C557,C231,AS2:AS557)&gt;1),1,"")))</f>
        <v>1</v>
      </c>
      <c r="AV231" s="386" t="str">
        <f>IF(AT231=0,"",IF(AND(AT231=3,M231="F",SUMIF(C2:C557,C231,AS2:AS557)&lt;=1),SUMIF(C2:C557,C231,AS2:AS557),IF(AND(AT231=3,M231="F",SUMIF(C2:C557,C231,AS2:AS557)&gt;1),1,"")))</f>
        <v/>
      </c>
      <c r="AW231" s="386">
        <f>SUMIF(C2:C557,C231,O2:O557)</f>
        <v>1</v>
      </c>
      <c r="AX231" s="386">
        <f>IF(AND(M231="F",AS231&lt;&gt;0),SUMIF(C2:C557,C231,W2:W557),0)</f>
        <v>32676.799999999999</v>
      </c>
      <c r="AY231" s="386">
        <f t="shared" si="161"/>
        <v>32676.799999999999</v>
      </c>
      <c r="AZ231" s="386" t="str">
        <f t="shared" si="162"/>
        <v/>
      </c>
      <c r="BA231" s="386">
        <f t="shared" si="163"/>
        <v>0</v>
      </c>
      <c r="BB231" s="386">
        <f t="shared" si="132"/>
        <v>11650</v>
      </c>
      <c r="BC231" s="386">
        <f t="shared" si="133"/>
        <v>0</v>
      </c>
      <c r="BD231" s="386">
        <f t="shared" si="134"/>
        <v>2025.9615999999999</v>
      </c>
      <c r="BE231" s="386">
        <f t="shared" si="135"/>
        <v>473.81360000000001</v>
      </c>
      <c r="BF231" s="386">
        <f t="shared" si="136"/>
        <v>3901.6099200000003</v>
      </c>
      <c r="BG231" s="386">
        <f t="shared" si="137"/>
        <v>235.599728</v>
      </c>
      <c r="BH231" s="386">
        <f t="shared" si="138"/>
        <v>160.11632</v>
      </c>
      <c r="BI231" s="386">
        <f t="shared" si="139"/>
        <v>99.991007999999994</v>
      </c>
      <c r="BJ231" s="386">
        <f t="shared" si="140"/>
        <v>78.424319999999994</v>
      </c>
      <c r="BK231" s="386">
        <f t="shared" si="141"/>
        <v>0</v>
      </c>
      <c r="BL231" s="386">
        <f t="shared" si="164"/>
        <v>6975.5164960000011</v>
      </c>
      <c r="BM231" s="386">
        <f t="shared" si="165"/>
        <v>0</v>
      </c>
      <c r="BN231" s="386">
        <f t="shared" si="142"/>
        <v>11650</v>
      </c>
      <c r="BO231" s="386">
        <f t="shared" si="143"/>
        <v>0</v>
      </c>
      <c r="BP231" s="386">
        <f t="shared" si="144"/>
        <v>2025.9615999999999</v>
      </c>
      <c r="BQ231" s="386">
        <f t="shared" si="145"/>
        <v>473.81360000000001</v>
      </c>
      <c r="BR231" s="386">
        <f t="shared" si="146"/>
        <v>3901.6099200000003</v>
      </c>
      <c r="BS231" s="386">
        <f t="shared" si="147"/>
        <v>235.599728</v>
      </c>
      <c r="BT231" s="386">
        <f t="shared" si="148"/>
        <v>0</v>
      </c>
      <c r="BU231" s="386">
        <f t="shared" si="149"/>
        <v>99.991007999999994</v>
      </c>
      <c r="BV231" s="386">
        <f t="shared" si="150"/>
        <v>81.691999999999993</v>
      </c>
      <c r="BW231" s="386">
        <f t="shared" si="151"/>
        <v>0</v>
      </c>
      <c r="BX231" s="386">
        <f t="shared" si="166"/>
        <v>6818.6678560000009</v>
      </c>
      <c r="BY231" s="386">
        <f t="shared" si="167"/>
        <v>0</v>
      </c>
      <c r="BZ231" s="386">
        <f t="shared" si="168"/>
        <v>0</v>
      </c>
      <c r="CA231" s="386">
        <f t="shared" si="169"/>
        <v>0</v>
      </c>
      <c r="CB231" s="386">
        <f t="shared" si="170"/>
        <v>0</v>
      </c>
      <c r="CC231" s="386">
        <f t="shared" si="152"/>
        <v>0</v>
      </c>
      <c r="CD231" s="386">
        <f t="shared" si="153"/>
        <v>0</v>
      </c>
      <c r="CE231" s="386">
        <f t="shared" si="154"/>
        <v>0</v>
      </c>
      <c r="CF231" s="386">
        <f t="shared" si="155"/>
        <v>-160.11632</v>
      </c>
      <c r="CG231" s="386">
        <f t="shared" si="156"/>
        <v>0</v>
      </c>
      <c r="CH231" s="386">
        <f t="shared" si="157"/>
        <v>3.2676800000000084</v>
      </c>
      <c r="CI231" s="386">
        <f t="shared" si="158"/>
        <v>0</v>
      </c>
      <c r="CJ231" s="386">
        <f t="shared" si="171"/>
        <v>-156.84863999999999</v>
      </c>
      <c r="CK231" s="386" t="str">
        <f t="shared" si="172"/>
        <v/>
      </c>
      <c r="CL231" s="386" t="str">
        <f t="shared" si="173"/>
        <v/>
      </c>
      <c r="CM231" s="386" t="str">
        <f t="shared" si="174"/>
        <v/>
      </c>
      <c r="CN231" s="386" t="str">
        <f t="shared" si="175"/>
        <v>0338-02</v>
      </c>
    </row>
    <row r="232" spans="1:92" ht="15.75" thickBot="1" x14ac:dyDescent="0.3">
      <c r="A232" s="375" t="s">
        <v>161</v>
      </c>
      <c r="B232" s="375" t="s">
        <v>162</v>
      </c>
      <c r="C232" s="375" t="s">
        <v>1026</v>
      </c>
      <c r="D232" s="375" t="s">
        <v>164</v>
      </c>
      <c r="E232" s="375" t="s">
        <v>526</v>
      </c>
      <c r="F232" s="381" t="s">
        <v>529</v>
      </c>
      <c r="G232" s="375" t="s">
        <v>549</v>
      </c>
      <c r="H232" s="377"/>
      <c r="I232" s="377"/>
      <c r="J232" s="375" t="s">
        <v>168</v>
      </c>
      <c r="K232" s="375" t="s">
        <v>169</v>
      </c>
      <c r="L232" s="375" t="s">
        <v>170</v>
      </c>
      <c r="M232" s="375" t="s">
        <v>171</v>
      </c>
      <c r="N232" s="375" t="s">
        <v>262</v>
      </c>
      <c r="O232" s="378">
        <v>0</v>
      </c>
      <c r="P232" s="384">
        <v>1</v>
      </c>
      <c r="Q232" s="384">
        <v>0</v>
      </c>
      <c r="R232" s="379">
        <v>0</v>
      </c>
      <c r="S232" s="384">
        <v>0</v>
      </c>
      <c r="T232" s="379">
        <v>0</v>
      </c>
      <c r="U232" s="379">
        <v>0</v>
      </c>
      <c r="V232" s="379">
        <v>0</v>
      </c>
      <c r="W232" s="379">
        <v>0</v>
      </c>
      <c r="X232" s="379">
        <v>0</v>
      </c>
      <c r="Y232" s="379">
        <v>0</v>
      </c>
      <c r="Z232" s="379">
        <v>0</v>
      </c>
      <c r="AA232" s="377"/>
      <c r="AB232" s="375" t="s">
        <v>45</v>
      </c>
      <c r="AC232" s="375" t="s">
        <v>45</v>
      </c>
      <c r="AD232" s="377"/>
      <c r="AE232" s="377"/>
      <c r="AF232" s="377"/>
      <c r="AG232" s="377"/>
      <c r="AH232" s="378">
        <v>0</v>
      </c>
      <c r="AI232" s="378">
        <v>0</v>
      </c>
      <c r="AJ232" s="377"/>
      <c r="AK232" s="377"/>
      <c r="AL232" s="375" t="s">
        <v>173</v>
      </c>
      <c r="AM232" s="377"/>
      <c r="AN232" s="377"/>
      <c r="AO232" s="378">
        <v>0</v>
      </c>
      <c r="AP232" s="384">
        <v>0</v>
      </c>
      <c r="AQ232" s="384">
        <v>0</v>
      </c>
      <c r="AR232" s="382"/>
      <c r="AS232" s="386">
        <f t="shared" si="159"/>
        <v>0</v>
      </c>
      <c r="AT232">
        <f t="shared" si="160"/>
        <v>0</v>
      </c>
      <c r="AU232" s="386" t="str">
        <f>IF(AT232=0,"",IF(AND(AT232=1,M232="F",SUMIF(C2:C557,C232,AS2:AS557)&lt;=1),SUMIF(C2:C557,C232,AS2:AS557),IF(AND(AT232=1,M232="F",SUMIF(C2:C557,C232,AS2:AS557)&gt;1),1,"")))</f>
        <v/>
      </c>
      <c r="AV232" s="386" t="str">
        <f>IF(AT232=0,"",IF(AND(AT232=3,M232="F",SUMIF(C2:C557,C232,AS2:AS557)&lt;=1),SUMIF(C2:C557,C232,AS2:AS557),IF(AND(AT232=3,M232="F",SUMIF(C2:C557,C232,AS2:AS557)&gt;1),1,"")))</f>
        <v/>
      </c>
      <c r="AW232" s="386">
        <f>SUMIF(C2:C557,C232,O2:O557)</f>
        <v>0</v>
      </c>
      <c r="AX232" s="386">
        <f>IF(AND(M232="F",AS232&lt;&gt;0),SUMIF(C2:C557,C232,W2:W557),0)</f>
        <v>0</v>
      </c>
      <c r="AY232" s="386" t="str">
        <f t="shared" si="161"/>
        <v/>
      </c>
      <c r="AZ232" s="386" t="str">
        <f t="shared" si="162"/>
        <v/>
      </c>
      <c r="BA232" s="386">
        <f t="shared" si="163"/>
        <v>0</v>
      </c>
      <c r="BB232" s="386">
        <f t="shared" si="132"/>
        <v>0</v>
      </c>
      <c r="BC232" s="386">
        <f t="shared" si="133"/>
        <v>0</v>
      </c>
      <c r="BD232" s="386">
        <f t="shared" si="134"/>
        <v>0</v>
      </c>
      <c r="BE232" s="386">
        <f t="shared" si="135"/>
        <v>0</v>
      </c>
      <c r="BF232" s="386">
        <f t="shared" si="136"/>
        <v>0</v>
      </c>
      <c r="BG232" s="386">
        <f t="shared" si="137"/>
        <v>0</v>
      </c>
      <c r="BH232" s="386">
        <f t="shared" si="138"/>
        <v>0</v>
      </c>
      <c r="BI232" s="386">
        <f t="shared" si="139"/>
        <v>0</v>
      </c>
      <c r="BJ232" s="386">
        <f t="shared" si="140"/>
        <v>0</v>
      </c>
      <c r="BK232" s="386">
        <f t="shared" si="141"/>
        <v>0</v>
      </c>
      <c r="BL232" s="386">
        <f t="shared" si="164"/>
        <v>0</v>
      </c>
      <c r="BM232" s="386">
        <f t="shared" si="165"/>
        <v>0</v>
      </c>
      <c r="BN232" s="386">
        <f t="shared" si="142"/>
        <v>0</v>
      </c>
      <c r="BO232" s="386">
        <f t="shared" si="143"/>
        <v>0</v>
      </c>
      <c r="BP232" s="386">
        <f t="shared" si="144"/>
        <v>0</v>
      </c>
      <c r="BQ232" s="386">
        <f t="shared" si="145"/>
        <v>0</v>
      </c>
      <c r="BR232" s="386">
        <f t="shared" si="146"/>
        <v>0</v>
      </c>
      <c r="BS232" s="386">
        <f t="shared" si="147"/>
        <v>0</v>
      </c>
      <c r="BT232" s="386">
        <f t="shared" si="148"/>
        <v>0</v>
      </c>
      <c r="BU232" s="386">
        <f t="shared" si="149"/>
        <v>0</v>
      </c>
      <c r="BV232" s="386">
        <f t="shared" si="150"/>
        <v>0</v>
      </c>
      <c r="BW232" s="386">
        <f t="shared" si="151"/>
        <v>0</v>
      </c>
      <c r="BX232" s="386">
        <f t="shared" si="166"/>
        <v>0</v>
      </c>
      <c r="BY232" s="386">
        <f t="shared" si="167"/>
        <v>0</v>
      </c>
      <c r="BZ232" s="386">
        <f t="shared" si="168"/>
        <v>0</v>
      </c>
      <c r="CA232" s="386">
        <f t="shared" si="169"/>
        <v>0</v>
      </c>
      <c r="CB232" s="386">
        <f t="shared" si="170"/>
        <v>0</v>
      </c>
      <c r="CC232" s="386">
        <f t="shared" si="152"/>
        <v>0</v>
      </c>
      <c r="CD232" s="386">
        <f t="shared" si="153"/>
        <v>0</v>
      </c>
      <c r="CE232" s="386">
        <f t="shared" si="154"/>
        <v>0</v>
      </c>
      <c r="CF232" s="386">
        <f t="shared" si="155"/>
        <v>0</v>
      </c>
      <c r="CG232" s="386">
        <f t="shared" si="156"/>
        <v>0</v>
      </c>
      <c r="CH232" s="386">
        <f t="shared" si="157"/>
        <v>0</v>
      </c>
      <c r="CI232" s="386">
        <f t="shared" si="158"/>
        <v>0</v>
      </c>
      <c r="CJ232" s="386">
        <f t="shared" si="171"/>
        <v>0</v>
      </c>
      <c r="CK232" s="386" t="str">
        <f t="shared" si="172"/>
        <v/>
      </c>
      <c r="CL232" s="386">
        <f t="shared" si="173"/>
        <v>0</v>
      </c>
      <c r="CM232" s="386">
        <f t="shared" si="174"/>
        <v>0</v>
      </c>
      <c r="CN232" s="386" t="str">
        <f t="shared" si="175"/>
        <v>0338-02</v>
      </c>
    </row>
    <row r="233" spans="1:92" ht="15.75" thickBot="1" x14ac:dyDescent="0.3">
      <c r="A233" s="375" t="s">
        <v>161</v>
      </c>
      <c r="B233" s="375" t="s">
        <v>162</v>
      </c>
      <c r="C233" s="375" t="s">
        <v>832</v>
      </c>
      <c r="D233" s="375" t="s">
        <v>324</v>
      </c>
      <c r="E233" s="375" t="s">
        <v>526</v>
      </c>
      <c r="F233" s="381" t="s">
        <v>529</v>
      </c>
      <c r="G233" s="375" t="s">
        <v>549</v>
      </c>
      <c r="H233" s="377"/>
      <c r="I233" s="377"/>
      <c r="J233" s="375" t="s">
        <v>218</v>
      </c>
      <c r="K233" s="375" t="s">
        <v>325</v>
      </c>
      <c r="L233" s="375" t="s">
        <v>170</v>
      </c>
      <c r="M233" s="375" t="s">
        <v>177</v>
      </c>
      <c r="N233" s="375" t="s">
        <v>199</v>
      </c>
      <c r="O233" s="378">
        <v>1</v>
      </c>
      <c r="P233" s="384">
        <v>0.35</v>
      </c>
      <c r="Q233" s="384">
        <v>0.35</v>
      </c>
      <c r="R233" s="379">
        <v>80</v>
      </c>
      <c r="S233" s="384">
        <v>0.35</v>
      </c>
      <c r="T233" s="379">
        <v>15078.55</v>
      </c>
      <c r="U233" s="379">
        <v>0</v>
      </c>
      <c r="V233" s="379">
        <v>6796.73</v>
      </c>
      <c r="W233" s="379">
        <v>18221.84</v>
      </c>
      <c r="X233" s="379">
        <v>7967.3</v>
      </c>
      <c r="Y233" s="379">
        <v>18221.84</v>
      </c>
      <c r="Z233" s="379">
        <v>7879.84</v>
      </c>
      <c r="AA233" s="375" t="s">
        <v>833</v>
      </c>
      <c r="AB233" s="375" t="s">
        <v>204</v>
      </c>
      <c r="AC233" s="375" t="s">
        <v>205</v>
      </c>
      <c r="AD233" s="375" t="s">
        <v>647</v>
      </c>
      <c r="AE233" s="375" t="s">
        <v>325</v>
      </c>
      <c r="AF233" s="375" t="s">
        <v>269</v>
      </c>
      <c r="AG233" s="375" t="s">
        <v>183</v>
      </c>
      <c r="AH233" s="380">
        <v>25.03</v>
      </c>
      <c r="AI233" s="378">
        <v>15437</v>
      </c>
      <c r="AJ233" s="375" t="s">
        <v>184</v>
      </c>
      <c r="AK233" s="375" t="s">
        <v>185</v>
      </c>
      <c r="AL233" s="375" t="s">
        <v>173</v>
      </c>
      <c r="AM233" s="375" t="s">
        <v>186</v>
      </c>
      <c r="AN233" s="375" t="s">
        <v>68</v>
      </c>
      <c r="AO233" s="378">
        <v>80</v>
      </c>
      <c r="AP233" s="384">
        <v>1</v>
      </c>
      <c r="AQ233" s="384">
        <v>0.35</v>
      </c>
      <c r="AR233" s="383" t="s">
        <v>187</v>
      </c>
      <c r="AS233" s="386">
        <f t="shared" si="159"/>
        <v>0.35</v>
      </c>
      <c r="AT233">
        <f t="shared" si="160"/>
        <v>1</v>
      </c>
      <c r="AU233" s="386">
        <f>IF(AT233=0,"",IF(AND(AT233=1,M233="F",SUMIF(C2:C557,C233,AS2:AS557)&lt;=1),SUMIF(C2:C557,C233,AS2:AS557),IF(AND(AT233=1,M233="F",SUMIF(C2:C557,C233,AS2:AS557)&gt;1),1,"")))</f>
        <v>1</v>
      </c>
      <c r="AV233" s="386" t="str">
        <f>IF(AT233=0,"",IF(AND(AT233=3,M233="F",SUMIF(C2:C557,C233,AS2:AS557)&lt;=1),SUMIF(C2:C557,C233,AS2:AS557),IF(AND(AT233=3,M233="F",SUMIF(C2:C557,C233,AS2:AS557)&gt;1),1,"")))</f>
        <v/>
      </c>
      <c r="AW233" s="386">
        <f>SUMIF(C2:C557,C233,O2:O557)</f>
        <v>4</v>
      </c>
      <c r="AX233" s="386">
        <f>IF(AND(M233="F",AS233&lt;&gt;0),SUMIF(C2:C557,C233,W2:W557),0)</f>
        <v>52062.399999999994</v>
      </c>
      <c r="AY233" s="386">
        <f t="shared" si="161"/>
        <v>18221.84</v>
      </c>
      <c r="AZ233" s="386" t="str">
        <f t="shared" si="162"/>
        <v/>
      </c>
      <c r="BA233" s="386">
        <f t="shared" si="163"/>
        <v>0</v>
      </c>
      <c r="BB233" s="386">
        <f t="shared" si="132"/>
        <v>4077.4999999999995</v>
      </c>
      <c r="BC233" s="386">
        <f t="shared" si="133"/>
        <v>0</v>
      </c>
      <c r="BD233" s="386">
        <f t="shared" si="134"/>
        <v>1129.7540799999999</v>
      </c>
      <c r="BE233" s="386">
        <f t="shared" si="135"/>
        <v>264.21668</v>
      </c>
      <c r="BF233" s="386">
        <f t="shared" si="136"/>
        <v>2175.687696</v>
      </c>
      <c r="BG233" s="386">
        <f t="shared" si="137"/>
        <v>131.37946640000001</v>
      </c>
      <c r="BH233" s="386">
        <f t="shared" si="138"/>
        <v>89.287015999999994</v>
      </c>
      <c r="BI233" s="386">
        <f t="shared" si="139"/>
        <v>55.758830399999994</v>
      </c>
      <c r="BJ233" s="386">
        <f t="shared" si="140"/>
        <v>43.732415999999994</v>
      </c>
      <c r="BK233" s="386">
        <f t="shared" si="141"/>
        <v>0</v>
      </c>
      <c r="BL233" s="386">
        <f t="shared" si="164"/>
        <v>3889.8161848</v>
      </c>
      <c r="BM233" s="386">
        <f t="shared" si="165"/>
        <v>0</v>
      </c>
      <c r="BN233" s="386">
        <f t="shared" si="142"/>
        <v>4077.4999999999995</v>
      </c>
      <c r="BO233" s="386">
        <f t="shared" si="143"/>
        <v>0</v>
      </c>
      <c r="BP233" s="386">
        <f t="shared" si="144"/>
        <v>1129.7540799999999</v>
      </c>
      <c r="BQ233" s="386">
        <f t="shared" si="145"/>
        <v>264.21668</v>
      </c>
      <c r="BR233" s="386">
        <f t="shared" si="146"/>
        <v>2175.687696</v>
      </c>
      <c r="BS233" s="386">
        <f t="shared" si="147"/>
        <v>131.37946640000001</v>
      </c>
      <c r="BT233" s="386">
        <f t="shared" si="148"/>
        <v>0</v>
      </c>
      <c r="BU233" s="386">
        <f t="shared" si="149"/>
        <v>55.758830399999994</v>
      </c>
      <c r="BV233" s="386">
        <f t="shared" si="150"/>
        <v>45.554600000000001</v>
      </c>
      <c r="BW233" s="386">
        <f t="shared" si="151"/>
        <v>0</v>
      </c>
      <c r="BX233" s="386">
        <f t="shared" si="166"/>
        <v>3802.3513528000003</v>
      </c>
      <c r="BY233" s="386">
        <f t="shared" si="167"/>
        <v>0</v>
      </c>
      <c r="BZ233" s="386">
        <f t="shared" si="168"/>
        <v>0</v>
      </c>
      <c r="CA233" s="386">
        <f t="shared" si="169"/>
        <v>0</v>
      </c>
      <c r="CB233" s="386">
        <f t="shared" si="170"/>
        <v>0</v>
      </c>
      <c r="CC233" s="386">
        <f t="shared" si="152"/>
        <v>0</v>
      </c>
      <c r="CD233" s="386">
        <f t="shared" si="153"/>
        <v>0</v>
      </c>
      <c r="CE233" s="386">
        <f t="shared" si="154"/>
        <v>0</v>
      </c>
      <c r="CF233" s="386">
        <f t="shared" si="155"/>
        <v>-89.287015999999994</v>
      </c>
      <c r="CG233" s="386">
        <f t="shared" si="156"/>
        <v>0</v>
      </c>
      <c r="CH233" s="386">
        <f t="shared" si="157"/>
        <v>1.8221840000000047</v>
      </c>
      <c r="CI233" s="386">
        <f t="shared" si="158"/>
        <v>0</v>
      </c>
      <c r="CJ233" s="386">
        <f t="shared" si="171"/>
        <v>-87.464831999999987</v>
      </c>
      <c r="CK233" s="386" t="str">
        <f t="shared" si="172"/>
        <v/>
      </c>
      <c r="CL233" s="386" t="str">
        <f t="shared" si="173"/>
        <v/>
      </c>
      <c r="CM233" s="386" t="str">
        <f t="shared" si="174"/>
        <v/>
      </c>
      <c r="CN233" s="386" t="str">
        <f t="shared" si="175"/>
        <v>0338-02</v>
      </c>
    </row>
    <row r="234" spans="1:92" ht="15.75" thickBot="1" x14ac:dyDescent="0.3">
      <c r="A234" s="375" t="s">
        <v>161</v>
      </c>
      <c r="B234" s="375" t="s">
        <v>162</v>
      </c>
      <c r="C234" s="375" t="s">
        <v>1027</v>
      </c>
      <c r="D234" s="375" t="s">
        <v>710</v>
      </c>
      <c r="E234" s="375" t="s">
        <v>526</v>
      </c>
      <c r="F234" s="381" t="s">
        <v>529</v>
      </c>
      <c r="G234" s="375" t="s">
        <v>549</v>
      </c>
      <c r="H234" s="377"/>
      <c r="I234" s="377"/>
      <c r="J234" s="375" t="s">
        <v>168</v>
      </c>
      <c r="K234" s="375" t="s">
        <v>711</v>
      </c>
      <c r="L234" s="375" t="s">
        <v>183</v>
      </c>
      <c r="M234" s="375" t="s">
        <v>177</v>
      </c>
      <c r="N234" s="375" t="s">
        <v>199</v>
      </c>
      <c r="O234" s="378">
        <v>1</v>
      </c>
      <c r="P234" s="384">
        <v>1</v>
      </c>
      <c r="Q234" s="384">
        <v>1</v>
      </c>
      <c r="R234" s="379">
        <v>80</v>
      </c>
      <c r="S234" s="384">
        <v>1</v>
      </c>
      <c r="T234" s="379">
        <v>29896.080000000002</v>
      </c>
      <c r="U234" s="379">
        <v>0</v>
      </c>
      <c r="V234" s="379">
        <v>17835.900000000001</v>
      </c>
      <c r="W234" s="379">
        <v>31075.200000000001</v>
      </c>
      <c r="X234" s="379">
        <v>18283.599999999999</v>
      </c>
      <c r="Y234" s="379">
        <v>31075.200000000001</v>
      </c>
      <c r="Z234" s="379">
        <v>18134.439999999999</v>
      </c>
      <c r="AA234" s="375" t="s">
        <v>1028</v>
      </c>
      <c r="AB234" s="375" t="s">
        <v>605</v>
      </c>
      <c r="AC234" s="375" t="s">
        <v>1029</v>
      </c>
      <c r="AD234" s="375" t="s">
        <v>233</v>
      </c>
      <c r="AE234" s="375" t="s">
        <v>711</v>
      </c>
      <c r="AF234" s="375" t="s">
        <v>206</v>
      </c>
      <c r="AG234" s="375" t="s">
        <v>183</v>
      </c>
      <c r="AH234" s="380">
        <v>14.94</v>
      </c>
      <c r="AI234" s="378">
        <v>11598</v>
      </c>
      <c r="AJ234" s="375" t="s">
        <v>184</v>
      </c>
      <c r="AK234" s="375" t="s">
        <v>185</v>
      </c>
      <c r="AL234" s="375" t="s">
        <v>173</v>
      </c>
      <c r="AM234" s="375" t="s">
        <v>186</v>
      </c>
      <c r="AN234" s="375" t="s">
        <v>68</v>
      </c>
      <c r="AO234" s="378">
        <v>80</v>
      </c>
      <c r="AP234" s="384">
        <v>1</v>
      </c>
      <c r="AQ234" s="384">
        <v>1</v>
      </c>
      <c r="AR234" s="383" t="s">
        <v>187</v>
      </c>
      <c r="AS234" s="386">
        <f t="shared" si="159"/>
        <v>1</v>
      </c>
      <c r="AT234">
        <f t="shared" si="160"/>
        <v>1</v>
      </c>
      <c r="AU234" s="386">
        <f>IF(AT234=0,"",IF(AND(AT234=1,M234="F",SUMIF(C2:C557,C234,AS2:AS557)&lt;=1),SUMIF(C2:C557,C234,AS2:AS557),IF(AND(AT234=1,M234="F",SUMIF(C2:C557,C234,AS2:AS557)&gt;1),1,"")))</f>
        <v>1</v>
      </c>
      <c r="AV234" s="386" t="str">
        <f>IF(AT234=0,"",IF(AND(AT234=3,M234="F",SUMIF(C2:C557,C234,AS2:AS557)&lt;=1),SUMIF(C2:C557,C234,AS2:AS557),IF(AND(AT234=3,M234="F",SUMIF(C2:C557,C234,AS2:AS557)&gt;1),1,"")))</f>
        <v/>
      </c>
      <c r="AW234" s="386">
        <f>SUMIF(C2:C557,C234,O2:O557)</f>
        <v>1</v>
      </c>
      <c r="AX234" s="386">
        <f>IF(AND(M234="F",AS234&lt;&gt;0),SUMIF(C2:C557,C234,W2:W557),0)</f>
        <v>31075.200000000001</v>
      </c>
      <c r="AY234" s="386">
        <f t="shared" si="161"/>
        <v>31075.200000000001</v>
      </c>
      <c r="AZ234" s="386" t="str">
        <f t="shared" si="162"/>
        <v/>
      </c>
      <c r="BA234" s="386">
        <f t="shared" si="163"/>
        <v>0</v>
      </c>
      <c r="BB234" s="386">
        <f t="shared" si="132"/>
        <v>11650</v>
      </c>
      <c r="BC234" s="386">
        <f t="shared" si="133"/>
        <v>0</v>
      </c>
      <c r="BD234" s="386">
        <f t="shared" si="134"/>
        <v>1926.6623999999999</v>
      </c>
      <c r="BE234" s="386">
        <f t="shared" si="135"/>
        <v>450.59040000000005</v>
      </c>
      <c r="BF234" s="386">
        <f t="shared" si="136"/>
        <v>3710.3788800000002</v>
      </c>
      <c r="BG234" s="386">
        <f t="shared" si="137"/>
        <v>224.05219200000002</v>
      </c>
      <c r="BH234" s="386">
        <f t="shared" si="138"/>
        <v>152.26848000000001</v>
      </c>
      <c r="BI234" s="386">
        <f t="shared" si="139"/>
        <v>95.090111999999991</v>
      </c>
      <c r="BJ234" s="386">
        <f t="shared" si="140"/>
        <v>74.580479999999994</v>
      </c>
      <c r="BK234" s="386">
        <f t="shared" si="141"/>
        <v>0</v>
      </c>
      <c r="BL234" s="386">
        <f t="shared" si="164"/>
        <v>6633.6229439999997</v>
      </c>
      <c r="BM234" s="386">
        <f t="shared" si="165"/>
        <v>0</v>
      </c>
      <c r="BN234" s="386">
        <f t="shared" si="142"/>
        <v>11650</v>
      </c>
      <c r="BO234" s="386">
        <f t="shared" si="143"/>
        <v>0</v>
      </c>
      <c r="BP234" s="386">
        <f t="shared" si="144"/>
        <v>1926.6623999999999</v>
      </c>
      <c r="BQ234" s="386">
        <f t="shared" si="145"/>
        <v>450.59040000000005</v>
      </c>
      <c r="BR234" s="386">
        <f t="shared" si="146"/>
        <v>3710.3788800000002</v>
      </c>
      <c r="BS234" s="386">
        <f t="shared" si="147"/>
        <v>224.05219200000002</v>
      </c>
      <c r="BT234" s="386">
        <f t="shared" si="148"/>
        <v>0</v>
      </c>
      <c r="BU234" s="386">
        <f t="shared" si="149"/>
        <v>95.090111999999991</v>
      </c>
      <c r="BV234" s="386">
        <f t="shared" si="150"/>
        <v>77.688000000000002</v>
      </c>
      <c r="BW234" s="386">
        <f t="shared" si="151"/>
        <v>0</v>
      </c>
      <c r="BX234" s="386">
        <f t="shared" si="166"/>
        <v>6484.4619840000005</v>
      </c>
      <c r="BY234" s="386">
        <f t="shared" si="167"/>
        <v>0</v>
      </c>
      <c r="BZ234" s="386">
        <f t="shared" si="168"/>
        <v>0</v>
      </c>
      <c r="CA234" s="386">
        <f t="shared" si="169"/>
        <v>0</v>
      </c>
      <c r="CB234" s="386">
        <f t="shared" si="170"/>
        <v>0</v>
      </c>
      <c r="CC234" s="386">
        <f t="shared" si="152"/>
        <v>0</v>
      </c>
      <c r="CD234" s="386">
        <f t="shared" si="153"/>
        <v>0</v>
      </c>
      <c r="CE234" s="386">
        <f t="shared" si="154"/>
        <v>0</v>
      </c>
      <c r="CF234" s="386">
        <f t="shared" si="155"/>
        <v>-152.26848000000001</v>
      </c>
      <c r="CG234" s="386">
        <f t="shared" si="156"/>
        <v>0</v>
      </c>
      <c r="CH234" s="386">
        <f t="shared" si="157"/>
        <v>3.1075200000000081</v>
      </c>
      <c r="CI234" s="386">
        <f t="shared" si="158"/>
        <v>0</v>
      </c>
      <c r="CJ234" s="386">
        <f t="shared" si="171"/>
        <v>-149.16095999999999</v>
      </c>
      <c r="CK234" s="386" t="str">
        <f t="shared" si="172"/>
        <v/>
      </c>
      <c r="CL234" s="386" t="str">
        <f t="shared" si="173"/>
        <v/>
      </c>
      <c r="CM234" s="386" t="str">
        <f t="shared" si="174"/>
        <v/>
      </c>
      <c r="CN234" s="386" t="str">
        <f t="shared" si="175"/>
        <v>0338-02</v>
      </c>
    </row>
    <row r="235" spans="1:92" ht="15.75" thickBot="1" x14ac:dyDescent="0.3">
      <c r="A235" s="375" t="s">
        <v>161</v>
      </c>
      <c r="B235" s="375" t="s">
        <v>162</v>
      </c>
      <c r="C235" s="375" t="s">
        <v>1030</v>
      </c>
      <c r="D235" s="375" t="s">
        <v>665</v>
      </c>
      <c r="E235" s="375" t="s">
        <v>526</v>
      </c>
      <c r="F235" s="381" t="s">
        <v>529</v>
      </c>
      <c r="G235" s="375" t="s">
        <v>549</v>
      </c>
      <c r="H235" s="377"/>
      <c r="I235" s="377"/>
      <c r="J235" s="375" t="s">
        <v>168</v>
      </c>
      <c r="K235" s="375" t="s">
        <v>666</v>
      </c>
      <c r="L235" s="375" t="s">
        <v>183</v>
      </c>
      <c r="M235" s="375" t="s">
        <v>177</v>
      </c>
      <c r="N235" s="375" t="s">
        <v>199</v>
      </c>
      <c r="O235" s="378">
        <v>1</v>
      </c>
      <c r="P235" s="384">
        <v>1</v>
      </c>
      <c r="Q235" s="384">
        <v>1</v>
      </c>
      <c r="R235" s="379">
        <v>80</v>
      </c>
      <c r="S235" s="384">
        <v>1</v>
      </c>
      <c r="T235" s="379">
        <v>28897.63</v>
      </c>
      <c r="U235" s="379">
        <v>0</v>
      </c>
      <c r="V235" s="379">
        <v>17499.439999999999</v>
      </c>
      <c r="W235" s="379">
        <v>31761.599999999999</v>
      </c>
      <c r="X235" s="379">
        <v>18430.12</v>
      </c>
      <c r="Y235" s="379">
        <v>31761.599999999999</v>
      </c>
      <c r="Z235" s="379">
        <v>18277.669999999998</v>
      </c>
      <c r="AA235" s="375" t="s">
        <v>1031</v>
      </c>
      <c r="AB235" s="375" t="s">
        <v>1032</v>
      </c>
      <c r="AC235" s="375" t="s">
        <v>1033</v>
      </c>
      <c r="AD235" s="375" t="s">
        <v>195</v>
      </c>
      <c r="AE235" s="375" t="s">
        <v>666</v>
      </c>
      <c r="AF235" s="375" t="s">
        <v>206</v>
      </c>
      <c r="AG235" s="375" t="s">
        <v>183</v>
      </c>
      <c r="AH235" s="380">
        <v>15.27</v>
      </c>
      <c r="AI235" s="380">
        <v>8726.7000000000007</v>
      </c>
      <c r="AJ235" s="375" t="s">
        <v>184</v>
      </c>
      <c r="AK235" s="375" t="s">
        <v>185</v>
      </c>
      <c r="AL235" s="375" t="s">
        <v>173</v>
      </c>
      <c r="AM235" s="375" t="s">
        <v>186</v>
      </c>
      <c r="AN235" s="375" t="s">
        <v>68</v>
      </c>
      <c r="AO235" s="378">
        <v>80</v>
      </c>
      <c r="AP235" s="384">
        <v>1</v>
      </c>
      <c r="AQ235" s="384">
        <v>1</v>
      </c>
      <c r="AR235" s="383" t="s">
        <v>187</v>
      </c>
      <c r="AS235" s="386">
        <f t="shared" si="159"/>
        <v>1</v>
      </c>
      <c r="AT235">
        <f t="shared" si="160"/>
        <v>1</v>
      </c>
      <c r="AU235" s="386">
        <f>IF(AT235=0,"",IF(AND(AT235=1,M235="F",SUMIF(C2:C557,C235,AS2:AS557)&lt;=1),SUMIF(C2:C557,C235,AS2:AS557),IF(AND(AT235=1,M235="F",SUMIF(C2:C557,C235,AS2:AS557)&gt;1),1,"")))</f>
        <v>1</v>
      </c>
      <c r="AV235" s="386" t="str">
        <f>IF(AT235=0,"",IF(AND(AT235=3,M235="F",SUMIF(C2:C557,C235,AS2:AS557)&lt;=1),SUMIF(C2:C557,C235,AS2:AS557),IF(AND(AT235=3,M235="F",SUMIF(C2:C557,C235,AS2:AS557)&gt;1),1,"")))</f>
        <v/>
      </c>
      <c r="AW235" s="386">
        <f>SUMIF(C2:C557,C235,O2:O557)</f>
        <v>1</v>
      </c>
      <c r="AX235" s="386">
        <f>IF(AND(M235="F",AS235&lt;&gt;0),SUMIF(C2:C557,C235,W2:W557),0)</f>
        <v>31761.599999999999</v>
      </c>
      <c r="AY235" s="386">
        <f t="shared" si="161"/>
        <v>31761.599999999999</v>
      </c>
      <c r="AZ235" s="386" t="str">
        <f t="shared" si="162"/>
        <v/>
      </c>
      <c r="BA235" s="386">
        <f t="shared" si="163"/>
        <v>0</v>
      </c>
      <c r="BB235" s="386">
        <f t="shared" si="132"/>
        <v>11650</v>
      </c>
      <c r="BC235" s="386">
        <f t="shared" si="133"/>
        <v>0</v>
      </c>
      <c r="BD235" s="386">
        <f t="shared" si="134"/>
        <v>1969.2192</v>
      </c>
      <c r="BE235" s="386">
        <f t="shared" si="135"/>
        <v>460.54320000000001</v>
      </c>
      <c r="BF235" s="386">
        <f t="shared" si="136"/>
        <v>3792.3350399999999</v>
      </c>
      <c r="BG235" s="386">
        <f t="shared" si="137"/>
        <v>229.001136</v>
      </c>
      <c r="BH235" s="386">
        <f t="shared" si="138"/>
        <v>155.63183999999998</v>
      </c>
      <c r="BI235" s="386">
        <f t="shared" si="139"/>
        <v>97.190495999999982</v>
      </c>
      <c r="BJ235" s="386">
        <f t="shared" si="140"/>
        <v>76.227839999999986</v>
      </c>
      <c r="BK235" s="386">
        <f t="shared" si="141"/>
        <v>0</v>
      </c>
      <c r="BL235" s="386">
        <f t="shared" si="164"/>
        <v>6780.1487519999991</v>
      </c>
      <c r="BM235" s="386">
        <f t="shared" si="165"/>
        <v>0</v>
      </c>
      <c r="BN235" s="386">
        <f t="shared" si="142"/>
        <v>11650</v>
      </c>
      <c r="BO235" s="386">
        <f t="shared" si="143"/>
        <v>0</v>
      </c>
      <c r="BP235" s="386">
        <f t="shared" si="144"/>
        <v>1969.2192</v>
      </c>
      <c r="BQ235" s="386">
        <f t="shared" si="145"/>
        <v>460.54320000000001</v>
      </c>
      <c r="BR235" s="386">
        <f t="shared" si="146"/>
        <v>3792.3350399999999</v>
      </c>
      <c r="BS235" s="386">
        <f t="shared" si="147"/>
        <v>229.001136</v>
      </c>
      <c r="BT235" s="386">
        <f t="shared" si="148"/>
        <v>0</v>
      </c>
      <c r="BU235" s="386">
        <f t="shared" si="149"/>
        <v>97.190495999999982</v>
      </c>
      <c r="BV235" s="386">
        <f t="shared" si="150"/>
        <v>79.403999999999996</v>
      </c>
      <c r="BW235" s="386">
        <f t="shared" si="151"/>
        <v>0</v>
      </c>
      <c r="BX235" s="386">
        <f t="shared" si="166"/>
        <v>6627.693072</v>
      </c>
      <c r="BY235" s="386">
        <f t="shared" si="167"/>
        <v>0</v>
      </c>
      <c r="BZ235" s="386">
        <f t="shared" si="168"/>
        <v>0</v>
      </c>
      <c r="CA235" s="386">
        <f t="shared" si="169"/>
        <v>0</v>
      </c>
      <c r="CB235" s="386">
        <f t="shared" si="170"/>
        <v>0</v>
      </c>
      <c r="CC235" s="386">
        <f t="shared" si="152"/>
        <v>0</v>
      </c>
      <c r="CD235" s="386">
        <f t="shared" si="153"/>
        <v>0</v>
      </c>
      <c r="CE235" s="386">
        <f t="shared" si="154"/>
        <v>0</v>
      </c>
      <c r="CF235" s="386">
        <f t="shared" si="155"/>
        <v>-155.63183999999998</v>
      </c>
      <c r="CG235" s="386">
        <f t="shared" si="156"/>
        <v>0</v>
      </c>
      <c r="CH235" s="386">
        <f t="shared" si="157"/>
        <v>3.1761600000000083</v>
      </c>
      <c r="CI235" s="386">
        <f t="shared" si="158"/>
        <v>0</v>
      </c>
      <c r="CJ235" s="386">
        <f t="shared" si="171"/>
        <v>-152.45567999999997</v>
      </c>
      <c r="CK235" s="386" t="str">
        <f t="shared" si="172"/>
        <v/>
      </c>
      <c r="CL235" s="386" t="str">
        <f t="shared" si="173"/>
        <v/>
      </c>
      <c r="CM235" s="386" t="str">
        <f t="shared" si="174"/>
        <v/>
      </c>
      <c r="CN235" s="386" t="str">
        <f t="shared" si="175"/>
        <v>0338-02</v>
      </c>
    </row>
    <row r="236" spans="1:92" ht="15.75" thickBot="1" x14ac:dyDescent="0.3">
      <c r="A236" s="375" t="s">
        <v>161</v>
      </c>
      <c r="B236" s="375" t="s">
        <v>162</v>
      </c>
      <c r="C236" s="375" t="s">
        <v>1034</v>
      </c>
      <c r="D236" s="375" t="s">
        <v>746</v>
      </c>
      <c r="E236" s="375" t="s">
        <v>526</v>
      </c>
      <c r="F236" s="381" t="s">
        <v>529</v>
      </c>
      <c r="G236" s="375" t="s">
        <v>549</v>
      </c>
      <c r="H236" s="377"/>
      <c r="I236" s="377"/>
      <c r="J236" s="375" t="s">
        <v>168</v>
      </c>
      <c r="K236" s="375" t="s">
        <v>747</v>
      </c>
      <c r="L236" s="375" t="s">
        <v>210</v>
      </c>
      <c r="M236" s="375" t="s">
        <v>177</v>
      </c>
      <c r="N236" s="375" t="s">
        <v>199</v>
      </c>
      <c r="O236" s="378">
        <v>1</v>
      </c>
      <c r="P236" s="384">
        <v>1</v>
      </c>
      <c r="Q236" s="384">
        <v>1</v>
      </c>
      <c r="R236" s="379">
        <v>80</v>
      </c>
      <c r="S236" s="384">
        <v>1</v>
      </c>
      <c r="T236" s="379">
        <v>37480.1</v>
      </c>
      <c r="U236" s="379">
        <v>0</v>
      </c>
      <c r="V236" s="379">
        <v>19286.39</v>
      </c>
      <c r="W236" s="379">
        <v>38958.400000000001</v>
      </c>
      <c r="X236" s="379">
        <v>19966.43</v>
      </c>
      <c r="Y236" s="379">
        <v>38958.400000000001</v>
      </c>
      <c r="Z236" s="379">
        <v>19779.43</v>
      </c>
      <c r="AA236" s="375" t="s">
        <v>1035</v>
      </c>
      <c r="AB236" s="375" t="s">
        <v>1036</v>
      </c>
      <c r="AC236" s="375" t="s">
        <v>347</v>
      </c>
      <c r="AD236" s="375" t="s">
        <v>267</v>
      </c>
      <c r="AE236" s="375" t="s">
        <v>747</v>
      </c>
      <c r="AF236" s="375" t="s">
        <v>215</v>
      </c>
      <c r="AG236" s="375" t="s">
        <v>183</v>
      </c>
      <c r="AH236" s="380">
        <v>18.73</v>
      </c>
      <c r="AI236" s="378">
        <v>24718</v>
      </c>
      <c r="AJ236" s="375" t="s">
        <v>184</v>
      </c>
      <c r="AK236" s="375" t="s">
        <v>185</v>
      </c>
      <c r="AL236" s="375" t="s">
        <v>173</v>
      </c>
      <c r="AM236" s="375" t="s">
        <v>186</v>
      </c>
      <c r="AN236" s="375" t="s">
        <v>68</v>
      </c>
      <c r="AO236" s="378">
        <v>80</v>
      </c>
      <c r="AP236" s="384">
        <v>1</v>
      </c>
      <c r="AQ236" s="384">
        <v>1</v>
      </c>
      <c r="AR236" s="383" t="s">
        <v>187</v>
      </c>
      <c r="AS236" s="386">
        <f t="shared" si="159"/>
        <v>1</v>
      </c>
      <c r="AT236">
        <f t="shared" si="160"/>
        <v>1</v>
      </c>
      <c r="AU236" s="386">
        <f>IF(AT236=0,"",IF(AND(AT236=1,M236="F",SUMIF(C2:C557,C236,AS2:AS557)&lt;=1),SUMIF(C2:C557,C236,AS2:AS557),IF(AND(AT236=1,M236="F",SUMIF(C2:C557,C236,AS2:AS557)&gt;1),1,"")))</f>
        <v>1</v>
      </c>
      <c r="AV236" s="386" t="str">
        <f>IF(AT236=0,"",IF(AND(AT236=3,M236="F",SUMIF(C2:C557,C236,AS2:AS557)&lt;=1),SUMIF(C2:C557,C236,AS2:AS557),IF(AND(AT236=3,M236="F",SUMIF(C2:C557,C236,AS2:AS557)&gt;1),1,"")))</f>
        <v/>
      </c>
      <c r="AW236" s="386">
        <f>SUMIF(C2:C557,C236,O2:O557)</f>
        <v>1</v>
      </c>
      <c r="AX236" s="386">
        <f>IF(AND(M236="F",AS236&lt;&gt;0),SUMIF(C2:C557,C236,W2:W557),0)</f>
        <v>38958.400000000001</v>
      </c>
      <c r="AY236" s="386">
        <f t="shared" si="161"/>
        <v>38958.400000000001</v>
      </c>
      <c r="AZ236" s="386" t="str">
        <f t="shared" si="162"/>
        <v/>
      </c>
      <c r="BA236" s="386">
        <f t="shared" si="163"/>
        <v>0</v>
      </c>
      <c r="BB236" s="386">
        <f t="shared" si="132"/>
        <v>11650</v>
      </c>
      <c r="BC236" s="386">
        <f t="shared" si="133"/>
        <v>0</v>
      </c>
      <c r="BD236" s="386">
        <f t="shared" si="134"/>
        <v>2415.4207999999999</v>
      </c>
      <c r="BE236" s="386">
        <f t="shared" si="135"/>
        <v>564.8968000000001</v>
      </c>
      <c r="BF236" s="386">
        <f t="shared" si="136"/>
        <v>4651.6329600000008</v>
      </c>
      <c r="BG236" s="386">
        <f t="shared" si="137"/>
        <v>280.890064</v>
      </c>
      <c r="BH236" s="386">
        <f t="shared" si="138"/>
        <v>190.89616000000001</v>
      </c>
      <c r="BI236" s="386">
        <f t="shared" si="139"/>
        <v>119.212704</v>
      </c>
      <c r="BJ236" s="386">
        <f t="shared" si="140"/>
        <v>93.500159999999994</v>
      </c>
      <c r="BK236" s="386">
        <f t="shared" si="141"/>
        <v>0</v>
      </c>
      <c r="BL236" s="386">
        <f t="shared" si="164"/>
        <v>8316.4496480000016</v>
      </c>
      <c r="BM236" s="386">
        <f t="shared" si="165"/>
        <v>0</v>
      </c>
      <c r="BN236" s="386">
        <f t="shared" si="142"/>
        <v>11650</v>
      </c>
      <c r="BO236" s="386">
        <f t="shared" si="143"/>
        <v>0</v>
      </c>
      <c r="BP236" s="386">
        <f t="shared" si="144"/>
        <v>2415.4207999999999</v>
      </c>
      <c r="BQ236" s="386">
        <f t="shared" si="145"/>
        <v>564.8968000000001</v>
      </c>
      <c r="BR236" s="386">
        <f t="shared" si="146"/>
        <v>4651.6329600000008</v>
      </c>
      <c r="BS236" s="386">
        <f t="shared" si="147"/>
        <v>280.890064</v>
      </c>
      <c r="BT236" s="386">
        <f t="shared" si="148"/>
        <v>0</v>
      </c>
      <c r="BU236" s="386">
        <f t="shared" si="149"/>
        <v>119.212704</v>
      </c>
      <c r="BV236" s="386">
        <f t="shared" si="150"/>
        <v>97.396000000000001</v>
      </c>
      <c r="BW236" s="386">
        <f t="shared" si="151"/>
        <v>0</v>
      </c>
      <c r="BX236" s="386">
        <f t="shared" si="166"/>
        <v>8129.4493280000006</v>
      </c>
      <c r="BY236" s="386">
        <f t="shared" si="167"/>
        <v>0</v>
      </c>
      <c r="BZ236" s="386">
        <f t="shared" si="168"/>
        <v>0</v>
      </c>
      <c r="CA236" s="386">
        <f t="shared" si="169"/>
        <v>0</v>
      </c>
      <c r="CB236" s="386">
        <f t="shared" si="170"/>
        <v>0</v>
      </c>
      <c r="CC236" s="386">
        <f t="shared" si="152"/>
        <v>0</v>
      </c>
      <c r="CD236" s="386">
        <f t="shared" si="153"/>
        <v>0</v>
      </c>
      <c r="CE236" s="386">
        <f t="shared" si="154"/>
        <v>0</v>
      </c>
      <c r="CF236" s="386">
        <f t="shared" si="155"/>
        <v>-190.89616000000001</v>
      </c>
      <c r="CG236" s="386">
        <f t="shared" si="156"/>
        <v>0</v>
      </c>
      <c r="CH236" s="386">
        <f t="shared" si="157"/>
        <v>3.8958400000000104</v>
      </c>
      <c r="CI236" s="386">
        <f t="shared" si="158"/>
        <v>0</v>
      </c>
      <c r="CJ236" s="386">
        <f t="shared" si="171"/>
        <v>-187.00031999999999</v>
      </c>
      <c r="CK236" s="386" t="str">
        <f t="shared" si="172"/>
        <v/>
      </c>
      <c r="CL236" s="386" t="str">
        <f t="shared" si="173"/>
        <v/>
      </c>
      <c r="CM236" s="386" t="str">
        <f t="shared" si="174"/>
        <v/>
      </c>
      <c r="CN236" s="386" t="str">
        <f t="shared" si="175"/>
        <v>0338-02</v>
      </c>
    </row>
    <row r="237" spans="1:92" ht="15.75" thickBot="1" x14ac:dyDescent="0.3">
      <c r="A237" s="375" t="s">
        <v>161</v>
      </c>
      <c r="B237" s="375" t="s">
        <v>162</v>
      </c>
      <c r="C237" s="375" t="s">
        <v>916</v>
      </c>
      <c r="D237" s="375" t="s">
        <v>917</v>
      </c>
      <c r="E237" s="375" t="s">
        <v>526</v>
      </c>
      <c r="F237" s="381" t="s">
        <v>529</v>
      </c>
      <c r="G237" s="375" t="s">
        <v>549</v>
      </c>
      <c r="H237" s="377"/>
      <c r="I237" s="377"/>
      <c r="J237" s="375" t="s">
        <v>218</v>
      </c>
      <c r="K237" s="375" t="s">
        <v>918</v>
      </c>
      <c r="L237" s="375" t="s">
        <v>198</v>
      </c>
      <c r="M237" s="375" t="s">
        <v>177</v>
      </c>
      <c r="N237" s="375" t="s">
        <v>199</v>
      </c>
      <c r="O237" s="378">
        <v>1</v>
      </c>
      <c r="P237" s="384">
        <v>0.2</v>
      </c>
      <c r="Q237" s="384">
        <v>0.2</v>
      </c>
      <c r="R237" s="379">
        <v>80</v>
      </c>
      <c r="S237" s="384">
        <v>0.2</v>
      </c>
      <c r="T237" s="379">
        <v>9536.9500000000007</v>
      </c>
      <c r="U237" s="379">
        <v>0</v>
      </c>
      <c r="V237" s="379">
        <v>4295.3900000000003</v>
      </c>
      <c r="W237" s="379">
        <v>9892.48</v>
      </c>
      <c r="X237" s="379">
        <v>4441.74</v>
      </c>
      <c r="Y237" s="379">
        <v>9892.48</v>
      </c>
      <c r="Z237" s="379">
        <v>4394.25</v>
      </c>
      <c r="AA237" s="375" t="s">
        <v>919</v>
      </c>
      <c r="AB237" s="375" t="s">
        <v>920</v>
      </c>
      <c r="AC237" s="375" t="s">
        <v>921</v>
      </c>
      <c r="AD237" s="375" t="s">
        <v>274</v>
      </c>
      <c r="AE237" s="375" t="s">
        <v>918</v>
      </c>
      <c r="AF237" s="375" t="s">
        <v>245</v>
      </c>
      <c r="AG237" s="375" t="s">
        <v>183</v>
      </c>
      <c r="AH237" s="380">
        <v>23.78</v>
      </c>
      <c r="AI237" s="380">
        <v>49680.1</v>
      </c>
      <c r="AJ237" s="375" t="s">
        <v>184</v>
      </c>
      <c r="AK237" s="375" t="s">
        <v>185</v>
      </c>
      <c r="AL237" s="375" t="s">
        <v>173</v>
      </c>
      <c r="AM237" s="375" t="s">
        <v>186</v>
      </c>
      <c r="AN237" s="375" t="s">
        <v>68</v>
      </c>
      <c r="AO237" s="378">
        <v>80</v>
      </c>
      <c r="AP237" s="384">
        <v>1</v>
      </c>
      <c r="AQ237" s="384">
        <v>0.2</v>
      </c>
      <c r="AR237" s="383" t="s">
        <v>187</v>
      </c>
      <c r="AS237" s="386">
        <f t="shared" si="159"/>
        <v>0.2</v>
      </c>
      <c r="AT237">
        <f t="shared" si="160"/>
        <v>1</v>
      </c>
      <c r="AU237" s="386">
        <f>IF(AT237=0,"",IF(AND(AT237=1,M237="F",SUMIF(C2:C557,C237,AS2:AS557)&lt;=1),SUMIF(C2:C557,C237,AS2:AS557),IF(AND(AT237=1,M237="F",SUMIF(C2:C557,C237,AS2:AS557)&gt;1),1,"")))</f>
        <v>1</v>
      </c>
      <c r="AV237" s="386" t="str">
        <f>IF(AT237=0,"",IF(AND(AT237=3,M237="F",SUMIF(C2:C557,C237,AS2:AS557)&lt;=1),SUMIF(C2:C557,C237,AS2:AS557),IF(AND(AT237=3,M237="F",SUMIF(C2:C557,C237,AS2:AS557)&gt;1),1,"")))</f>
        <v/>
      </c>
      <c r="AW237" s="386">
        <f>SUMIF(C2:C557,C237,O2:O557)</f>
        <v>2</v>
      </c>
      <c r="AX237" s="386">
        <f>IF(AND(M237="F",AS237&lt;&gt;0),SUMIF(C2:C557,C237,W2:W557),0)</f>
        <v>49462.399999999994</v>
      </c>
      <c r="AY237" s="386">
        <f t="shared" si="161"/>
        <v>9892.48</v>
      </c>
      <c r="AZ237" s="386" t="str">
        <f t="shared" si="162"/>
        <v/>
      </c>
      <c r="BA237" s="386">
        <f t="shared" si="163"/>
        <v>0</v>
      </c>
      <c r="BB237" s="386">
        <f t="shared" si="132"/>
        <v>2330</v>
      </c>
      <c r="BC237" s="386">
        <f t="shared" si="133"/>
        <v>0</v>
      </c>
      <c r="BD237" s="386">
        <f t="shared" si="134"/>
        <v>613.33375999999998</v>
      </c>
      <c r="BE237" s="386">
        <f t="shared" si="135"/>
        <v>143.44095999999999</v>
      </c>
      <c r="BF237" s="386">
        <f t="shared" si="136"/>
        <v>1181.162112</v>
      </c>
      <c r="BG237" s="386">
        <f t="shared" si="137"/>
        <v>71.324780799999999</v>
      </c>
      <c r="BH237" s="386">
        <f t="shared" si="138"/>
        <v>48.473151999999999</v>
      </c>
      <c r="BI237" s="386">
        <f t="shared" si="139"/>
        <v>30.270988799999998</v>
      </c>
      <c r="BJ237" s="386">
        <f t="shared" si="140"/>
        <v>23.741951999999998</v>
      </c>
      <c r="BK237" s="386">
        <f t="shared" si="141"/>
        <v>0</v>
      </c>
      <c r="BL237" s="386">
        <f t="shared" si="164"/>
        <v>2111.7477055999998</v>
      </c>
      <c r="BM237" s="386">
        <f t="shared" si="165"/>
        <v>0</v>
      </c>
      <c r="BN237" s="386">
        <f t="shared" si="142"/>
        <v>2330</v>
      </c>
      <c r="BO237" s="386">
        <f t="shared" si="143"/>
        <v>0</v>
      </c>
      <c r="BP237" s="386">
        <f t="shared" si="144"/>
        <v>613.33375999999998</v>
      </c>
      <c r="BQ237" s="386">
        <f t="shared" si="145"/>
        <v>143.44095999999999</v>
      </c>
      <c r="BR237" s="386">
        <f t="shared" si="146"/>
        <v>1181.162112</v>
      </c>
      <c r="BS237" s="386">
        <f t="shared" si="147"/>
        <v>71.324780799999999</v>
      </c>
      <c r="BT237" s="386">
        <f t="shared" si="148"/>
        <v>0</v>
      </c>
      <c r="BU237" s="386">
        <f t="shared" si="149"/>
        <v>30.270988799999998</v>
      </c>
      <c r="BV237" s="386">
        <f t="shared" si="150"/>
        <v>24.731200000000001</v>
      </c>
      <c r="BW237" s="386">
        <f t="shared" si="151"/>
        <v>0</v>
      </c>
      <c r="BX237" s="386">
        <f t="shared" si="166"/>
        <v>2064.2638016000001</v>
      </c>
      <c r="BY237" s="386">
        <f t="shared" si="167"/>
        <v>0</v>
      </c>
      <c r="BZ237" s="386">
        <f t="shared" si="168"/>
        <v>0</v>
      </c>
      <c r="CA237" s="386">
        <f t="shared" si="169"/>
        <v>0</v>
      </c>
      <c r="CB237" s="386">
        <f t="shared" si="170"/>
        <v>0</v>
      </c>
      <c r="CC237" s="386">
        <f t="shared" si="152"/>
        <v>0</v>
      </c>
      <c r="CD237" s="386">
        <f t="shared" si="153"/>
        <v>0</v>
      </c>
      <c r="CE237" s="386">
        <f t="shared" si="154"/>
        <v>0</v>
      </c>
      <c r="CF237" s="386">
        <f t="shared" si="155"/>
        <v>-48.473151999999999</v>
      </c>
      <c r="CG237" s="386">
        <f t="shared" si="156"/>
        <v>0</v>
      </c>
      <c r="CH237" s="386">
        <f t="shared" si="157"/>
        <v>0.98924800000000257</v>
      </c>
      <c r="CI237" s="386">
        <f t="shared" si="158"/>
        <v>0</v>
      </c>
      <c r="CJ237" s="386">
        <f t="shared" si="171"/>
        <v>-47.483903999999995</v>
      </c>
      <c r="CK237" s="386" t="str">
        <f t="shared" si="172"/>
        <v/>
      </c>
      <c r="CL237" s="386" t="str">
        <f t="shared" si="173"/>
        <v/>
      </c>
      <c r="CM237" s="386" t="str">
        <f t="shared" si="174"/>
        <v/>
      </c>
      <c r="CN237" s="386" t="str">
        <f t="shared" si="175"/>
        <v>0338-02</v>
      </c>
    </row>
    <row r="238" spans="1:92" ht="15.75" thickBot="1" x14ac:dyDescent="0.3">
      <c r="A238" s="375" t="s">
        <v>161</v>
      </c>
      <c r="B238" s="375" t="s">
        <v>162</v>
      </c>
      <c r="C238" s="375" t="s">
        <v>1037</v>
      </c>
      <c r="D238" s="375" t="s">
        <v>555</v>
      </c>
      <c r="E238" s="375" t="s">
        <v>526</v>
      </c>
      <c r="F238" s="381" t="s">
        <v>529</v>
      </c>
      <c r="G238" s="375" t="s">
        <v>549</v>
      </c>
      <c r="H238" s="377"/>
      <c r="I238" s="377"/>
      <c r="J238" s="375" t="s">
        <v>168</v>
      </c>
      <c r="K238" s="375" t="s">
        <v>556</v>
      </c>
      <c r="L238" s="375" t="s">
        <v>220</v>
      </c>
      <c r="M238" s="375" t="s">
        <v>177</v>
      </c>
      <c r="N238" s="375" t="s">
        <v>199</v>
      </c>
      <c r="O238" s="378">
        <v>1</v>
      </c>
      <c r="P238" s="384">
        <v>1</v>
      </c>
      <c r="Q238" s="384">
        <v>1</v>
      </c>
      <c r="R238" s="379">
        <v>80</v>
      </c>
      <c r="S238" s="384">
        <v>1</v>
      </c>
      <c r="T238" s="379">
        <v>60441.26</v>
      </c>
      <c r="U238" s="379">
        <v>0</v>
      </c>
      <c r="V238" s="379">
        <v>23864.240000000002</v>
      </c>
      <c r="W238" s="379">
        <v>62046.400000000001</v>
      </c>
      <c r="X238" s="379">
        <v>24895.02</v>
      </c>
      <c r="Y238" s="379">
        <v>62046.400000000001</v>
      </c>
      <c r="Z238" s="379">
        <v>24597.200000000001</v>
      </c>
      <c r="AA238" s="375" t="s">
        <v>1038</v>
      </c>
      <c r="AB238" s="375" t="s">
        <v>1039</v>
      </c>
      <c r="AC238" s="375" t="s">
        <v>1040</v>
      </c>
      <c r="AD238" s="375" t="s">
        <v>366</v>
      </c>
      <c r="AE238" s="375" t="s">
        <v>556</v>
      </c>
      <c r="AF238" s="375" t="s">
        <v>252</v>
      </c>
      <c r="AG238" s="375" t="s">
        <v>183</v>
      </c>
      <c r="AH238" s="380">
        <v>29.83</v>
      </c>
      <c r="AI238" s="378">
        <v>27792</v>
      </c>
      <c r="AJ238" s="375" t="s">
        <v>184</v>
      </c>
      <c r="AK238" s="375" t="s">
        <v>185</v>
      </c>
      <c r="AL238" s="375" t="s">
        <v>173</v>
      </c>
      <c r="AM238" s="375" t="s">
        <v>186</v>
      </c>
      <c r="AN238" s="375" t="s">
        <v>68</v>
      </c>
      <c r="AO238" s="378">
        <v>80</v>
      </c>
      <c r="AP238" s="384">
        <v>1</v>
      </c>
      <c r="AQ238" s="384">
        <v>1</v>
      </c>
      <c r="AR238" s="383" t="s">
        <v>187</v>
      </c>
      <c r="AS238" s="386">
        <f t="shared" si="159"/>
        <v>1</v>
      </c>
      <c r="AT238">
        <f t="shared" si="160"/>
        <v>1</v>
      </c>
      <c r="AU238" s="386">
        <f>IF(AT238=0,"",IF(AND(AT238=1,M238="F",SUMIF(C2:C557,C238,AS2:AS557)&lt;=1),SUMIF(C2:C557,C238,AS2:AS557),IF(AND(AT238=1,M238="F",SUMIF(C2:C557,C238,AS2:AS557)&gt;1),1,"")))</f>
        <v>1</v>
      </c>
      <c r="AV238" s="386" t="str">
        <f>IF(AT238=0,"",IF(AND(AT238=3,M238="F",SUMIF(C2:C557,C238,AS2:AS557)&lt;=1),SUMIF(C2:C557,C238,AS2:AS557),IF(AND(AT238=3,M238="F",SUMIF(C2:C557,C238,AS2:AS557)&gt;1),1,"")))</f>
        <v/>
      </c>
      <c r="AW238" s="386">
        <f>SUMIF(C2:C557,C238,O2:O557)</f>
        <v>1</v>
      </c>
      <c r="AX238" s="386">
        <f>IF(AND(M238="F",AS238&lt;&gt;0),SUMIF(C2:C557,C238,W2:W557),0)</f>
        <v>62046.400000000001</v>
      </c>
      <c r="AY238" s="386">
        <f t="shared" si="161"/>
        <v>62046.400000000001</v>
      </c>
      <c r="AZ238" s="386" t="str">
        <f t="shared" si="162"/>
        <v/>
      </c>
      <c r="BA238" s="386">
        <f t="shared" si="163"/>
        <v>0</v>
      </c>
      <c r="BB238" s="386">
        <f t="shared" si="132"/>
        <v>11650</v>
      </c>
      <c r="BC238" s="386">
        <f t="shared" si="133"/>
        <v>0</v>
      </c>
      <c r="BD238" s="386">
        <f t="shared" si="134"/>
        <v>3846.8768</v>
      </c>
      <c r="BE238" s="386">
        <f t="shared" si="135"/>
        <v>899.67280000000005</v>
      </c>
      <c r="BF238" s="386">
        <f t="shared" si="136"/>
        <v>7408.3401600000007</v>
      </c>
      <c r="BG238" s="386">
        <f t="shared" si="137"/>
        <v>447.35454400000003</v>
      </c>
      <c r="BH238" s="386">
        <f t="shared" si="138"/>
        <v>304.02735999999999</v>
      </c>
      <c r="BI238" s="386">
        <f t="shared" si="139"/>
        <v>189.86198399999998</v>
      </c>
      <c r="BJ238" s="386">
        <f t="shared" si="140"/>
        <v>148.91136</v>
      </c>
      <c r="BK238" s="386">
        <f t="shared" si="141"/>
        <v>0</v>
      </c>
      <c r="BL238" s="386">
        <f t="shared" si="164"/>
        <v>13245.045008000001</v>
      </c>
      <c r="BM238" s="386">
        <f t="shared" si="165"/>
        <v>0</v>
      </c>
      <c r="BN238" s="386">
        <f t="shared" si="142"/>
        <v>11650</v>
      </c>
      <c r="BO238" s="386">
        <f t="shared" si="143"/>
        <v>0</v>
      </c>
      <c r="BP238" s="386">
        <f t="shared" si="144"/>
        <v>3846.8768</v>
      </c>
      <c r="BQ238" s="386">
        <f t="shared" si="145"/>
        <v>899.67280000000005</v>
      </c>
      <c r="BR238" s="386">
        <f t="shared" si="146"/>
        <v>7408.3401600000007</v>
      </c>
      <c r="BS238" s="386">
        <f t="shared" si="147"/>
        <v>447.35454400000003</v>
      </c>
      <c r="BT238" s="386">
        <f t="shared" si="148"/>
        <v>0</v>
      </c>
      <c r="BU238" s="386">
        <f t="shared" si="149"/>
        <v>189.86198399999998</v>
      </c>
      <c r="BV238" s="386">
        <f t="shared" si="150"/>
        <v>155.11600000000001</v>
      </c>
      <c r="BW238" s="386">
        <f t="shared" si="151"/>
        <v>0</v>
      </c>
      <c r="BX238" s="386">
        <f t="shared" si="166"/>
        <v>12947.222288000001</v>
      </c>
      <c r="BY238" s="386">
        <f t="shared" si="167"/>
        <v>0</v>
      </c>
      <c r="BZ238" s="386">
        <f t="shared" si="168"/>
        <v>0</v>
      </c>
      <c r="CA238" s="386">
        <f t="shared" si="169"/>
        <v>0</v>
      </c>
      <c r="CB238" s="386">
        <f t="shared" si="170"/>
        <v>0</v>
      </c>
      <c r="CC238" s="386">
        <f t="shared" si="152"/>
        <v>0</v>
      </c>
      <c r="CD238" s="386">
        <f t="shared" si="153"/>
        <v>0</v>
      </c>
      <c r="CE238" s="386">
        <f t="shared" si="154"/>
        <v>0</v>
      </c>
      <c r="CF238" s="386">
        <f t="shared" si="155"/>
        <v>-304.02735999999999</v>
      </c>
      <c r="CG238" s="386">
        <f t="shared" si="156"/>
        <v>0</v>
      </c>
      <c r="CH238" s="386">
        <f t="shared" si="157"/>
        <v>6.2046400000000164</v>
      </c>
      <c r="CI238" s="386">
        <f t="shared" si="158"/>
        <v>0</v>
      </c>
      <c r="CJ238" s="386">
        <f t="shared" si="171"/>
        <v>-297.82271999999995</v>
      </c>
      <c r="CK238" s="386" t="str">
        <f t="shared" si="172"/>
        <v/>
      </c>
      <c r="CL238" s="386" t="str">
        <f t="shared" si="173"/>
        <v/>
      </c>
      <c r="CM238" s="386" t="str">
        <f t="shared" si="174"/>
        <v/>
      </c>
      <c r="CN238" s="386" t="str">
        <f t="shared" si="175"/>
        <v>0338-02</v>
      </c>
    </row>
    <row r="239" spans="1:92" ht="15.75" thickBot="1" x14ac:dyDescent="0.3">
      <c r="A239" s="375" t="s">
        <v>161</v>
      </c>
      <c r="B239" s="375" t="s">
        <v>162</v>
      </c>
      <c r="C239" s="375" t="s">
        <v>1041</v>
      </c>
      <c r="D239" s="375" t="s">
        <v>561</v>
      </c>
      <c r="E239" s="375" t="s">
        <v>526</v>
      </c>
      <c r="F239" s="381" t="s">
        <v>529</v>
      </c>
      <c r="G239" s="375" t="s">
        <v>549</v>
      </c>
      <c r="H239" s="377"/>
      <c r="I239" s="377"/>
      <c r="J239" s="375" t="s">
        <v>168</v>
      </c>
      <c r="K239" s="375" t="s">
        <v>562</v>
      </c>
      <c r="L239" s="375" t="s">
        <v>170</v>
      </c>
      <c r="M239" s="375" t="s">
        <v>177</v>
      </c>
      <c r="N239" s="375" t="s">
        <v>199</v>
      </c>
      <c r="O239" s="378">
        <v>1</v>
      </c>
      <c r="P239" s="384">
        <v>1</v>
      </c>
      <c r="Q239" s="384">
        <v>1</v>
      </c>
      <c r="R239" s="379">
        <v>80</v>
      </c>
      <c r="S239" s="384">
        <v>1</v>
      </c>
      <c r="T239" s="379">
        <v>47047.68</v>
      </c>
      <c r="U239" s="379">
        <v>0</v>
      </c>
      <c r="V239" s="379">
        <v>21368.52</v>
      </c>
      <c r="W239" s="379">
        <v>50024</v>
      </c>
      <c r="X239" s="379">
        <v>22328.58</v>
      </c>
      <c r="Y239" s="379">
        <v>50024</v>
      </c>
      <c r="Z239" s="379">
        <v>22088.48</v>
      </c>
      <c r="AA239" s="375" t="s">
        <v>1042</v>
      </c>
      <c r="AB239" s="375" t="s">
        <v>1043</v>
      </c>
      <c r="AC239" s="375" t="s">
        <v>1044</v>
      </c>
      <c r="AD239" s="375" t="s">
        <v>220</v>
      </c>
      <c r="AE239" s="375" t="s">
        <v>562</v>
      </c>
      <c r="AF239" s="375" t="s">
        <v>269</v>
      </c>
      <c r="AG239" s="375" t="s">
        <v>183</v>
      </c>
      <c r="AH239" s="380">
        <v>24.05</v>
      </c>
      <c r="AI239" s="380">
        <v>4447.8999999999996</v>
      </c>
      <c r="AJ239" s="375" t="s">
        <v>184</v>
      </c>
      <c r="AK239" s="375" t="s">
        <v>185</v>
      </c>
      <c r="AL239" s="375" t="s">
        <v>173</v>
      </c>
      <c r="AM239" s="375" t="s">
        <v>186</v>
      </c>
      <c r="AN239" s="375" t="s">
        <v>68</v>
      </c>
      <c r="AO239" s="378">
        <v>80</v>
      </c>
      <c r="AP239" s="384">
        <v>1</v>
      </c>
      <c r="AQ239" s="384">
        <v>1</v>
      </c>
      <c r="AR239" s="383" t="s">
        <v>187</v>
      </c>
      <c r="AS239" s="386">
        <f t="shared" si="159"/>
        <v>1</v>
      </c>
      <c r="AT239">
        <f t="shared" si="160"/>
        <v>1</v>
      </c>
      <c r="AU239" s="386">
        <f>IF(AT239=0,"",IF(AND(AT239=1,M239="F",SUMIF(C2:C557,C239,AS2:AS557)&lt;=1),SUMIF(C2:C557,C239,AS2:AS557),IF(AND(AT239=1,M239="F",SUMIF(C2:C557,C239,AS2:AS557)&gt;1),1,"")))</f>
        <v>1</v>
      </c>
      <c r="AV239" s="386" t="str">
        <f>IF(AT239=0,"",IF(AND(AT239=3,M239="F",SUMIF(C2:C557,C239,AS2:AS557)&lt;=1),SUMIF(C2:C557,C239,AS2:AS557),IF(AND(AT239=3,M239="F",SUMIF(C2:C557,C239,AS2:AS557)&gt;1),1,"")))</f>
        <v/>
      </c>
      <c r="AW239" s="386">
        <f>SUMIF(C2:C557,C239,O2:O557)</f>
        <v>1</v>
      </c>
      <c r="AX239" s="386">
        <f>IF(AND(M239="F",AS239&lt;&gt;0),SUMIF(C2:C557,C239,W2:W557),0)</f>
        <v>50024</v>
      </c>
      <c r="AY239" s="386">
        <f t="shared" si="161"/>
        <v>50024</v>
      </c>
      <c r="AZ239" s="386" t="str">
        <f t="shared" si="162"/>
        <v/>
      </c>
      <c r="BA239" s="386">
        <f t="shared" si="163"/>
        <v>0</v>
      </c>
      <c r="BB239" s="386">
        <f t="shared" si="132"/>
        <v>11650</v>
      </c>
      <c r="BC239" s="386">
        <f t="shared" si="133"/>
        <v>0</v>
      </c>
      <c r="BD239" s="386">
        <f t="shared" si="134"/>
        <v>3101.4879999999998</v>
      </c>
      <c r="BE239" s="386">
        <f t="shared" si="135"/>
        <v>725.34800000000007</v>
      </c>
      <c r="BF239" s="386">
        <f t="shared" si="136"/>
        <v>5972.8656000000001</v>
      </c>
      <c r="BG239" s="386">
        <f t="shared" si="137"/>
        <v>360.67304000000001</v>
      </c>
      <c r="BH239" s="386">
        <f t="shared" si="138"/>
        <v>245.11759999999998</v>
      </c>
      <c r="BI239" s="386">
        <f t="shared" si="139"/>
        <v>153.07343999999998</v>
      </c>
      <c r="BJ239" s="386">
        <f t="shared" si="140"/>
        <v>120.05759999999999</v>
      </c>
      <c r="BK239" s="386">
        <f t="shared" si="141"/>
        <v>0</v>
      </c>
      <c r="BL239" s="386">
        <f t="shared" si="164"/>
        <v>10678.62328</v>
      </c>
      <c r="BM239" s="386">
        <f t="shared" si="165"/>
        <v>0</v>
      </c>
      <c r="BN239" s="386">
        <f t="shared" si="142"/>
        <v>11650</v>
      </c>
      <c r="BO239" s="386">
        <f t="shared" si="143"/>
        <v>0</v>
      </c>
      <c r="BP239" s="386">
        <f t="shared" si="144"/>
        <v>3101.4879999999998</v>
      </c>
      <c r="BQ239" s="386">
        <f t="shared" si="145"/>
        <v>725.34800000000007</v>
      </c>
      <c r="BR239" s="386">
        <f t="shared" si="146"/>
        <v>5972.8656000000001</v>
      </c>
      <c r="BS239" s="386">
        <f t="shared" si="147"/>
        <v>360.67304000000001</v>
      </c>
      <c r="BT239" s="386">
        <f t="shared" si="148"/>
        <v>0</v>
      </c>
      <c r="BU239" s="386">
        <f t="shared" si="149"/>
        <v>153.07343999999998</v>
      </c>
      <c r="BV239" s="386">
        <f t="shared" si="150"/>
        <v>125.06</v>
      </c>
      <c r="BW239" s="386">
        <f t="shared" si="151"/>
        <v>0</v>
      </c>
      <c r="BX239" s="386">
        <f t="shared" si="166"/>
        <v>10438.50808</v>
      </c>
      <c r="BY239" s="386">
        <f t="shared" si="167"/>
        <v>0</v>
      </c>
      <c r="BZ239" s="386">
        <f t="shared" si="168"/>
        <v>0</v>
      </c>
      <c r="CA239" s="386">
        <f t="shared" si="169"/>
        <v>0</v>
      </c>
      <c r="CB239" s="386">
        <f t="shared" si="170"/>
        <v>0</v>
      </c>
      <c r="CC239" s="386">
        <f t="shared" si="152"/>
        <v>0</v>
      </c>
      <c r="CD239" s="386">
        <f t="shared" si="153"/>
        <v>0</v>
      </c>
      <c r="CE239" s="386">
        <f t="shared" si="154"/>
        <v>0</v>
      </c>
      <c r="CF239" s="386">
        <f t="shared" si="155"/>
        <v>-245.11759999999998</v>
      </c>
      <c r="CG239" s="386">
        <f t="shared" si="156"/>
        <v>0</v>
      </c>
      <c r="CH239" s="386">
        <f t="shared" si="157"/>
        <v>5.0024000000000131</v>
      </c>
      <c r="CI239" s="386">
        <f t="shared" si="158"/>
        <v>0</v>
      </c>
      <c r="CJ239" s="386">
        <f t="shared" si="171"/>
        <v>-240.11519999999996</v>
      </c>
      <c r="CK239" s="386" t="str">
        <f t="shared" si="172"/>
        <v/>
      </c>
      <c r="CL239" s="386" t="str">
        <f t="shared" si="173"/>
        <v/>
      </c>
      <c r="CM239" s="386" t="str">
        <f t="shared" si="174"/>
        <v/>
      </c>
      <c r="CN239" s="386" t="str">
        <f t="shared" si="175"/>
        <v>0338-02</v>
      </c>
    </row>
    <row r="240" spans="1:92" ht="15.75" thickBot="1" x14ac:dyDescent="0.3">
      <c r="A240" s="375" t="s">
        <v>161</v>
      </c>
      <c r="B240" s="375" t="s">
        <v>162</v>
      </c>
      <c r="C240" s="375" t="s">
        <v>962</v>
      </c>
      <c r="D240" s="375" t="s">
        <v>617</v>
      </c>
      <c r="E240" s="375" t="s">
        <v>526</v>
      </c>
      <c r="F240" s="381" t="s">
        <v>529</v>
      </c>
      <c r="G240" s="375" t="s">
        <v>549</v>
      </c>
      <c r="H240" s="377"/>
      <c r="I240" s="377"/>
      <c r="J240" s="375" t="s">
        <v>218</v>
      </c>
      <c r="K240" s="375" t="s">
        <v>618</v>
      </c>
      <c r="L240" s="375" t="s">
        <v>173</v>
      </c>
      <c r="M240" s="375" t="s">
        <v>177</v>
      </c>
      <c r="N240" s="375" t="s">
        <v>199</v>
      </c>
      <c r="O240" s="378">
        <v>1</v>
      </c>
      <c r="P240" s="384">
        <v>0.5</v>
      </c>
      <c r="Q240" s="384">
        <v>0.5</v>
      </c>
      <c r="R240" s="379">
        <v>80</v>
      </c>
      <c r="S240" s="384">
        <v>0.5</v>
      </c>
      <c r="T240" s="379">
        <v>44232</v>
      </c>
      <c r="U240" s="379">
        <v>0</v>
      </c>
      <c r="V240" s="379">
        <v>14922.25</v>
      </c>
      <c r="W240" s="379">
        <v>45666.400000000001</v>
      </c>
      <c r="X240" s="379">
        <v>15573.38</v>
      </c>
      <c r="Y240" s="379">
        <v>45666.400000000001</v>
      </c>
      <c r="Z240" s="379">
        <v>15354.19</v>
      </c>
      <c r="AA240" s="375" t="s">
        <v>963</v>
      </c>
      <c r="AB240" s="375" t="s">
        <v>964</v>
      </c>
      <c r="AC240" s="375" t="s">
        <v>961</v>
      </c>
      <c r="AD240" s="375" t="s">
        <v>233</v>
      </c>
      <c r="AE240" s="375" t="s">
        <v>618</v>
      </c>
      <c r="AF240" s="375" t="s">
        <v>305</v>
      </c>
      <c r="AG240" s="375" t="s">
        <v>183</v>
      </c>
      <c r="AH240" s="380">
        <v>43.91</v>
      </c>
      <c r="AI240" s="380">
        <v>83348.899999999994</v>
      </c>
      <c r="AJ240" s="375" t="s">
        <v>184</v>
      </c>
      <c r="AK240" s="375" t="s">
        <v>185</v>
      </c>
      <c r="AL240" s="375" t="s">
        <v>173</v>
      </c>
      <c r="AM240" s="375" t="s">
        <v>186</v>
      </c>
      <c r="AN240" s="375" t="s">
        <v>68</v>
      </c>
      <c r="AO240" s="378">
        <v>80</v>
      </c>
      <c r="AP240" s="384">
        <v>1</v>
      </c>
      <c r="AQ240" s="384">
        <v>0.5</v>
      </c>
      <c r="AR240" s="383" t="s">
        <v>187</v>
      </c>
      <c r="AS240" s="386">
        <f t="shared" si="159"/>
        <v>0.5</v>
      </c>
      <c r="AT240">
        <f t="shared" si="160"/>
        <v>1</v>
      </c>
      <c r="AU240" s="386">
        <f>IF(AT240=0,"",IF(AND(AT240=1,M240="F",SUMIF(C2:C557,C240,AS2:AS557)&lt;=1),SUMIF(C2:C557,C240,AS2:AS557),IF(AND(AT240=1,M240="F",SUMIF(C2:C557,C240,AS2:AS557)&gt;1),1,"")))</f>
        <v>1</v>
      </c>
      <c r="AV240" s="386" t="str">
        <f>IF(AT240=0,"",IF(AND(AT240=3,M240="F",SUMIF(C2:C557,C240,AS2:AS557)&lt;=1),SUMIF(C2:C557,C240,AS2:AS557),IF(AND(AT240=3,M240="F",SUMIF(C2:C557,C240,AS2:AS557)&gt;1),1,"")))</f>
        <v/>
      </c>
      <c r="AW240" s="386">
        <f>SUMIF(C2:C557,C240,O2:O557)</f>
        <v>2</v>
      </c>
      <c r="AX240" s="386">
        <f>IF(AND(M240="F",AS240&lt;&gt;0),SUMIF(C2:C557,C240,W2:W557),0)</f>
        <v>91332.800000000003</v>
      </c>
      <c r="AY240" s="386">
        <f t="shared" si="161"/>
        <v>45666.400000000001</v>
      </c>
      <c r="AZ240" s="386" t="str">
        <f t="shared" si="162"/>
        <v/>
      </c>
      <c r="BA240" s="386">
        <f t="shared" si="163"/>
        <v>0</v>
      </c>
      <c r="BB240" s="386">
        <f t="shared" si="132"/>
        <v>5825</v>
      </c>
      <c r="BC240" s="386">
        <f t="shared" si="133"/>
        <v>0</v>
      </c>
      <c r="BD240" s="386">
        <f t="shared" si="134"/>
        <v>2831.3168000000001</v>
      </c>
      <c r="BE240" s="386">
        <f t="shared" si="135"/>
        <v>662.16280000000006</v>
      </c>
      <c r="BF240" s="386">
        <f t="shared" si="136"/>
        <v>5452.5681600000007</v>
      </c>
      <c r="BG240" s="386">
        <f t="shared" si="137"/>
        <v>329.25474400000002</v>
      </c>
      <c r="BH240" s="386">
        <f t="shared" si="138"/>
        <v>223.76535999999999</v>
      </c>
      <c r="BI240" s="386">
        <f t="shared" si="139"/>
        <v>139.73918399999999</v>
      </c>
      <c r="BJ240" s="386">
        <f t="shared" si="140"/>
        <v>109.59935999999999</v>
      </c>
      <c r="BK240" s="386">
        <f t="shared" si="141"/>
        <v>0</v>
      </c>
      <c r="BL240" s="386">
        <f t="shared" si="164"/>
        <v>9748.4064080000007</v>
      </c>
      <c r="BM240" s="386">
        <f t="shared" si="165"/>
        <v>0</v>
      </c>
      <c r="BN240" s="386">
        <f t="shared" si="142"/>
        <v>5825</v>
      </c>
      <c r="BO240" s="386">
        <f t="shared" si="143"/>
        <v>0</v>
      </c>
      <c r="BP240" s="386">
        <f t="shared" si="144"/>
        <v>2831.3168000000001</v>
      </c>
      <c r="BQ240" s="386">
        <f t="shared" si="145"/>
        <v>662.16280000000006</v>
      </c>
      <c r="BR240" s="386">
        <f t="shared" si="146"/>
        <v>5452.5681600000007</v>
      </c>
      <c r="BS240" s="386">
        <f t="shared" si="147"/>
        <v>329.25474400000002</v>
      </c>
      <c r="BT240" s="386">
        <f t="shared" si="148"/>
        <v>0</v>
      </c>
      <c r="BU240" s="386">
        <f t="shared" si="149"/>
        <v>139.73918399999999</v>
      </c>
      <c r="BV240" s="386">
        <f t="shared" si="150"/>
        <v>114.16600000000001</v>
      </c>
      <c r="BW240" s="386">
        <f t="shared" si="151"/>
        <v>0</v>
      </c>
      <c r="BX240" s="386">
        <f t="shared" si="166"/>
        <v>9529.2076880000004</v>
      </c>
      <c r="BY240" s="386">
        <f t="shared" si="167"/>
        <v>0</v>
      </c>
      <c r="BZ240" s="386">
        <f t="shared" si="168"/>
        <v>0</v>
      </c>
      <c r="CA240" s="386">
        <f t="shared" si="169"/>
        <v>0</v>
      </c>
      <c r="CB240" s="386">
        <f t="shared" si="170"/>
        <v>0</v>
      </c>
      <c r="CC240" s="386">
        <f t="shared" si="152"/>
        <v>0</v>
      </c>
      <c r="CD240" s="386">
        <f t="shared" si="153"/>
        <v>0</v>
      </c>
      <c r="CE240" s="386">
        <f t="shared" si="154"/>
        <v>0</v>
      </c>
      <c r="CF240" s="386">
        <f t="shared" si="155"/>
        <v>-223.76535999999999</v>
      </c>
      <c r="CG240" s="386">
        <f t="shared" si="156"/>
        <v>0</v>
      </c>
      <c r="CH240" s="386">
        <f t="shared" si="157"/>
        <v>4.566640000000012</v>
      </c>
      <c r="CI240" s="386">
        <f t="shared" si="158"/>
        <v>0</v>
      </c>
      <c r="CJ240" s="386">
        <f t="shared" si="171"/>
        <v>-219.19871999999998</v>
      </c>
      <c r="CK240" s="386" t="str">
        <f t="shared" si="172"/>
        <v/>
      </c>
      <c r="CL240" s="386" t="str">
        <f t="shared" si="173"/>
        <v/>
      </c>
      <c r="CM240" s="386" t="str">
        <f t="shared" si="174"/>
        <v/>
      </c>
      <c r="CN240" s="386" t="str">
        <f t="shared" si="175"/>
        <v>0338-02</v>
      </c>
    </row>
    <row r="241" spans="1:92" ht="15.75" thickBot="1" x14ac:dyDescent="0.3">
      <c r="A241" s="375" t="s">
        <v>161</v>
      </c>
      <c r="B241" s="375" t="s">
        <v>162</v>
      </c>
      <c r="C241" s="375" t="s">
        <v>1045</v>
      </c>
      <c r="D241" s="375" t="s">
        <v>665</v>
      </c>
      <c r="E241" s="375" t="s">
        <v>526</v>
      </c>
      <c r="F241" s="381" t="s">
        <v>529</v>
      </c>
      <c r="G241" s="375" t="s">
        <v>549</v>
      </c>
      <c r="H241" s="377"/>
      <c r="I241" s="377"/>
      <c r="J241" s="375" t="s">
        <v>168</v>
      </c>
      <c r="K241" s="375" t="s">
        <v>666</v>
      </c>
      <c r="L241" s="375" t="s">
        <v>183</v>
      </c>
      <c r="M241" s="375" t="s">
        <v>177</v>
      </c>
      <c r="N241" s="375" t="s">
        <v>199</v>
      </c>
      <c r="O241" s="378">
        <v>1</v>
      </c>
      <c r="P241" s="384">
        <v>1</v>
      </c>
      <c r="Q241" s="384">
        <v>1</v>
      </c>
      <c r="R241" s="379">
        <v>80</v>
      </c>
      <c r="S241" s="384">
        <v>1</v>
      </c>
      <c r="T241" s="379">
        <v>29914.43</v>
      </c>
      <c r="U241" s="379">
        <v>0</v>
      </c>
      <c r="V241" s="379">
        <v>17706.63</v>
      </c>
      <c r="W241" s="379">
        <v>31678.400000000001</v>
      </c>
      <c r="X241" s="379">
        <v>18412.36</v>
      </c>
      <c r="Y241" s="379">
        <v>31678.400000000001</v>
      </c>
      <c r="Z241" s="379">
        <v>18260.310000000001</v>
      </c>
      <c r="AA241" s="375" t="s">
        <v>1046</v>
      </c>
      <c r="AB241" s="375" t="s">
        <v>1047</v>
      </c>
      <c r="AC241" s="375" t="s">
        <v>1048</v>
      </c>
      <c r="AD241" s="375" t="s">
        <v>170</v>
      </c>
      <c r="AE241" s="375" t="s">
        <v>666</v>
      </c>
      <c r="AF241" s="375" t="s">
        <v>206</v>
      </c>
      <c r="AG241" s="375" t="s">
        <v>183</v>
      </c>
      <c r="AH241" s="380">
        <v>15.23</v>
      </c>
      <c r="AI241" s="380">
        <v>6096.6</v>
      </c>
      <c r="AJ241" s="375" t="s">
        <v>184</v>
      </c>
      <c r="AK241" s="375" t="s">
        <v>185</v>
      </c>
      <c r="AL241" s="375" t="s">
        <v>173</v>
      </c>
      <c r="AM241" s="375" t="s">
        <v>186</v>
      </c>
      <c r="AN241" s="375" t="s">
        <v>68</v>
      </c>
      <c r="AO241" s="378">
        <v>80</v>
      </c>
      <c r="AP241" s="384">
        <v>1</v>
      </c>
      <c r="AQ241" s="384">
        <v>1</v>
      </c>
      <c r="AR241" s="383" t="s">
        <v>187</v>
      </c>
      <c r="AS241" s="386">
        <f t="shared" si="159"/>
        <v>1</v>
      </c>
      <c r="AT241">
        <f t="shared" si="160"/>
        <v>1</v>
      </c>
      <c r="AU241" s="386">
        <f>IF(AT241=0,"",IF(AND(AT241=1,M241="F",SUMIF(C2:C557,C241,AS2:AS557)&lt;=1),SUMIF(C2:C557,C241,AS2:AS557),IF(AND(AT241=1,M241="F",SUMIF(C2:C557,C241,AS2:AS557)&gt;1),1,"")))</f>
        <v>1</v>
      </c>
      <c r="AV241" s="386" t="str">
        <f>IF(AT241=0,"",IF(AND(AT241=3,M241="F",SUMIF(C2:C557,C241,AS2:AS557)&lt;=1),SUMIF(C2:C557,C241,AS2:AS557),IF(AND(AT241=3,M241="F",SUMIF(C2:C557,C241,AS2:AS557)&gt;1),1,"")))</f>
        <v/>
      </c>
      <c r="AW241" s="386">
        <f>SUMIF(C2:C557,C241,O2:O557)</f>
        <v>1</v>
      </c>
      <c r="AX241" s="386">
        <f>IF(AND(M241="F",AS241&lt;&gt;0),SUMIF(C2:C557,C241,W2:W557),0)</f>
        <v>31678.400000000001</v>
      </c>
      <c r="AY241" s="386">
        <f t="shared" si="161"/>
        <v>31678.400000000001</v>
      </c>
      <c r="AZ241" s="386" t="str">
        <f t="shared" si="162"/>
        <v/>
      </c>
      <c r="BA241" s="386">
        <f t="shared" si="163"/>
        <v>0</v>
      </c>
      <c r="BB241" s="386">
        <f t="shared" si="132"/>
        <v>11650</v>
      </c>
      <c r="BC241" s="386">
        <f t="shared" si="133"/>
        <v>0</v>
      </c>
      <c r="BD241" s="386">
        <f t="shared" si="134"/>
        <v>1964.0608</v>
      </c>
      <c r="BE241" s="386">
        <f t="shared" si="135"/>
        <v>459.33680000000004</v>
      </c>
      <c r="BF241" s="386">
        <f t="shared" si="136"/>
        <v>3782.4009600000004</v>
      </c>
      <c r="BG241" s="386">
        <f t="shared" si="137"/>
        <v>228.40126400000003</v>
      </c>
      <c r="BH241" s="386">
        <f t="shared" si="138"/>
        <v>155.22416000000001</v>
      </c>
      <c r="BI241" s="386">
        <f t="shared" si="139"/>
        <v>96.935903999999994</v>
      </c>
      <c r="BJ241" s="386">
        <f t="shared" si="140"/>
        <v>76.02816</v>
      </c>
      <c r="BK241" s="386">
        <f t="shared" si="141"/>
        <v>0</v>
      </c>
      <c r="BL241" s="386">
        <f t="shared" si="164"/>
        <v>6762.3880480000007</v>
      </c>
      <c r="BM241" s="386">
        <f t="shared" si="165"/>
        <v>0</v>
      </c>
      <c r="BN241" s="386">
        <f t="shared" si="142"/>
        <v>11650</v>
      </c>
      <c r="BO241" s="386">
        <f t="shared" si="143"/>
        <v>0</v>
      </c>
      <c r="BP241" s="386">
        <f t="shared" si="144"/>
        <v>1964.0608</v>
      </c>
      <c r="BQ241" s="386">
        <f t="shared" si="145"/>
        <v>459.33680000000004</v>
      </c>
      <c r="BR241" s="386">
        <f t="shared" si="146"/>
        <v>3782.4009600000004</v>
      </c>
      <c r="BS241" s="386">
        <f t="shared" si="147"/>
        <v>228.40126400000003</v>
      </c>
      <c r="BT241" s="386">
        <f t="shared" si="148"/>
        <v>0</v>
      </c>
      <c r="BU241" s="386">
        <f t="shared" si="149"/>
        <v>96.935903999999994</v>
      </c>
      <c r="BV241" s="386">
        <f t="shared" si="150"/>
        <v>79.196000000000012</v>
      </c>
      <c r="BW241" s="386">
        <f t="shared" si="151"/>
        <v>0</v>
      </c>
      <c r="BX241" s="386">
        <f t="shared" si="166"/>
        <v>6610.331728000001</v>
      </c>
      <c r="BY241" s="386">
        <f t="shared" si="167"/>
        <v>0</v>
      </c>
      <c r="BZ241" s="386">
        <f t="shared" si="168"/>
        <v>0</v>
      </c>
      <c r="CA241" s="386">
        <f t="shared" si="169"/>
        <v>0</v>
      </c>
      <c r="CB241" s="386">
        <f t="shared" si="170"/>
        <v>0</v>
      </c>
      <c r="CC241" s="386">
        <f t="shared" si="152"/>
        <v>0</v>
      </c>
      <c r="CD241" s="386">
        <f t="shared" si="153"/>
        <v>0</v>
      </c>
      <c r="CE241" s="386">
        <f t="shared" si="154"/>
        <v>0</v>
      </c>
      <c r="CF241" s="386">
        <f t="shared" si="155"/>
        <v>-155.22416000000001</v>
      </c>
      <c r="CG241" s="386">
        <f t="shared" si="156"/>
        <v>0</v>
      </c>
      <c r="CH241" s="386">
        <f t="shared" si="157"/>
        <v>3.1678400000000084</v>
      </c>
      <c r="CI241" s="386">
        <f t="shared" si="158"/>
        <v>0</v>
      </c>
      <c r="CJ241" s="386">
        <f t="shared" si="171"/>
        <v>-152.05632</v>
      </c>
      <c r="CK241" s="386" t="str">
        <f t="shared" si="172"/>
        <v/>
      </c>
      <c r="CL241" s="386" t="str">
        <f t="shared" si="173"/>
        <v/>
      </c>
      <c r="CM241" s="386" t="str">
        <f t="shared" si="174"/>
        <v/>
      </c>
      <c r="CN241" s="386" t="str">
        <f t="shared" si="175"/>
        <v>0338-02</v>
      </c>
    </row>
    <row r="242" spans="1:92" ht="15.75" thickBot="1" x14ac:dyDescent="0.3">
      <c r="A242" s="375" t="s">
        <v>161</v>
      </c>
      <c r="B242" s="375" t="s">
        <v>162</v>
      </c>
      <c r="C242" s="375" t="s">
        <v>1049</v>
      </c>
      <c r="D242" s="375" t="s">
        <v>561</v>
      </c>
      <c r="E242" s="375" t="s">
        <v>526</v>
      </c>
      <c r="F242" s="381" t="s">
        <v>529</v>
      </c>
      <c r="G242" s="375" t="s">
        <v>549</v>
      </c>
      <c r="H242" s="377"/>
      <c r="I242" s="377"/>
      <c r="J242" s="375" t="s">
        <v>168</v>
      </c>
      <c r="K242" s="375" t="s">
        <v>562</v>
      </c>
      <c r="L242" s="375" t="s">
        <v>170</v>
      </c>
      <c r="M242" s="375" t="s">
        <v>177</v>
      </c>
      <c r="N242" s="375" t="s">
        <v>199</v>
      </c>
      <c r="O242" s="378">
        <v>1</v>
      </c>
      <c r="P242" s="384">
        <v>1</v>
      </c>
      <c r="Q242" s="384">
        <v>1</v>
      </c>
      <c r="R242" s="379">
        <v>80</v>
      </c>
      <c r="S242" s="384">
        <v>1</v>
      </c>
      <c r="T242" s="379">
        <v>47258.879999999997</v>
      </c>
      <c r="U242" s="379">
        <v>0</v>
      </c>
      <c r="V242" s="379">
        <v>21363.040000000001</v>
      </c>
      <c r="W242" s="379">
        <v>51396.800000000003</v>
      </c>
      <c r="X242" s="379">
        <v>22621.65</v>
      </c>
      <c r="Y242" s="379">
        <v>51396.800000000003</v>
      </c>
      <c r="Z242" s="379">
        <v>22374.95</v>
      </c>
      <c r="AA242" s="375" t="s">
        <v>1050</v>
      </c>
      <c r="AB242" s="375" t="s">
        <v>1051</v>
      </c>
      <c r="AC242" s="375" t="s">
        <v>1052</v>
      </c>
      <c r="AD242" s="375" t="s">
        <v>220</v>
      </c>
      <c r="AE242" s="375" t="s">
        <v>562</v>
      </c>
      <c r="AF242" s="375" t="s">
        <v>269</v>
      </c>
      <c r="AG242" s="375" t="s">
        <v>183</v>
      </c>
      <c r="AH242" s="380">
        <v>24.71</v>
      </c>
      <c r="AI242" s="378">
        <v>6712</v>
      </c>
      <c r="AJ242" s="375" t="s">
        <v>184</v>
      </c>
      <c r="AK242" s="375" t="s">
        <v>185</v>
      </c>
      <c r="AL242" s="375" t="s">
        <v>173</v>
      </c>
      <c r="AM242" s="375" t="s">
        <v>186</v>
      </c>
      <c r="AN242" s="375" t="s">
        <v>68</v>
      </c>
      <c r="AO242" s="378">
        <v>80</v>
      </c>
      <c r="AP242" s="384">
        <v>1</v>
      </c>
      <c r="AQ242" s="384">
        <v>1</v>
      </c>
      <c r="AR242" s="383" t="s">
        <v>187</v>
      </c>
      <c r="AS242" s="386">
        <f t="shared" si="159"/>
        <v>1</v>
      </c>
      <c r="AT242">
        <f t="shared" si="160"/>
        <v>1</v>
      </c>
      <c r="AU242" s="386">
        <f>IF(AT242=0,"",IF(AND(AT242=1,M242="F",SUMIF(C2:C557,C242,AS2:AS557)&lt;=1),SUMIF(C2:C557,C242,AS2:AS557),IF(AND(AT242=1,M242="F",SUMIF(C2:C557,C242,AS2:AS557)&gt;1),1,"")))</f>
        <v>1</v>
      </c>
      <c r="AV242" s="386" t="str">
        <f>IF(AT242=0,"",IF(AND(AT242=3,M242="F",SUMIF(C2:C557,C242,AS2:AS557)&lt;=1),SUMIF(C2:C557,C242,AS2:AS557),IF(AND(AT242=3,M242="F",SUMIF(C2:C557,C242,AS2:AS557)&gt;1),1,"")))</f>
        <v/>
      </c>
      <c r="AW242" s="386">
        <f>SUMIF(C2:C557,C242,O2:O557)</f>
        <v>1</v>
      </c>
      <c r="AX242" s="386">
        <f>IF(AND(M242="F",AS242&lt;&gt;0),SUMIF(C2:C557,C242,W2:W557),0)</f>
        <v>51396.800000000003</v>
      </c>
      <c r="AY242" s="386">
        <f t="shared" si="161"/>
        <v>51396.800000000003</v>
      </c>
      <c r="AZ242" s="386" t="str">
        <f t="shared" si="162"/>
        <v/>
      </c>
      <c r="BA242" s="386">
        <f t="shared" si="163"/>
        <v>0</v>
      </c>
      <c r="BB242" s="386">
        <f t="shared" si="132"/>
        <v>11650</v>
      </c>
      <c r="BC242" s="386">
        <f t="shared" si="133"/>
        <v>0</v>
      </c>
      <c r="BD242" s="386">
        <f t="shared" si="134"/>
        <v>3186.6016</v>
      </c>
      <c r="BE242" s="386">
        <f t="shared" si="135"/>
        <v>745.25360000000012</v>
      </c>
      <c r="BF242" s="386">
        <f t="shared" si="136"/>
        <v>6136.7779200000004</v>
      </c>
      <c r="BG242" s="386">
        <f t="shared" si="137"/>
        <v>370.57092800000004</v>
      </c>
      <c r="BH242" s="386">
        <f t="shared" si="138"/>
        <v>251.84432000000001</v>
      </c>
      <c r="BI242" s="386">
        <f t="shared" si="139"/>
        <v>157.27420799999999</v>
      </c>
      <c r="BJ242" s="386">
        <f t="shared" si="140"/>
        <v>123.35231999999999</v>
      </c>
      <c r="BK242" s="386">
        <f t="shared" si="141"/>
        <v>0</v>
      </c>
      <c r="BL242" s="386">
        <f t="shared" si="164"/>
        <v>10971.674896</v>
      </c>
      <c r="BM242" s="386">
        <f t="shared" si="165"/>
        <v>0</v>
      </c>
      <c r="BN242" s="386">
        <f t="shared" si="142"/>
        <v>11650</v>
      </c>
      <c r="BO242" s="386">
        <f t="shared" si="143"/>
        <v>0</v>
      </c>
      <c r="BP242" s="386">
        <f t="shared" si="144"/>
        <v>3186.6016</v>
      </c>
      <c r="BQ242" s="386">
        <f t="shared" si="145"/>
        <v>745.25360000000012</v>
      </c>
      <c r="BR242" s="386">
        <f t="shared" si="146"/>
        <v>6136.7779200000004</v>
      </c>
      <c r="BS242" s="386">
        <f t="shared" si="147"/>
        <v>370.57092800000004</v>
      </c>
      <c r="BT242" s="386">
        <f t="shared" si="148"/>
        <v>0</v>
      </c>
      <c r="BU242" s="386">
        <f t="shared" si="149"/>
        <v>157.27420799999999</v>
      </c>
      <c r="BV242" s="386">
        <f t="shared" si="150"/>
        <v>128.49200000000002</v>
      </c>
      <c r="BW242" s="386">
        <f t="shared" si="151"/>
        <v>0</v>
      </c>
      <c r="BX242" s="386">
        <f t="shared" si="166"/>
        <v>10724.970256000001</v>
      </c>
      <c r="BY242" s="386">
        <f t="shared" si="167"/>
        <v>0</v>
      </c>
      <c r="BZ242" s="386">
        <f t="shared" si="168"/>
        <v>0</v>
      </c>
      <c r="CA242" s="386">
        <f t="shared" si="169"/>
        <v>0</v>
      </c>
      <c r="CB242" s="386">
        <f t="shared" si="170"/>
        <v>0</v>
      </c>
      <c r="CC242" s="386">
        <f t="shared" si="152"/>
        <v>0</v>
      </c>
      <c r="CD242" s="386">
        <f t="shared" si="153"/>
        <v>0</v>
      </c>
      <c r="CE242" s="386">
        <f t="shared" si="154"/>
        <v>0</v>
      </c>
      <c r="CF242" s="386">
        <f t="shared" si="155"/>
        <v>-251.84432000000001</v>
      </c>
      <c r="CG242" s="386">
        <f t="shared" si="156"/>
        <v>0</v>
      </c>
      <c r="CH242" s="386">
        <f t="shared" si="157"/>
        <v>5.1396800000000136</v>
      </c>
      <c r="CI242" s="386">
        <f t="shared" si="158"/>
        <v>0</v>
      </c>
      <c r="CJ242" s="386">
        <f t="shared" si="171"/>
        <v>-246.70463999999998</v>
      </c>
      <c r="CK242" s="386" t="str">
        <f t="shared" si="172"/>
        <v/>
      </c>
      <c r="CL242" s="386" t="str">
        <f t="shared" si="173"/>
        <v/>
      </c>
      <c r="CM242" s="386" t="str">
        <f t="shared" si="174"/>
        <v/>
      </c>
      <c r="CN242" s="386" t="str">
        <f t="shared" si="175"/>
        <v>0338-02</v>
      </c>
    </row>
    <row r="243" spans="1:92" ht="15.75" thickBot="1" x14ac:dyDescent="0.3">
      <c r="A243" s="375" t="s">
        <v>161</v>
      </c>
      <c r="B243" s="375" t="s">
        <v>162</v>
      </c>
      <c r="C243" s="375" t="s">
        <v>1053</v>
      </c>
      <c r="D243" s="375" t="s">
        <v>561</v>
      </c>
      <c r="E243" s="375" t="s">
        <v>526</v>
      </c>
      <c r="F243" s="381" t="s">
        <v>529</v>
      </c>
      <c r="G243" s="375" t="s">
        <v>549</v>
      </c>
      <c r="H243" s="377"/>
      <c r="I243" s="377"/>
      <c r="J243" s="375" t="s">
        <v>168</v>
      </c>
      <c r="K243" s="375" t="s">
        <v>562</v>
      </c>
      <c r="L243" s="375" t="s">
        <v>170</v>
      </c>
      <c r="M243" s="375" t="s">
        <v>177</v>
      </c>
      <c r="N243" s="375" t="s">
        <v>199</v>
      </c>
      <c r="O243" s="378">
        <v>1</v>
      </c>
      <c r="P243" s="384">
        <v>1</v>
      </c>
      <c r="Q243" s="384">
        <v>1</v>
      </c>
      <c r="R243" s="379">
        <v>80</v>
      </c>
      <c r="S243" s="384">
        <v>1</v>
      </c>
      <c r="T243" s="379">
        <v>30599.1</v>
      </c>
      <c r="U243" s="379">
        <v>0</v>
      </c>
      <c r="V243" s="379">
        <v>14685.41</v>
      </c>
      <c r="W243" s="379">
        <v>44304</v>
      </c>
      <c r="X243" s="379">
        <v>21107.53</v>
      </c>
      <c r="Y243" s="379">
        <v>44304</v>
      </c>
      <c r="Z243" s="379">
        <v>20894.89</v>
      </c>
      <c r="AA243" s="375" t="s">
        <v>1054</v>
      </c>
      <c r="AB243" s="375" t="s">
        <v>1055</v>
      </c>
      <c r="AC243" s="375" t="s">
        <v>1056</v>
      </c>
      <c r="AD243" s="375" t="s">
        <v>214</v>
      </c>
      <c r="AE243" s="375" t="s">
        <v>550</v>
      </c>
      <c r="AF243" s="375" t="s">
        <v>245</v>
      </c>
      <c r="AG243" s="375" t="s">
        <v>183</v>
      </c>
      <c r="AH243" s="380">
        <v>21.3</v>
      </c>
      <c r="AI243" s="380">
        <v>34921.599999999999</v>
      </c>
      <c r="AJ243" s="375" t="s">
        <v>184</v>
      </c>
      <c r="AK243" s="375" t="s">
        <v>185</v>
      </c>
      <c r="AL243" s="375" t="s">
        <v>173</v>
      </c>
      <c r="AM243" s="375" t="s">
        <v>186</v>
      </c>
      <c r="AN243" s="375" t="s">
        <v>68</v>
      </c>
      <c r="AO243" s="378">
        <v>80</v>
      </c>
      <c r="AP243" s="384">
        <v>1</v>
      </c>
      <c r="AQ243" s="384">
        <v>1</v>
      </c>
      <c r="AR243" s="383">
        <v>3</v>
      </c>
      <c r="AS243" s="386">
        <f t="shared" si="159"/>
        <v>1</v>
      </c>
      <c r="AT243">
        <f t="shared" si="160"/>
        <v>1</v>
      </c>
      <c r="AU243" s="386">
        <f>IF(AT243=0,"",IF(AND(AT243=1,M243="F",SUMIF(C2:C557,C243,AS2:AS557)&lt;=1),SUMIF(C2:C557,C243,AS2:AS557),IF(AND(AT243=1,M243="F",SUMIF(C2:C557,C243,AS2:AS557)&gt;1),1,"")))</f>
        <v>1</v>
      </c>
      <c r="AV243" s="386" t="str">
        <f>IF(AT243=0,"",IF(AND(AT243=3,M243="F",SUMIF(C2:C557,C243,AS2:AS557)&lt;=1),SUMIF(C2:C557,C243,AS2:AS557),IF(AND(AT243=3,M243="F",SUMIF(C2:C557,C243,AS2:AS557)&gt;1),1,"")))</f>
        <v/>
      </c>
      <c r="AW243" s="386">
        <f>SUMIF(C2:C557,C243,O2:O557)</f>
        <v>1</v>
      </c>
      <c r="AX243" s="386">
        <f>IF(AND(M243="F",AS243&lt;&gt;0),SUMIF(C2:C557,C243,W2:W557),0)</f>
        <v>44304</v>
      </c>
      <c r="AY243" s="386">
        <f t="shared" si="161"/>
        <v>44304</v>
      </c>
      <c r="AZ243" s="386" t="str">
        <f t="shared" si="162"/>
        <v/>
      </c>
      <c r="BA243" s="386">
        <f t="shared" si="163"/>
        <v>0</v>
      </c>
      <c r="BB243" s="386">
        <f t="shared" si="132"/>
        <v>11650</v>
      </c>
      <c r="BC243" s="386">
        <f t="shared" si="133"/>
        <v>0</v>
      </c>
      <c r="BD243" s="386">
        <f t="shared" si="134"/>
        <v>2746.848</v>
      </c>
      <c r="BE243" s="386">
        <f t="shared" si="135"/>
        <v>642.40800000000002</v>
      </c>
      <c r="BF243" s="386">
        <f t="shared" si="136"/>
        <v>5289.8976000000002</v>
      </c>
      <c r="BG243" s="386">
        <f t="shared" si="137"/>
        <v>319.43184000000002</v>
      </c>
      <c r="BH243" s="386">
        <f t="shared" si="138"/>
        <v>217.08959999999999</v>
      </c>
      <c r="BI243" s="386">
        <f t="shared" si="139"/>
        <v>135.57023999999998</v>
      </c>
      <c r="BJ243" s="386">
        <f t="shared" si="140"/>
        <v>106.32959999999999</v>
      </c>
      <c r="BK243" s="386">
        <f t="shared" si="141"/>
        <v>0</v>
      </c>
      <c r="BL243" s="386">
        <f t="shared" si="164"/>
        <v>9457.5748799999965</v>
      </c>
      <c r="BM243" s="386">
        <f t="shared" si="165"/>
        <v>0</v>
      </c>
      <c r="BN243" s="386">
        <f t="shared" si="142"/>
        <v>11650</v>
      </c>
      <c r="BO243" s="386">
        <f t="shared" si="143"/>
        <v>0</v>
      </c>
      <c r="BP243" s="386">
        <f t="shared" si="144"/>
        <v>2746.848</v>
      </c>
      <c r="BQ243" s="386">
        <f t="shared" si="145"/>
        <v>642.40800000000002</v>
      </c>
      <c r="BR243" s="386">
        <f t="shared" si="146"/>
        <v>5289.8976000000002</v>
      </c>
      <c r="BS243" s="386">
        <f t="shared" si="147"/>
        <v>319.43184000000002</v>
      </c>
      <c r="BT243" s="386">
        <f t="shared" si="148"/>
        <v>0</v>
      </c>
      <c r="BU243" s="386">
        <f t="shared" si="149"/>
        <v>135.57023999999998</v>
      </c>
      <c r="BV243" s="386">
        <f t="shared" si="150"/>
        <v>110.76</v>
      </c>
      <c r="BW243" s="386">
        <f t="shared" si="151"/>
        <v>0</v>
      </c>
      <c r="BX243" s="386">
        <f t="shared" si="166"/>
        <v>9244.9156799999982</v>
      </c>
      <c r="BY243" s="386">
        <f t="shared" si="167"/>
        <v>0</v>
      </c>
      <c r="BZ243" s="386">
        <f t="shared" si="168"/>
        <v>0</v>
      </c>
      <c r="CA243" s="386">
        <f t="shared" si="169"/>
        <v>0</v>
      </c>
      <c r="CB243" s="386">
        <f t="shared" si="170"/>
        <v>0</v>
      </c>
      <c r="CC243" s="386">
        <f t="shared" si="152"/>
        <v>0</v>
      </c>
      <c r="CD243" s="386">
        <f t="shared" si="153"/>
        <v>0</v>
      </c>
      <c r="CE243" s="386">
        <f t="shared" si="154"/>
        <v>0</v>
      </c>
      <c r="CF243" s="386">
        <f t="shared" si="155"/>
        <v>-217.08959999999999</v>
      </c>
      <c r="CG243" s="386">
        <f t="shared" si="156"/>
        <v>0</v>
      </c>
      <c r="CH243" s="386">
        <f t="shared" si="157"/>
        <v>4.4304000000000112</v>
      </c>
      <c r="CI243" s="386">
        <f t="shared" si="158"/>
        <v>0</v>
      </c>
      <c r="CJ243" s="386">
        <f t="shared" si="171"/>
        <v>-212.65919999999997</v>
      </c>
      <c r="CK243" s="386" t="str">
        <f t="shared" si="172"/>
        <v/>
      </c>
      <c r="CL243" s="386" t="str">
        <f t="shared" si="173"/>
        <v/>
      </c>
      <c r="CM243" s="386" t="str">
        <f t="shared" si="174"/>
        <v/>
      </c>
      <c r="CN243" s="386" t="str">
        <f t="shared" si="175"/>
        <v>0338-02</v>
      </c>
    </row>
    <row r="244" spans="1:92" ht="15.75" thickBot="1" x14ac:dyDescent="0.3">
      <c r="A244" s="375" t="s">
        <v>161</v>
      </c>
      <c r="B244" s="375" t="s">
        <v>162</v>
      </c>
      <c r="C244" s="375" t="s">
        <v>1057</v>
      </c>
      <c r="D244" s="375" t="s">
        <v>555</v>
      </c>
      <c r="E244" s="375" t="s">
        <v>526</v>
      </c>
      <c r="F244" s="381" t="s">
        <v>529</v>
      </c>
      <c r="G244" s="375" t="s">
        <v>549</v>
      </c>
      <c r="H244" s="377"/>
      <c r="I244" s="377"/>
      <c r="J244" s="375" t="s">
        <v>168</v>
      </c>
      <c r="K244" s="375" t="s">
        <v>556</v>
      </c>
      <c r="L244" s="375" t="s">
        <v>220</v>
      </c>
      <c r="M244" s="375" t="s">
        <v>177</v>
      </c>
      <c r="N244" s="375" t="s">
        <v>199</v>
      </c>
      <c r="O244" s="378">
        <v>1</v>
      </c>
      <c r="P244" s="384">
        <v>1</v>
      </c>
      <c r="Q244" s="384">
        <v>1</v>
      </c>
      <c r="R244" s="379">
        <v>80</v>
      </c>
      <c r="S244" s="384">
        <v>1</v>
      </c>
      <c r="T244" s="379">
        <v>63193.96</v>
      </c>
      <c r="U244" s="379">
        <v>0</v>
      </c>
      <c r="V244" s="379">
        <v>24478.86</v>
      </c>
      <c r="W244" s="379">
        <v>65603.199999999997</v>
      </c>
      <c r="X244" s="379">
        <v>25654.27</v>
      </c>
      <c r="Y244" s="379">
        <v>65603.199999999997</v>
      </c>
      <c r="Z244" s="379">
        <v>25339.38</v>
      </c>
      <c r="AA244" s="375" t="s">
        <v>1058</v>
      </c>
      <c r="AB244" s="375" t="s">
        <v>1059</v>
      </c>
      <c r="AC244" s="375" t="s">
        <v>1060</v>
      </c>
      <c r="AD244" s="375" t="s">
        <v>170</v>
      </c>
      <c r="AE244" s="375" t="s">
        <v>556</v>
      </c>
      <c r="AF244" s="375" t="s">
        <v>252</v>
      </c>
      <c r="AG244" s="375" t="s">
        <v>183</v>
      </c>
      <c r="AH244" s="380">
        <v>31.54</v>
      </c>
      <c r="AI244" s="380">
        <v>34502.699999999997</v>
      </c>
      <c r="AJ244" s="375" t="s">
        <v>184</v>
      </c>
      <c r="AK244" s="375" t="s">
        <v>185</v>
      </c>
      <c r="AL244" s="375" t="s">
        <v>173</v>
      </c>
      <c r="AM244" s="375" t="s">
        <v>186</v>
      </c>
      <c r="AN244" s="375" t="s">
        <v>68</v>
      </c>
      <c r="AO244" s="378">
        <v>80</v>
      </c>
      <c r="AP244" s="384">
        <v>1</v>
      </c>
      <c r="AQ244" s="384">
        <v>1</v>
      </c>
      <c r="AR244" s="383" t="s">
        <v>187</v>
      </c>
      <c r="AS244" s="386">
        <f t="shared" si="159"/>
        <v>1</v>
      </c>
      <c r="AT244">
        <f t="shared" si="160"/>
        <v>1</v>
      </c>
      <c r="AU244" s="386">
        <f>IF(AT244=0,"",IF(AND(AT244=1,M244="F",SUMIF(C2:C557,C244,AS2:AS557)&lt;=1),SUMIF(C2:C557,C244,AS2:AS557),IF(AND(AT244=1,M244="F",SUMIF(C2:C557,C244,AS2:AS557)&gt;1),1,"")))</f>
        <v>1</v>
      </c>
      <c r="AV244" s="386" t="str">
        <f>IF(AT244=0,"",IF(AND(AT244=3,M244="F",SUMIF(C2:C557,C244,AS2:AS557)&lt;=1),SUMIF(C2:C557,C244,AS2:AS557),IF(AND(AT244=3,M244="F",SUMIF(C2:C557,C244,AS2:AS557)&gt;1),1,"")))</f>
        <v/>
      </c>
      <c r="AW244" s="386">
        <f>SUMIF(C2:C557,C244,O2:O557)</f>
        <v>1</v>
      </c>
      <c r="AX244" s="386">
        <f>IF(AND(M244="F",AS244&lt;&gt;0),SUMIF(C2:C557,C244,W2:W557),0)</f>
        <v>65603.199999999997</v>
      </c>
      <c r="AY244" s="386">
        <f t="shared" si="161"/>
        <v>65603.199999999997</v>
      </c>
      <c r="AZ244" s="386" t="str">
        <f t="shared" si="162"/>
        <v/>
      </c>
      <c r="BA244" s="386">
        <f t="shared" si="163"/>
        <v>0</v>
      </c>
      <c r="BB244" s="386">
        <f t="shared" si="132"/>
        <v>11650</v>
      </c>
      <c r="BC244" s="386">
        <f t="shared" si="133"/>
        <v>0</v>
      </c>
      <c r="BD244" s="386">
        <f t="shared" si="134"/>
        <v>4067.3983999999996</v>
      </c>
      <c r="BE244" s="386">
        <f t="shared" si="135"/>
        <v>951.24639999999999</v>
      </c>
      <c r="BF244" s="386">
        <f t="shared" si="136"/>
        <v>7833.0220799999997</v>
      </c>
      <c r="BG244" s="386">
        <f t="shared" si="137"/>
        <v>472.99907200000001</v>
      </c>
      <c r="BH244" s="386">
        <f t="shared" si="138"/>
        <v>321.45567999999997</v>
      </c>
      <c r="BI244" s="386">
        <f t="shared" si="139"/>
        <v>200.74579199999997</v>
      </c>
      <c r="BJ244" s="386">
        <f t="shared" si="140"/>
        <v>157.44767999999999</v>
      </c>
      <c r="BK244" s="386">
        <f t="shared" si="141"/>
        <v>0</v>
      </c>
      <c r="BL244" s="386">
        <f t="shared" si="164"/>
        <v>14004.315103999999</v>
      </c>
      <c r="BM244" s="386">
        <f t="shared" si="165"/>
        <v>0</v>
      </c>
      <c r="BN244" s="386">
        <f t="shared" si="142"/>
        <v>11650</v>
      </c>
      <c r="BO244" s="386">
        <f t="shared" si="143"/>
        <v>0</v>
      </c>
      <c r="BP244" s="386">
        <f t="shared" si="144"/>
        <v>4067.3983999999996</v>
      </c>
      <c r="BQ244" s="386">
        <f t="shared" si="145"/>
        <v>951.24639999999999</v>
      </c>
      <c r="BR244" s="386">
        <f t="shared" si="146"/>
        <v>7833.0220799999997</v>
      </c>
      <c r="BS244" s="386">
        <f t="shared" si="147"/>
        <v>472.99907200000001</v>
      </c>
      <c r="BT244" s="386">
        <f t="shared" si="148"/>
        <v>0</v>
      </c>
      <c r="BU244" s="386">
        <f t="shared" si="149"/>
        <v>200.74579199999997</v>
      </c>
      <c r="BV244" s="386">
        <f t="shared" si="150"/>
        <v>164.00800000000001</v>
      </c>
      <c r="BW244" s="386">
        <f t="shared" si="151"/>
        <v>0</v>
      </c>
      <c r="BX244" s="386">
        <f t="shared" si="166"/>
        <v>13689.419744000001</v>
      </c>
      <c r="BY244" s="386">
        <f t="shared" si="167"/>
        <v>0</v>
      </c>
      <c r="BZ244" s="386">
        <f t="shared" si="168"/>
        <v>0</v>
      </c>
      <c r="CA244" s="386">
        <f t="shared" si="169"/>
        <v>0</v>
      </c>
      <c r="CB244" s="386">
        <f t="shared" si="170"/>
        <v>0</v>
      </c>
      <c r="CC244" s="386">
        <f t="shared" si="152"/>
        <v>0</v>
      </c>
      <c r="CD244" s="386">
        <f t="shared" si="153"/>
        <v>0</v>
      </c>
      <c r="CE244" s="386">
        <f t="shared" si="154"/>
        <v>0</v>
      </c>
      <c r="CF244" s="386">
        <f t="shared" si="155"/>
        <v>-321.45567999999997</v>
      </c>
      <c r="CG244" s="386">
        <f t="shared" si="156"/>
        <v>0</v>
      </c>
      <c r="CH244" s="386">
        <f t="shared" si="157"/>
        <v>6.5603200000000168</v>
      </c>
      <c r="CI244" s="386">
        <f t="shared" si="158"/>
        <v>0</v>
      </c>
      <c r="CJ244" s="386">
        <f t="shared" si="171"/>
        <v>-314.89535999999998</v>
      </c>
      <c r="CK244" s="386" t="str">
        <f t="shared" si="172"/>
        <v/>
      </c>
      <c r="CL244" s="386" t="str">
        <f t="shared" si="173"/>
        <v/>
      </c>
      <c r="CM244" s="386" t="str">
        <f t="shared" si="174"/>
        <v/>
      </c>
      <c r="CN244" s="386" t="str">
        <f t="shared" si="175"/>
        <v>0338-02</v>
      </c>
    </row>
    <row r="245" spans="1:92" ht="15.75" thickBot="1" x14ac:dyDescent="0.3">
      <c r="A245" s="375" t="s">
        <v>161</v>
      </c>
      <c r="B245" s="375" t="s">
        <v>162</v>
      </c>
      <c r="C245" s="375" t="s">
        <v>978</v>
      </c>
      <c r="D245" s="375" t="s">
        <v>979</v>
      </c>
      <c r="E245" s="375" t="s">
        <v>526</v>
      </c>
      <c r="F245" s="381" t="s">
        <v>529</v>
      </c>
      <c r="G245" s="375" t="s">
        <v>549</v>
      </c>
      <c r="H245" s="377"/>
      <c r="I245" s="377"/>
      <c r="J245" s="375" t="s">
        <v>168</v>
      </c>
      <c r="K245" s="375" t="s">
        <v>980</v>
      </c>
      <c r="L245" s="377"/>
      <c r="M245" s="377"/>
      <c r="N245" s="377"/>
      <c r="O245" s="378">
        <v>0</v>
      </c>
      <c r="P245" s="384">
        <v>0</v>
      </c>
      <c r="Q245" s="384">
        <v>0</v>
      </c>
      <c r="R245" s="379">
        <v>0</v>
      </c>
      <c r="S245" s="384">
        <v>0</v>
      </c>
      <c r="T245" s="379">
        <v>-10808.04</v>
      </c>
      <c r="U245" s="379">
        <v>0</v>
      </c>
      <c r="V245" s="379">
        <v>0</v>
      </c>
      <c r="W245" s="379">
        <v>0</v>
      </c>
      <c r="X245" s="379">
        <v>0</v>
      </c>
      <c r="Y245" s="379">
        <v>0</v>
      </c>
      <c r="Z245" s="379">
        <v>0</v>
      </c>
      <c r="AA245" s="377"/>
      <c r="AB245" s="375" t="s">
        <v>45</v>
      </c>
      <c r="AC245" s="375" t="s">
        <v>45</v>
      </c>
      <c r="AD245" s="377"/>
      <c r="AE245" s="377"/>
      <c r="AF245" s="377"/>
      <c r="AG245" s="377"/>
      <c r="AH245" s="378">
        <v>0</v>
      </c>
      <c r="AI245" s="378">
        <v>0</v>
      </c>
      <c r="AJ245" s="377"/>
      <c r="AK245" s="377"/>
      <c r="AL245" s="375" t="s">
        <v>173</v>
      </c>
      <c r="AM245" s="377"/>
      <c r="AN245" s="377"/>
      <c r="AO245" s="378">
        <v>0</v>
      </c>
      <c r="AP245" s="384">
        <v>0</v>
      </c>
      <c r="AQ245" s="384">
        <v>0</v>
      </c>
      <c r="AR245" s="382"/>
      <c r="AS245" s="386">
        <f t="shared" si="159"/>
        <v>0</v>
      </c>
      <c r="AT245">
        <f t="shared" si="160"/>
        <v>0</v>
      </c>
      <c r="AU245" s="386" t="str">
        <f>IF(AT245=0,"",IF(AND(AT245=1,M245="F",SUMIF(C2:C557,C245,AS2:AS557)&lt;=1),SUMIF(C2:C557,C245,AS2:AS557),IF(AND(AT245=1,M245="F",SUMIF(C2:C557,C245,AS2:AS557)&gt;1),1,"")))</f>
        <v/>
      </c>
      <c r="AV245" s="386" t="str">
        <f>IF(AT245=0,"",IF(AND(AT245=3,M245="F",SUMIF(C2:C557,C245,AS2:AS557)&lt;=1),SUMIF(C2:C557,C245,AS2:AS557),IF(AND(AT245=3,M245="F",SUMIF(C2:C557,C245,AS2:AS557)&gt;1),1,"")))</f>
        <v/>
      </c>
      <c r="AW245" s="386">
        <f>SUMIF(C2:C557,C245,O2:O557)</f>
        <v>0</v>
      </c>
      <c r="AX245" s="386">
        <f>IF(AND(M245="F",AS245&lt;&gt;0),SUMIF(C2:C557,C245,W2:W557),0)</f>
        <v>0</v>
      </c>
      <c r="AY245" s="386" t="str">
        <f t="shared" si="161"/>
        <v/>
      </c>
      <c r="AZ245" s="386" t="str">
        <f t="shared" si="162"/>
        <v/>
      </c>
      <c r="BA245" s="386">
        <f t="shared" si="163"/>
        <v>0</v>
      </c>
      <c r="BB245" s="386">
        <f t="shared" si="132"/>
        <v>0</v>
      </c>
      <c r="BC245" s="386">
        <f t="shared" si="133"/>
        <v>0</v>
      </c>
      <c r="BD245" s="386">
        <f t="shared" si="134"/>
        <v>0</v>
      </c>
      <c r="BE245" s="386">
        <f t="shared" si="135"/>
        <v>0</v>
      </c>
      <c r="BF245" s="386">
        <f t="shared" si="136"/>
        <v>0</v>
      </c>
      <c r="BG245" s="386">
        <f t="shared" si="137"/>
        <v>0</v>
      </c>
      <c r="BH245" s="386">
        <f t="shared" si="138"/>
        <v>0</v>
      </c>
      <c r="BI245" s="386">
        <f t="shared" si="139"/>
        <v>0</v>
      </c>
      <c r="BJ245" s="386">
        <f t="shared" si="140"/>
        <v>0</v>
      </c>
      <c r="BK245" s="386">
        <f t="shared" si="141"/>
        <v>0</v>
      </c>
      <c r="BL245" s="386">
        <f t="shared" si="164"/>
        <v>0</v>
      </c>
      <c r="BM245" s="386">
        <f t="shared" si="165"/>
        <v>0</v>
      </c>
      <c r="BN245" s="386">
        <f t="shared" si="142"/>
        <v>0</v>
      </c>
      <c r="BO245" s="386">
        <f t="shared" si="143"/>
        <v>0</v>
      </c>
      <c r="BP245" s="386">
        <f t="shared" si="144"/>
        <v>0</v>
      </c>
      <c r="BQ245" s="386">
        <f t="shared" si="145"/>
        <v>0</v>
      </c>
      <c r="BR245" s="386">
        <f t="shared" si="146"/>
        <v>0</v>
      </c>
      <c r="BS245" s="386">
        <f t="shared" si="147"/>
        <v>0</v>
      </c>
      <c r="BT245" s="386">
        <f t="shared" si="148"/>
        <v>0</v>
      </c>
      <c r="BU245" s="386">
        <f t="shared" si="149"/>
        <v>0</v>
      </c>
      <c r="BV245" s="386">
        <f t="shared" si="150"/>
        <v>0</v>
      </c>
      <c r="BW245" s="386">
        <f t="shared" si="151"/>
        <v>0</v>
      </c>
      <c r="BX245" s="386">
        <f t="shared" si="166"/>
        <v>0</v>
      </c>
      <c r="BY245" s="386">
        <f t="shared" si="167"/>
        <v>0</v>
      </c>
      <c r="BZ245" s="386">
        <f t="shared" si="168"/>
        <v>0</v>
      </c>
      <c r="CA245" s="386">
        <f t="shared" si="169"/>
        <v>0</v>
      </c>
      <c r="CB245" s="386">
        <f t="shared" si="170"/>
        <v>0</v>
      </c>
      <c r="CC245" s="386">
        <f t="shared" si="152"/>
        <v>0</v>
      </c>
      <c r="CD245" s="386">
        <f t="shared" si="153"/>
        <v>0</v>
      </c>
      <c r="CE245" s="386">
        <f t="shared" si="154"/>
        <v>0</v>
      </c>
      <c r="CF245" s="386">
        <f t="shared" si="155"/>
        <v>0</v>
      </c>
      <c r="CG245" s="386">
        <f t="shared" si="156"/>
        <v>0</v>
      </c>
      <c r="CH245" s="386">
        <f t="shared" si="157"/>
        <v>0</v>
      </c>
      <c r="CI245" s="386">
        <f t="shared" si="158"/>
        <v>0</v>
      </c>
      <c r="CJ245" s="386">
        <f t="shared" si="171"/>
        <v>0</v>
      </c>
      <c r="CK245" s="386" t="str">
        <f t="shared" si="172"/>
        <v/>
      </c>
      <c r="CL245" s="386" t="str">
        <f t="shared" si="173"/>
        <v/>
      </c>
      <c r="CM245" s="386" t="str">
        <f t="shared" si="174"/>
        <v/>
      </c>
      <c r="CN245" s="386" t="str">
        <f t="shared" si="175"/>
        <v>0338-02</v>
      </c>
    </row>
    <row r="246" spans="1:92" ht="15.75" thickBot="1" x14ac:dyDescent="0.3">
      <c r="A246" s="375" t="s">
        <v>161</v>
      </c>
      <c r="B246" s="375" t="s">
        <v>162</v>
      </c>
      <c r="C246" s="375" t="s">
        <v>1061</v>
      </c>
      <c r="D246" s="375" t="s">
        <v>555</v>
      </c>
      <c r="E246" s="375" t="s">
        <v>526</v>
      </c>
      <c r="F246" s="381" t="s">
        <v>529</v>
      </c>
      <c r="G246" s="375" t="s">
        <v>549</v>
      </c>
      <c r="H246" s="377"/>
      <c r="I246" s="377"/>
      <c r="J246" s="375" t="s">
        <v>168</v>
      </c>
      <c r="K246" s="375" t="s">
        <v>556</v>
      </c>
      <c r="L246" s="375" t="s">
        <v>220</v>
      </c>
      <c r="M246" s="375" t="s">
        <v>177</v>
      </c>
      <c r="N246" s="375" t="s">
        <v>199</v>
      </c>
      <c r="O246" s="378">
        <v>1</v>
      </c>
      <c r="P246" s="384">
        <v>1</v>
      </c>
      <c r="Q246" s="384">
        <v>1</v>
      </c>
      <c r="R246" s="379">
        <v>80</v>
      </c>
      <c r="S246" s="384">
        <v>1</v>
      </c>
      <c r="T246" s="379">
        <v>55666.89</v>
      </c>
      <c r="U246" s="379">
        <v>0</v>
      </c>
      <c r="V246" s="379">
        <v>23038.09</v>
      </c>
      <c r="W246" s="379">
        <v>59363.199999999997</v>
      </c>
      <c r="X246" s="379">
        <v>24322.22</v>
      </c>
      <c r="Y246" s="379">
        <v>59363.199999999997</v>
      </c>
      <c r="Z246" s="379">
        <v>24037.279999999999</v>
      </c>
      <c r="AA246" s="375" t="s">
        <v>1062</v>
      </c>
      <c r="AB246" s="375" t="s">
        <v>1063</v>
      </c>
      <c r="AC246" s="375" t="s">
        <v>968</v>
      </c>
      <c r="AD246" s="375" t="s">
        <v>214</v>
      </c>
      <c r="AE246" s="375" t="s">
        <v>556</v>
      </c>
      <c r="AF246" s="375" t="s">
        <v>252</v>
      </c>
      <c r="AG246" s="375" t="s">
        <v>183</v>
      </c>
      <c r="AH246" s="380">
        <v>28.54</v>
      </c>
      <c r="AI246" s="380">
        <v>14494.5</v>
      </c>
      <c r="AJ246" s="375" t="s">
        <v>184</v>
      </c>
      <c r="AK246" s="375" t="s">
        <v>185</v>
      </c>
      <c r="AL246" s="375" t="s">
        <v>173</v>
      </c>
      <c r="AM246" s="375" t="s">
        <v>186</v>
      </c>
      <c r="AN246" s="375" t="s">
        <v>68</v>
      </c>
      <c r="AO246" s="378">
        <v>80</v>
      </c>
      <c r="AP246" s="384">
        <v>1</v>
      </c>
      <c r="AQ246" s="384">
        <v>1</v>
      </c>
      <c r="AR246" s="383" t="s">
        <v>187</v>
      </c>
      <c r="AS246" s="386">
        <f t="shared" si="159"/>
        <v>1</v>
      </c>
      <c r="AT246">
        <f t="shared" si="160"/>
        <v>1</v>
      </c>
      <c r="AU246" s="386">
        <f>IF(AT246=0,"",IF(AND(AT246=1,M246="F",SUMIF(C2:C557,C246,AS2:AS557)&lt;=1),SUMIF(C2:C557,C246,AS2:AS557),IF(AND(AT246=1,M246="F",SUMIF(C2:C557,C246,AS2:AS557)&gt;1),1,"")))</f>
        <v>1</v>
      </c>
      <c r="AV246" s="386" t="str">
        <f>IF(AT246=0,"",IF(AND(AT246=3,M246="F",SUMIF(C2:C557,C246,AS2:AS557)&lt;=1),SUMIF(C2:C557,C246,AS2:AS557),IF(AND(AT246=3,M246="F",SUMIF(C2:C557,C246,AS2:AS557)&gt;1),1,"")))</f>
        <v/>
      </c>
      <c r="AW246" s="386">
        <f>SUMIF(C2:C557,C246,O2:O557)</f>
        <v>1</v>
      </c>
      <c r="AX246" s="386">
        <f>IF(AND(M246="F",AS246&lt;&gt;0),SUMIF(C2:C557,C246,W2:W557),0)</f>
        <v>59363.199999999997</v>
      </c>
      <c r="AY246" s="386">
        <f t="shared" si="161"/>
        <v>59363.199999999997</v>
      </c>
      <c r="AZ246" s="386" t="str">
        <f t="shared" si="162"/>
        <v/>
      </c>
      <c r="BA246" s="386">
        <f t="shared" si="163"/>
        <v>0</v>
      </c>
      <c r="BB246" s="386">
        <f t="shared" si="132"/>
        <v>11650</v>
      </c>
      <c r="BC246" s="386">
        <f t="shared" si="133"/>
        <v>0</v>
      </c>
      <c r="BD246" s="386">
        <f t="shared" si="134"/>
        <v>3680.5183999999999</v>
      </c>
      <c r="BE246" s="386">
        <f t="shared" si="135"/>
        <v>860.76639999999998</v>
      </c>
      <c r="BF246" s="386">
        <f t="shared" si="136"/>
        <v>7087.9660800000001</v>
      </c>
      <c r="BG246" s="386">
        <f t="shared" si="137"/>
        <v>428.00867199999999</v>
      </c>
      <c r="BH246" s="386">
        <f t="shared" si="138"/>
        <v>290.87967999999995</v>
      </c>
      <c r="BI246" s="386">
        <f t="shared" si="139"/>
        <v>181.65139199999999</v>
      </c>
      <c r="BJ246" s="386">
        <f t="shared" si="140"/>
        <v>142.47167999999999</v>
      </c>
      <c r="BK246" s="386">
        <f t="shared" si="141"/>
        <v>0</v>
      </c>
      <c r="BL246" s="386">
        <f t="shared" si="164"/>
        <v>12672.262304</v>
      </c>
      <c r="BM246" s="386">
        <f t="shared" si="165"/>
        <v>0</v>
      </c>
      <c r="BN246" s="386">
        <f t="shared" si="142"/>
        <v>11650</v>
      </c>
      <c r="BO246" s="386">
        <f t="shared" si="143"/>
        <v>0</v>
      </c>
      <c r="BP246" s="386">
        <f t="shared" si="144"/>
        <v>3680.5183999999999</v>
      </c>
      <c r="BQ246" s="386">
        <f t="shared" si="145"/>
        <v>860.76639999999998</v>
      </c>
      <c r="BR246" s="386">
        <f t="shared" si="146"/>
        <v>7087.9660800000001</v>
      </c>
      <c r="BS246" s="386">
        <f t="shared" si="147"/>
        <v>428.00867199999999</v>
      </c>
      <c r="BT246" s="386">
        <f t="shared" si="148"/>
        <v>0</v>
      </c>
      <c r="BU246" s="386">
        <f t="shared" si="149"/>
        <v>181.65139199999999</v>
      </c>
      <c r="BV246" s="386">
        <f t="shared" si="150"/>
        <v>148.40799999999999</v>
      </c>
      <c r="BW246" s="386">
        <f t="shared" si="151"/>
        <v>0</v>
      </c>
      <c r="BX246" s="386">
        <f t="shared" si="166"/>
        <v>12387.318943999999</v>
      </c>
      <c r="BY246" s="386">
        <f t="shared" si="167"/>
        <v>0</v>
      </c>
      <c r="BZ246" s="386">
        <f t="shared" si="168"/>
        <v>0</v>
      </c>
      <c r="CA246" s="386">
        <f t="shared" si="169"/>
        <v>0</v>
      </c>
      <c r="CB246" s="386">
        <f t="shared" si="170"/>
        <v>0</v>
      </c>
      <c r="CC246" s="386">
        <f t="shared" si="152"/>
        <v>0</v>
      </c>
      <c r="CD246" s="386">
        <f t="shared" si="153"/>
        <v>0</v>
      </c>
      <c r="CE246" s="386">
        <f t="shared" si="154"/>
        <v>0</v>
      </c>
      <c r="CF246" s="386">
        <f t="shared" si="155"/>
        <v>-290.87967999999995</v>
      </c>
      <c r="CG246" s="386">
        <f t="shared" si="156"/>
        <v>0</v>
      </c>
      <c r="CH246" s="386">
        <f t="shared" si="157"/>
        <v>5.9363200000000154</v>
      </c>
      <c r="CI246" s="386">
        <f t="shared" si="158"/>
        <v>0</v>
      </c>
      <c r="CJ246" s="386">
        <f t="shared" si="171"/>
        <v>-284.94335999999993</v>
      </c>
      <c r="CK246" s="386" t="str">
        <f t="shared" si="172"/>
        <v/>
      </c>
      <c r="CL246" s="386" t="str">
        <f t="shared" si="173"/>
        <v/>
      </c>
      <c r="CM246" s="386" t="str">
        <f t="shared" si="174"/>
        <v/>
      </c>
      <c r="CN246" s="386" t="str">
        <f t="shared" si="175"/>
        <v>0338-02</v>
      </c>
    </row>
    <row r="247" spans="1:92" ht="15.75" thickBot="1" x14ac:dyDescent="0.3">
      <c r="A247" s="375" t="s">
        <v>161</v>
      </c>
      <c r="B247" s="375" t="s">
        <v>162</v>
      </c>
      <c r="C247" s="375" t="s">
        <v>1064</v>
      </c>
      <c r="D247" s="375" t="s">
        <v>555</v>
      </c>
      <c r="E247" s="375" t="s">
        <v>526</v>
      </c>
      <c r="F247" s="381" t="s">
        <v>529</v>
      </c>
      <c r="G247" s="375" t="s">
        <v>549</v>
      </c>
      <c r="H247" s="377"/>
      <c r="I247" s="377"/>
      <c r="J247" s="375" t="s">
        <v>168</v>
      </c>
      <c r="K247" s="375" t="s">
        <v>556</v>
      </c>
      <c r="L247" s="375" t="s">
        <v>220</v>
      </c>
      <c r="M247" s="375" t="s">
        <v>177</v>
      </c>
      <c r="N247" s="375" t="s">
        <v>199</v>
      </c>
      <c r="O247" s="378">
        <v>1</v>
      </c>
      <c r="P247" s="384">
        <v>1</v>
      </c>
      <c r="Q247" s="384">
        <v>1</v>
      </c>
      <c r="R247" s="379">
        <v>80</v>
      </c>
      <c r="S247" s="384">
        <v>1</v>
      </c>
      <c r="T247" s="379">
        <v>54257.120000000003</v>
      </c>
      <c r="U247" s="379">
        <v>0</v>
      </c>
      <c r="V247" s="379">
        <v>22553.26</v>
      </c>
      <c r="W247" s="379">
        <v>58448</v>
      </c>
      <c r="X247" s="379">
        <v>24126.87</v>
      </c>
      <c r="Y247" s="379">
        <v>58448</v>
      </c>
      <c r="Z247" s="379">
        <v>23846.33</v>
      </c>
      <c r="AA247" s="375" t="s">
        <v>1065</v>
      </c>
      <c r="AB247" s="375" t="s">
        <v>1066</v>
      </c>
      <c r="AC247" s="375" t="s">
        <v>1067</v>
      </c>
      <c r="AD247" s="375" t="s">
        <v>214</v>
      </c>
      <c r="AE247" s="375" t="s">
        <v>556</v>
      </c>
      <c r="AF247" s="375" t="s">
        <v>252</v>
      </c>
      <c r="AG247" s="375" t="s">
        <v>183</v>
      </c>
      <c r="AH247" s="380">
        <v>28.1</v>
      </c>
      <c r="AI247" s="380">
        <v>14424.5</v>
      </c>
      <c r="AJ247" s="375" t="s">
        <v>184</v>
      </c>
      <c r="AK247" s="375" t="s">
        <v>185</v>
      </c>
      <c r="AL247" s="375" t="s">
        <v>173</v>
      </c>
      <c r="AM247" s="375" t="s">
        <v>186</v>
      </c>
      <c r="AN247" s="375" t="s">
        <v>68</v>
      </c>
      <c r="AO247" s="378">
        <v>80</v>
      </c>
      <c r="AP247" s="384">
        <v>1</v>
      </c>
      <c r="AQ247" s="384">
        <v>1</v>
      </c>
      <c r="AR247" s="383" t="s">
        <v>187</v>
      </c>
      <c r="AS247" s="386">
        <f t="shared" si="159"/>
        <v>1</v>
      </c>
      <c r="AT247">
        <f t="shared" si="160"/>
        <v>1</v>
      </c>
      <c r="AU247" s="386">
        <f>IF(AT247=0,"",IF(AND(AT247=1,M247="F",SUMIF(C2:C557,C247,AS2:AS557)&lt;=1),SUMIF(C2:C557,C247,AS2:AS557),IF(AND(AT247=1,M247="F",SUMIF(C2:C557,C247,AS2:AS557)&gt;1),1,"")))</f>
        <v>1</v>
      </c>
      <c r="AV247" s="386" t="str">
        <f>IF(AT247=0,"",IF(AND(AT247=3,M247="F",SUMIF(C2:C557,C247,AS2:AS557)&lt;=1),SUMIF(C2:C557,C247,AS2:AS557),IF(AND(AT247=3,M247="F",SUMIF(C2:C557,C247,AS2:AS557)&gt;1),1,"")))</f>
        <v/>
      </c>
      <c r="AW247" s="386">
        <f>SUMIF(C2:C557,C247,O2:O557)</f>
        <v>1</v>
      </c>
      <c r="AX247" s="386">
        <f>IF(AND(M247="F",AS247&lt;&gt;0),SUMIF(C2:C557,C247,W2:W557),0)</f>
        <v>58448</v>
      </c>
      <c r="AY247" s="386">
        <f t="shared" si="161"/>
        <v>58448</v>
      </c>
      <c r="AZ247" s="386" t="str">
        <f t="shared" si="162"/>
        <v/>
      </c>
      <c r="BA247" s="386">
        <f t="shared" si="163"/>
        <v>0</v>
      </c>
      <c r="BB247" s="386">
        <f t="shared" si="132"/>
        <v>11650</v>
      </c>
      <c r="BC247" s="386">
        <f t="shared" si="133"/>
        <v>0</v>
      </c>
      <c r="BD247" s="386">
        <f t="shared" si="134"/>
        <v>3623.7759999999998</v>
      </c>
      <c r="BE247" s="386">
        <f t="shared" si="135"/>
        <v>847.49600000000009</v>
      </c>
      <c r="BF247" s="386">
        <f t="shared" si="136"/>
        <v>6978.6912000000002</v>
      </c>
      <c r="BG247" s="386">
        <f t="shared" si="137"/>
        <v>421.41007999999999</v>
      </c>
      <c r="BH247" s="386">
        <f t="shared" si="138"/>
        <v>286.39519999999999</v>
      </c>
      <c r="BI247" s="386">
        <f t="shared" si="139"/>
        <v>178.85087999999999</v>
      </c>
      <c r="BJ247" s="386">
        <f t="shared" si="140"/>
        <v>140.27519999999998</v>
      </c>
      <c r="BK247" s="386">
        <f t="shared" si="141"/>
        <v>0</v>
      </c>
      <c r="BL247" s="386">
        <f t="shared" si="164"/>
        <v>12476.894560000001</v>
      </c>
      <c r="BM247" s="386">
        <f t="shared" si="165"/>
        <v>0</v>
      </c>
      <c r="BN247" s="386">
        <f t="shared" si="142"/>
        <v>11650</v>
      </c>
      <c r="BO247" s="386">
        <f t="shared" si="143"/>
        <v>0</v>
      </c>
      <c r="BP247" s="386">
        <f t="shared" si="144"/>
        <v>3623.7759999999998</v>
      </c>
      <c r="BQ247" s="386">
        <f t="shared" si="145"/>
        <v>847.49600000000009</v>
      </c>
      <c r="BR247" s="386">
        <f t="shared" si="146"/>
        <v>6978.6912000000002</v>
      </c>
      <c r="BS247" s="386">
        <f t="shared" si="147"/>
        <v>421.41007999999999</v>
      </c>
      <c r="BT247" s="386">
        <f t="shared" si="148"/>
        <v>0</v>
      </c>
      <c r="BU247" s="386">
        <f t="shared" si="149"/>
        <v>178.85087999999999</v>
      </c>
      <c r="BV247" s="386">
        <f t="shared" si="150"/>
        <v>146.12</v>
      </c>
      <c r="BW247" s="386">
        <f t="shared" si="151"/>
        <v>0</v>
      </c>
      <c r="BX247" s="386">
        <f t="shared" si="166"/>
        <v>12196.344160000001</v>
      </c>
      <c r="BY247" s="386">
        <f t="shared" si="167"/>
        <v>0</v>
      </c>
      <c r="BZ247" s="386">
        <f t="shared" si="168"/>
        <v>0</v>
      </c>
      <c r="CA247" s="386">
        <f t="shared" si="169"/>
        <v>0</v>
      </c>
      <c r="CB247" s="386">
        <f t="shared" si="170"/>
        <v>0</v>
      </c>
      <c r="CC247" s="386">
        <f t="shared" si="152"/>
        <v>0</v>
      </c>
      <c r="CD247" s="386">
        <f t="shared" si="153"/>
        <v>0</v>
      </c>
      <c r="CE247" s="386">
        <f t="shared" si="154"/>
        <v>0</v>
      </c>
      <c r="CF247" s="386">
        <f t="shared" si="155"/>
        <v>-286.39519999999999</v>
      </c>
      <c r="CG247" s="386">
        <f t="shared" si="156"/>
        <v>0</v>
      </c>
      <c r="CH247" s="386">
        <f t="shared" si="157"/>
        <v>5.8448000000000153</v>
      </c>
      <c r="CI247" s="386">
        <f t="shared" si="158"/>
        <v>0</v>
      </c>
      <c r="CJ247" s="386">
        <f t="shared" si="171"/>
        <v>-280.55039999999997</v>
      </c>
      <c r="CK247" s="386" t="str">
        <f t="shared" si="172"/>
        <v/>
      </c>
      <c r="CL247" s="386" t="str">
        <f t="shared" si="173"/>
        <v/>
      </c>
      <c r="CM247" s="386" t="str">
        <f t="shared" si="174"/>
        <v/>
      </c>
      <c r="CN247" s="386" t="str">
        <f t="shared" si="175"/>
        <v>0338-02</v>
      </c>
    </row>
    <row r="248" spans="1:92" ht="15.75" thickBot="1" x14ac:dyDescent="0.3">
      <c r="A248" s="375" t="s">
        <v>161</v>
      </c>
      <c r="B248" s="375" t="s">
        <v>162</v>
      </c>
      <c r="C248" s="375" t="s">
        <v>1068</v>
      </c>
      <c r="D248" s="375" t="s">
        <v>665</v>
      </c>
      <c r="E248" s="375" t="s">
        <v>165</v>
      </c>
      <c r="F248" s="376" t="s">
        <v>166</v>
      </c>
      <c r="G248" s="375" t="s">
        <v>1069</v>
      </c>
      <c r="H248" s="377"/>
      <c r="I248" s="377"/>
      <c r="J248" s="375" t="s">
        <v>168</v>
      </c>
      <c r="K248" s="375" t="s">
        <v>666</v>
      </c>
      <c r="L248" s="375" t="s">
        <v>183</v>
      </c>
      <c r="M248" s="375" t="s">
        <v>171</v>
      </c>
      <c r="N248" s="375" t="s">
        <v>262</v>
      </c>
      <c r="O248" s="378">
        <v>0</v>
      </c>
      <c r="P248" s="384">
        <v>1</v>
      </c>
      <c r="Q248" s="384">
        <v>0</v>
      </c>
      <c r="R248" s="379">
        <v>0</v>
      </c>
      <c r="S248" s="384">
        <v>0</v>
      </c>
      <c r="T248" s="379">
        <v>0</v>
      </c>
      <c r="U248" s="379">
        <v>0</v>
      </c>
      <c r="V248" s="379">
        <v>0</v>
      </c>
      <c r="W248" s="379">
        <v>0</v>
      </c>
      <c r="X248" s="379">
        <v>0</v>
      </c>
      <c r="Y248" s="379">
        <v>0</v>
      </c>
      <c r="Z248" s="379">
        <v>0</v>
      </c>
      <c r="AA248" s="377"/>
      <c r="AB248" s="375" t="s">
        <v>45</v>
      </c>
      <c r="AC248" s="375" t="s">
        <v>45</v>
      </c>
      <c r="AD248" s="377"/>
      <c r="AE248" s="377"/>
      <c r="AF248" s="377"/>
      <c r="AG248" s="377"/>
      <c r="AH248" s="378">
        <v>0</v>
      </c>
      <c r="AI248" s="378">
        <v>0</v>
      </c>
      <c r="AJ248" s="377"/>
      <c r="AK248" s="377"/>
      <c r="AL248" s="375" t="s">
        <v>173</v>
      </c>
      <c r="AM248" s="377"/>
      <c r="AN248" s="377"/>
      <c r="AO248" s="378">
        <v>0</v>
      </c>
      <c r="AP248" s="384">
        <v>0</v>
      </c>
      <c r="AQ248" s="384">
        <v>0</v>
      </c>
      <c r="AR248" s="382"/>
      <c r="AS248" s="386">
        <f t="shared" si="159"/>
        <v>0</v>
      </c>
      <c r="AT248">
        <f t="shared" si="160"/>
        <v>0</v>
      </c>
      <c r="AU248" s="386" t="str">
        <f>IF(AT248=0,"",IF(AND(AT248=1,M248="F",SUMIF(C2:C557,C248,AS2:AS557)&lt;=1),SUMIF(C2:C557,C248,AS2:AS557),IF(AND(AT248=1,M248="F",SUMIF(C2:C557,C248,AS2:AS557)&gt;1),1,"")))</f>
        <v/>
      </c>
      <c r="AV248" s="386" t="str">
        <f>IF(AT248=0,"",IF(AND(AT248=3,M248="F",SUMIF(C2:C557,C248,AS2:AS557)&lt;=1),SUMIF(C2:C557,C248,AS2:AS557),IF(AND(AT248=3,M248="F",SUMIF(C2:C557,C248,AS2:AS557)&gt;1),1,"")))</f>
        <v/>
      </c>
      <c r="AW248" s="386">
        <f>SUMIF(C2:C557,C248,O2:O557)</f>
        <v>0</v>
      </c>
      <c r="AX248" s="386">
        <f>IF(AND(M248="F",AS248&lt;&gt;0),SUMIF(C2:C557,C248,W2:W557),0)</f>
        <v>0</v>
      </c>
      <c r="AY248" s="386" t="str">
        <f t="shared" si="161"/>
        <v/>
      </c>
      <c r="AZ248" s="386" t="str">
        <f t="shared" si="162"/>
        <v/>
      </c>
      <c r="BA248" s="386">
        <f t="shared" si="163"/>
        <v>0</v>
      </c>
      <c r="BB248" s="386">
        <f t="shared" si="132"/>
        <v>0</v>
      </c>
      <c r="BC248" s="386">
        <f t="shared" si="133"/>
        <v>0</v>
      </c>
      <c r="BD248" s="386">
        <f t="shared" si="134"/>
        <v>0</v>
      </c>
      <c r="BE248" s="386">
        <f t="shared" si="135"/>
        <v>0</v>
      </c>
      <c r="BF248" s="386">
        <f t="shared" si="136"/>
        <v>0</v>
      </c>
      <c r="BG248" s="386">
        <f t="shared" si="137"/>
        <v>0</v>
      </c>
      <c r="BH248" s="386">
        <f t="shared" si="138"/>
        <v>0</v>
      </c>
      <c r="BI248" s="386">
        <f t="shared" si="139"/>
        <v>0</v>
      </c>
      <c r="BJ248" s="386">
        <f t="shared" si="140"/>
        <v>0</v>
      </c>
      <c r="BK248" s="386">
        <f t="shared" si="141"/>
        <v>0</v>
      </c>
      <c r="BL248" s="386">
        <f t="shared" si="164"/>
        <v>0</v>
      </c>
      <c r="BM248" s="386">
        <f t="shared" si="165"/>
        <v>0</v>
      </c>
      <c r="BN248" s="386">
        <f t="shared" si="142"/>
        <v>0</v>
      </c>
      <c r="BO248" s="386">
        <f t="shared" si="143"/>
        <v>0</v>
      </c>
      <c r="BP248" s="386">
        <f t="shared" si="144"/>
        <v>0</v>
      </c>
      <c r="BQ248" s="386">
        <f t="shared" si="145"/>
        <v>0</v>
      </c>
      <c r="BR248" s="386">
        <f t="shared" si="146"/>
        <v>0</v>
      </c>
      <c r="BS248" s="386">
        <f t="shared" si="147"/>
        <v>0</v>
      </c>
      <c r="BT248" s="386">
        <f t="shared" si="148"/>
        <v>0</v>
      </c>
      <c r="BU248" s="386">
        <f t="shared" si="149"/>
        <v>0</v>
      </c>
      <c r="BV248" s="386">
        <f t="shared" si="150"/>
        <v>0</v>
      </c>
      <c r="BW248" s="386">
        <f t="shared" si="151"/>
        <v>0</v>
      </c>
      <c r="BX248" s="386">
        <f t="shared" si="166"/>
        <v>0</v>
      </c>
      <c r="BY248" s="386">
        <f t="shared" si="167"/>
        <v>0</v>
      </c>
      <c r="BZ248" s="386">
        <f t="shared" si="168"/>
        <v>0</v>
      </c>
      <c r="CA248" s="386">
        <f t="shared" si="169"/>
        <v>0</v>
      </c>
      <c r="CB248" s="386">
        <f t="shared" si="170"/>
        <v>0</v>
      </c>
      <c r="CC248" s="386">
        <f t="shared" si="152"/>
        <v>0</v>
      </c>
      <c r="CD248" s="386">
        <f t="shared" si="153"/>
        <v>0</v>
      </c>
      <c r="CE248" s="386">
        <f t="shared" si="154"/>
        <v>0</v>
      </c>
      <c r="CF248" s="386">
        <f t="shared" si="155"/>
        <v>0</v>
      </c>
      <c r="CG248" s="386">
        <f t="shared" si="156"/>
        <v>0</v>
      </c>
      <c r="CH248" s="386">
        <f t="shared" si="157"/>
        <v>0</v>
      </c>
      <c r="CI248" s="386">
        <f t="shared" si="158"/>
        <v>0</v>
      </c>
      <c r="CJ248" s="386">
        <f t="shared" si="171"/>
        <v>0</v>
      </c>
      <c r="CK248" s="386" t="str">
        <f t="shared" si="172"/>
        <v/>
      </c>
      <c r="CL248" s="386">
        <f t="shared" si="173"/>
        <v>0</v>
      </c>
      <c r="CM248" s="386">
        <f t="shared" si="174"/>
        <v>0</v>
      </c>
      <c r="CN248" s="386" t="str">
        <f t="shared" si="175"/>
        <v>0001-00</v>
      </c>
    </row>
    <row r="249" spans="1:92" ht="15.75" thickBot="1" x14ac:dyDescent="0.3">
      <c r="A249" s="375" t="s">
        <v>161</v>
      </c>
      <c r="B249" s="375" t="s">
        <v>162</v>
      </c>
      <c r="C249" s="375" t="s">
        <v>1070</v>
      </c>
      <c r="D249" s="375" t="s">
        <v>665</v>
      </c>
      <c r="E249" s="375" t="s">
        <v>165</v>
      </c>
      <c r="F249" s="376" t="s">
        <v>166</v>
      </c>
      <c r="G249" s="375" t="s">
        <v>1069</v>
      </c>
      <c r="H249" s="377"/>
      <c r="I249" s="377"/>
      <c r="J249" s="375" t="s">
        <v>168</v>
      </c>
      <c r="K249" s="375" t="s">
        <v>666</v>
      </c>
      <c r="L249" s="375" t="s">
        <v>183</v>
      </c>
      <c r="M249" s="375" t="s">
        <v>177</v>
      </c>
      <c r="N249" s="375" t="s">
        <v>199</v>
      </c>
      <c r="O249" s="378">
        <v>1</v>
      </c>
      <c r="P249" s="384">
        <v>1</v>
      </c>
      <c r="Q249" s="384">
        <v>1</v>
      </c>
      <c r="R249" s="379">
        <v>80</v>
      </c>
      <c r="S249" s="384">
        <v>1</v>
      </c>
      <c r="T249" s="379">
        <v>21617.88</v>
      </c>
      <c r="U249" s="379">
        <v>0</v>
      </c>
      <c r="V249" s="379">
        <v>12163.26</v>
      </c>
      <c r="W249" s="379">
        <v>29140.799999999999</v>
      </c>
      <c r="X249" s="379">
        <v>17870.650000000001</v>
      </c>
      <c r="Y249" s="379">
        <v>29140.799999999999</v>
      </c>
      <c r="Z249" s="379">
        <v>17730.79</v>
      </c>
      <c r="AA249" s="375" t="s">
        <v>1071</v>
      </c>
      <c r="AB249" s="375" t="s">
        <v>1072</v>
      </c>
      <c r="AC249" s="375" t="s">
        <v>1073</v>
      </c>
      <c r="AD249" s="375" t="s">
        <v>198</v>
      </c>
      <c r="AE249" s="375" t="s">
        <v>666</v>
      </c>
      <c r="AF249" s="375" t="s">
        <v>206</v>
      </c>
      <c r="AG249" s="375" t="s">
        <v>183</v>
      </c>
      <c r="AH249" s="380">
        <v>14.01</v>
      </c>
      <c r="AI249" s="380">
        <v>21699.3</v>
      </c>
      <c r="AJ249" s="375" t="s">
        <v>184</v>
      </c>
      <c r="AK249" s="375" t="s">
        <v>185</v>
      </c>
      <c r="AL249" s="375" t="s">
        <v>173</v>
      </c>
      <c r="AM249" s="375" t="s">
        <v>186</v>
      </c>
      <c r="AN249" s="375" t="s">
        <v>68</v>
      </c>
      <c r="AO249" s="378">
        <v>80</v>
      </c>
      <c r="AP249" s="384">
        <v>1</v>
      </c>
      <c r="AQ249" s="384">
        <v>1</v>
      </c>
      <c r="AR249" s="383" t="s">
        <v>187</v>
      </c>
      <c r="AS249" s="386">
        <f t="shared" si="159"/>
        <v>1</v>
      </c>
      <c r="AT249">
        <f t="shared" si="160"/>
        <v>1</v>
      </c>
      <c r="AU249" s="386">
        <f>IF(AT249=0,"",IF(AND(AT249=1,M249="F",SUMIF(C2:C557,C249,AS2:AS557)&lt;=1),SUMIF(C2:C557,C249,AS2:AS557),IF(AND(AT249=1,M249="F",SUMIF(C2:C557,C249,AS2:AS557)&gt;1),1,"")))</f>
        <v>1</v>
      </c>
      <c r="AV249" s="386" t="str">
        <f>IF(AT249=0,"",IF(AND(AT249=3,M249="F",SUMIF(C2:C557,C249,AS2:AS557)&lt;=1),SUMIF(C2:C557,C249,AS2:AS557),IF(AND(AT249=3,M249="F",SUMIF(C2:C557,C249,AS2:AS557)&gt;1),1,"")))</f>
        <v/>
      </c>
      <c r="AW249" s="386">
        <f>SUMIF(C2:C557,C249,O2:O557)</f>
        <v>1</v>
      </c>
      <c r="AX249" s="386">
        <f>IF(AND(M249="F",AS249&lt;&gt;0),SUMIF(C2:C557,C249,W2:W557),0)</f>
        <v>29140.799999999999</v>
      </c>
      <c r="AY249" s="386">
        <f t="shared" si="161"/>
        <v>29140.799999999999</v>
      </c>
      <c r="AZ249" s="386" t="str">
        <f t="shared" si="162"/>
        <v/>
      </c>
      <c r="BA249" s="386">
        <f t="shared" si="163"/>
        <v>0</v>
      </c>
      <c r="BB249" s="386">
        <f t="shared" si="132"/>
        <v>11650</v>
      </c>
      <c r="BC249" s="386">
        <f t="shared" si="133"/>
        <v>0</v>
      </c>
      <c r="BD249" s="386">
        <f t="shared" si="134"/>
        <v>1806.7295999999999</v>
      </c>
      <c r="BE249" s="386">
        <f t="shared" si="135"/>
        <v>422.54160000000002</v>
      </c>
      <c r="BF249" s="386">
        <f t="shared" si="136"/>
        <v>3479.4115200000001</v>
      </c>
      <c r="BG249" s="386">
        <f t="shared" si="137"/>
        <v>210.10516799999999</v>
      </c>
      <c r="BH249" s="386">
        <f t="shared" si="138"/>
        <v>142.78992</v>
      </c>
      <c r="BI249" s="386">
        <f t="shared" si="139"/>
        <v>89.170847999999992</v>
      </c>
      <c r="BJ249" s="386">
        <f t="shared" si="140"/>
        <v>69.937919999999991</v>
      </c>
      <c r="BK249" s="386">
        <f t="shared" si="141"/>
        <v>0</v>
      </c>
      <c r="BL249" s="386">
        <f t="shared" si="164"/>
        <v>6220.686576000001</v>
      </c>
      <c r="BM249" s="386">
        <f t="shared" si="165"/>
        <v>0</v>
      </c>
      <c r="BN249" s="386">
        <f t="shared" si="142"/>
        <v>11650</v>
      </c>
      <c r="BO249" s="386">
        <f t="shared" si="143"/>
        <v>0</v>
      </c>
      <c r="BP249" s="386">
        <f t="shared" si="144"/>
        <v>1806.7295999999999</v>
      </c>
      <c r="BQ249" s="386">
        <f t="shared" si="145"/>
        <v>422.54160000000002</v>
      </c>
      <c r="BR249" s="386">
        <f t="shared" si="146"/>
        <v>3479.4115200000001</v>
      </c>
      <c r="BS249" s="386">
        <f t="shared" si="147"/>
        <v>210.10516799999999</v>
      </c>
      <c r="BT249" s="386">
        <f t="shared" si="148"/>
        <v>0</v>
      </c>
      <c r="BU249" s="386">
        <f t="shared" si="149"/>
        <v>89.170847999999992</v>
      </c>
      <c r="BV249" s="386">
        <f t="shared" si="150"/>
        <v>72.852000000000004</v>
      </c>
      <c r="BW249" s="386">
        <f t="shared" si="151"/>
        <v>0</v>
      </c>
      <c r="BX249" s="386">
        <f t="shared" si="166"/>
        <v>6080.8107360000004</v>
      </c>
      <c r="BY249" s="386">
        <f t="shared" si="167"/>
        <v>0</v>
      </c>
      <c r="BZ249" s="386">
        <f t="shared" si="168"/>
        <v>0</v>
      </c>
      <c r="CA249" s="386">
        <f t="shared" si="169"/>
        <v>0</v>
      </c>
      <c r="CB249" s="386">
        <f t="shared" si="170"/>
        <v>0</v>
      </c>
      <c r="CC249" s="386">
        <f t="shared" si="152"/>
        <v>0</v>
      </c>
      <c r="CD249" s="386">
        <f t="shared" si="153"/>
        <v>0</v>
      </c>
      <c r="CE249" s="386">
        <f t="shared" si="154"/>
        <v>0</v>
      </c>
      <c r="CF249" s="386">
        <f t="shared" si="155"/>
        <v>-142.78992</v>
      </c>
      <c r="CG249" s="386">
        <f t="shared" si="156"/>
        <v>0</v>
      </c>
      <c r="CH249" s="386">
        <f t="shared" si="157"/>
        <v>2.9140800000000078</v>
      </c>
      <c r="CI249" s="386">
        <f t="shared" si="158"/>
        <v>0</v>
      </c>
      <c r="CJ249" s="386">
        <f t="shared" si="171"/>
        <v>-139.87583999999998</v>
      </c>
      <c r="CK249" s="386" t="str">
        <f t="shared" si="172"/>
        <v/>
      </c>
      <c r="CL249" s="386" t="str">
        <f t="shared" si="173"/>
        <v/>
      </c>
      <c r="CM249" s="386" t="str">
        <f t="shared" si="174"/>
        <v/>
      </c>
      <c r="CN249" s="386" t="str">
        <f t="shared" si="175"/>
        <v>0001-00</v>
      </c>
    </row>
    <row r="250" spans="1:92" ht="15.75" thickBot="1" x14ac:dyDescent="0.3">
      <c r="A250" s="375" t="s">
        <v>161</v>
      </c>
      <c r="B250" s="375" t="s">
        <v>162</v>
      </c>
      <c r="C250" s="375" t="s">
        <v>1074</v>
      </c>
      <c r="D250" s="375" t="s">
        <v>665</v>
      </c>
      <c r="E250" s="375" t="s">
        <v>165</v>
      </c>
      <c r="F250" s="376" t="s">
        <v>166</v>
      </c>
      <c r="G250" s="375" t="s">
        <v>1069</v>
      </c>
      <c r="H250" s="377"/>
      <c r="I250" s="377"/>
      <c r="J250" s="375" t="s">
        <v>168</v>
      </c>
      <c r="K250" s="375" t="s">
        <v>666</v>
      </c>
      <c r="L250" s="375" t="s">
        <v>183</v>
      </c>
      <c r="M250" s="375" t="s">
        <v>177</v>
      </c>
      <c r="N250" s="375" t="s">
        <v>199</v>
      </c>
      <c r="O250" s="378">
        <v>1</v>
      </c>
      <c r="P250" s="384">
        <v>1</v>
      </c>
      <c r="Q250" s="384">
        <v>1</v>
      </c>
      <c r="R250" s="379">
        <v>80</v>
      </c>
      <c r="S250" s="384">
        <v>1</v>
      </c>
      <c r="T250" s="379">
        <v>24794.41</v>
      </c>
      <c r="U250" s="379">
        <v>0</v>
      </c>
      <c r="V250" s="379">
        <v>16834.59</v>
      </c>
      <c r="W250" s="379">
        <v>32926.400000000001</v>
      </c>
      <c r="X250" s="379">
        <v>18678.759999999998</v>
      </c>
      <c r="Y250" s="379">
        <v>32926.400000000001</v>
      </c>
      <c r="Z250" s="379">
        <v>18520.72</v>
      </c>
      <c r="AA250" s="375" t="s">
        <v>1075</v>
      </c>
      <c r="AB250" s="375" t="s">
        <v>1076</v>
      </c>
      <c r="AC250" s="375" t="s">
        <v>1077</v>
      </c>
      <c r="AD250" s="375" t="s">
        <v>352</v>
      </c>
      <c r="AE250" s="375" t="s">
        <v>666</v>
      </c>
      <c r="AF250" s="375" t="s">
        <v>206</v>
      </c>
      <c r="AG250" s="375" t="s">
        <v>183</v>
      </c>
      <c r="AH250" s="380">
        <v>15.83</v>
      </c>
      <c r="AI250" s="378">
        <v>15205</v>
      </c>
      <c r="AJ250" s="375" t="s">
        <v>184</v>
      </c>
      <c r="AK250" s="375" t="s">
        <v>185</v>
      </c>
      <c r="AL250" s="375" t="s">
        <v>173</v>
      </c>
      <c r="AM250" s="375" t="s">
        <v>186</v>
      </c>
      <c r="AN250" s="375" t="s">
        <v>68</v>
      </c>
      <c r="AO250" s="378">
        <v>80</v>
      </c>
      <c r="AP250" s="384">
        <v>1</v>
      </c>
      <c r="AQ250" s="384">
        <v>1</v>
      </c>
      <c r="AR250" s="383" t="s">
        <v>187</v>
      </c>
      <c r="AS250" s="386">
        <f t="shared" si="159"/>
        <v>1</v>
      </c>
      <c r="AT250">
        <f t="shared" si="160"/>
        <v>1</v>
      </c>
      <c r="AU250" s="386">
        <f>IF(AT250=0,"",IF(AND(AT250=1,M250="F",SUMIF(C2:C557,C250,AS2:AS557)&lt;=1),SUMIF(C2:C557,C250,AS2:AS557),IF(AND(AT250=1,M250="F",SUMIF(C2:C557,C250,AS2:AS557)&gt;1),1,"")))</f>
        <v>1</v>
      </c>
      <c r="AV250" s="386" t="str">
        <f>IF(AT250=0,"",IF(AND(AT250=3,M250="F",SUMIF(C2:C557,C250,AS2:AS557)&lt;=1),SUMIF(C2:C557,C250,AS2:AS557),IF(AND(AT250=3,M250="F",SUMIF(C2:C557,C250,AS2:AS557)&gt;1),1,"")))</f>
        <v/>
      </c>
      <c r="AW250" s="386">
        <f>SUMIF(C2:C557,C250,O2:O557)</f>
        <v>1</v>
      </c>
      <c r="AX250" s="386">
        <f>IF(AND(M250="F",AS250&lt;&gt;0),SUMIF(C2:C557,C250,W2:W557),0)</f>
        <v>32926.400000000001</v>
      </c>
      <c r="AY250" s="386">
        <f t="shared" si="161"/>
        <v>32926.400000000001</v>
      </c>
      <c r="AZ250" s="386" t="str">
        <f t="shared" si="162"/>
        <v/>
      </c>
      <c r="BA250" s="386">
        <f t="shared" si="163"/>
        <v>0</v>
      </c>
      <c r="BB250" s="386">
        <f t="shared" si="132"/>
        <v>11650</v>
      </c>
      <c r="BC250" s="386">
        <f t="shared" si="133"/>
        <v>0</v>
      </c>
      <c r="BD250" s="386">
        <f t="shared" si="134"/>
        <v>2041.4368000000002</v>
      </c>
      <c r="BE250" s="386">
        <f t="shared" si="135"/>
        <v>477.43280000000004</v>
      </c>
      <c r="BF250" s="386">
        <f t="shared" si="136"/>
        <v>3931.4121600000003</v>
      </c>
      <c r="BG250" s="386">
        <f t="shared" si="137"/>
        <v>237.39934400000001</v>
      </c>
      <c r="BH250" s="386">
        <f t="shared" si="138"/>
        <v>161.33936</v>
      </c>
      <c r="BI250" s="386">
        <f t="shared" si="139"/>
        <v>100.754784</v>
      </c>
      <c r="BJ250" s="386">
        <f t="shared" si="140"/>
        <v>79.023359999999997</v>
      </c>
      <c r="BK250" s="386">
        <f t="shared" si="141"/>
        <v>0</v>
      </c>
      <c r="BL250" s="386">
        <f t="shared" si="164"/>
        <v>7028.7986080000001</v>
      </c>
      <c r="BM250" s="386">
        <f t="shared" si="165"/>
        <v>0</v>
      </c>
      <c r="BN250" s="386">
        <f t="shared" si="142"/>
        <v>11650</v>
      </c>
      <c r="BO250" s="386">
        <f t="shared" si="143"/>
        <v>0</v>
      </c>
      <c r="BP250" s="386">
        <f t="shared" si="144"/>
        <v>2041.4368000000002</v>
      </c>
      <c r="BQ250" s="386">
        <f t="shared" si="145"/>
        <v>477.43280000000004</v>
      </c>
      <c r="BR250" s="386">
        <f t="shared" si="146"/>
        <v>3931.4121600000003</v>
      </c>
      <c r="BS250" s="386">
        <f t="shared" si="147"/>
        <v>237.39934400000001</v>
      </c>
      <c r="BT250" s="386">
        <f t="shared" si="148"/>
        <v>0</v>
      </c>
      <c r="BU250" s="386">
        <f t="shared" si="149"/>
        <v>100.754784</v>
      </c>
      <c r="BV250" s="386">
        <f t="shared" si="150"/>
        <v>82.316000000000003</v>
      </c>
      <c r="BW250" s="386">
        <f t="shared" si="151"/>
        <v>0</v>
      </c>
      <c r="BX250" s="386">
        <f t="shared" si="166"/>
        <v>6870.7518879999998</v>
      </c>
      <c r="BY250" s="386">
        <f t="shared" si="167"/>
        <v>0</v>
      </c>
      <c r="BZ250" s="386">
        <f t="shared" si="168"/>
        <v>0</v>
      </c>
      <c r="CA250" s="386">
        <f t="shared" si="169"/>
        <v>0</v>
      </c>
      <c r="CB250" s="386">
        <f t="shared" si="170"/>
        <v>0</v>
      </c>
      <c r="CC250" s="386">
        <f t="shared" si="152"/>
        <v>0</v>
      </c>
      <c r="CD250" s="386">
        <f t="shared" si="153"/>
        <v>0</v>
      </c>
      <c r="CE250" s="386">
        <f t="shared" si="154"/>
        <v>0</v>
      </c>
      <c r="CF250" s="386">
        <f t="shared" si="155"/>
        <v>-161.33936</v>
      </c>
      <c r="CG250" s="386">
        <f t="shared" si="156"/>
        <v>0</v>
      </c>
      <c r="CH250" s="386">
        <f t="shared" si="157"/>
        <v>3.2926400000000089</v>
      </c>
      <c r="CI250" s="386">
        <f t="shared" si="158"/>
        <v>0</v>
      </c>
      <c r="CJ250" s="386">
        <f t="shared" si="171"/>
        <v>-158.04671999999999</v>
      </c>
      <c r="CK250" s="386" t="str">
        <f t="shared" si="172"/>
        <v/>
      </c>
      <c r="CL250" s="386" t="str">
        <f t="shared" si="173"/>
        <v/>
      </c>
      <c r="CM250" s="386" t="str">
        <f t="shared" si="174"/>
        <v/>
      </c>
      <c r="CN250" s="386" t="str">
        <f t="shared" si="175"/>
        <v>0001-00</v>
      </c>
    </row>
    <row r="251" spans="1:92" ht="15.75" thickBot="1" x14ac:dyDescent="0.3">
      <c r="A251" s="375" t="s">
        <v>161</v>
      </c>
      <c r="B251" s="375" t="s">
        <v>162</v>
      </c>
      <c r="C251" s="375" t="s">
        <v>1078</v>
      </c>
      <c r="D251" s="375" t="s">
        <v>665</v>
      </c>
      <c r="E251" s="375" t="s">
        <v>165</v>
      </c>
      <c r="F251" s="376" t="s">
        <v>166</v>
      </c>
      <c r="G251" s="375" t="s">
        <v>1069</v>
      </c>
      <c r="H251" s="377"/>
      <c r="I251" s="377"/>
      <c r="J251" s="375" t="s">
        <v>168</v>
      </c>
      <c r="K251" s="375" t="s">
        <v>666</v>
      </c>
      <c r="L251" s="375" t="s">
        <v>183</v>
      </c>
      <c r="M251" s="375" t="s">
        <v>177</v>
      </c>
      <c r="N251" s="375" t="s">
        <v>199</v>
      </c>
      <c r="O251" s="378">
        <v>1</v>
      </c>
      <c r="P251" s="384">
        <v>1</v>
      </c>
      <c r="Q251" s="384">
        <v>1</v>
      </c>
      <c r="R251" s="379">
        <v>80</v>
      </c>
      <c r="S251" s="384">
        <v>1</v>
      </c>
      <c r="T251" s="379">
        <v>32110.44</v>
      </c>
      <c r="U251" s="379">
        <v>0</v>
      </c>
      <c r="V251" s="379">
        <v>18145.400000000001</v>
      </c>
      <c r="W251" s="379">
        <v>33342.400000000001</v>
      </c>
      <c r="X251" s="379">
        <v>18767.560000000001</v>
      </c>
      <c r="Y251" s="379">
        <v>33342.400000000001</v>
      </c>
      <c r="Z251" s="379">
        <v>18607.52</v>
      </c>
      <c r="AA251" s="375" t="s">
        <v>1079</v>
      </c>
      <c r="AB251" s="375" t="s">
        <v>1080</v>
      </c>
      <c r="AC251" s="375" t="s">
        <v>1081</v>
      </c>
      <c r="AD251" s="375" t="s">
        <v>195</v>
      </c>
      <c r="AE251" s="375" t="s">
        <v>666</v>
      </c>
      <c r="AF251" s="375" t="s">
        <v>206</v>
      </c>
      <c r="AG251" s="375" t="s">
        <v>183</v>
      </c>
      <c r="AH251" s="380">
        <v>16.03</v>
      </c>
      <c r="AI251" s="380">
        <v>15564.8</v>
      </c>
      <c r="AJ251" s="375" t="s">
        <v>184</v>
      </c>
      <c r="AK251" s="375" t="s">
        <v>185</v>
      </c>
      <c r="AL251" s="375" t="s">
        <v>173</v>
      </c>
      <c r="AM251" s="375" t="s">
        <v>186</v>
      </c>
      <c r="AN251" s="375" t="s">
        <v>68</v>
      </c>
      <c r="AO251" s="378">
        <v>80</v>
      </c>
      <c r="AP251" s="384">
        <v>1</v>
      </c>
      <c r="AQ251" s="384">
        <v>1</v>
      </c>
      <c r="AR251" s="383" t="s">
        <v>187</v>
      </c>
      <c r="AS251" s="386">
        <f t="shared" si="159"/>
        <v>1</v>
      </c>
      <c r="AT251">
        <f t="shared" si="160"/>
        <v>1</v>
      </c>
      <c r="AU251" s="386">
        <f>IF(AT251=0,"",IF(AND(AT251=1,M251="F",SUMIF(C2:C557,C251,AS2:AS557)&lt;=1),SUMIF(C2:C557,C251,AS2:AS557),IF(AND(AT251=1,M251="F",SUMIF(C2:C557,C251,AS2:AS557)&gt;1),1,"")))</f>
        <v>1</v>
      </c>
      <c r="AV251" s="386" t="str">
        <f>IF(AT251=0,"",IF(AND(AT251=3,M251="F",SUMIF(C2:C557,C251,AS2:AS557)&lt;=1),SUMIF(C2:C557,C251,AS2:AS557),IF(AND(AT251=3,M251="F",SUMIF(C2:C557,C251,AS2:AS557)&gt;1),1,"")))</f>
        <v/>
      </c>
      <c r="AW251" s="386">
        <f>SUMIF(C2:C557,C251,O2:O557)</f>
        <v>1</v>
      </c>
      <c r="AX251" s="386">
        <f>IF(AND(M251="F",AS251&lt;&gt;0),SUMIF(C2:C557,C251,W2:W557),0)</f>
        <v>33342.400000000001</v>
      </c>
      <c r="AY251" s="386">
        <f t="shared" si="161"/>
        <v>33342.400000000001</v>
      </c>
      <c r="AZ251" s="386" t="str">
        <f t="shared" si="162"/>
        <v/>
      </c>
      <c r="BA251" s="386">
        <f t="shared" si="163"/>
        <v>0</v>
      </c>
      <c r="BB251" s="386">
        <f t="shared" si="132"/>
        <v>11650</v>
      </c>
      <c r="BC251" s="386">
        <f t="shared" si="133"/>
        <v>0</v>
      </c>
      <c r="BD251" s="386">
        <f t="shared" si="134"/>
        <v>2067.2287999999999</v>
      </c>
      <c r="BE251" s="386">
        <f t="shared" si="135"/>
        <v>483.46480000000003</v>
      </c>
      <c r="BF251" s="386">
        <f t="shared" si="136"/>
        <v>3981.0825600000003</v>
      </c>
      <c r="BG251" s="386">
        <f t="shared" si="137"/>
        <v>240.39870400000001</v>
      </c>
      <c r="BH251" s="386">
        <f t="shared" si="138"/>
        <v>163.37775999999999</v>
      </c>
      <c r="BI251" s="386">
        <f t="shared" si="139"/>
        <v>102.027744</v>
      </c>
      <c r="BJ251" s="386">
        <f t="shared" si="140"/>
        <v>80.02176</v>
      </c>
      <c r="BK251" s="386">
        <f t="shared" si="141"/>
        <v>0</v>
      </c>
      <c r="BL251" s="386">
        <f t="shared" si="164"/>
        <v>7117.6021280000004</v>
      </c>
      <c r="BM251" s="386">
        <f t="shared" si="165"/>
        <v>0</v>
      </c>
      <c r="BN251" s="386">
        <f t="shared" si="142"/>
        <v>11650</v>
      </c>
      <c r="BO251" s="386">
        <f t="shared" si="143"/>
        <v>0</v>
      </c>
      <c r="BP251" s="386">
        <f t="shared" si="144"/>
        <v>2067.2287999999999</v>
      </c>
      <c r="BQ251" s="386">
        <f t="shared" si="145"/>
        <v>483.46480000000003</v>
      </c>
      <c r="BR251" s="386">
        <f t="shared" si="146"/>
        <v>3981.0825600000003</v>
      </c>
      <c r="BS251" s="386">
        <f t="shared" si="147"/>
        <v>240.39870400000001</v>
      </c>
      <c r="BT251" s="386">
        <f t="shared" si="148"/>
        <v>0</v>
      </c>
      <c r="BU251" s="386">
        <f t="shared" si="149"/>
        <v>102.027744</v>
      </c>
      <c r="BV251" s="386">
        <f t="shared" si="150"/>
        <v>83.356000000000009</v>
      </c>
      <c r="BW251" s="386">
        <f t="shared" si="151"/>
        <v>0</v>
      </c>
      <c r="BX251" s="386">
        <f t="shared" si="166"/>
        <v>6957.5586080000003</v>
      </c>
      <c r="BY251" s="386">
        <f t="shared" si="167"/>
        <v>0</v>
      </c>
      <c r="BZ251" s="386">
        <f t="shared" si="168"/>
        <v>0</v>
      </c>
      <c r="CA251" s="386">
        <f t="shared" si="169"/>
        <v>0</v>
      </c>
      <c r="CB251" s="386">
        <f t="shared" si="170"/>
        <v>0</v>
      </c>
      <c r="CC251" s="386">
        <f t="shared" si="152"/>
        <v>0</v>
      </c>
      <c r="CD251" s="386">
        <f t="shared" si="153"/>
        <v>0</v>
      </c>
      <c r="CE251" s="386">
        <f t="shared" si="154"/>
        <v>0</v>
      </c>
      <c r="CF251" s="386">
        <f t="shared" si="155"/>
        <v>-163.37775999999999</v>
      </c>
      <c r="CG251" s="386">
        <f t="shared" si="156"/>
        <v>0</v>
      </c>
      <c r="CH251" s="386">
        <f t="shared" si="157"/>
        <v>3.3342400000000088</v>
      </c>
      <c r="CI251" s="386">
        <f t="shared" si="158"/>
        <v>0</v>
      </c>
      <c r="CJ251" s="386">
        <f t="shared" si="171"/>
        <v>-160.04351999999997</v>
      </c>
      <c r="CK251" s="386" t="str">
        <f t="shared" si="172"/>
        <v/>
      </c>
      <c r="CL251" s="386" t="str">
        <f t="shared" si="173"/>
        <v/>
      </c>
      <c r="CM251" s="386" t="str">
        <f t="shared" si="174"/>
        <v/>
      </c>
      <c r="CN251" s="386" t="str">
        <f t="shared" si="175"/>
        <v>0001-00</v>
      </c>
    </row>
    <row r="252" spans="1:92" ht="15.75" thickBot="1" x14ac:dyDescent="0.3">
      <c r="A252" s="375" t="s">
        <v>161</v>
      </c>
      <c r="B252" s="375" t="s">
        <v>162</v>
      </c>
      <c r="C252" s="375" t="s">
        <v>1082</v>
      </c>
      <c r="D252" s="375" t="s">
        <v>665</v>
      </c>
      <c r="E252" s="375" t="s">
        <v>165</v>
      </c>
      <c r="F252" s="376" t="s">
        <v>166</v>
      </c>
      <c r="G252" s="375" t="s">
        <v>1069</v>
      </c>
      <c r="H252" s="377"/>
      <c r="I252" s="377"/>
      <c r="J252" s="375" t="s">
        <v>168</v>
      </c>
      <c r="K252" s="375" t="s">
        <v>666</v>
      </c>
      <c r="L252" s="375" t="s">
        <v>183</v>
      </c>
      <c r="M252" s="375" t="s">
        <v>177</v>
      </c>
      <c r="N252" s="375" t="s">
        <v>199</v>
      </c>
      <c r="O252" s="378">
        <v>1</v>
      </c>
      <c r="P252" s="384">
        <v>1</v>
      </c>
      <c r="Q252" s="384">
        <v>1</v>
      </c>
      <c r="R252" s="379">
        <v>80</v>
      </c>
      <c r="S252" s="384">
        <v>1</v>
      </c>
      <c r="T252" s="379">
        <v>28288.01</v>
      </c>
      <c r="U252" s="379">
        <v>327.66000000000003</v>
      </c>
      <c r="V252" s="379">
        <v>17566.36</v>
      </c>
      <c r="W252" s="379">
        <v>31262.400000000001</v>
      </c>
      <c r="X252" s="379">
        <v>18323.55</v>
      </c>
      <c r="Y252" s="379">
        <v>31262.400000000001</v>
      </c>
      <c r="Z252" s="379">
        <v>18173.5</v>
      </c>
      <c r="AA252" s="375" t="s">
        <v>1083</v>
      </c>
      <c r="AB252" s="375" t="s">
        <v>1084</v>
      </c>
      <c r="AC252" s="375" t="s">
        <v>1085</v>
      </c>
      <c r="AD252" s="375" t="s">
        <v>195</v>
      </c>
      <c r="AE252" s="375" t="s">
        <v>666</v>
      </c>
      <c r="AF252" s="375" t="s">
        <v>206</v>
      </c>
      <c r="AG252" s="375" t="s">
        <v>183</v>
      </c>
      <c r="AH252" s="380">
        <v>15.03</v>
      </c>
      <c r="AI252" s="378">
        <v>6939</v>
      </c>
      <c r="AJ252" s="375" t="s">
        <v>184</v>
      </c>
      <c r="AK252" s="375" t="s">
        <v>185</v>
      </c>
      <c r="AL252" s="375" t="s">
        <v>173</v>
      </c>
      <c r="AM252" s="375" t="s">
        <v>186</v>
      </c>
      <c r="AN252" s="375" t="s">
        <v>68</v>
      </c>
      <c r="AO252" s="378">
        <v>80</v>
      </c>
      <c r="AP252" s="384">
        <v>1</v>
      </c>
      <c r="AQ252" s="384">
        <v>1</v>
      </c>
      <c r="AR252" s="383" t="s">
        <v>187</v>
      </c>
      <c r="AS252" s="386">
        <f t="shared" si="159"/>
        <v>1</v>
      </c>
      <c r="AT252">
        <f t="shared" si="160"/>
        <v>1</v>
      </c>
      <c r="AU252" s="386">
        <f>IF(AT252=0,"",IF(AND(AT252=1,M252="F",SUMIF(C2:C557,C252,AS2:AS557)&lt;=1),SUMIF(C2:C557,C252,AS2:AS557),IF(AND(AT252=1,M252="F",SUMIF(C2:C557,C252,AS2:AS557)&gt;1),1,"")))</f>
        <v>1</v>
      </c>
      <c r="AV252" s="386" t="str">
        <f>IF(AT252=0,"",IF(AND(AT252=3,M252="F",SUMIF(C2:C557,C252,AS2:AS557)&lt;=1),SUMIF(C2:C557,C252,AS2:AS557),IF(AND(AT252=3,M252="F",SUMIF(C2:C557,C252,AS2:AS557)&gt;1),1,"")))</f>
        <v/>
      </c>
      <c r="AW252" s="386">
        <f>SUMIF(C2:C557,C252,O2:O557)</f>
        <v>1</v>
      </c>
      <c r="AX252" s="386">
        <f>IF(AND(M252="F",AS252&lt;&gt;0),SUMIF(C2:C557,C252,W2:W557),0)</f>
        <v>31262.400000000001</v>
      </c>
      <c r="AY252" s="386">
        <f t="shared" si="161"/>
        <v>31262.400000000001</v>
      </c>
      <c r="AZ252" s="386" t="str">
        <f t="shared" si="162"/>
        <v/>
      </c>
      <c r="BA252" s="386">
        <f t="shared" si="163"/>
        <v>0</v>
      </c>
      <c r="BB252" s="386">
        <f t="shared" si="132"/>
        <v>11650</v>
      </c>
      <c r="BC252" s="386">
        <f t="shared" si="133"/>
        <v>0</v>
      </c>
      <c r="BD252" s="386">
        <f t="shared" si="134"/>
        <v>1938.2688000000001</v>
      </c>
      <c r="BE252" s="386">
        <f t="shared" si="135"/>
        <v>453.30480000000006</v>
      </c>
      <c r="BF252" s="386">
        <f t="shared" si="136"/>
        <v>3732.7305600000004</v>
      </c>
      <c r="BG252" s="386">
        <f t="shared" si="137"/>
        <v>225.40190400000003</v>
      </c>
      <c r="BH252" s="386">
        <f t="shared" si="138"/>
        <v>153.18576000000002</v>
      </c>
      <c r="BI252" s="386">
        <f t="shared" si="139"/>
        <v>95.662943999999996</v>
      </c>
      <c r="BJ252" s="386">
        <f t="shared" si="140"/>
        <v>75.029759999999996</v>
      </c>
      <c r="BK252" s="386">
        <f t="shared" si="141"/>
        <v>0</v>
      </c>
      <c r="BL252" s="386">
        <f t="shared" si="164"/>
        <v>6673.5845280000012</v>
      </c>
      <c r="BM252" s="386">
        <f t="shared" si="165"/>
        <v>0</v>
      </c>
      <c r="BN252" s="386">
        <f t="shared" si="142"/>
        <v>11650</v>
      </c>
      <c r="BO252" s="386">
        <f t="shared" si="143"/>
        <v>0</v>
      </c>
      <c r="BP252" s="386">
        <f t="shared" si="144"/>
        <v>1938.2688000000001</v>
      </c>
      <c r="BQ252" s="386">
        <f t="shared" si="145"/>
        <v>453.30480000000006</v>
      </c>
      <c r="BR252" s="386">
        <f t="shared" si="146"/>
        <v>3732.7305600000004</v>
      </c>
      <c r="BS252" s="386">
        <f t="shared" si="147"/>
        <v>225.40190400000003</v>
      </c>
      <c r="BT252" s="386">
        <f t="shared" si="148"/>
        <v>0</v>
      </c>
      <c r="BU252" s="386">
        <f t="shared" si="149"/>
        <v>95.662943999999996</v>
      </c>
      <c r="BV252" s="386">
        <f t="shared" si="150"/>
        <v>78.156000000000006</v>
      </c>
      <c r="BW252" s="386">
        <f t="shared" si="151"/>
        <v>0</v>
      </c>
      <c r="BX252" s="386">
        <f t="shared" si="166"/>
        <v>6523.5250080000005</v>
      </c>
      <c r="BY252" s="386">
        <f t="shared" si="167"/>
        <v>0</v>
      </c>
      <c r="BZ252" s="386">
        <f t="shared" si="168"/>
        <v>0</v>
      </c>
      <c r="CA252" s="386">
        <f t="shared" si="169"/>
        <v>0</v>
      </c>
      <c r="CB252" s="386">
        <f t="shared" si="170"/>
        <v>0</v>
      </c>
      <c r="CC252" s="386">
        <f t="shared" si="152"/>
        <v>0</v>
      </c>
      <c r="CD252" s="386">
        <f t="shared" si="153"/>
        <v>0</v>
      </c>
      <c r="CE252" s="386">
        <f t="shared" si="154"/>
        <v>0</v>
      </c>
      <c r="CF252" s="386">
        <f t="shared" si="155"/>
        <v>-153.18576000000002</v>
      </c>
      <c r="CG252" s="386">
        <f t="shared" si="156"/>
        <v>0</v>
      </c>
      <c r="CH252" s="386">
        <f t="shared" si="157"/>
        <v>3.1262400000000081</v>
      </c>
      <c r="CI252" s="386">
        <f t="shared" si="158"/>
        <v>0</v>
      </c>
      <c r="CJ252" s="386">
        <f t="shared" si="171"/>
        <v>-150.05952000000002</v>
      </c>
      <c r="CK252" s="386" t="str">
        <f t="shared" si="172"/>
        <v/>
      </c>
      <c r="CL252" s="386" t="str">
        <f t="shared" si="173"/>
        <v/>
      </c>
      <c r="CM252" s="386" t="str">
        <f t="shared" si="174"/>
        <v/>
      </c>
      <c r="CN252" s="386" t="str">
        <f t="shared" si="175"/>
        <v>0001-00</v>
      </c>
    </row>
    <row r="253" spans="1:92" ht="15.75" thickBot="1" x14ac:dyDescent="0.3">
      <c r="A253" s="375" t="s">
        <v>161</v>
      </c>
      <c r="B253" s="375" t="s">
        <v>162</v>
      </c>
      <c r="C253" s="375" t="s">
        <v>1086</v>
      </c>
      <c r="D253" s="375" t="s">
        <v>665</v>
      </c>
      <c r="E253" s="375" t="s">
        <v>165</v>
      </c>
      <c r="F253" s="376" t="s">
        <v>166</v>
      </c>
      <c r="G253" s="375" t="s">
        <v>1069</v>
      </c>
      <c r="H253" s="377"/>
      <c r="I253" s="377"/>
      <c r="J253" s="375" t="s">
        <v>168</v>
      </c>
      <c r="K253" s="375" t="s">
        <v>666</v>
      </c>
      <c r="L253" s="375" t="s">
        <v>183</v>
      </c>
      <c r="M253" s="375" t="s">
        <v>177</v>
      </c>
      <c r="N253" s="375" t="s">
        <v>199</v>
      </c>
      <c r="O253" s="378">
        <v>1</v>
      </c>
      <c r="P253" s="384">
        <v>1</v>
      </c>
      <c r="Q253" s="384">
        <v>1</v>
      </c>
      <c r="R253" s="379">
        <v>80</v>
      </c>
      <c r="S253" s="384">
        <v>1</v>
      </c>
      <c r="T253" s="379">
        <v>37070.49</v>
      </c>
      <c r="U253" s="379">
        <v>0</v>
      </c>
      <c r="V253" s="379">
        <v>19152.310000000001</v>
      </c>
      <c r="W253" s="379">
        <v>38355.199999999997</v>
      </c>
      <c r="X253" s="379">
        <v>19837.669999999998</v>
      </c>
      <c r="Y253" s="379">
        <v>38355.199999999997</v>
      </c>
      <c r="Z253" s="379">
        <v>19653.560000000001</v>
      </c>
      <c r="AA253" s="375" t="s">
        <v>1087</v>
      </c>
      <c r="AB253" s="375" t="s">
        <v>1088</v>
      </c>
      <c r="AC253" s="375" t="s">
        <v>1089</v>
      </c>
      <c r="AD253" s="375" t="s">
        <v>170</v>
      </c>
      <c r="AE253" s="375" t="s">
        <v>666</v>
      </c>
      <c r="AF253" s="375" t="s">
        <v>206</v>
      </c>
      <c r="AG253" s="375" t="s">
        <v>183</v>
      </c>
      <c r="AH253" s="380">
        <v>18.440000000000001</v>
      </c>
      <c r="AI253" s="380">
        <v>32178.2</v>
      </c>
      <c r="AJ253" s="375" t="s">
        <v>184</v>
      </c>
      <c r="AK253" s="375" t="s">
        <v>185</v>
      </c>
      <c r="AL253" s="375" t="s">
        <v>173</v>
      </c>
      <c r="AM253" s="375" t="s">
        <v>186</v>
      </c>
      <c r="AN253" s="375" t="s">
        <v>68</v>
      </c>
      <c r="AO253" s="378">
        <v>80</v>
      </c>
      <c r="AP253" s="384">
        <v>1</v>
      </c>
      <c r="AQ253" s="384">
        <v>1</v>
      </c>
      <c r="AR253" s="383" t="s">
        <v>187</v>
      </c>
      <c r="AS253" s="386">
        <f t="shared" si="159"/>
        <v>1</v>
      </c>
      <c r="AT253">
        <f t="shared" si="160"/>
        <v>1</v>
      </c>
      <c r="AU253" s="386">
        <f>IF(AT253=0,"",IF(AND(AT253=1,M253="F",SUMIF(C2:C557,C253,AS2:AS557)&lt;=1),SUMIF(C2:C557,C253,AS2:AS557),IF(AND(AT253=1,M253="F",SUMIF(C2:C557,C253,AS2:AS557)&gt;1),1,"")))</f>
        <v>1</v>
      </c>
      <c r="AV253" s="386" t="str">
        <f>IF(AT253=0,"",IF(AND(AT253=3,M253="F",SUMIF(C2:C557,C253,AS2:AS557)&lt;=1),SUMIF(C2:C557,C253,AS2:AS557),IF(AND(AT253=3,M253="F",SUMIF(C2:C557,C253,AS2:AS557)&gt;1),1,"")))</f>
        <v/>
      </c>
      <c r="AW253" s="386">
        <f>SUMIF(C2:C557,C253,O2:O557)</f>
        <v>1</v>
      </c>
      <c r="AX253" s="386">
        <f>IF(AND(M253="F",AS253&lt;&gt;0),SUMIF(C2:C557,C253,W2:W557),0)</f>
        <v>38355.199999999997</v>
      </c>
      <c r="AY253" s="386">
        <f t="shared" si="161"/>
        <v>38355.199999999997</v>
      </c>
      <c r="AZ253" s="386" t="str">
        <f t="shared" si="162"/>
        <v/>
      </c>
      <c r="BA253" s="386">
        <f t="shared" si="163"/>
        <v>0</v>
      </c>
      <c r="BB253" s="386">
        <f t="shared" si="132"/>
        <v>11650</v>
      </c>
      <c r="BC253" s="386">
        <f t="shared" si="133"/>
        <v>0</v>
      </c>
      <c r="BD253" s="386">
        <f t="shared" si="134"/>
        <v>2378.0223999999998</v>
      </c>
      <c r="BE253" s="386">
        <f t="shared" si="135"/>
        <v>556.15039999999999</v>
      </c>
      <c r="BF253" s="386">
        <f t="shared" si="136"/>
        <v>4579.6108800000002</v>
      </c>
      <c r="BG253" s="386">
        <f t="shared" si="137"/>
        <v>276.54099200000002</v>
      </c>
      <c r="BH253" s="386">
        <f t="shared" si="138"/>
        <v>187.94047999999998</v>
      </c>
      <c r="BI253" s="386">
        <f t="shared" si="139"/>
        <v>117.36691199999999</v>
      </c>
      <c r="BJ253" s="386">
        <f t="shared" si="140"/>
        <v>92.052479999999989</v>
      </c>
      <c r="BK253" s="386">
        <f t="shared" si="141"/>
        <v>0</v>
      </c>
      <c r="BL253" s="386">
        <f t="shared" si="164"/>
        <v>8187.6845440000016</v>
      </c>
      <c r="BM253" s="386">
        <f t="shared" si="165"/>
        <v>0</v>
      </c>
      <c r="BN253" s="386">
        <f t="shared" si="142"/>
        <v>11650</v>
      </c>
      <c r="BO253" s="386">
        <f t="shared" si="143"/>
        <v>0</v>
      </c>
      <c r="BP253" s="386">
        <f t="shared" si="144"/>
        <v>2378.0223999999998</v>
      </c>
      <c r="BQ253" s="386">
        <f t="shared" si="145"/>
        <v>556.15039999999999</v>
      </c>
      <c r="BR253" s="386">
        <f t="shared" si="146"/>
        <v>4579.6108800000002</v>
      </c>
      <c r="BS253" s="386">
        <f t="shared" si="147"/>
        <v>276.54099200000002</v>
      </c>
      <c r="BT253" s="386">
        <f t="shared" si="148"/>
        <v>0</v>
      </c>
      <c r="BU253" s="386">
        <f t="shared" si="149"/>
        <v>117.36691199999999</v>
      </c>
      <c r="BV253" s="386">
        <f t="shared" si="150"/>
        <v>95.887999999999991</v>
      </c>
      <c r="BW253" s="386">
        <f t="shared" si="151"/>
        <v>0</v>
      </c>
      <c r="BX253" s="386">
        <f t="shared" si="166"/>
        <v>8003.579584000001</v>
      </c>
      <c r="BY253" s="386">
        <f t="shared" si="167"/>
        <v>0</v>
      </c>
      <c r="BZ253" s="386">
        <f t="shared" si="168"/>
        <v>0</v>
      </c>
      <c r="CA253" s="386">
        <f t="shared" si="169"/>
        <v>0</v>
      </c>
      <c r="CB253" s="386">
        <f t="shared" si="170"/>
        <v>0</v>
      </c>
      <c r="CC253" s="386">
        <f t="shared" si="152"/>
        <v>0</v>
      </c>
      <c r="CD253" s="386">
        <f t="shared" si="153"/>
        <v>0</v>
      </c>
      <c r="CE253" s="386">
        <f t="shared" si="154"/>
        <v>0</v>
      </c>
      <c r="CF253" s="386">
        <f t="shared" si="155"/>
        <v>-187.94047999999998</v>
      </c>
      <c r="CG253" s="386">
        <f t="shared" si="156"/>
        <v>0</v>
      </c>
      <c r="CH253" s="386">
        <f t="shared" si="157"/>
        <v>3.8355200000000096</v>
      </c>
      <c r="CI253" s="386">
        <f t="shared" si="158"/>
        <v>0</v>
      </c>
      <c r="CJ253" s="386">
        <f t="shared" si="171"/>
        <v>-184.10495999999998</v>
      </c>
      <c r="CK253" s="386" t="str">
        <f t="shared" si="172"/>
        <v/>
      </c>
      <c r="CL253" s="386" t="str">
        <f t="shared" si="173"/>
        <v/>
      </c>
      <c r="CM253" s="386" t="str">
        <f t="shared" si="174"/>
        <v/>
      </c>
      <c r="CN253" s="386" t="str">
        <f t="shared" si="175"/>
        <v>0001-00</v>
      </c>
    </row>
    <row r="254" spans="1:92" ht="15.75" thickBot="1" x14ac:dyDescent="0.3">
      <c r="A254" s="375" t="s">
        <v>161</v>
      </c>
      <c r="B254" s="375" t="s">
        <v>162</v>
      </c>
      <c r="C254" s="375" t="s">
        <v>1090</v>
      </c>
      <c r="D254" s="375" t="s">
        <v>1091</v>
      </c>
      <c r="E254" s="375" t="s">
        <v>165</v>
      </c>
      <c r="F254" s="376" t="s">
        <v>166</v>
      </c>
      <c r="G254" s="375" t="s">
        <v>1069</v>
      </c>
      <c r="H254" s="377"/>
      <c r="I254" s="377"/>
      <c r="J254" s="375" t="s">
        <v>218</v>
      </c>
      <c r="K254" s="375" t="s">
        <v>1092</v>
      </c>
      <c r="L254" s="375" t="s">
        <v>233</v>
      </c>
      <c r="M254" s="375" t="s">
        <v>214</v>
      </c>
      <c r="N254" s="375" t="s">
        <v>199</v>
      </c>
      <c r="O254" s="378">
        <v>0</v>
      </c>
      <c r="P254" s="384">
        <v>0</v>
      </c>
      <c r="Q254" s="384">
        <v>0</v>
      </c>
      <c r="R254" s="379">
        <v>80</v>
      </c>
      <c r="S254" s="384">
        <v>0</v>
      </c>
      <c r="T254" s="379">
        <v>10064.9</v>
      </c>
      <c r="U254" s="379">
        <v>0</v>
      </c>
      <c r="V254" s="379">
        <v>4783.49</v>
      </c>
      <c r="W254" s="379">
        <v>0</v>
      </c>
      <c r="X254" s="379">
        <v>0</v>
      </c>
      <c r="Y254" s="379">
        <v>0</v>
      </c>
      <c r="Z254" s="379">
        <v>0</v>
      </c>
      <c r="AA254" s="377"/>
      <c r="AB254" s="375" t="s">
        <v>45</v>
      </c>
      <c r="AC254" s="375" t="s">
        <v>45</v>
      </c>
      <c r="AD254" s="377"/>
      <c r="AE254" s="377"/>
      <c r="AF254" s="377"/>
      <c r="AG254" s="377"/>
      <c r="AH254" s="378">
        <v>0</v>
      </c>
      <c r="AI254" s="378">
        <v>0</v>
      </c>
      <c r="AJ254" s="377"/>
      <c r="AK254" s="377"/>
      <c r="AL254" s="375" t="s">
        <v>173</v>
      </c>
      <c r="AM254" s="377"/>
      <c r="AN254" s="377"/>
      <c r="AO254" s="378">
        <v>0</v>
      </c>
      <c r="AP254" s="384">
        <v>0</v>
      </c>
      <c r="AQ254" s="384">
        <v>0</v>
      </c>
      <c r="AR254" s="382"/>
      <c r="AS254" s="386">
        <f t="shared" si="159"/>
        <v>0</v>
      </c>
      <c r="AT254">
        <f t="shared" si="160"/>
        <v>0</v>
      </c>
      <c r="AU254" s="386" t="str">
        <f>IF(AT254=0,"",IF(AND(AT254=1,M254="F",SUMIF(C2:C557,C254,AS2:AS557)&lt;=1),SUMIF(C2:C557,C254,AS2:AS557),IF(AND(AT254=1,M254="F",SUMIF(C2:C557,C254,AS2:AS557)&gt;1),1,"")))</f>
        <v/>
      </c>
      <c r="AV254" s="386" t="str">
        <f>IF(AT254=0,"",IF(AND(AT254=3,M254="F",SUMIF(C2:C557,C254,AS2:AS557)&lt;=1),SUMIF(C2:C557,C254,AS2:AS557),IF(AND(AT254=3,M254="F",SUMIF(C2:C557,C254,AS2:AS557)&gt;1),1,"")))</f>
        <v/>
      </c>
      <c r="AW254" s="386">
        <f>SUMIF(C2:C557,C254,O2:O557)</f>
        <v>0</v>
      </c>
      <c r="AX254" s="386">
        <f>IF(AND(M254="F",AS254&lt;&gt;0),SUMIF(C2:C557,C254,W2:W557),0)</f>
        <v>0</v>
      </c>
      <c r="AY254" s="386" t="str">
        <f t="shared" si="161"/>
        <v/>
      </c>
      <c r="AZ254" s="386" t="str">
        <f t="shared" si="162"/>
        <v/>
      </c>
      <c r="BA254" s="386">
        <f t="shared" si="163"/>
        <v>0</v>
      </c>
      <c r="BB254" s="386">
        <f t="shared" si="132"/>
        <v>0</v>
      </c>
      <c r="BC254" s="386">
        <f t="shared" si="133"/>
        <v>0</v>
      </c>
      <c r="BD254" s="386">
        <f t="shared" si="134"/>
        <v>0</v>
      </c>
      <c r="BE254" s="386">
        <f t="shared" si="135"/>
        <v>0</v>
      </c>
      <c r="BF254" s="386">
        <f t="shared" si="136"/>
        <v>0</v>
      </c>
      <c r="BG254" s="386">
        <f t="shared" si="137"/>
        <v>0</v>
      </c>
      <c r="BH254" s="386">
        <f t="shared" si="138"/>
        <v>0</v>
      </c>
      <c r="BI254" s="386">
        <f t="shared" si="139"/>
        <v>0</v>
      </c>
      <c r="BJ254" s="386">
        <f t="shared" si="140"/>
        <v>0</v>
      </c>
      <c r="BK254" s="386">
        <f t="shared" si="141"/>
        <v>0</v>
      </c>
      <c r="BL254" s="386">
        <f t="shared" si="164"/>
        <v>0</v>
      </c>
      <c r="BM254" s="386">
        <f t="shared" si="165"/>
        <v>0</v>
      </c>
      <c r="BN254" s="386">
        <f t="shared" si="142"/>
        <v>0</v>
      </c>
      <c r="BO254" s="386">
        <f t="shared" si="143"/>
        <v>0</v>
      </c>
      <c r="BP254" s="386">
        <f t="shared" si="144"/>
        <v>0</v>
      </c>
      <c r="BQ254" s="386">
        <f t="shared" si="145"/>
        <v>0</v>
      </c>
      <c r="BR254" s="386">
        <f t="shared" si="146"/>
        <v>0</v>
      </c>
      <c r="BS254" s="386">
        <f t="shared" si="147"/>
        <v>0</v>
      </c>
      <c r="BT254" s="386">
        <f t="shared" si="148"/>
        <v>0</v>
      </c>
      <c r="BU254" s="386">
        <f t="shared" si="149"/>
        <v>0</v>
      </c>
      <c r="BV254" s="386">
        <f t="shared" si="150"/>
        <v>0</v>
      </c>
      <c r="BW254" s="386">
        <f t="shared" si="151"/>
        <v>0</v>
      </c>
      <c r="BX254" s="386">
        <f t="shared" si="166"/>
        <v>0</v>
      </c>
      <c r="BY254" s="386">
        <f t="shared" si="167"/>
        <v>0</v>
      </c>
      <c r="BZ254" s="386">
        <f t="shared" si="168"/>
        <v>0</v>
      </c>
      <c r="CA254" s="386">
        <f t="shared" si="169"/>
        <v>0</v>
      </c>
      <c r="CB254" s="386">
        <f t="shared" si="170"/>
        <v>0</v>
      </c>
      <c r="CC254" s="386">
        <f t="shared" si="152"/>
        <v>0</v>
      </c>
      <c r="CD254" s="386">
        <f t="shared" si="153"/>
        <v>0</v>
      </c>
      <c r="CE254" s="386">
        <f t="shared" si="154"/>
        <v>0</v>
      </c>
      <c r="CF254" s="386">
        <f t="shared" si="155"/>
        <v>0</v>
      </c>
      <c r="CG254" s="386">
        <f t="shared" si="156"/>
        <v>0</v>
      </c>
      <c r="CH254" s="386">
        <f t="shared" si="157"/>
        <v>0</v>
      </c>
      <c r="CI254" s="386">
        <f t="shared" si="158"/>
        <v>0</v>
      </c>
      <c r="CJ254" s="386">
        <f t="shared" si="171"/>
        <v>0</v>
      </c>
      <c r="CK254" s="386" t="str">
        <f t="shared" si="172"/>
        <v/>
      </c>
      <c r="CL254" s="386" t="str">
        <f t="shared" si="173"/>
        <v/>
      </c>
      <c r="CM254" s="386" t="str">
        <f t="shared" si="174"/>
        <v/>
      </c>
      <c r="CN254" s="386" t="str">
        <f t="shared" si="175"/>
        <v>0001-00</v>
      </c>
    </row>
    <row r="255" spans="1:92" ht="15.75" thickBot="1" x14ac:dyDescent="0.3">
      <c r="A255" s="375" t="s">
        <v>161</v>
      </c>
      <c r="B255" s="375" t="s">
        <v>162</v>
      </c>
      <c r="C255" s="375" t="s">
        <v>1093</v>
      </c>
      <c r="D255" s="375" t="s">
        <v>746</v>
      </c>
      <c r="E255" s="375" t="s">
        <v>165</v>
      </c>
      <c r="F255" s="376" t="s">
        <v>166</v>
      </c>
      <c r="G255" s="375" t="s">
        <v>1069</v>
      </c>
      <c r="H255" s="377"/>
      <c r="I255" s="377"/>
      <c r="J255" s="375" t="s">
        <v>168</v>
      </c>
      <c r="K255" s="375" t="s">
        <v>747</v>
      </c>
      <c r="L255" s="375" t="s">
        <v>210</v>
      </c>
      <c r="M255" s="375" t="s">
        <v>177</v>
      </c>
      <c r="N255" s="375" t="s">
        <v>199</v>
      </c>
      <c r="O255" s="378">
        <v>1</v>
      </c>
      <c r="P255" s="384">
        <v>1</v>
      </c>
      <c r="Q255" s="384">
        <v>1</v>
      </c>
      <c r="R255" s="379">
        <v>80</v>
      </c>
      <c r="S255" s="384">
        <v>1</v>
      </c>
      <c r="T255" s="379">
        <v>25832.81</v>
      </c>
      <c r="U255" s="379">
        <v>1687.35</v>
      </c>
      <c r="V255" s="379">
        <v>13849.41</v>
      </c>
      <c r="W255" s="379">
        <v>36816</v>
      </c>
      <c r="X255" s="379">
        <v>19509.080000000002</v>
      </c>
      <c r="Y255" s="379">
        <v>36816</v>
      </c>
      <c r="Z255" s="379">
        <v>19332.38</v>
      </c>
      <c r="AA255" s="375" t="s">
        <v>1094</v>
      </c>
      <c r="AB255" s="375" t="s">
        <v>1095</v>
      </c>
      <c r="AC255" s="375" t="s">
        <v>865</v>
      </c>
      <c r="AD255" s="375" t="s">
        <v>214</v>
      </c>
      <c r="AE255" s="375" t="s">
        <v>747</v>
      </c>
      <c r="AF255" s="375" t="s">
        <v>215</v>
      </c>
      <c r="AG255" s="375" t="s">
        <v>183</v>
      </c>
      <c r="AH255" s="380">
        <v>17.7</v>
      </c>
      <c r="AI255" s="380">
        <v>8457.1</v>
      </c>
      <c r="AJ255" s="375" t="s">
        <v>184</v>
      </c>
      <c r="AK255" s="375" t="s">
        <v>185</v>
      </c>
      <c r="AL255" s="375" t="s">
        <v>173</v>
      </c>
      <c r="AM255" s="375" t="s">
        <v>186</v>
      </c>
      <c r="AN255" s="375" t="s">
        <v>68</v>
      </c>
      <c r="AO255" s="378">
        <v>80</v>
      </c>
      <c r="AP255" s="384">
        <v>1</v>
      </c>
      <c r="AQ255" s="384">
        <v>1</v>
      </c>
      <c r="AR255" s="383" t="s">
        <v>187</v>
      </c>
      <c r="AS255" s="386">
        <f t="shared" si="159"/>
        <v>1</v>
      </c>
      <c r="AT255">
        <f t="shared" si="160"/>
        <v>1</v>
      </c>
      <c r="AU255" s="386">
        <f>IF(AT255=0,"",IF(AND(AT255=1,M255="F",SUMIF(C2:C557,C255,AS2:AS557)&lt;=1),SUMIF(C2:C557,C255,AS2:AS557),IF(AND(AT255=1,M255="F",SUMIF(C2:C557,C255,AS2:AS557)&gt;1),1,"")))</f>
        <v>1</v>
      </c>
      <c r="AV255" s="386" t="str">
        <f>IF(AT255=0,"",IF(AND(AT255=3,M255="F",SUMIF(C2:C557,C255,AS2:AS557)&lt;=1),SUMIF(C2:C557,C255,AS2:AS557),IF(AND(AT255=3,M255="F",SUMIF(C2:C557,C255,AS2:AS557)&gt;1),1,"")))</f>
        <v/>
      </c>
      <c r="AW255" s="386">
        <f>SUMIF(C2:C557,C255,O2:O557)</f>
        <v>1</v>
      </c>
      <c r="AX255" s="386">
        <f>IF(AND(M255="F",AS255&lt;&gt;0),SUMIF(C2:C557,C255,W2:W557),0)</f>
        <v>36816</v>
      </c>
      <c r="AY255" s="386">
        <f t="shared" si="161"/>
        <v>36816</v>
      </c>
      <c r="AZ255" s="386" t="str">
        <f t="shared" si="162"/>
        <v/>
      </c>
      <c r="BA255" s="386">
        <f t="shared" si="163"/>
        <v>0</v>
      </c>
      <c r="BB255" s="386">
        <f t="shared" si="132"/>
        <v>11650</v>
      </c>
      <c r="BC255" s="386">
        <f t="shared" si="133"/>
        <v>0</v>
      </c>
      <c r="BD255" s="386">
        <f t="shared" si="134"/>
        <v>2282.5920000000001</v>
      </c>
      <c r="BE255" s="386">
        <f t="shared" si="135"/>
        <v>533.83199999999999</v>
      </c>
      <c r="BF255" s="386">
        <f t="shared" si="136"/>
        <v>4395.8303999999998</v>
      </c>
      <c r="BG255" s="386">
        <f t="shared" si="137"/>
        <v>265.44335999999998</v>
      </c>
      <c r="BH255" s="386">
        <f t="shared" si="138"/>
        <v>180.39839999999998</v>
      </c>
      <c r="BI255" s="386">
        <f t="shared" si="139"/>
        <v>112.65696</v>
      </c>
      <c r="BJ255" s="386">
        <f t="shared" si="140"/>
        <v>88.358399999999989</v>
      </c>
      <c r="BK255" s="386">
        <f t="shared" si="141"/>
        <v>0</v>
      </c>
      <c r="BL255" s="386">
        <f t="shared" si="164"/>
        <v>7859.1115200000004</v>
      </c>
      <c r="BM255" s="386">
        <f t="shared" si="165"/>
        <v>0</v>
      </c>
      <c r="BN255" s="386">
        <f t="shared" si="142"/>
        <v>11650</v>
      </c>
      <c r="BO255" s="386">
        <f t="shared" si="143"/>
        <v>0</v>
      </c>
      <c r="BP255" s="386">
        <f t="shared" si="144"/>
        <v>2282.5920000000001</v>
      </c>
      <c r="BQ255" s="386">
        <f t="shared" si="145"/>
        <v>533.83199999999999</v>
      </c>
      <c r="BR255" s="386">
        <f t="shared" si="146"/>
        <v>4395.8303999999998</v>
      </c>
      <c r="BS255" s="386">
        <f t="shared" si="147"/>
        <v>265.44335999999998</v>
      </c>
      <c r="BT255" s="386">
        <f t="shared" si="148"/>
        <v>0</v>
      </c>
      <c r="BU255" s="386">
        <f t="shared" si="149"/>
        <v>112.65696</v>
      </c>
      <c r="BV255" s="386">
        <f t="shared" si="150"/>
        <v>92.04</v>
      </c>
      <c r="BW255" s="386">
        <f t="shared" si="151"/>
        <v>0</v>
      </c>
      <c r="BX255" s="386">
        <f t="shared" si="166"/>
        <v>7682.3947200000002</v>
      </c>
      <c r="BY255" s="386">
        <f t="shared" si="167"/>
        <v>0</v>
      </c>
      <c r="BZ255" s="386">
        <f t="shared" si="168"/>
        <v>0</v>
      </c>
      <c r="CA255" s="386">
        <f t="shared" si="169"/>
        <v>0</v>
      </c>
      <c r="CB255" s="386">
        <f t="shared" si="170"/>
        <v>0</v>
      </c>
      <c r="CC255" s="386">
        <f t="shared" si="152"/>
        <v>0</v>
      </c>
      <c r="CD255" s="386">
        <f t="shared" si="153"/>
        <v>0</v>
      </c>
      <c r="CE255" s="386">
        <f t="shared" si="154"/>
        <v>0</v>
      </c>
      <c r="CF255" s="386">
        <f t="shared" si="155"/>
        <v>-180.39839999999998</v>
      </c>
      <c r="CG255" s="386">
        <f t="shared" si="156"/>
        <v>0</v>
      </c>
      <c r="CH255" s="386">
        <f t="shared" si="157"/>
        <v>3.6816000000000098</v>
      </c>
      <c r="CI255" s="386">
        <f t="shared" si="158"/>
        <v>0</v>
      </c>
      <c r="CJ255" s="386">
        <f t="shared" si="171"/>
        <v>-176.71679999999998</v>
      </c>
      <c r="CK255" s="386" t="str">
        <f t="shared" si="172"/>
        <v/>
      </c>
      <c r="CL255" s="386" t="str">
        <f t="shared" si="173"/>
        <v/>
      </c>
      <c r="CM255" s="386" t="str">
        <f t="shared" si="174"/>
        <v/>
      </c>
      <c r="CN255" s="386" t="str">
        <f t="shared" si="175"/>
        <v>0001-00</v>
      </c>
    </row>
    <row r="256" spans="1:92" ht="15.75" thickBot="1" x14ac:dyDescent="0.3">
      <c r="A256" s="375" t="s">
        <v>161</v>
      </c>
      <c r="B256" s="375" t="s">
        <v>162</v>
      </c>
      <c r="C256" s="375" t="s">
        <v>1096</v>
      </c>
      <c r="D256" s="375" t="s">
        <v>665</v>
      </c>
      <c r="E256" s="375" t="s">
        <v>165</v>
      </c>
      <c r="F256" s="376" t="s">
        <v>166</v>
      </c>
      <c r="G256" s="375" t="s">
        <v>1069</v>
      </c>
      <c r="H256" s="377"/>
      <c r="I256" s="377"/>
      <c r="J256" s="375" t="s">
        <v>168</v>
      </c>
      <c r="K256" s="375" t="s">
        <v>666</v>
      </c>
      <c r="L256" s="375" t="s">
        <v>183</v>
      </c>
      <c r="M256" s="375" t="s">
        <v>177</v>
      </c>
      <c r="N256" s="375" t="s">
        <v>199</v>
      </c>
      <c r="O256" s="378">
        <v>1</v>
      </c>
      <c r="P256" s="384">
        <v>1</v>
      </c>
      <c r="Q256" s="384">
        <v>1</v>
      </c>
      <c r="R256" s="379">
        <v>80</v>
      </c>
      <c r="S256" s="384">
        <v>1</v>
      </c>
      <c r="T256" s="379">
        <v>27910.400000000001</v>
      </c>
      <c r="U256" s="379">
        <v>0</v>
      </c>
      <c r="V256" s="379">
        <v>17490.03</v>
      </c>
      <c r="W256" s="379">
        <v>30867.200000000001</v>
      </c>
      <c r="X256" s="379">
        <v>18239.189999999999</v>
      </c>
      <c r="Y256" s="379">
        <v>30867.200000000001</v>
      </c>
      <c r="Z256" s="379">
        <v>18091.03</v>
      </c>
      <c r="AA256" s="375" t="s">
        <v>1097</v>
      </c>
      <c r="AB256" s="375" t="s">
        <v>1098</v>
      </c>
      <c r="AC256" s="375" t="s">
        <v>995</v>
      </c>
      <c r="AD256" s="375" t="s">
        <v>181</v>
      </c>
      <c r="AE256" s="375" t="s">
        <v>666</v>
      </c>
      <c r="AF256" s="375" t="s">
        <v>206</v>
      </c>
      <c r="AG256" s="375" t="s">
        <v>183</v>
      </c>
      <c r="AH256" s="380">
        <v>14.84</v>
      </c>
      <c r="AI256" s="380">
        <v>5261.4</v>
      </c>
      <c r="AJ256" s="375" t="s">
        <v>184</v>
      </c>
      <c r="AK256" s="375" t="s">
        <v>185</v>
      </c>
      <c r="AL256" s="375" t="s">
        <v>173</v>
      </c>
      <c r="AM256" s="375" t="s">
        <v>186</v>
      </c>
      <c r="AN256" s="375" t="s">
        <v>68</v>
      </c>
      <c r="AO256" s="378">
        <v>80</v>
      </c>
      <c r="AP256" s="384">
        <v>1</v>
      </c>
      <c r="AQ256" s="384">
        <v>1</v>
      </c>
      <c r="AR256" s="383" t="s">
        <v>187</v>
      </c>
      <c r="AS256" s="386">
        <f t="shared" si="159"/>
        <v>1</v>
      </c>
      <c r="AT256">
        <f t="shared" si="160"/>
        <v>1</v>
      </c>
      <c r="AU256" s="386">
        <f>IF(AT256=0,"",IF(AND(AT256=1,M256="F",SUMIF(C2:C557,C256,AS2:AS557)&lt;=1),SUMIF(C2:C557,C256,AS2:AS557),IF(AND(AT256=1,M256="F",SUMIF(C2:C557,C256,AS2:AS557)&gt;1),1,"")))</f>
        <v>1</v>
      </c>
      <c r="AV256" s="386" t="str">
        <f>IF(AT256=0,"",IF(AND(AT256=3,M256="F",SUMIF(C2:C557,C256,AS2:AS557)&lt;=1),SUMIF(C2:C557,C256,AS2:AS557),IF(AND(AT256=3,M256="F",SUMIF(C2:C557,C256,AS2:AS557)&gt;1),1,"")))</f>
        <v/>
      </c>
      <c r="AW256" s="386">
        <f>SUMIF(C2:C557,C256,O2:O557)</f>
        <v>1</v>
      </c>
      <c r="AX256" s="386">
        <f>IF(AND(M256="F",AS256&lt;&gt;0),SUMIF(C2:C557,C256,W2:W557),0)</f>
        <v>30867.200000000001</v>
      </c>
      <c r="AY256" s="386">
        <f t="shared" si="161"/>
        <v>30867.200000000001</v>
      </c>
      <c r="AZ256" s="386" t="str">
        <f t="shared" si="162"/>
        <v/>
      </c>
      <c r="BA256" s="386">
        <f t="shared" si="163"/>
        <v>0</v>
      </c>
      <c r="BB256" s="386">
        <f t="shared" si="132"/>
        <v>11650</v>
      </c>
      <c r="BC256" s="386">
        <f t="shared" si="133"/>
        <v>0</v>
      </c>
      <c r="BD256" s="386">
        <f t="shared" si="134"/>
        <v>1913.7664</v>
      </c>
      <c r="BE256" s="386">
        <f t="shared" si="135"/>
        <v>447.57440000000003</v>
      </c>
      <c r="BF256" s="386">
        <f t="shared" si="136"/>
        <v>3685.5436800000002</v>
      </c>
      <c r="BG256" s="386">
        <f t="shared" si="137"/>
        <v>222.55251200000001</v>
      </c>
      <c r="BH256" s="386">
        <f t="shared" si="138"/>
        <v>151.24928</v>
      </c>
      <c r="BI256" s="386">
        <f t="shared" si="139"/>
        <v>94.453631999999999</v>
      </c>
      <c r="BJ256" s="386">
        <f t="shared" si="140"/>
        <v>74.081279999999992</v>
      </c>
      <c r="BK256" s="386">
        <f t="shared" si="141"/>
        <v>0</v>
      </c>
      <c r="BL256" s="386">
        <f t="shared" si="164"/>
        <v>6589.2211840000009</v>
      </c>
      <c r="BM256" s="386">
        <f t="shared" si="165"/>
        <v>0</v>
      </c>
      <c r="BN256" s="386">
        <f t="shared" si="142"/>
        <v>11650</v>
      </c>
      <c r="BO256" s="386">
        <f t="shared" si="143"/>
        <v>0</v>
      </c>
      <c r="BP256" s="386">
        <f t="shared" si="144"/>
        <v>1913.7664</v>
      </c>
      <c r="BQ256" s="386">
        <f t="shared" si="145"/>
        <v>447.57440000000003</v>
      </c>
      <c r="BR256" s="386">
        <f t="shared" si="146"/>
        <v>3685.5436800000002</v>
      </c>
      <c r="BS256" s="386">
        <f t="shared" si="147"/>
        <v>222.55251200000001</v>
      </c>
      <c r="BT256" s="386">
        <f t="shared" si="148"/>
        <v>0</v>
      </c>
      <c r="BU256" s="386">
        <f t="shared" si="149"/>
        <v>94.453631999999999</v>
      </c>
      <c r="BV256" s="386">
        <f t="shared" si="150"/>
        <v>77.168000000000006</v>
      </c>
      <c r="BW256" s="386">
        <f t="shared" si="151"/>
        <v>0</v>
      </c>
      <c r="BX256" s="386">
        <f t="shared" si="166"/>
        <v>6441.0586240000002</v>
      </c>
      <c r="BY256" s="386">
        <f t="shared" si="167"/>
        <v>0</v>
      </c>
      <c r="BZ256" s="386">
        <f t="shared" si="168"/>
        <v>0</v>
      </c>
      <c r="CA256" s="386">
        <f t="shared" si="169"/>
        <v>0</v>
      </c>
      <c r="CB256" s="386">
        <f t="shared" si="170"/>
        <v>0</v>
      </c>
      <c r="CC256" s="386">
        <f t="shared" si="152"/>
        <v>0</v>
      </c>
      <c r="CD256" s="386">
        <f t="shared" si="153"/>
        <v>0</v>
      </c>
      <c r="CE256" s="386">
        <f t="shared" si="154"/>
        <v>0</v>
      </c>
      <c r="CF256" s="386">
        <f t="shared" si="155"/>
        <v>-151.24928</v>
      </c>
      <c r="CG256" s="386">
        <f t="shared" si="156"/>
        <v>0</v>
      </c>
      <c r="CH256" s="386">
        <f t="shared" si="157"/>
        <v>3.0867200000000081</v>
      </c>
      <c r="CI256" s="386">
        <f t="shared" si="158"/>
        <v>0</v>
      </c>
      <c r="CJ256" s="386">
        <f t="shared" si="171"/>
        <v>-148.16255999999998</v>
      </c>
      <c r="CK256" s="386" t="str">
        <f t="shared" si="172"/>
        <v/>
      </c>
      <c r="CL256" s="386" t="str">
        <f t="shared" si="173"/>
        <v/>
      </c>
      <c r="CM256" s="386" t="str">
        <f t="shared" si="174"/>
        <v/>
      </c>
      <c r="CN256" s="386" t="str">
        <f t="shared" si="175"/>
        <v>0001-00</v>
      </c>
    </row>
    <row r="257" spans="1:92" ht="15.75" thickBot="1" x14ac:dyDescent="0.3">
      <c r="A257" s="375" t="s">
        <v>161</v>
      </c>
      <c r="B257" s="375" t="s">
        <v>162</v>
      </c>
      <c r="C257" s="375" t="s">
        <v>1099</v>
      </c>
      <c r="D257" s="375" t="s">
        <v>665</v>
      </c>
      <c r="E257" s="375" t="s">
        <v>165</v>
      </c>
      <c r="F257" s="376" t="s">
        <v>166</v>
      </c>
      <c r="G257" s="375" t="s">
        <v>1069</v>
      </c>
      <c r="H257" s="377"/>
      <c r="I257" s="377"/>
      <c r="J257" s="375" t="s">
        <v>168</v>
      </c>
      <c r="K257" s="375" t="s">
        <v>666</v>
      </c>
      <c r="L257" s="375" t="s">
        <v>183</v>
      </c>
      <c r="M257" s="375" t="s">
        <v>171</v>
      </c>
      <c r="N257" s="375" t="s">
        <v>199</v>
      </c>
      <c r="O257" s="378">
        <v>0</v>
      </c>
      <c r="P257" s="384">
        <v>1</v>
      </c>
      <c r="Q257" s="384">
        <v>1</v>
      </c>
      <c r="R257" s="379">
        <v>80</v>
      </c>
      <c r="S257" s="384">
        <v>1</v>
      </c>
      <c r="T257" s="379">
        <v>38966.400000000001</v>
      </c>
      <c r="U257" s="379">
        <v>0</v>
      </c>
      <c r="V257" s="379">
        <v>19563.150000000001</v>
      </c>
      <c r="W257" s="379">
        <v>32094.400000000001</v>
      </c>
      <c r="X257" s="379">
        <v>14057.34</v>
      </c>
      <c r="Y257" s="379">
        <v>32094.400000000001</v>
      </c>
      <c r="Z257" s="379">
        <v>13896.87</v>
      </c>
      <c r="AA257" s="377"/>
      <c r="AB257" s="375" t="s">
        <v>45</v>
      </c>
      <c r="AC257" s="375" t="s">
        <v>45</v>
      </c>
      <c r="AD257" s="377"/>
      <c r="AE257" s="377"/>
      <c r="AF257" s="377"/>
      <c r="AG257" s="377"/>
      <c r="AH257" s="378">
        <v>0</v>
      </c>
      <c r="AI257" s="378">
        <v>0</v>
      </c>
      <c r="AJ257" s="377"/>
      <c r="AK257" s="377"/>
      <c r="AL257" s="375" t="s">
        <v>173</v>
      </c>
      <c r="AM257" s="377"/>
      <c r="AN257" s="377"/>
      <c r="AO257" s="378">
        <v>0</v>
      </c>
      <c r="AP257" s="384">
        <v>0</v>
      </c>
      <c r="AQ257" s="384">
        <v>0</v>
      </c>
      <c r="AR257" s="382"/>
      <c r="AS257" s="386">
        <f t="shared" si="159"/>
        <v>0</v>
      </c>
      <c r="AT257">
        <f t="shared" si="160"/>
        <v>0</v>
      </c>
      <c r="AU257" s="386" t="str">
        <f>IF(AT257=0,"",IF(AND(AT257=1,M257="F",SUMIF(C2:C557,C257,AS2:AS557)&lt;=1),SUMIF(C2:C557,C257,AS2:AS557),IF(AND(AT257=1,M257="F",SUMIF(C2:C557,C257,AS2:AS557)&gt;1),1,"")))</f>
        <v/>
      </c>
      <c r="AV257" s="386" t="str">
        <f>IF(AT257=0,"",IF(AND(AT257=3,M257="F",SUMIF(C2:C557,C257,AS2:AS557)&lt;=1),SUMIF(C2:C557,C257,AS2:AS557),IF(AND(AT257=3,M257="F",SUMIF(C2:C557,C257,AS2:AS557)&gt;1),1,"")))</f>
        <v/>
      </c>
      <c r="AW257" s="386">
        <f>SUMIF(C2:C557,C257,O2:O557)</f>
        <v>0</v>
      </c>
      <c r="AX257" s="386">
        <f>IF(AND(M257="F",AS257&lt;&gt;0),SUMIF(C2:C557,C257,W2:W557),0)</f>
        <v>0</v>
      </c>
      <c r="AY257" s="386" t="str">
        <f t="shared" si="161"/>
        <v/>
      </c>
      <c r="AZ257" s="386" t="str">
        <f t="shared" si="162"/>
        <v/>
      </c>
      <c r="BA257" s="386">
        <f t="shared" si="163"/>
        <v>0</v>
      </c>
      <c r="BB257" s="386">
        <f t="shared" si="132"/>
        <v>0</v>
      </c>
      <c r="BC257" s="386">
        <f t="shared" si="133"/>
        <v>0</v>
      </c>
      <c r="BD257" s="386">
        <f t="shared" si="134"/>
        <v>0</v>
      </c>
      <c r="BE257" s="386">
        <f t="shared" si="135"/>
        <v>0</v>
      </c>
      <c r="BF257" s="386">
        <f t="shared" si="136"/>
        <v>0</v>
      </c>
      <c r="BG257" s="386">
        <f t="shared" si="137"/>
        <v>0</v>
      </c>
      <c r="BH257" s="386">
        <f t="shared" si="138"/>
        <v>0</v>
      </c>
      <c r="BI257" s="386">
        <f t="shared" si="139"/>
        <v>0</v>
      </c>
      <c r="BJ257" s="386">
        <f t="shared" si="140"/>
        <v>0</v>
      </c>
      <c r="BK257" s="386">
        <f t="shared" si="141"/>
        <v>0</v>
      </c>
      <c r="BL257" s="386">
        <f t="shared" si="164"/>
        <v>0</v>
      </c>
      <c r="BM257" s="386">
        <f t="shared" si="165"/>
        <v>0</v>
      </c>
      <c r="BN257" s="386">
        <f t="shared" si="142"/>
        <v>0</v>
      </c>
      <c r="BO257" s="386">
        <f t="shared" si="143"/>
        <v>0</v>
      </c>
      <c r="BP257" s="386">
        <f t="shared" si="144"/>
        <v>0</v>
      </c>
      <c r="BQ257" s="386">
        <f t="shared" si="145"/>
        <v>0</v>
      </c>
      <c r="BR257" s="386">
        <f t="shared" si="146"/>
        <v>0</v>
      </c>
      <c r="BS257" s="386">
        <f t="shared" si="147"/>
        <v>0</v>
      </c>
      <c r="BT257" s="386">
        <f t="shared" si="148"/>
        <v>0</v>
      </c>
      <c r="BU257" s="386">
        <f t="shared" si="149"/>
        <v>0</v>
      </c>
      <c r="BV257" s="386">
        <f t="shared" si="150"/>
        <v>0</v>
      </c>
      <c r="BW257" s="386">
        <f t="shared" si="151"/>
        <v>0</v>
      </c>
      <c r="BX257" s="386">
        <f t="shared" si="166"/>
        <v>0</v>
      </c>
      <c r="BY257" s="386">
        <f t="shared" si="167"/>
        <v>0</v>
      </c>
      <c r="BZ257" s="386">
        <f t="shared" si="168"/>
        <v>0</v>
      </c>
      <c r="CA257" s="386">
        <f t="shared" si="169"/>
        <v>0</v>
      </c>
      <c r="CB257" s="386">
        <f t="shared" si="170"/>
        <v>0</v>
      </c>
      <c r="CC257" s="386">
        <f t="shared" si="152"/>
        <v>0</v>
      </c>
      <c r="CD257" s="386">
        <f t="shared" si="153"/>
        <v>0</v>
      </c>
      <c r="CE257" s="386">
        <f t="shared" si="154"/>
        <v>0</v>
      </c>
      <c r="CF257" s="386">
        <f t="shared" si="155"/>
        <v>0</v>
      </c>
      <c r="CG257" s="386">
        <f t="shared" si="156"/>
        <v>0</v>
      </c>
      <c r="CH257" s="386">
        <f t="shared" si="157"/>
        <v>0</v>
      </c>
      <c r="CI257" s="386">
        <f t="shared" si="158"/>
        <v>0</v>
      </c>
      <c r="CJ257" s="386">
        <f t="shared" si="171"/>
        <v>0</v>
      </c>
      <c r="CK257" s="386" t="str">
        <f t="shared" si="172"/>
        <v/>
      </c>
      <c r="CL257" s="386" t="str">
        <f t="shared" si="173"/>
        <v/>
      </c>
      <c r="CM257" s="386" t="str">
        <f t="shared" si="174"/>
        <v/>
      </c>
      <c r="CN257" s="386" t="str">
        <f t="shared" si="175"/>
        <v>0001-00</v>
      </c>
    </row>
    <row r="258" spans="1:92" ht="15.75" thickBot="1" x14ac:dyDescent="0.3">
      <c r="A258" s="375" t="s">
        <v>161</v>
      </c>
      <c r="B258" s="375" t="s">
        <v>162</v>
      </c>
      <c r="C258" s="375" t="s">
        <v>832</v>
      </c>
      <c r="D258" s="375" t="s">
        <v>324</v>
      </c>
      <c r="E258" s="375" t="s">
        <v>165</v>
      </c>
      <c r="F258" s="376" t="s">
        <v>166</v>
      </c>
      <c r="G258" s="375" t="s">
        <v>1069</v>
      </c>
      <c r="H258" s="377"/>
      <c r="I258" s="377"/>
      <c r="J258" s="375" t="s">
        <v>218</v>
      </c>
      <c r="K258" s="375" t="s">
        <v>325</v>
      </c>
      <c r="L258" s="375" t="s">
        <v>170</v>
      </c>
      <c r="M258" s="375" t="s">
        <v>177</v>
      </c>
      <c r="N258" s="375" t="s">
        <v>199</v>
      </c>
      <c r="O258" s="378">
        <v>1</v>
      </c>
      <c r="P258" s="384">
        <v>0</v>
      </c>
      <c r="Q258" s="384">
        <v>0</v>
      </c>
      <c r="R258" s="379">
        <v>80</v>
      </c>
      <c r="S258" s="384">
        <v>0</v>
      </c>
      <c r="T258" s="379">
        <v>2279.6799999999998</v>
      </c>
      <c r="U258" s="379">
        <v>0</v>
      </c>
      <c r="V258" s="379">
        <v>1096.5999999999999</v>
      </c>
      <c r="W258" s="379">
        <v>0</v>
      </c>
      <c r="X258" s="379">
        <v>0</v>
      </c>
      <c r="Y258" s="379">
        <v>0</v>
      </c>
      <c r="Z258" s="379">
        <v>0</v>
      </c>
      <c r="AA258" s="375" t="s">
        <v>833</v>
      </c>
      <c r="AB258" s="375" t="s">
        <v>204</v>
      </c>
      <c r="AC258" s="375" t="s">
        <v>205</v>
      </c>
      <c r="AD258" s="375" t="s">
        <v>647</v>
      </c>
      <c r="AE258" s="375" t="s">
        <v>325</v>
      </c>
      <c r="AF258" s="375" t="s">
        <v>269</v>
      </c>
      <c r="AG258" s="375" t="s">
        <v>183</v>
      </c>
      <c r="AH258" s="380">
        <v>25.03</v>
      </c>
      <c r="AI258" s="378">
        <v>15437</v>
      </c>
      <c r="AJ258" s="375" t="s">
        <v>184</v>
      </c>
      <c r="AK258" s="375" t="s">
        <v>185</v>
      </c>
      <c r="AL258" s="375" t="s">
        <v>173</v>
      </c>
      <c r="AM258" s="375" t="s">
        <v>186</v>
      </c>
      <c r="AN258" s="375" t="s">
        <v>68</v>
      </c>
      <c r="AO258" s="378">
        <v>80</v>
      </c>
      <c r="AP258" s="384">
        <v>1</v>
      </c>
      <c r="AQ258" s="384">
        <v>0</v>
      </c>
      <c r="AR258" s="383" t="s">
        <v>187</v>
      </c>
      <c r="AS258" s="386">
        <f t="shared" si="159"/>
        <v>0</v>
      </c>
      <c r="AT258">
        <f t="shared" si="160"/>
        <v>0</v>
      </c>
      <c r="AU258" s="386" t="str">
        <f>IF(AT258=0,"",IF(AND(AT258=1,M258="F",SUMIF(C2:C557,C258,AS2:AS557)&lt;=1),SUMIF(C2:C557,C258,AS2:AS557),IF(AND(AT258=1,M258="F",SUMIF(C2:C557,C258,AS2:AS557)&gt;1),1,"")))</f>
        <v/>
      </c>
      <c r="AV258" s="386" t="str">
        <f>IF(AT258=0,"",IF(AND(AT258=3,M258="F",SUMIF(C2:C557,C258,AS2:AS557)&lt;=1),SUMIF(C2:C557,C258,AS2:AS557),IF(AND(AT258=3,M258="F",SUMIF(C2:C557,C258,AS2:AS557)&gt;1),1,"")))</f>
        <v/>
      </c>
      <c r="AW258" s="386">
        <f>SUMIF(C2:C557,C258,O2:O557)</f>
        <v>4</v>
      </c>
      <c r="AX258" s="386">
        <f>IF(AND(M258="F",AS258&lt;&gt;0),SUMIF(C2:C557,C258,W2:W557),0)</f>
        <v>0</v>
      </c>
      <c r="AY258" s="386" t="str">
        <f t="shared" si="161"/>
        <v/>
      </c>
      <c r="AZ258" s="386" t="str">
        <f t="shared" si="162"/>
        <v/>
      </c>
      <c r="BA258" s="386">
        <f t="shared" si="163"/>
        <v>0</v>
      </c>
      <c r="BB258" s="386">
        <f t="shared" ref="BB258:BB321" si="176">IF(AND(AT258=1,AK258="E",AU258&gt;=0.75,AW258=1),Health,IF(AND(AT258=1,AK258="E",AU258&gt;=0.75),Health*P258,IF(AND(AT258=1,AK258="E",AU258&gt;=0.5,AW258=1),PTHealth,IF(AND(AT258=1,AK258="E",AU258&gt;=0.5),PTHealth*P258,0))))</f>
        <v>0</v>
      </c>
      <c r="BC258" s="386">
        <f t="shared" ref="BC258:BC321" si="177">IF(AND(AT258=3,AK258="E",AV258&gt;=0.75,AW258=1),Health,IF(AND(AT258=3,AK258="E",AV258&gt;=0.75),Health*P258,IF(AND(AT258=3,AK258="E",AV258&gt;=0.5,AW258=1),PTHealth,IF(AND(AT258=3,AK258="E",AV258&gt;=0.5),PTHealth*P258,0))))</f>
        <v>0</v>
      </c>
      <c r="BD258" s="386">
        <f t="shared" ref="BD258:BD321" si="178">IF(AND(AT258&lt;&gt;0,AX258&gt;=MAXSSDI),SSDI*MAXSSDI*P258,IF(AT258&lt;&gt;0,SSDI*W258,0))</f>
        <v>0</v>
      </c>
      <c r="BE258" s="386">
        <f t="shared" ref="BE258:BE321" si="179">IF(AT258&lt;&gt;0,SSHI*W258,0)</f>
        <v>0</v>
      </c>
      <c r="BF258" s="386">
        <f t="shared" ref="BF258:BF321" si="180">IF(AND(AT258&lt;&gt;0,AN258&lt;&gt;"NE"),VLOOKUP(AN258,Retirement_Rates,3,FALSE)*W258,0)</f>
        <v>0</v>
      </c>
      <c r="BG258" s="386">
        <f t="shared" ref="BG258:BG321" si="181">IF(AND(AT258&lt;&gt;0,AJ258&lt;&gt;"PF"),Life*W258,0)</f>
        <v>0</v>
      </c>
      <c r="BH258" s="386">
        <f t="shared" ref="BH258:BH321" si="182">IF(AND(AT258&lt;&gt;0,AM258="Y"),UI*W258,0)</f>
        <v>0</v>
      </c>
      <c r="BI258" s="386">
        <f t="shared" ref="BI258:BI321" si="183">IF(AND(AT258&lt;&gt;0,N258&lt;&gt;"NR"),DHR*W258,0)</f>
        <v>0</v>
      </c>
      <c r="BJ258" s="386">
        <f t="shared" ref="BJ258:BJ321" si="184">IF(AT258&lt;&gt;0,WC*W258,0)</f>
        <v>0</v>
      </c>
      <c r="BK258" s="386">
        <f t="shared" ref="BK258:BK321" si="185">IF(OR(AND(AT258&lt;&gt;0,AJ258&lt;&gt;"PF",AN258&lt;&gt;"NE",AG258&lt;&gt;"A"),AND(AL258="E",OR(AT258=1,AT258=3))),Sick*W258,0)</f>
        <v>0</v>
      </c>
      <c r="BL258" s="386">
        <f t="shared" si="164"/>
        <v>0</v>
      </c>
      <c r="BM258" s="386">
        <f t="shared" si="165"/>
        <v>0</v>
      </c>
      <c r="BN258" s="386">
        <f t="shared" ref="BN258:BN321" si="186">IF(AND(AT258=1,AK258="E",AU258&gt;=0.75,AW258=1),HealthBY,IF(AND(AT258=1,AK258="E",AU258&gt;=0.75),HealthBY*P258,IF(AND(AT258=1,AK258="E",AU258&gt;=0.5,AW258=1),PTHealthBY,IF(AND(AT258=1,AK258="E",AU258&gt;=0.5),PTHealthBY*P258,0))))</f>
        <v>0</v>
      </c>
      <c r="BO258" s="386">
        <f t="shared" ref="BO258:BO321" si="187">IF(AND(AT258=3,AK258="E",AV258&gt;=0.75,AW258=1),HealthBY,IF(AND(AT258=3,AK258="E",AV258&gt;=0.75),HealthBY*P258,IF(AND(AT258=3,AK258="E",AV258&gt;=0.5,AW258=1),PTHealthBY,IF(AND(AT258=3,AK258="E",AV258&gt;=0.5),PTHealthBY*P258,0))))</f>
        <v>0</v>
      </c>
      <c r="BP258" s="386">
        <f t="shared" ref="BP258:BP321" si="188">IF(AND(AT258&lt;&gt;0,(AX258+BA258)&gt;=MAXSSDIBY),SSDIBY*MAXSSDIBY*P258,IF(AT258&lt;&gt;0,SSDIBY*W258,0))</f>
        <v>0</v>
      </c>
      <c r="BQ258" s="386">
        <f t="shared" ref="BQ258:BQ321" si="189">IF(AT258&lt;&gt;0,SSHIBY*W258,0)</f>
        <v>0</v>
      </c>
      <c r="BR258" s="386">
        <f t="shared" ref="BR258:BR321" si="190">IF(AND(AT258&lt;&gt;0,AN258&lt;&gt;"NE"),VLOOKUP(AN258,Retirement_Rates,4,FALSE)*W258,0)</f>
        <v>0</v>
      </c>
      <c r="BS258" s="386">
        <f t="shared" ref="BS258:BS321" si="191">IF(AND(AT258&lt;&gt;0,AJ258&lt;&gt;"PF"),LifeBY*W258,0)</f>
        <v>0</v>
      </c>
      <c r="BT258" s="386">
        <f t="shared" ref="BT258:BT321" si="192">IF(AND(AT258&lt;&gt;0,AM258="Y"),UIBY*W258,0)</f>
        <v>0</v>
      </c>
      <c r="BU258" s="386">
        <f t="shared" ref="BU258:BU321" si="193">IF(AND(AT258&lt;&gt;0,N258&lt;&gt;"NR"),DHRBY*W258,0)</f>
        <v>0</v>
      </c>
      <c r="BV258" s="386">
        <f t="shared" ref="BV258:BV321" si="194">IF(AT258&lt;&gt;0,WCBY*W258,0)</f>
        <v>0</v>
      </c>
      <c r="BW258" s="386">
        <f t="shared" ref="BW258:BW321" si="195">IF(OR(AND(AT258&lt;&gt;0,AJ258&lt;&gt;"PF",AN258&lt;&gt;"NE",AG258&lt;&gt;"A"),AND(AL258="E",OR(AT258=1,AT258=3))),SickBY*W258,0)</f>
        <v>0</v>
      </c>
      <c r="BX258" s="386">
        <f t="shared" si="166"/>
        <v>0</v>
      </c>
      <c r="BY258" s="386">
        <f t="shared" si="167"/>
        <v>0</v>
      </c>
      <c r="BZ258" s="386">
        <f t="shared" si="168"/>
        <v>0</v>
      </c>
      <c r="CA258" s="386">
        <f t="shared" si="169"/>
        <v>0</v>
      </c>
      <c r="CB258" s="386">
        <f t="shared" si="170"/>
        <v>0</v>
      </c>
      <c r="CC258" s="386">
        <f t="shared" ref="CC258:CC321" si="196">IF(AT258&lt;&gt;0,SSHICHG*Y258,0)</f>
        <v>0</v>
      </c>
      <c r="CD258" s="386">
        <f t="shared" ref="CD258:CD321" si="197">IF(AND(AT258&lt;&gt;0,AN258&lt;&gt;"NE"),VLOOKUP(AN258,Retirement_Rates,5,FALSE)*Y258,0)</f>
        <v>0</v>
      </c>
      <c r="CE258" s="386">
        <f t="shared" ref="CE258:CE321" si="198">IF(AND(AT258&lt;&gt;0,AJ258&lt;&gt;"PF"),LifeCHG*Y258,0)</f>
        <v>0</v>
      </c>
      <c r="CF258" s="386">
        <f t="shared" ref="CF258:CF321" si="199">IF(AND(AT258&lt;&gt;0,AM258="Y"),UICHG*Y258,0)</f>
        <v>0</v>
      </c>
      <c r="CG258" s="386">
        <f t="shared" ref="CG258:CG321" si="200">IF(AND(AT258&lt;&gt;0,N258&lt;&gt;"NR"),DHRCHG*Y258,0)</f>
        <v>0</v>
      </c>
      <c r="CH258" s="386">
        <f t="shared" ref="CH258:CH321" si="201">IF(AT258&lt;&gt;0,WCCHG*Y258,0)</f>
        <v>0</v>
      </c>
      <c r="CI258" s="386">
        <f t="shared" ref="CI258:CI321" si="202">IF(OR(AND(AT258&lt;&gt;0,AJ258&lt;&gt;"PF",AN258&lt;&gt;"NE",AG258&lt;&gt;"A"),AND(AL258="E",OR(AT258=1,AT258=3))),SickCHG*Y258,0)</f>
        <v>0</v>
      </c>
      <c r="CJ258" s="386">
        <f t="shared" si="171"/>
        <v>0</v>
      </c>
      <c r="CK258" s="386" t="str">
        <f t="shared" si="172"/>
        <v/>
      </c>
      <c r="CL258" s="386" t="str">
        <f t="shared" si="173"/>
        <v/>
      </c>
      <c r="CM258" s="386" t="str">
        <f t="shared" si="174"/>
        <v/>
      </c>
      <c r="CN258" s="386" t="str">
        <f t="shared" si="175"/>
        <v>0001-00</v>
      </c>
    </row>
    <row r="259" spans="1:92" ht="15.75" thickBot="1" x14ac:dyDescent="0.3">
      <c r="A259" s="375" t="s">
        <v>161</v>
      </c>
      <c r="B259" s="375" t="s">
        <v>162</v>
      </c>
      <c r="C259" s="375" t="s">
        <v>1100</v>
      </c>
      <c r="D259" s="375" t="s">
        <v>1101</v>
      </c>
      <c r="E259" s="375" t="s">
        <v>165</v>
      </c>
      <c r="F259" s="376" t="s">
        <v>166</v>
      </c>
      <c r="G259" s="375" t="s">
        <v>1069</v>
      </c>
      <c r="H259" s="377"/>
      <c r="I259" s="377"/>
      <c r="J259" s="375" t="s">
        <v>168</v>
      </c>
      <c r="K259" s="375" t="s">
        <v>1102</v>
      </c>
      <c r="L259" s="375" t="s">
        <v>198</v>
      </c>
      <c r="M259" s="375" t="s">
        <v>171</v>
      </c>
      <c r="N259" s="375" t="s">
        <v>199</v>
      </c>
      <c r="O259" s="378">
        <v>0</v>
      </c>
      <c r="P259" s="384">
        <v>1</v>
      </c>
      <c r="Q259" s="384">
        <v>1</v>
      </c>
      <c r="R259" s="379">
        <v>80</v>
      </c>
      <c r="S259" s="384">
        <v>1</v>
      </c>
      <c r="T259" s="379">
        <v>42976.86</v>
      </c>
      <c r="U259" s="379">
        <v>0</v>
      </c>
      <c r="V259" s="379">
        <v>19799.8</v>
      </c>
      <c r="W259" s="379">
        <v>47403.199999999997</v>
      </c>
      <c r="X259" s="379">
        <v>20762.599999999999</v>
      </c>
      <c r="Y259" s="379">
        <v>47403.199999999997</v>
      </c>
      <c r="Z259" s="379">
        <v>20525.580000000002</v>
      </c>
      <c r="AA259" s="377"/>
      <c r="AB259" s="375" t="s">
        <v>45</v>
      </c>
      <c r="AC259" s="375" t="s">
        <v>45</v>
      </c>
      <c r="AD259" s="377"/>
      <c r="AE259" s="377"/>
      <c r="AF259" s="377"/>
      <c r="AG259" s="377"/>
      <c r="AH259" s="378">
        <v>0</v>
      </c>
      <c r="AI259" s="378">
        <v>0</v>
      </c>
      <c r="AJ259" s="377"/>
      <c r="AK259" s="377"/>
      <c r="AL259" s="375" t="s">
        <v>173</v>
      </c>
      <c r="AM259" s="377"/>
      <c r="AN259" s="377"/>
      <c r="AO259" s="378">
        <v>0</v>
      </c>
      <c r="AP259" s="384">
        <v>0</v>
      </c>
      <c r="AQ259" s="384">
        <v>0</v>
      </c>
      <c r="AR259" s="382"/>
      <c r="AS259" s="386">
        <f t="shared" ref="AS259:AS322" si="203">IF(((AO259/80)*AP259*P259)&gt;1,AQ259,((AO259/80)*AP259*P259))</f>
        <v>0</v>
      </c>
      <c r="AT259">
        <f t="shared" ref="AT259:AT322" si="204">IF(AND(M259="F",N259&lt;&gt;"NG",AS259&lt;&gt;0,AND(AR259&lt;&gt;6,AR259&lt;&gt;36,AR259&lt;&gt;56),AG259&lt;&gt;"A",OR(AG259="H",AJ259="FS")),1,IF(AND(M259="F",N259&lt;&gt;"NG",AS259&lt;&gt;0,AG259="A"),3,0))</f>
        <v>0</v>
      </c>
      <c r="AU259" s="386" t="str">
        <f>IF(AT259=0,"",IF(AND(AT259=1,M259="F",SUMIF(C2:C557,C259,AS2:AS557)&lt;=1),SUMIF(C2:C557,C259,AS2:AS557),IF(AND(AT259=1,M259="F",SUMIF(C2:C557,C259,AS2:AS557)&gt;1),1,"")))</f>
        <v/>
      </c>
      <c r="AV259" s="386" t="str">
        <f>IF(AT259=0,"",IF(AND(AT259=3,M259="F",SUMIF(C2:C557,C259,AS2:AS557)&lt;=1),SUMIF(C2:C557,C259,AS2:AS557),IF(AND(AT259=3,M259="F",SUMIF(C2:C557,C259,AS2:AS557)&gt;1),1,"")))</f>
        <v/>
      </c>
      <c r="AW259" s="386">
        <f>SUMIF(C2:C557,C259,O2:O557)</f>
        <v>0</v>
      </c>
      <c r="AX259" s="386">
        <f>IF(AND(M259="F",AS259&lt;&gt;0),SUMIF(C2:C557,C259,W2:W557),0)</f>
        <v>0</v>
      </c>
      <c r="AY259" s="386" t="str">
        <f t="shared" ref="AY259:AY322" si="205">IF(AT259=1,W259,"")</f>
        <v/>
      </c>
      <c r="AZ259" s="386" t="str">
        <f t="shared" ref="AZ259:AZ322" si="206">IF(AT259=3,W259,"")</f>
        <v/>
      </c>
      <c r="BA259" s="386">
        <f t="shared" ref="BA259:BA322" si="207">IF(AT259=1,Y259-W259,0)</f>
        <v>0</v>
      </c>
      <c r="BB259" s="386">
        <f t="shared" si="176"/>
        <v>0</v>
      </c>
      <c r="BC259" s="386">
        <f t="shared" si="177"/>
        <v>0</v>
      </c>
      <c r="BD259" s="386">
        <f t="shared" si="178"/>
        <v>0</v>
      </c>
      <c r="BE259" s="386">
        <f t="shared" si="179"/>
        <v>0</v>
      </c>
      <c r="BF259" s="386">
        <f t="shared" si="180"/>
        <v>0</v>
      </c>
      <c r="BG259" s="386">
        <f t="shared" si="181"/>
        <v>0</v>
      </c>
      <c r="BH259" s="386">
        <f t="shared" si="182"/>
        <v>0</v>
      </c>
      <c r="BI259" s="386">
        <f t="shared" si="183"/>
        <v>0</v>
      </c>
      <c r="BJ259" s="386">
        <f t="shared" si="184"/>
        <v>0</v>
      </c>
      <c r="BK259" s="386">
        <f t="shared" si="185"/>
        <v>0</v>
      </c>
      <c r="BL259" s="386">
        <f t="shared" ref="BL259:BL322" si="208">IF(AT259=1,SUM(BD259:BK259),0)</f>
        <v>0</v>
      </c>
      <c r="BM259" s="386">
        <f t="shared" ref="BM259:BM322" si="209">IF(AT259=3,SUM(BD259:BK259),0)</f>
        <v>0</v>
      </c>
      <c r="BN259" s="386">
        <f t="shared" si="186"/>
        <v>0</v>
      </c>
      <c r="BO259" s="386">
        <f t="shared" si="187"/>
        <v>0</v>
      </c>
      <c r="BP259" s="386">
        <f t="shared" si="188"/>
        <v>0</v>
      </c>
      <c r="BQ259" s="386">
        <f t="shared" si="189"/>
        <v>0</v>
      </c>
      <c r="BR259" s="386">
        <f t="shared" si="190"/>
        <v>0</v>
      </c>
      <c r="BS259" s="386">
        <f t="shared" si="191"/>
        <v>0</v>
      </c>
      <c r="BT259" s="386">
        <f t="shared" si="192"/>
        <v>0</v>
      </c>
      <c r="BU259" s="386">
        <f t="shared" si="193"/>
        <v>0</v>
      </c>
      <c r="BV259" s="386">
        <f t="shared" si="194"/>
        <v>0</v>
      </c>
      <c r="BW259" s="386">
        <f t="shared" si="195"/>
        <v>0</v>
      </c>
      <c r="BX259" s="386">
        <f t="shared" ref="BX259:BX322" si="210">IF(AT259=1,SUM(BP259:BW259),0)</f>
        <v>0</v>
      </c>
      <c r="BY259" s="386">
        <f t="shared" ref="BY259:BY322" si="211">IF(AT259=3,SUM(BP259:BW259),0)</f>
        <v>0</v>
      </c>
      <c r="BZ259" s="386">
        <f t="shared" ref="BZ259:BZ322" si="212">IF(AT259=1,BN259-BB259,0)</f>
        <v>0</v>
      </c>
      <c r="CA259" s="386">
        <f t="shared" ref="CA259:CA322" si="213">IF(AT259=3,BO259-BC259,0)</f>
        <v>0</v>
      </c>
      <c r="CB259" s="386">
        <f t="shared" ref="CB259:CB322" si="214">BP259-BD259</f>
        <v>0</v>
      </c>
      <c r="CC259" s="386">
        <f t="shared" si="196"/>
        <v>0</v>
      </c>
      <c r="CD259" s="386">
        <f t="shared" si="197"/>
        <v>0</v>
      </c>
      <c r="CE259" s="386">
        <f t="shared" si="198"/>
        <v>0</v>
      </c>
      <c r="CF259" s="386">
        <f t="shared" si="199"/>
        <v>0</v>
      </c>
      <c r="CG259" s="386">
        <f t="shared" si="200"/>
        <v>0</v>
      </c>
      <c r="CH259" s="386">
        <f t="shared" si="201"/>
        <v>0</v>
      </c>
      <c r="CI259" s="386">
        <f t="shared" si="202"/>
        <v>0</v>
      </c>
      <c r="CJ259" s="386">
        <f t="shared" ref="CJ259:CJ322" si="215">IF(AT259=1,SUM(CB259:CI259),0)</f>
        <v>0</v>
      </c>
      <c r="CK259" s="386" t="str">
        <f t="shared" ref="CK259:CK322" si="216">IF(AT259=3,SUM(CB259:CI259),"")</f>
        <v/>
      </c>
      <c r="CL259" s="386" t="str">
        <f t="shared" ref="CL259:CL322" si="217">IF(OR(N259="NG",AG259="D"),(T259+U259),"")</f>
        <v/>
      </c>
      <c r="CM259" s="386" t="str">
        <f t="shared" ref="CM259:CM322" si="218">IF(OR(N259="NG",AG259="D"),V259,"")</f>
        <v/>
      </c>
      <c r="CN259" s="386" t="str">
        <f t="shared" ref="CN259:CN322" si="219">E259 &amp; "-" &amp; F259</f>
        <v>0001-00</v>
      </c>
    </row>
    <row r="260" spans="1:92" ht="15.75" thickBot="1" x14ac:dyDescent="0.3">
      <c r="A260" s="375" t="s">
        <v>161</v>
      </c>
      <c r="B260" s="375" t="s">
        <v>162</v>
      </c>
      <c r="C260" s="375" t="s">
        <v>1103</v>
      </c>
      <c r="D260" s="375" t="s">
        <v>746</v>
      </c>
      <c r="E260" s="375" t="s">
        <v>165</v>
      </c>
      <c r="F260" s="376" t="s">
        <v>166</v>
      </c>
      <c r="G260" s="375" t="s">
        <v>1069</v>
      </c>
      <c r="H260" s="377"/>
      <c r="I260" s="377"/>
      <c r="J260" s="375" t="s">
        <v>168</v>
      </c>
      <c r="K260" s="375" t="s">
        <v>747</v>
      </c>
      <c r="L260" s="375" t="s">
        <v>210</v>
      </c>
      <c r="M260" s="375" t="s">
        <v>177</v>
      </c>
      <c r="N260" s="375" t="s">
        <v>199</v>
      </c>
      <c r="O260" s="378">
        <v>1</v>
      </c>
      <c r="P260" s="384">
        <v>1</v>
      </c>
      <c r="Q260" s="384">
        <v>1</v>
      </c>
      <c r="R260" s="379">
        <v>80</v>
      </c>
      <c r="S260" s="384">
        <v>1</v>
      </c>
      <c r="T260" s="379">
        <v>31475.24</v>
      </c>
      <c r="U260" s="379">
        <v>0</v>
      </c>
      <c r="V260" s="379">
        <v>17180.64</v>
      </c>
      <c r="W260" s="379">
        <v>36732.800000000003</v>
      </c>
      <c r="X260" s="379">
        <v>19491.32</v>
      </c>
      <c r="Y260" s="379">
        <v>36732.800000000003</v>
      </c>
      <c r="Z260" s="379">
        <v>19315.009999999998</v>
      </c>
      <c r="AA260" s="375" t="s">
        <v>1104</v>
      </c>
      <c r="AB260" s="375" t="s">
        <v>1105</v>
      </c>
      <c r="AC260" s="375" t="s">
        <v>1106</v>
      </c>
      <c r="AD260" s="375" t="s">
        <v>194</v>
      </c>
      <c r="AE260" s="375" t="s">
        <v>747</v>
      </c>
      <c r="AF260" s="375" t="s">
        <v>215</v>
      </c>
      <c r="AG260" s="375" t="s">
        <v>183</v>
      </c>
      <c r="AH260" s="380">
        <v>17.66</v>
      </c>
      <c r="AI260" s="380">
        <v>7138.5</v>
      </c>
      <c r="AJ260" s="375" t="s">
        <v>184</v>
      </c>
      <c r="AK260" s="375" t="s">
        <v>185</v>
      </c>
      <c r="AL260" s="375" t="s">
        <v>173</v>
      </c>
      <c r="AM260" s="375" t="s">
        <v>186</v>
      </c>
      <c r="AN260" s="375" t="s">
        <v>68</v>
      </c>
      <c r="AO260" s="378">
        <v>80</v>
      </c>
      <c r="AP260" s="384">
        <v>1</v>
      </c>
      <c r="AQ260" s="384">
        <v>1</v>
      </c>
      <c r="AR260" s="383" t="s">
        <v>187</v>
      </c>
      <c r="AS260" s="386">
        <f t="shared" si="203"/>
        <v>1</v>
      </c>
      <c r="AT260">
        <f t="shared" si="204"/>
        <v>1</v>
      </c>
      <c r="AU260" s="386">
        <f>IF(AT260=0,"",IF(AND(AT260=1,M260="F",SUMIF(C2:C557,C260,AS2:AS557)&lt;=1),SUMIF(C2:C557,C260,AS2:AS557),IF(AND(AT260=1,M260="F",SUMIF(C2:C557,C260,AS2:AS557)&gt;1),1,"")))</f>
        <v>1</v>
      </c>
      <c r="AV260" s="386" t="str">
        <f>IF(AT260=0,"",IF(AND(AT260=3,M260="F",SUMIF(C2:C557,C260,AS2:AS557)&lt;=1),SUMIF(C2:C557,C260,AS2:AS557),IF(AND(AT260=3,M260="F",SUMIF(C2:C557,C260,AS2:AS557)&gt;1),1,"")))</f>
        <v/>
      </c>
      <c r="AW260" s="386">
        <f>SUMIF(C2:C557,C260,O2:O557)</f>
        <v>1</v>
      </c>
      <c r="AX260" s="386">
        <f>IF(AND(M260="F",AS260&lt;&gt;0),SUMIF(C2:C557,C260,W2:W557),0)</f>
        <v>36732.800000000003</v>
      </c>
      <c r="AY260" s="386">
        <f t="shared" si="205"/>
        <v>36732.800000000003</v>
      </c>
      <c r="AZ260" s="386" t="str">
        <f t="shared" si="206"/>
        <v/>
      </c>
      <c r="BA260" s="386">
        <f t="shared" si="207"/>
        <v>0</v>
      </c>
      <c r="BB260" s="386">
        <f t="shared" si="176"/>
        <v>11650</v>
      </c>
      <c r="BC260" s="386">
        <f t="shared" si="177"/>
        <v>0</v>
      </c>
      <c r="BD260" s="386">
        <f t="shared" si="178"/>
        <v>2277.4336000000003</v>
      </c>
      <c r="BE260" s="386">
        <f t="shared" si="179"/>
        <v>532.62560000000008</v>
      </c>
      <c r="BF260" s="386">
        <f t="shared" si="180"/>
        <v>4385.8963200000007</v>
      </c>
      <c r="BG260" s="386">
        <f t="shared" si="181"/>
        <v>264.84348800000004</v>
      </c>
      <c r="BH260" s="386">
        <f t="shared" si="182"/>
        <v>179.99072000000001</v>
      </c>
      <c r="BI260" s="386">
        <f t="shared" si="183"/>
        <v>112.402368</v>
      </c>
      <c r="BJ260" s="386">
        <f t="shared" si="184"/>
        <v>88.158720000000002</v>
      </c>
      <c r="BK260" s="386">
        <f t="shared" si="185"/>
        <v>0</v>
      </c>
      <c r="BL260" s="386">
        <f t="shared" si="208"/>
        <v>7841.3508160000019</v>
      </c>
      <c r="BM260" s="386">
        <f t="shared" si="209"/>
        <v>0</v>
      </c>
      <c r="BN260" s="386">
        <f t="shared" si="186"/>
        <v>11650</v>
      </c>
      <c r="BO260" s="386">
        <f t="shared" si="187"/>
        <v>0</v>
      </c>
      <c r="BP260" s="386">
        <f t="shared" si="188"/>
        <v>2277.4336000000003</v>
      </c>
      <c r="BQ260" s="386">
        <f t="shared" si="189"/>
        <v>532.62560000000008</v>
      </c>
      <c r="BR260" s="386">
        <f t="shared" si="190"/>
        <v>4385.8963200000007</v>
      </c>
      <c r="BS260" s="386">
        <f t="shared" si="191"/>
        <v>264.84348800000004</v>
      </c>
      <c r="BT260" s="386">
        <f t="shared" si="192"/>
        <v>0</v>
      </c>
      <c r="BU260" s="386">
        <f t="shared" si="193"/>
        <v>112.402368</v>
      </c>
      <c r="BV260" s="386">
        <f t="shared" si="194"/>
        <v>91.832000000000008</v>
      </c>
      <c r="BW260" s="386">
        <f t="shared" si="195"/>
        <v>0</v>
      </c>
      <c r="BX260" s="386">
        <f t="shared" si="210"/>
        <v>7665.0333760000021</v>
      </c>
      <c r="BY260" s="386">
        <f t="shared" si="211"/>
        <v>0</v>
      </c>
      <c r="BZ260" s="386">
        <f t="shared" si="212"/>
        <v>0</v>
      </c>
      <c r="CA260" s="386">
        <f t="shared" si="213"/>
        <v>0</v>
      </c>
      <c r="CB260" s="386">
        <f t="shared" si="214"/>
        <v>0</v>
      </c>
      <c r="CC260" s="386">
        <f t="shared" si="196"/>
        <v>0</v>
      </c>
      <c r="CD260" s="386">
        <f t="shared" si="197"/>
        <v>0</v>
      </c>
      <c r="CE260" s="386">
        <f t="shared" si="198"/>
        <v>0</v>
      </c>
      <c r="CF260" s="386">
        <f t="shared" si="199"/>
        <v>-179.99072000000001</v>
      </c>
      <c r="CG260" s="386">
        <f t="shared" si="200"/>
        <v>0</v>
      </c>
      <c r="CH260" s="386">
        <f t="shared" si="201"/>
        <v>3.6732800000000099</v>
      </c>
      <c r="CI260" s="386">
        <f t="shared" si="202"/>
        <v>0</v>
      </c>
      <c r="CJ260" s="386">
        <f t="shared" si="215"/>
        <v>-176.31744</v>
      </c>
      <c r="CK260" s="386" t="str">
        <f t="shared" si="216"/>
        <v/>
      </c>
      <c r="CL260" s="386" t="str">
        <f t="shared" si="217"/>
        <v/>
      </c>
      <c r="CM260" s="386" t="str">
        <f t="shared" si="218"/>
        <v/>
      </c>
      <c r="CN260" s="386" t="str">
        <f t="shared" si="219"/>
        <v>0001-00</v>
      </c>
    </row>
    <row r="261" spans="1:92" ht="15.75" thickBot="1" x14ac:dyDescent="0.3">
      <c r="A261" s="375" t="s">
        <v>161</v>
      </c>
      <c r="B261" s="375" t="s">
        <v>162</v>
      </c>
      <c r="C261" s="375" t="s">
        <v>1107</v>
      </c>
      <c r="D261" s="375" t="s">
        <v>1108</v>
      </c>
      <c r="E261" s="375" t="s">
        <v>165</v>
      </c>
      <c r="F261" s="376" t="s">
        <v>166</v>
      </c>
      <c r="G261" s="375" t="s">
        <v>1069</v>
      </c>
      <c r="H261" s="377"/>
      <c r="I261" s="377"/>
      <c r="J261" s="375" t="s">
        <v>218</v>
      </c>
      <c r="K261" s="375" t="s">
        <v>1109</v>
      </c>
      <c r="L261" s="375" t="s">
        <v>220</v>
      </c>
      <c r="M261" s="375" t="s">
        <v>177</v>
      </c>
      <c r="N261" s="375" t="s">
        <v>199</v>
      </c>
      <c r="O261" s="378">
        <v>1</v>
      </c>
      <c r="P261" s="384">
        <v>0.5</v>
      </c>
      <c r="Q261" s="384">
        <v>0.5</v>
      </c>
      <c r="R261" s="379">
        <v>80</v>
      </c>
      <c r="S261" s="384">
        <v>0.5</v>
      </c>
      <c r="T261" s="379">
        <v>23330.06</v>
      </c>
      <c r="U261" s="379">
        <v>0</v>
      </c>
      <c r="V261" s="379">
        <v>9429.61</v>
      </c>
      <c r="W261" s="379">
        <v>28631.200000000001</v>
      </c>
      <c r="X261" s="379">
        <v>11936.88</v>
      </c>
      <c r="Y261" s="379">
        <v>28631.200000000001</v>
      </c>
      <c r="Z261" s="379">
        <v>11799.46</v>
      </c>
      <c r="AA261" s="375" t="s">
        <v>1110</v>
      </c>
      <c r="AB261" s="375" t="s">
        <v>1111</v>
      </c>
      <c r="AC261" s="375" t="s">
        <v>1112</v>
      </c>
      <c r="AD261" s="375" t="s">
        <v>194</v>
      </c>
      <c r="AE261" s="375" t="s">
        <v>1109</v>
      </c>
      <c r="AF261" s="375" t="s">
        <v>252</v>
      </c>
      <c r="AG261" s="375" t="s">
        <v>183</v>
      </c>
      <c r="AH261" s="380">
        <v>27.53</v>
      </c>
      <c r="AI261" s="378">
        <v>16960</v>
      </c>
      <c r="AJ261" s="375" t="s">
        <v>184</v>
      </c>
      <c r="AK261" s="375" t="s">
        <v>185</v>
      </c>
      <c r="AL261" s="375" t="s">
        <v>173</v>
      </c>
      <c r="AM261" s="375" t="s">
        <v>186</v>
      </c>
      <c r="AN261" s="375" t="s">
        <v>68</v>
      </c>
      <c r="AO261" s="378">
        <v>80</v>
      </c>
      <c r="AP261" s="384">
        <v>1</v>
      </c>
      <c r="AQ261" s="384">
        <v>0.5</v>
      </c>
      <c r="AR261" s="383" t="s">
        <v>187</v>
      </c>
      <c r="AS261" s="386">
        <f t="shared" si="203"/>
        <v>0.5</v>
      </c>
      <c r="AT261">
        <f t="shared" si="204"/>
        <v>1</v>
      </c>
      <c r="AU261" s="386">
        <f>IF(AT261=0,"",IF(AND(AT261=1,M261="F",SUMIF(C2:C557,C261,AS2:AS557)&lt;=1),SUMIF(C2:C557,C261,AS2:AS557),IF(AND(AT261=1,M261="F",SUMIF(C2:C557,C261,AS2:AS557)&gt;1),1,"")))</f>
        <v>1</v>
      </c>
      <c r="AV261" s="386" t="str">
        <f>IF(AT261=0,"",IF(AND(AT261=3,M261="F",SUMIF(C2:C557,C261,AS2:AS557)&lt;=1),SUMIF(C2:C557,C261,AS2:AS557),IF(AND(AT261=3,M261="F",SUMIF(C2:C557,C261,AS2:AS557)&gt;1),1,"")))</f>
        <v/>
      </c>
      <c r="AW261" s="386">
        <f>SUMIF(C2:C557,C261,O2:O557)</f>
        <v>2</v>
      </c>
      <c r="AX261" s="386">
        <f>IF(AND(M261="F",AS261&lt;&gt;0),SUMIF(C2:C557,C261,W2:W557),0)</f>
        <v>57262.400000000001</v>
      </c>
      <c r="AY261" s="386">
        <f t="shared" si="205"/>
        <v>28631.200000000001</v>
      </c>
      <c r="AZ261" s="386" t="str">
        <f t="shared" si="206"/>
        <v/>
      </c>
      <c r="BA261" s="386">
        <f t="shared" si="207"/>
        <v>0</v>
      </c>
      <c r="BB261" s="386">
        <f t="shared" si="176"/>
        <v>5825</v>
      </c>
      <c r="BC261" s="386">
        <f t="shared" si="177"/>
        <v>0</v>
      </c>
      <c r="BD261" s="386">
        <f t="shared" si="178"/>
        <v>1775.1344000000001</v>
      </c>
      <c r="BE261" s="386">
        <f t="shared" si="179"/>
        <v>415.15240000000006</v>
      </c>
      <c r="BF261" s="386">
        <f t="shared" si="180"/>
        <v>3418.5652800000003</v>
      </c>
      <c r="BG261" s="386">
        <f t="shared" si="181"/>
        <v>206.43095200000002</v>
      </c>
      <c r="BH261" s="386">
        <f t="shared" si="182"/>
        <v>140.29288</v>
      </c>
      <c r="BI261" s="386">
        <f t="shared" si="183"/>
        <v>87.611471999999992</v>
      </c>
      <c r="BJ261" s="386">
        <f t="shared" si="184"/>
        <v>68.714879999999994</v>
      </c>
      <c r="BK261" s="386">
        <f t="shared" si="185"/>
        <v>0</v>
      </c>
      <c r="BL261" s="386">
        <f t="shared" si="208"/>
        <v>6111.9022640000003</v>
      </c>
      <c r="BM261" s="386">
        <f t="shared" si="209"/>
        <v>0</v>
      </c>
      <c r="BN261" s="386">
        <f t="shared" si="186"/>
        <v>5825</v>
      </c>
      <c r="BO261" s="386">
        <f t="shared" si="187"/>
        <v>0</v>
      </c>
      <c r="BP261" s="386">
        <f t="shared" si="188"/>
        <v>1775.1344000000001</v>
      </c>
      <c r="BQ261" s="386">
        <f t="shared" si="189"/>
        <v>415.15240000000006</v>
      </c>
      <c r="BR261" s="386">
        <f t="shared" si="190"/>
        <v>3418.5652800000003</v>
      </c>
      <c r="BS261" s="386">
        <f t="shared" si="191"/>
        <v>206.43095200000002</v>
      </c>
      <c r="BT261" s="386">
        <f t="shared" si="192"/>
        <v>0</v>
      </c>
      <c r="BU261" s="386">
        <f t="shared" si="193"/>
        <v>87.611471999999992</v>
      </c>
      <c r="BV261" s="386">
        <f t="shared" si="194"/>
        <v>71.578000000000003</v>
      </c>
      <c r="BW261" s="386">
        <f t="shared" si="195"/>
        <v>0</v>
      </c>
      <c r="BX261" s="386">
        <f t="shared" si="210"/>
        <v>5974.4725040000003</v>
      </c>
      <c r="BY261" s="386">
        <f t="shared" si="211"/>
        <v>0</v>
      </c>
      <c r="BZ261" s="386">
        <f t="shared" si="212"/>
        <v>0</v>
      </c>
      <c r="CA261" s="386">
        <f t="shared" si="213"/>
        <v>0</v>
      </c>
      <c r="CB261" s="386">
        <f t="shared" si="214"/>
        <v>0</v>
      </c>
      <c r="CC261" s="386">
        <f t="shared" si="196"/>
        <v>0</v>
      </c>
      <c r="CD261" s="386">
        <f t="shared" si="197"/>
        <v>0</v>
      </c>
      <c r="CE261" s="386">
        <f t="shared" si="198"/>
        <v>0</v>
      </c>
      <c r="CF261" s="386">
        <f t="shared" si="199"/>
        <v>-140.29288</v>
      </c>
      <c r="CG261" s="386">
        <f t="shared" si="200"/>
        <v>0</v>
      </c>
      <c r="CH261" s="386">
        <f t="shared" si="201"/>
        <v>2.8631200000000074</v>
      </c>
      <c r="CI261" s="386">
        <f t="shared" si="202"/>
        <v>0</v>
      </c>
      <c r="CJ261" s="386">
        <f t="shared" si="215"/>
        <v>-137.42975999999999</v>
      </c>
      <c r="CK261" s="386" t="str">
        <f t="shared" si="216"/>
        <v/>
      </c>
      <c r="CL261" s="386" t="str">
        <f t="shared" si="217"/>
        <v/>
      </c>
      <c r="CM261" s="386" t="str">
        <f t="shared" si="218"/>
        <v/>
      </c>
      <c r="CN261" s="386" t="str">
        <f t="shared" si="219"/>
        <v>0001-00</v>
      </c>
    </row>
    <row r="262" spans="1:92" ht="15.75" thickBot="1" x14ac:dyDescent="0.3">
      <c r="A262" s="375" t="s">
        <v>161</v>
      </c>
      <c r="B262" s="375" t="s">
        <v>162</v>
      </c>
      <c r="C262" s="375" t="s">
        <v>1113</v>
      </c>
      <c r="D262" s="375" t="s">
        <v>665</v>
      </c>
      <c r="E262" s="375" t="s">
        <v>165</v>
      </c>
      <c r="F262" s="376" t="s">
        <v>166</v>
      </c>
      <c r="G262" s="375" t="s">
        <v>1069</v>
      </c>
      <c r="H262" s="377"/>
      <c r="I262" s="377"/>
      <c r="J262" s="375" t="s">
        <v>168</v>
      </c>
      <c r="K262" s="375" t="s">
        <v>666</v>
      </c>
      <c r="L262" s="375" t="s">
        <v>183</v>
      </c>
      <c r="M262" s="375" t="s">
        <v>177</v>
      </c>
      <c r="N262" s="375" t="s">
        <v>199</v>
      </c>
      <c r="O262" s="378">
        <v>1</v>
      </c>
      <c r="P262" s="384">
        <v>1</v>
      </c>
      <c r="Q262" s="384">
        <v>1</v>
      </c>
      <c r="R262" s="379">
        <v>80</v>
      </c>
      <c r="S262" s="384">
        <v>1</v>
      </c>
      <c r="T262" s="379">
        <v>26191.5</v>
      </c>
      <c r="U262" s="379">
        <v>0</v>
      </c>
      <c r="V262" s="379">
        <v>15614.52</v>
      </c>
      <c r="W262" s="379">
        <v>30056</v>
      </c>
      <c r="X262" s="379">
        <v>18066.03</v>
      </c>
      <c r="Y262" s="379">
        <v>30056</v>
      </c>
      <c r="Z262" s="379">
        <v>17921.77</v>
      </c>
      <c r="AA262" s="375" t="s">
        <v>1114</v>
      </c>
      <c r="AB262" s="375" t="s">
        <v>1115</v>
      </c>
      <c r="AC262" s="375" t="s">
        <v>387</v>
      </c>
      <c r="AD262" s="375" t="s">
        <v>198</v>
      </c>
      <c r="AE262" s="375" t="s">
        <v>666</v>
      </c>
      <c r="AF262" s="375" t="s">
        <v>206</v>
      </c>
      <c r="AG262" s="375" t="s">
        <v>183</v>
      </c>
      <c r="AH262" s="380">
        <v>14.45</v>
      </c>
      <c r="AI262" s="380">
        <v>1345.6</v>
      </c>
      <c r="AJ262" s="375" t="s">
        <v>184</v>
      </c>
      <c r="AK262" s="375" t="s">
        <v>185</v>
      </c>
      <c r="AL262" s="375" t="s">
        <v>173</v>
      </c>
      <c r="AM262" s="375" t="s">
        <v>186</v>
      </c>
      <c r="AN262" s="375" t="s">
        <v>68</v>
      </c>
      <c r="AO262" s="378">
        <v>80</v>
      </c>
      <c r="AP262" s="384">
        <v>1</v>
      </c>
      <c r="AQ262" s="384">
        <v>1</v>
      </c>
      <c r="AR262" s="383" t="s">
        <v>187</v>
      </c>
      <c r="AS262" s="386">
        <f t="shared" si="203"/>
        <v>1</v>
      </c>
      <c r="AT262">
        <f t="shared" si="204"/>
        <v>1</v>
      </c>
      <c r="AU262" s="386">
        <f>IF(AT262=0,"",IF(AND(AT262=1,M262="F",SUMIF(C2:C557,C262,AS2:AS557)&lt;=1),SUMIF(C2:C557,C262,AS2:AS557),IF(AND(AT262=1,M262="F",SUMIF(C2:C557,C262,AS2:AS557)&gt;1),1,"")))</f>
        <v>1</v>
      </c>
      <c r="AV262" s="386" t="str">
        <f>IF(AT262=0,"",IF(AND(AT262=3,M262="F",SUMIF(C2:C557,C262,AS2:AS557)&lt;=1),SUMIF(C2:C557,C262,AS2:AS557),IF(AND(AT262=3,M262="F",SUMIF(C2:C557,C262,AS2:AS557)&gt;1),1,"")))</f>
        <v/>
      </c>
      <c r="AW262" s="386">
        <f>SUMIF(C2:C557,C262,O2:O557)</f>
        <v>1</v>
      </c>
      <c r="AX262" s="386">
        <f>IF(AND(M262="F",AS262&lt;&gt;0),SUMIF(C2:C557,C262,W2:W557),0)</f>
        <v>30056</v>
      </c>
      <c r="AY262" s="386">
        <f t="shared" si="205"/>
        <v>30056</v>
      </c>
      <c r="AZ262" s="386" t="str">
        <f t="shared" si="206"/>
        <v/>
      </c>
      <c r="BA262" s="386">
        <f t="shared" si="207"/>
        <v>0</v>
      </c>
      <c r="BB262" s="386">
        <f t="shared" si="176"/>
        <v>11650</v>
      </c>
      <c r="BC262" s="386">
        <f t="shared" si="177"/>
        <v>0</v>
      </c>
      <c r="BD262" s="386">
        <f t="shared" si="178"/>
        <v>1863.472</v>
      </c>
      <c r="BE262" s="386">
        <f t="shared" si="179"/>
        <v>435.81200000000001</v>
      </c>
      <c r="BF262" s="386">
        <f t="shared" si="180"/>
        <v>3588.6864</v>
      </c>
      <c r="BG262" s="386">
        <f t="shared" si="181"/>
        <v>216.70376000000002</v>
      </c>
      <c r="BH262" s="386">
        <f t="shared" si="182"/>
        <v>147.27439999999999</v>
      </c>
      <c r="BI262" s="386">
        <f t="shared" si="183"/>
        <v>91.97135999999999</v>
      </c>
      <c r="BJ262" s="386">
        <f t="shared" si="184"/>
        <v>72.134399999999999</v>
      </c>
      <c r="BK262" s="386">
        <f t="shared" si="185"/>
        <v>0</v>
      </c>
      <c r="BL262" s="386">
        <f t="shared" si="208"/>
        <v>6416.0543200000002</v>
      </c>
      <c r="BM262" s="386">
        <f t="shared" si="209"/>
        <v>0</v>
      </c>
      <c r="BN262" s="386">
        <f t="shared" si="186"/>
        <v>11650</v>
      </c>
      <c r="BO262" s="386">
        <f t="shared" si="187"/>
        <v>0</v>
      </c>
      <c r="BP262" s="386">
        <f t="shared" si="188"/>
        <v>1863.472</v>
      </c>
      <c r="BQ262" s="386">
        <f t="shared" si="189"/>
        <v>435.81200000000001</v>
      </c>
      <c r="BR262" s="386">
        <f t="shared" si="190"/>
        <v>3588.6864</v>
      </c>
      <c r="BS262" s="386">
        <f t="shared" si="191"/>
        <v>216.70376000000002</v>
      </c>
      <c r="BT262" s="386">
        <f t="shared" si="192"/>
        <v>0</v>
      </c>
      <c r="BU262" s="386">
        <f t="shared" si="193"/>
        <v>91.97135999999999</v>
      </c>
      <c r="BV262" s="386">
        <f t="shared" si="194"/>
        <v>75.14</v>
      </c>
      <c r="BW262" s="386">
        <f t="shared" si="195"/>
        <v>0</v>
      </c>
      <c r="BX262" s="386">
        <f t="shared" si="210"/>
        <v>6271.7855200000004</v>
      </c>
      <c r="BY262" s="386">
        <f t="shared" si="211"/>
        <v>0</v>
      </c>
      <c r="BZ262" s="386">
        <f t="shared" si="212"/>
        <v>0</v>
      </c>
      <c r="CA262" s="386">
        <f t="shared" si="213"/>
        <v>0</v>
      </c>
      <c r="CB262" s="386">
        <f t="shared" si="214"/>
        <v>0</v>
      </c>
      <c r="CC262" s="386">
        <f t="shared" si="196"/>
        <v>0</v>
      </c>
      <c r="CD262" s="386">
        <f t="shared" si="197"/>
        <v>0</v>
      </c>
      <c r="CE262" s="386">
        <f t="shared" si="198"/>
        <v>0</v>
      </c>
      <c r="CF262" s="386">
        <f t="shared" si="199"/>
        <v>-147.27439999999999</v>
      </c>
      <c r="CG262" s="386">
        <f t="shared" si="200"/>
        <v>0</v>
      </c>
      <c r="CH262" s="386">
        <f t="shared" si="201"/>
        <v>3.0056000000000078</v>
      </c>
      <c r="CI262" s="386">
        <f t="shared" si="202"/>
        <v>0</v>
      </c>
      <c r="CJ262" s="386">
        <f t="shared" si="215"/>
        <v>-144.26879999999997</v>
      </c>
      <c r="CK262" s="386" t="str">
        <f t="shared" si="216"/>
        <v/>
      </c>
      <c r="CL262" s="386" t="str">
        <f t="shared" si="217"/>
        <v/>
      </c>
      <c r="CM262" s="386" t="str">
        <f t="shared" si="218"/>
        <v/>
      </c>
      <c r="CN262" s="386" t="str">
        <f t="shared" si="219"/>
        <v>0001-00</v>
      </c>
    </row>
    <row r="263" spans="1:92" ht="15.75" thickBot="1" x14ac:dyDescent="0.3">
      <c r="A263" s="375" t="s">
        <v>161</v>
      </c>
      <c r="B263" s="375" t="s">
        <v>162</v>
      </c>
      <c r="C263" s="375" t="s">
        <v>1116</v>
      </c>
      <c r="D263" s="375" t="s">
        <v>665</v>
      </c>
      <c r="E263" s="375" t="s">
        <v>165</v>
      </c>
      <c r="F263" s="376" t="s">
        <v>166</v>
      </c>
      <c r="G263" s="375" t="s">
        <v>1069</v>
      </c>
      <c r="H263" s="377"/>
      <c r="I263" s="377"/>
      <c r="J263" s="375" t="s">
        <v>168</v>
      </c>
      <c r="K263" s="375" t="s">
        <v>666</v>
      </c>
      <c r="L263" s="375" t="s">
        <v>183</v>
      </c>
      <c r="M263" s="375" t="s">
        <v>177</v>
      </c>
      <c r="N263" s="375" t="s">
        <v>199</v>
      </c>
      <c r="O263" s="378">
        <v>1</v>
      </c>
      <c r="P263" s="384">
        <v>1</v>
      </c>
      <c r="Q263" s="384">
        <v>1</v>
      </c>
      <c r="R263" s="379">
        <v>80</v>
      </c>
      <c r="S263" s="384">
        <v>1</v>
      </c>
      <c r="T263" s="379">
        <v>26601.77</v>
      </c>
      <c r="U263" s="379">
        <v>837.98</v>
      </c>
      <c r="V263" s="379">
        <v>18819.13</v>
      </c>
      <c r="W263" s="379">
        <v>30056</v>
      </c>
      <c r="X263" s="379">
        <v>18066.03</v>
      </c>
      <c r="Y263" s="379">
        <v>30056</v>
      </c>
      <c r="Z263" s="379">
        <v>17921.77</v>
      </c>
      <c r="AA263" s="375" t="s">
        <v>1117</v>
      </c>
      <c r="AB263" s="375" t="s">
        <v>1118</v>
      </c>
      <c r="AC263" s="375" t="s">
        <v>1119</v>
      </c>
      <c r="AD263" s="375" t="s">
        <v>181</v>
      </c>
      <c r="AE263" s="375" t="s">
        <v>666</v>
      </c>
      <c r="AF263" s="375" t="s">
        <v>206</v>
      </c>
      <c r="AG263" s="375" t="s">
        <v>183</v>
      </c>
      <c r="AH263" s="380">
        <v>14.45</v>
      </c>
      <c r="AI263" s="380">
        <v>1215.2</v>
      </c>
      <c r="AJ263" s="375" t="s">
        <v>184</v>
      </c>
      <c r="AK263" s="375" t="s">
        <v>185</v>
      </c>
      <c r="AL263" s="375" t="s">
        <v>173</v>
      </c>
      <c r="AM263" s="375" t="s">
        <v>186</v>
      </c>
      <c r="AN263" s="375" t="s">
        <v>68</v>
      </c>
      <c r="AO263" s="378">
        <v>80</v>
      </c>
      <c r="AP263" s="384">
        <v>1</v>
      </c>
      <c r="AQ263" s="384">
        <v>1</v>
      </c>
      <c r="AR263" s="383" t="s">
        <v>187</v>
      </c>
      <c r="AS263" s="386">
        <f t="shared" si="203"/>
        <v>1</v>
      </c>
      <c r="AT263">
        <f t="shared" si="204"/>
        <v>1</v>
      </c>
      <c r="AU263" s="386">
        <f>IF(AT263=0,"",IF(AND(AT263=1,M263="F",SUMIF(C2:C557,C263,AS2:AS557)&lt;=1),SUMIF(C2:C557,C263,AS2:AS557),IF(AND(AT263=1,M263="F",SUMIF(C2:C557,C263,AS2:AS557)&gt;1),1,"")))</f>
        <v>1</v>
      </c>
      <c r="AV263" s="386" t="str">
        <f>IF(AT263=0,"",IF(AND(AT263=3,M263="F",SUMIF(C2:C557,C263,AS2:AS557)&lt;=1),SUMIF(C2:C557,C263,AS2:AS557),IF(AND(AT263=3,M263="F",SUMIF(C2:C557,C263,AS2:AS557)&gt;1),1,"")))</f>
        <v/>
      </c>
      <c r="AW263" s="386">
        <f>SUMIF(C2:C557,C263,O2:O557)</f>
        <v>1</v>
      </c>
      <c r="AX263" s="386">
        <f>IF(AND(M263="F",AS263&lt;&gt;0),SUMIF(C2:C557,C263,W2:W557),0)</f>
        <v>30056</v>
      </c>
      <c r="AY263" s="386">
        <f t="shared" si="205"/>
        <v>30056</v>
      </c>
      <c r="AZ263" s="386" t="str">
        <f t="shared" si="206"/>
        <v/>
      </c>
      <c r="BA263" s="386">
        <f t="shared" si="207"/>
        <v>0</v>
      </c>
      <c r="BB263" s="386">
        <f t="shared" si="176"/>
        <v>11650</v>
      </c>
      <c r="BC263" s="386">
        <f t="shared" si="177"/>
        <v>0</v>
      </c>
      <c r="BD263" s="386">
        <f t="shared" si="178"/>
        <v>1863.472</v>
      </c>
      <c r="BE263" s="386">
        <f t="shared" si="179"/>
        <v>435.81200000000001</v>
      </c>
      <c r="BF263" s="386">
        <f t="shared" si="180"/>
        <v>3588.6864</v>
      </c>
      <c r="BG263" s="386">
        <f t="shared" si="181"/>
        <v>216.70376000000002</v>
      </c>
      <c r="BH263" s="386">
        <f t="shared" si="182"/>
        <v>147.27439999999999</v>
      </c>
      <c r="BI263" s="386">
        <f t="shared" si="183"/>
        <v>91.97135999999999</v>
      </c>
      <c r="BJ263" s="386">
        <f t="shared" si="184"/>
        <v>72.134399999999999</v>
      </c>
      <c r="BK263" s="386">
        <f t="shared" si="185"/>
        <v>0</v>
      </c>
      <c r="BL263" s="386">
        <f t="shared" si="208"/>
        <v>6416.0543200000002</v>
      </c>
      <c r="BM263" s="386">
        <f t="shared" si="209"/>
        <v>0</v>
      </c>
      <c r="BN263" s="386">
        <f t="shared" si="186"/>
        <v>11650</v>
      </c>
      <c r="BO263" s="386">
        <f t="shared" si="187"/>
        <v>0</v>
      </c>
      <c r="BP263" s="386">
        <f t="shared" si="188"/>
        <v>1863.472</v>
      </c>
      <c r="BQ263" s="386">
        <f t="shared" si="189"/>
        <v>435.81200000000001</v>
      </c>
      <c r="BR263" s="386">
        <f t="shared" si="190"/>
        <v>3588.6864</v>
      </c>
      <c r="BS263" s="386">
        <f t="shared" si="191"/>
        <v>216.70376000000002</v>
      </c>
      <c r="BT263" s="386">
        <f t="shared" si="192"/>
        <v>0</v>
      </c>
      <c r="BU263" s="386">
        <f t="shared" si="193"/>
        <v>91.97135999999999</v>
      </c>
      <c r="BV263" s="386">
        <f t="shared" si="194"/>
        <v>75.14</v>
      </c>
      <c r="BW263" s="386">
        <f t="shared" si="195"/>
        <v>0</v>
      </c>
      <c r="BX263" s="386">
        <f t="shared" si="210"/>
        <v>6271.7855200000004</v>
      </c>
      <c r="BY263" s="386">
        <f t="shared" si="211"/>
        <v>0</v>
      </c>
      <c r="BZ263" s="386">
        <f t="shared" si="212"/>
        <v>0</v>
      </c>
      <c r="CA263" s="386">
        <f t="shared" si="213"/>
        <v>0</v>
      </c>
      <c r="CB263" s="386">
        <f t="shared" si="214"/>
        <v>0</v>
      </c>
      <c r="CC263" s="386">
        <f t="shared" si="196"/>
        <v>0</v>
      </c>
      <c r="CD263" s="386">
        <f t="shared" si="197"/>
        <v>0</v>
      </c>
      <c r="CE263" s="386">
        <f t="shared" si="198"/>
        <v>0</v>
      </c>
      <c r="CF263" s="386">
        <f t="shared" si="199"/>
        <v>-147.27439999999999</v>
      </c>
      <c r="CG263" s="386">
        <f t="shared" si="200"/>
        <v>0</v>
      </c>
      <c r="CH263" s="386">
        <f t="shared" si="201"/>
        <v>3.0056000000000078</v>
      </c>
      <c r="CI263" s="386">
        <f t="shared" si="202"/>
        <v>0</v>
      </c>
      <c r="CJ263" s="386">
        <f t="shared" si="215"/>
        <v>-144.26879999999997</v>
      </c>
      <c r="CK263" s="386" t="str">
        <f t="shared" si="216"/>
        <v/>
      </c>
      <c r="CL263" s="386" t="str">
        <f t="shared" si="217"/>
        <v/>
      </c>
      <c r="CM263" s="386" t="str">
        <f t="shared" si="218"/>
        <v/>
      </c>
      <c r="CN263" s="386" t="str">
        <f t="shared" si="219"/>
        <v>0001-00</v>
      </c>
    </row>
    <row r="264" spans="1:92" ht="15.75" thickBot="1" x14ac:dyDescent="0.3">
      <c r="A264" s="375" t="s">
        <v>161</v>
      </c>
      <c r="B264" s="375" t="s">
        <v>162</v>
      </c>
      <c r="C264" s="375" t="s">
        <v>1120</v>
      </c>
      <c r="D264" s="375" t="s">
        <v>746</v>
      </c>
      <c r="E264" s="375" t="s">
        <v>165</v>
      </c>
      <c r="F264" s="376" t="s">
        <v>166</v>
      </c>
      <c r="G264" s="375" t="s">
        <v>1069</v>
      </c>
      <c r="H264" s="377"/>
      <c r="I264" s="377"/>
      <c r="J264" s="375" t="s">
        <v>168</v>
      </c>
      <c r="K264" s="375" t="s">
        <v>747</v>
      </c>
      <c r="L264" s="375" t="s">
        <v>210</v>
      </c>
      <c r="M264" s="375" t="s">
        <v>177</v>
      </c>
      <c r="N264" s="375" t="s">
        <v>199</v>
      </c>
      <c r="O264" s="378">
        <v>1</v>
      </c>
      <c r="P264" s="384">
        <v>1</v>
      </c>
      <c r="Q264" s="384">
        <v>1</v>
      </c>
      <c r="R264" s="379">
        <v>80</v>
      </c>
      <c r="S264" s="384">
        <v>1</v>
      </c>
      <c r="T264" s="379">
        <v>29260.799999999999</v>
      </c>
      <c r="U264" s="379">
        <v>0</v>
      </c>
      <c r="V264" s="379">
        <v>15564.68</v>
      </c>
      <c r="W264" s="379">
        <v>35547.199999999997</v>
      </c>
      <c r="X264" s="379">
        <v>19238.23</v>
      </c>
      <c r="Y264" s="379">
        <v>35547.199999999997</v>
      </c>
      <c r="Z264" s="379">
        <v>19067.599999999999</v>
      </c>
      <c r="AA264" s="375" t="s">
        <v>1121</v>
      </c>
      <c r="AB264" s="375" t="s">
        <v>255</v>
      </c>
      <c r="AC264" s="375" t="s">
        <v>1122</v>
      </c>
      <c r="AD264" s="375" t="s">
        <v>195</v>
      </c>
      <c r="AE264" s="375" t="s">
        <v>747</v>
      </c>
      <c r="AF264" s="375" t="s">
        <v>215</v>
      </c>
      <c r="AG264" s="375" t="s">
        <v>183</v>
      </c>
      <c r="AH264" s="380">
        <v>17.09</v>
      </c>
      <c r="AI264" s="378">
        <v>16056</v>
      </c>
      <c r="AJ264" s="375" t="s">
        <v>184</v>
      </c>
      <c r="AK264" s="375" t="s">
        <v>185</v>
      </c>
      <c r="AL264" s="375" t="s">
        <v>173</v>
      </c>
      <c r="AM264" s="375" t="s">
        <v>186</v>
      </c>
      <c r="AN264" s="375" t="s">
        <v>68</v>
      </c>
      <c r="AO264" s="378">
        <v>80</v>
      </c>
      <c r="AP264" s="384">
        <v>1</v>
      </c>
      <c r="AQ264" s="384">
        <v>1</v>
      </c>
      <c r="AR264" s="383" t="s">
        <v>187</v>
      </c>
      <c r="AS264" s="386">
        <f t="shared" si="203"/>
        <v>1</v>
      </c>
      <c r="AT264">
        <f t="shared" si="204"/>
        <v>1</v>
      </c>
      <c r="AU264" s="386">
        <f>IF(AT264=0,"",IF(AND(AT264=1,M264="F",SUMIF(C2:C557,C264,AS2:AS557)&lt;=1),SUMIF(C2:C557,C264,AS2:AS557),IF(AND(AT264=1,M264="F",SUMIF(C2:C557,C264,AS2:AS557)&gt;1),1,"")))</f>
        <v>1</v>
      </c>
      <c r="AV264" s="386" t="str">
        <f>IF(AT264=0,"",IF(AND(AT264=3,M264="F",SUMIF(C2:C557,C264,AS2:AS557)&lt;=1),SUMIF(C2:C557,C264,AS2:AS557),IF(AND(AT264=3,M264="F",SUMIF(C2:C557,C264,AS2:AS557)&gt;1),1,"")))</f>
        <v/>
      </c>
      <c r="AW264" s="386">
        <f>SUMIF(C2:C557,C264,O2:O557)</f>
        <v>1</v>
      </c>
      <c r="AX264" s="386">
        <f>IF(AND(M264="F",AS264&lt;&gt;0),SUMIF(C2:C557,C264,W2:W557),0)</f>
        <v>35547.199999999997</v>
      </c>
      <c r="AY264" s="386">
        <f t="shared" si="205"/>
        <v>35547.199999999997</v>
      </c>
      <c r="AZ264" s="386" t="str">
        <f t="shared" si="206"/>
        <v/>
      </c>
      <c r="BA264" s="386">
        <f t="shared" si="207"/>
        <v>0</v>
      </c>
      <c r="BB264" s="386">
        <f t="shared" si="176"/>
        <v>11650</v>
      </c>
      <c r="BC264" s="386">
        <f t="shared" si="177"/>
        <v>0</v>
      </c>
      <c r="BD264" s="386">
        <f t="shared" si="178"/>
        <v>2203.9263999999998</v>
      </c>
      <c r="BE264" s="386">
        <f t="shared" si="179"/>
        <v>515.43439999999998</v>
      </c>
      <c r="BF264" s="386">
        <f t="shared" si="180"/>
        <v>4244.3356800000001</v>
      </c>
      <c r="BG264" s="386">
        <f t="shared" si="181"/>
        <v>256.29531199999997</v>
      </c>
      <c r="BH264" s="386">
        <f t="shared" si="182"/>
        <v>174.18127999999999</v>
      </c>
      <c r="BI264" s="386">
        <f t="shared" si="183"/>
        <v>108.77443199999999</v>
      </c>
      <c r="BJ264" s="386">
        <f t="shared" si="184"/>
        <v>85.313279999999992</v>
      </c>
      <c r="BK264" s="386">
        <f t="shared" si="185"/>
        <v>0</v>
      </c>
      <c r="BL264" s="386">
        <f t="shared" si="208"/>
        <v>7588.260784000001</v>
      </c>
      <c r="BM264" s="386">
        <f t="shared" si="209"/>
        <v>0</v>
      </c>
      <c r="BN264" s="386">
        <f t="shared" si="186"/>
        <v>11650</v>
      </c>
      <c r="BO264" s="386">
        <f t="shared" si="187"/>
        <v>0</v>
      </c>
      <c r="BP264" s="386">
        <f t="shared" si="188"/>
        <v>2203.9263999999998</v>
      </c>
      <c r="BQ264" s="386">
        <f t="shared" si="189"/>
        <v>515.43439999999998</v>
      </c>
      <c r="BR264" s="386">
        <f t="shared" si="190"/>
        <v>4244.3356800000001</v>
      </c>
      <c r="BS264" s="386">
        <f t="shared" si="191"/>
        <v>256.29531199999997</v>
      </c>
      <c r="BT264" s="386">
        <f t="shared" si="192"/>
        <v>0</v>
      </c>
      <c r="BU264" s="386">
        <f t="shared" si="193"/>
        <v>108.77443199999999</v>
      </c>
      <c r="BV264" s="386">
        <f t="shared" si="194"/>
        <v>88.867999999999995</v>
      </c>
      <c r="BW264" s="386">
        <f t="shared" si="195"/>
        <v>0</v>
      </c>
      <c r="BX264" s="386">
        <f t="shared" si="210"/>
        <v>7417.6342240000013</v>
      </c>
      <c r="BY264" s="386">
        <f t="shared" si="211"/>
        <v>0</v>
      </c>
      <c r="BZ264" s="386">
        <f t="shared" si="212"/>
        <v>0</v>
      </c>
      <c r="CA264" s="386">
        <f t="shared" si="213"/>
        <v>0</v>
      </c>
      <c r="CB264" s="386">
        <f t="shared" si="214"/>
        <v>0</v>
      </c>
      <c r="CC264" s="386">
        <f t="shared" si="196"/>
        <v>0</v>
      </c>
      <c r="CD264" s="386">
        <f t="shared" si="197"/>
        <v>0</v>
      </c>
      <c r="CE264" s="386">
        <f t="shared" si="198"/>
        <v>0</v>
      </c>
      <c r="CF264" s="386">
        <f t="shared" si="199"/>
        <v>-174.18127999999999</v>
      </c>
      <c r="CG264" s="386">
        <f t="shared" si="200"/>
        <v>0</v>
      </c>
      <c r="CH264" s="386">
        <f t="shared" si="201"/>
        <v>3.554720000000009</v>
      </c>
      <c r="CI264" s="386">
        <f t="shared" si="202"/>
        <v>0</v>
      </c>
      <c r="CJ264" s="386">
        <f t="shared" si="215"/>
        <v>-170.62655999999998</v>
      </c>
      <c r="CK264" s="386" t="str">
        <f t="shared" si="216"/>
        <v/>
      </c>
      <c r="CL264" s="386" t="str">
        <f t="shared" si="217"/>
        <v/>
      </c>
      <c r="CM264" s="386" t="str">
        <f t="shared" si="218"/>
        <v/>
      </c>
      <c r="CN264" s="386" t="str">
        <f t="shared" si="219"/>
        <v>0001-00</v>
      </c>
    </row>
    <row r="265" spans="1:92" ht="15.75" thickBot="1" x14ac:dyDescent="0.3">
      <c r="A265" s="375" t="s">
        <v>161</v>
      </c>
      <c r="B265" s="375" t="s">
        <v>162</v>
      </c>
      <c r="C265" s="375" t="s">
        <v>1123</v>
      </c>
      <c r="D265" s="375" t="s">
        <v>665</v>
      </c>
      <c r="E265" s="375" t="s">
        <v>165</v>
      </c>
      <c r="F265" s="376" t="s">
        <v>166</v>
      </c>
      <c r="G265" s="375" t="s">
        <v>1069</v>
      </c>
      <c r="H265" s="377"/>
      <c r="I265" s="377"/>
      <c r="J265" s="375" t="s">
        <v>168</v>
      </c>
      <c r="K265" s="375" t="s">
        <v>666</v>
      </c>
      <c r="L265" s="375" t="s">
        <v>183</v>
      </c>
      <c r="M265" s="375" t="s">
        <v>177</v>
      </c>
      <c r="N265" s="375" t="s">
        <v>199</v>
      </c>
      <c r="O265" s="378">
        <v>1</v>
      </c>
      <c r="P265" s="384">
        <v>1</v>
      </c>
      <c r="Q265" s="384">
        <v>1</v>
      </c>
      <c r="R265" s="379">
        <v>80</v>
      </c>
      <c r="S265" s="384">
        <v>1</v>
      </c>
      <c r="T265" s="379">
        <v>27487.1</v>
      </c>
      <c r="U265" s="379">
        <v>410.7</v>
      </c>
      <c r="V265" s="379">
        <v>17424.990000000002</v>
      </c>
      <c r="W265" s="379">
        <v>31761.599999999999</v>
      </c>
      <c r="X265" s="379">
        <v>18430.12</v>
      </c>
      <c r="Y265" s="379">
        <v>31761.599999999999</v>
      </c>
      <c r="Z265" s="379">
        <v>18277.669999999998</v>
      </c>
      <c r="AA265" s="375" t="s">
        <v>1124</v>
      </c>
      <c r="AB265" s="375" t="s">
        <v>1125</v>
      </c>
      <c r="AC265" s="375" t="s">
        <v>1126</v>
      </c>
      <c r="AD265" s="375" t="s">
        <v>183</v>
      </c>
      <c r="AE265" s="375" t="s">
        <v>666</v>
      </c>
      <c r="AF265" s="375" t="s">
        <v>206</v>
      </c>
      <c r="AG265" s="375" t="s">
        <v>183</v>
      </c>
      <c r="AH265" s="380">
        <v>15.27</v>
      </c>
      <c r="AI265" s="380">
        <v>16071.1</v>
      </c>
      <c r="AJ265" s="375" t="s">
        <v>184</v>
      </c>
      <c r="AK265" s="375" t="s">
        <v>185</v>
      </c>
      <c r="AL265" s="375" t="s">
        <v>173</v>
      </c>
      <c r="AM265" s="375" t="s">
        <v>186</v>
      </c>
      <c r="AN265" s="375" t="s">
        <v>68</v>
      </c>
      <c r="AO265" s="378">
        <v>80</v>
      </c>
      <c r="AP265" s="384">
        <v>1</v>
      </c>
      <c r="AQ265" s="384">
        <v>1</v>
      </c>
      <c r="AR265" s="383" t="s">
        <v>187</v>
      </c>
      <c r="AS265" s="386">
        <f t="shared" si="203"/>
        <v>1</v>
      </c>
      <c r="AT265">
        <f t="shared" si="204"/>
        <v>1</v>
      </c>
      <c r="AU265" s="386">
        <f>IF(AT265=0,"",IF(AND(AT265=1,M265="F",SUMIF(C2:C557,C265,AS2:AS557)&lt;=1),SUMIF(C2:C557,C265,AS2:AS557),IF(AND(AT265=1,M265="F",SUMIF(C2:C557,C265,AS2:AS557)&gt;1),1,"")))</f>
        <v>1</v>
      </c>
      <c r="AV265" s="386" t="str">
        <f>IF(AT265=0,"",IF(AND(AT265=3,M265="F",SUMIF(C2:C557,C265,AS2:AS557)&lt;=1),SUMIF(C2:C557,C265,AS2:AS557),IF(AND(AT265=3,M265="F",SUMIF(C2:C557,C265,AS2:AS557)&gt;1),1,"")))</f>
        <v/>
      </c>
      <c r="AW265" s="386">
        <f>SUMIF(C2:C557,C265,O2:O557)</f>
        <v>1</v>
      </c>
      <c r="AX265" s="386">
        <f>IF(AND(M265="F",AS265&lt;&gt;0),SUMIF(C2:C557,C265,W2:W557),0)</f>
        <v>31761.599999999999</v>
      </c>
      <c r="AY265" s="386">
        <f t="shared" si="205"/>
        <v>31761.599999999999</v>
      </c>
      <c r="AZ265" s="386" t="str">
        <f t="shared" si="206"/>
        <v/>
      </c>
      <c r="BA265" s="386">
        <f t="shared" si="207"/>
        <v>0</v>
      </c>
      <c r="BB265" s="386">
        <f t="shared" si="176"/>
        <v>11650</v>
      </c>
      <c r="BC265" s="386">
        <f t="shared" si="177"/>
        <v>0</v>
      </c>
      <c r="BD265" s="386">
        <f t="shared" si="178"/>
        <v>1969.2192</v>
      </c>
      <c r="BE265" s="386">
        <f t="shared" si="179"/>
        <v>460.54320000000001</v>
      </c>
      <c r="BF265" s="386">
        <f t="shared" si="180"/>
        <v>3792.3350399999999</v>
      </c>
      <c r="BG265" s="386">
        <f t="shared" si="181"/>
        <v>229.001136</v>
      </c>
      <c r="BH265" s="386">
        <f t="shared" si="182"/>
        <v>155.63183999999998</v>
      </c>
      <c r="BI265" s="386">
        <f t="shared" si="183"/>
        <v>97.190495999999982</v>
      </c>
      <c r="BJ265" s="386">
        <f t="shared" si="184"/>
        <v>76.227839999999986</v>
      </c>
      <c r="BK265" s="386">
        <f t="shared" si="185"/>
        <v>0</v>
      </c>
      <c r="BL265" s="386">
        <f t="shared" si="208"/>
        <v>6780.1487519999991</v>
      </c>
      <c r="BM265" s="386">
        <f t="shared" si="209"/>
        <v>0</v>
      </c>
      <c r="BN265" s="386">
        <f t="shared" si="186"/>
        <v>11650</v>
      </c>
      <c r="BO265" s="386">
        <f t="shared" si="187"/>
        <v>0</v>
      </c>
      <c r="BP265" s="386">
        <f t="shared" si="188"/>
        <v>1969.2192</v>
      </c>
      <c r="BQ265" s="386">
        <f t="shared" si="189"/>
        <v>460.54320000000001</v>
      </c>
      <c r="BR265" s="386">
        <f t="shared" si="190"/>
        <v>3792.3350399999999</v>
      </c>
      <c r="BS265" s="386">
        <f t="shared" si="191"/>
        <v>229.001136</v>
      </c>
      <c r="BT265" s="386">
        <f t="shared" si="192"/>
        <v>0</v>
      </c>
      <c r="BU265" s="386">
        <f t="shared" si="193"/>
        <v>97.190495999999982</v>
      </c>
      <c r="BV265" s="386">
        <f t="shared" si="194"/>
        <v>79.403999999999996</v>
      </c>
      <c r="BW265" s="386">
        <f t="shared" si="195"/>
        <v>0</v>
      </c>
      <c r="BX265" s="386">
        <f t="shared" si="210"/>
        <v>6627.693072</v>
      </c>
      <c r="BY265" s="386">
        <f t="shared" si="211"/>
        <v>0</v>
      </c>
      <c r="BZ265" s="386">
        <f t="shared" si="212"/>
        <v>0</v>
      </c>
      <c r="CA265" s="386">
        <f t="shared" si="213"/>
        <v>0</v>
      </c>
      <c r="CB265" s="386">
        <f t="shared" si="214"/>
        <v>0</v>
      </c>
      <c r="CC265" s="386">
        <f t="shared" si="196"/>
        <v>0</v>
      </c>
      <c r="CD265" s="386">
        <f t="shared" si="197"/>
        <v>0</v>
      </c>
      <c r="CE265" s="386">
        <f t="shared" si="198"/>
        <v>0</v>
      </c>
      <c r="CF265" s="386">
        <f t="shared" si="199"/>
        <v>-155.63183999999998</v>
      </c>
      <c r="CG265" s="386">
        <f t="shared" si="200"/>
        <v>0</v>
      </c>
      <c r="CH265" s="386">
        <f t="shared" si="201"/>
        <v>3.1761600000000083</v>
      </c>
      <c r="CI265" s="386">
        <f t="shared" si="202"/>
        <v>0</v>
      </c>
      <c r="CJ265" s="386">
        <f t="shared" si="215"/>
        <v>-152.45567999999997</v>
      </c>
      <c r="CK265" s="386" t="str">
        <f t="shared" si="216"/>
        <v/>
      </c>
      <c r="CL265" s="386" t="str">
        <f t="shared" si="217"/>
        <v/>
      </c>
      <c r="CM265" s="386" t="str">
        <f t="shared" si="218"/>
        <v/>
      </c>
      <c r="CN265" s="386" t="str">
        <f t="shared" si="219"/>
        <v>0001-00</v>
      </c>
    </row>
    <row r="266" spans="1:92" ht="15.75" thickBot="1" x14ac:dyDescent="0.3">
      <c r="A266" s="375" t="s">
        <v>161</v>
      </c>
      <c r="B266" s="375" t="s">
        <v>162</v>
      </c>
      <c r="C266" s="375" t="s">
        <v>1127</v>
      </c>
      <c r="D266" s="375" t="s">
        <v>324</v>
      </c>
      <c r="E266" s="375" t="s">
        <v>165</v>
      </c>
      <c r="F266" s="376" t="s">
        <v>166</v>
      </c>
      <c r="G266" s="375" t="s">
        <v>1069</v>
      </c>
      <c r="H266" s="377"/>
      <c r="I266" s="377"/>
      <c r="J266" s="375" t="s">
        <v>218</v>
      </c>
      <c r="K266" s="375" t="s">
        <v>325</v>
      </c>
      <c r="L266" s="375" t="s">
        <v>170</v>
      </c>
      <c r="M266" s="375" t="s">
        <v>177</v>
      </c>
      <c r="N266" s="375" t="s">
        <v>199</v>
      </c>
      <c r="O266" s="378">
        <v>1</v>
      </c>
      <c r="P266" s="384">
        <v>0.65</v>
      </c>
      <c r="Q266" s="384">
        <v>0.65</v>
      </c>
      <c r="R266" s="379">
        <v>80</v>
      </c>
      <c r="S266" s="384">
        <v>0.65</v>
      </c>
      <c r="T266" s="379">
        <v>31059.88</v>
      </c>
      <c r="U266" s="379">
        <v>0</v>
      </c>
      <c r="V266" s="379">
        <v>12568.47</v>
      </c>
      <c r="W266" s="379">
        <v>32934.720000000001</v>
      </c>
      <c r="X266" s="379">
        <v>14603.04</v>
      </c>
      <c r="Y266" s="379">
        <v>32934.720000000001</v>
      </c>
      <c r="Z266" s="379">
        <v>14444.96</v>
      </c>
      <c r="AA266" s="375" t="s">
        <v>1128</v>
      </c>
      <c r="AB266" s="375" t="s">
        <v>1129</v>
      </c>
      <c r="AC266" s="375" t="s">
        <v>1130</v>
      </c>
      <c r="AD266" s="375" t="s">
        <v>233</v>
      </c>
      <c r="AE266" s="375" t="s">
        <v>325</v>
      </c>
      <c r="AF266" s="375" t="s">
        <v>269</v>
      </c>
      <c r="AG266" s="375" t="s">
        <v>183</v>
      </c>
      <c r="AH266" s="380">
        <v>24.36</v>
      </c>
      <c r="AI266" s="378">
        <v>3119</v>
      </c>
      <c r="AJ266" s="375" t="s">
        <v>184</v>
      </c>
      <c r="AK266" s="375" t="s">
        <v>185</v>
      </c>
      <c r="AL266" s="375" t="s">
        <v>173</v>
      </c>
      <c r="AM266" s="375" t="s">
        <v>186</v>
      </c>
      <c r="AN266" s="375" t="s">
        <v>68</v>
      </c>
      <c r="AO266" s="378">
        <v>80</v>
      </c>
      <c r="AP266" s="384">
        <v>1</v>
      </c>
      <c r="AQ266" s="384">
        <v>0.65</v>
      </c>
      <c r="AR266" s="383" t="s">
        <v>187</v>
      </c>
      <c r="AS266" s="386">
        <f t="shared" si="203"/>
        <v>0.65</v>
      </c>
      <c r="AT266">
        <f t="shared" si="204"/>
        <v>1</v>
      </c>
      <c r="AU266" s="386">
        <f>IF(AT266=0,"",IF(AND(AT266=1,M266="F",SUMIF(C2:C557,C266,AS2:AS557)&lt;=1),SUMIF(C2:C557,C266,AS2:AS557),IF(AND(AT266=1,M266="F",SUMIF(C2:C557,C266,AS2:AS557)&gt;1),1,"")))</f>
        <v>1</v>
      </c>
      <c r="AV266" s="386" t="str">
        <f>IF(AT266=0,"",IF(AND(AT266=3,M266="F",SUMIF(C2:C557,C266,AS2:AS557)&lt;=1),SUMIF(C2:C557,C266,AS2:AS557),IF(AND(AT266=3,M266="F",SUMIF(C2:C557,C266,AS2:AS557)&gt;1),1,"")))</f>
        <v/>
      </c>
      <c r="AW266" s="386">
        <f>SUMIF(C2:C557,C266,O2:O557)</f>
        <v>2</v>
      </c>
      <c r="AX266" s="386">
        <f>IF(AND(M266="F",AS266&lt;&gt;0),SUMIF(C2:C557,C266,W2:W557),0)</f>
        <v>50668.800000000003</v>
      </c>
      <c r="AY266" s="386">
        <f t="shared" si="205"/>
        <v>32934.720000000001</v>
      </c>
      <c r="AZ266" s="386" t="str">
        <f t="shared" si="206"/>
        <v/>
      </c>
      <c r="BA266" s="386">
        <f t="shared" si="207"/>
        <v>0</v>
      </c>
      <c r="BB266" s="386">
        <f t="shared" si="176"/>
        <v>7572.5</v>
      </c>
      <c r="BC266" s="386">
        <f t="shared" si="177"/>
        <v>0</v>
      </c>
      <c r="BD266" s="386">
        <f t="shared" si="178"/>
        <v>2041.95264</v>
      </c>
      <c r="BE266" s="386">
        <f t="shared" si="179"/>
        <v>477.55344000000002</v>
      </c>
      <c r="BF266" s="386">
        <f t="shared" si="180"/>
        <v>3932.4055680000001</v>
      </c>
      <c r="BG266" s="386">
        <f t="shared" si="181"/>
        <v>237.45933120000001</v>
      </c>
      <c r="BH266" s="386">
        <f t="shared" si="182"/>
        <v>161.38012800000001</v>
      </c>
      <c r="BI266" s="386">
        <f t="shared" si="183"/>
        <v>100.7802432</v>
      </c>
      <c r="BJ266" s="386">
        <f t="shared" si="184"/>
        <v>79.043328000000002</v>
      </c>
      <c r="BK266" s="386">
        <f t="shared" si="185"/>
        <v>0</v>
      </c>
      <c r="BL266" s="386">
        <f t="shared" si="208"/>
        <v>7030.5746783999994</v>
      </c>
      <c r="BM266" s="386">
        <f t="shared" si="209"/>
        <v>0</v>
      </c>
      <c r="BN266" s="386">
        <f t="shared" si="186"/>
        <v>7572.5</v>
      </c>
      <c r="BO266" s="386">
        <f t="shared" si="187"/>
        <v>0</v>
      </c>
      <c r="BP266" s="386">
        <f t="shared" si="188"/>
        <v>2041.95264</v>
      </c>
      <c r="BQ266" s="386">
        <f t="shared" si="189"/>
        <v>477.55344000000002</v>
      </c>
      <c r="BR266" s="386">
        <f t="shared" si="190"/>
        <v>3932.4055680000001</v>
      </c>
      <c r="BS266" s="386">
        <f t="shared" si="191"/>
        <v>237.45933120000001</v>
      </c>
      <c r="BT266" s="386">
        <f t="shared" si="192"/>
        <v>0</v>
      </c>
      <c r="BU266" s="386">
        <f t="shared" si="193"/>
        <v>100.7802432</v>
      </c>
      <c r="BV266" s="386">
        <f t="shared" si="194"/>
        <v>82.336800000000011</v>
      </c>
      <c r="BW266" s="386">
        <f t="shared" si="195"/>
        <v>0</v>
      </c>
      <c r="BX266" s="386">
        <f t="shared" si="210"/>
        <v>6872.4880223999999</v>
      </c>
      <c r="BY266" s="386">
        <f t="shared" si="211"/>
        <v>0</v>
      </c>
      <c r="BZ266" s="386">
        <f t="shared" si="212"/>
        <v>0</v>
      </c>
      <c r="CA266" s="386">
        <f t="shared" si="213"/>
        <v>0</v>
      </c>
      <c r="CB266" s="386">
        <f t="shared" si="214"/>
        <v>0</v>
      </c>
      <c r="CC266" s="386">
        <f t="shared" si="196"/>
        <v>0</v>
      </c>
      <c r="CD266" s="386">
        <f t="shared" si="197"/>
        <v>0</v>
      </c>
      <c r="CE266" s="386">
        <f t="shared" si="198"/>
        <v>0</v>
      </c>
      <c r="CF266" s="386">
        <f t="shared" si="199"/>
        <v>-161.38012800000001</v>
      </c>
      <c r="CG266" s="386">
        <f t="shared" si="200"/>
        <v>0</v>
      </c>
      <c r="CH266" s="386">
        <f t="shared" si="201"/>
        <v>3.2934720000000088</v>
      </c>
      <c r="CI266" s="386">
        <f t="shared" si="202"/>
        <v>0</v>
      </c>
      <c r="CJ266" s="386">
        <f t="shared" si="215"/>
        <v>-158.086656</v>
      </c>
      <c r="CK266" s="386" t="str">
        <f t="shared" si="216"/>
        <v/>
      </c>
      <c r="CL266" s="386" t="str">
        <f t="shared" si="217"/>
        <v/>
      </c>
      <c r="CM266" s="386" t="str">
        <f t="shared" si="218"/>
        <v/>
      </c>
      <c r="CN266" s="386" t="str">
        <f t="shared" si="219"/>
        <v>0001-00</v>
      </c>
    </row>
    <row r="267" spans="1:92" ht="15.75" thickBot="1" x14ac:dyDescent="0.3">
      <c r="A267" s="375" t="s">
        <v>161</v>
      </c>
      <c r="B267" s="375" t="s">
        <v>162</v>
      </c>
      <c r="C267" s="375" t="s">
        <v>1131</v>
      </c>
      <c r="D267" s="375" t="s">
        <v>665</v>
      </c>
      <c r="E267" s="375" t="s">
        <v>165</v>
      </c>
      <c r="F267" s="376" t="s">
        <v>166</v>
      </c>
      <c r="G267" s="375" t="s">
        <v>1069</v>
      </c>
      <c r="H267" s="377"/>
      <c r="I267" s="377"/>
      <c r="J267" s="375" t="s">
        <v>168</v>
      </c>
      <c r="K267" s="375" t="s">
        <v>666</v>
      </c>
      <c r="L267" s="375" t="s">
        <v>183</v>
      </c>
      <c r="M267" s="375" t="s">
        <v>177</v>
      </c>
      <c r="N267" s="375" t="s">
        <v>199</v>
      </c>
      <c r="O267" s="378">
        <v>1</v>
      </c>
      <c r="P267" s="384">
        <v>1</v>
      </c>
      <c r="Q267" s="384">
        <v>1</v>
      </c>
      <c r="R267" s="379">
        <v>80</v>
      </c>
      <c r="S267" s="384">
        <v>1</v>
      </c>
      <c r="T267" s="379">
        <v>22396.57</v>
      </c>
      <c r="U267" s="379">
        <v>0</v>
      </c>
      <c r="V267" s="379">
        <v>14809.86</v>
      </c>
      <c r="W267" s="379">
        <v>30056</v>
      </c>
      <c r="X267" s="379">
        <v>18066.03</v>
      </c>
      <c r="Y267" s="379">
        <v>30056</v>
      </c>
      <c r="Z267" s="379">
        <v>17921.77</v>
      </c>
      <c r="AA267" s="375" t="s">
        <v>1132</v>
      </c>
      <c r="AB267" s="375" t="s">
        <v>1133</v>
      </c>
      <c r="AC267" s="375" t="s">
        <v>663</v>
      </c>
      <c r="AD267" s="375" t="s">
        <v>181</v>
      </c>
      <c r="AE267" s="375" t="s">
        <v>666</v>
      </c>
      <c r="AF267" s="375" t="s">
        <v>206</v>
      </c>
      <c r="AG267" s="375" t="s">
        <v>183</v>
      </c>
      <c r="AH267" s="380">
        <v>14.45</v>
      </c>
      <c r="AI267" s="380">
        <v>2197.4</v>
      </c>
      <c r="AJ267" s="375" t="s">
        <v>184</v>
      </c>
      <c r="AK267" s="375" t="s">
        <v>185</v>
      </c>
      <c r="AL267" s="375" t="s">
        <v>173</v>
      </c>
      <c r="AM267" s="375" t="s">
        <v>186</v>
      </c>
      <c r="AN267" s="375" t="s">
        <v>68</v>
      </c>
      <c r="AO267" s="378">
        <v>80</v>
      </c>
      <c r="AP267" s="384">
        <v>1</v>
      </c>
      <c r="AQ267" s="384">
        <v>1</v>
      </c>
      <c r="AR267" s="383" t="s">
        <v>187</v>
      </c>
      <c r="AS267" s="386">
        <f t="shared" si="203"/>
        <v>1</v>
      </c>
      <c r="AT267">
        <f t="shared" si="204"/>
        <v>1</v>
      </c>
      <c r="AU267" s="386">
        <f>IF(AT267=0,"",IF(AND(AT267=1,M267="F",SUMIF(C2:C557,C267,AS2:AS557)&lt;=1),SUMIF(C2:C557,C267,AS2:AS557),IF(AND(AT267=1,M267="F",SUMIF(C2:C557,C267,AS2:AS557)&gt;1),1,"")))</f>
        <v>1</v>
      </c>
      <c r="AV267" s="386" t="str">
        <f>IF(AT267=0,"",IF(AND(AT267=3,M267="F",SUMIF(C2:C557,C267,AS2:AS557)&lt;=1),SUMIF(C2:C557,C267,AS2:AS557),IF(AND(AT267=3,M267="F",SUMIF(C2:C557,C267,AS2:AS557)&gt;1),1,"")))</f>
        <v/>
      </c>
      <c r="AW267" s="386">
        <f>SUMIF(C2:C557,C267,O2:O557)</f>
        <v>1</v>
      </c>
      <c r="AX267" s="386">
        <f>IF(AND(M267="F",AS267&lt;&gt;0),SUMIF(C2:C557,C267,W2:W557),0)</f>
        <v>30056</v>
      </c>
      <c r="AY267" s="386">
        <f t="shared" si="205"/>
        <v>30056</v>
      </c>
      <c r="AZ267" s="386" t="str">
        <f t="shared" si="206"/>
        <v/>
      </c>
      <c r="BA267" s="386">
        <f t="shared" si="207"/>
        <v>0</v>
      </c>
      <c r="BB267" s="386">
        <f t="shared" si="176"/>
        <v>11650</v>
      </c>
      <c r="BC267" s="386">
        <f t="shared" si="177"/>
        <v>0</v>
      </c>
      <c r="BD267" s="386">
        <f t="shared" si="178"/>
        <v>1863.472</v>
      </c>
      <c r="BE267" s="386">
        <f t="shared" si="179"/>
        <v>435.81200000000001</v>
      </c>
      <c r="BF267" s="386">
        <f t="shared" si="180"/>
        <v>3588.6864</v>
      </c>
      <c r="BG267" s="386">
        <f t="shared" si="181"/>
        <v>216.70376000000002</v>
      </c>
      <c r="BH267" s="386">
        <f t="shared" si="182"/>
        <v>147.27439999999999</v>
      </c>
      <c r="BI267" s="386">
        <f t="shared" si="183"/>
        <v>91.97135999999999</v>
      </c>
      <c r="BJ267" s="386">
        <f t="shared" si="184"/>
        <v>72.134399999999999</v>
      </c>
      <c r="BK267" s="386">
        <f t="shared" si="185"/>
        <v>0</v>
      </c>
      <c r="BL267" s="386">
        <f t="shared" si="208"/>
        <v>6416.0543200000002</v>
      </c>
      <c r="BM267" s="386">
        <f t="shared" si="209"/>
        <v>0</v>
      </c>
      <c r="BN267" s="386">
        <f t="shared" si="186"/>
        <v>11650</v>
      </c>
      <c r="BO267" s="386">
        <f t="shared" si="187"/>
        <v>0</v>
      </c>
      <c r="BP267" s="386">
        <f t="shared" si="188"/>
        <v>1863.472</v>
      </c>
      <c r="BQ267" s="386">
        <f t="shared" si="189"/>
        <v>435.81200000000001</v>
      </c>
      <c r="BR267" s="386">
        <f t="shared" si="190"/>
        <v>3588.6864</v>
      </c>
      <c r="BS267" s="386">
        <f t="shared" si="191"/>
        <v>216.70376000000002</v>
      </c>
      <c r="BT267" s="386">
        <f t="shared" si="192"/>
        <v>0</v>
      </c>
      <c r="BU267" s="386">
        <f t="shared" si="193"/>
        <v>91.97135999999999</v>
      </c>
      <c r="BV267" s="386">
        <f t="shared" si="194"/>
        <v>75.14</v>
      </c>
      <c r="BW267" s="386">
        <f t="shared" si="195"/>
        <v>0</v>
      </c>
      <c r="BX267" s="386">
        <f t="shared" si="210"/>
        <v>6271.7855200000004</v>
      </c>
      <c r="BY267" s="386">
        <f t="shared" si="211"/>
        <v>0</v>
      </c>
      <c r="BZ267" s="386">
        <f t="shared" si="212"/>
        <v>0</v>
      </c>
      <c r="CA267" s="386">
        <f t="shared" si="213"/>
        <v>0</v>
      </c>
      <c r="CB267" s="386">
        <f t="shared" si="214"/>
        <v>0</v>
      </c>
      <c r="CC267" s="386">
        <f t="shared" si="196"/>
        <v>0</v>
      </c>
      <c r="CD267" s="386">
        <f t="shared" si="197"/>
        <v>0</v>
      </c>
      <c r="CE267" s="386">
        <f t="shared" si="198"/>
        <v>0</v>
      </c>
      <c r="CF267" s="386">
        <f t="shared" si="199"/>
        <v>-147.27439999999999</v>
      </c>
      <c r="CG267" s="386">
        <f t="shared" si="200"/>
        <v>0</v>
      </c>
      <c r="CH267" s="386">
        <f t="shared" si="201"/>
        <v>3.0056000000000078</v>
      </c>
      <c r="CI267" s="386">
        <f t="shared" si="202"/>
        <v>0</v>
      </c>
      <c r="CJ267" s="386">
        <f t="shared" si="215"/>
        <v>-144.26879999999997</v>
      </c>
      <c r="CK267" s="386" t="str">
        <f t="shared" si="216"/>
        <v/>
      </c>
      <c r="CL267" s="386" t="str">
        <f t="shared" si="217"/>
        <v/>
      </c>
      <c r="CM267" s="386" t="str">
        <f t="shared" si="218"/>
        <v/>
      </c>
      <c r="CN267" s="386" t="str">
        <f t="shared" si="219"/>
        <v>0001-00</v>
      </c>
    </row>
    <row r="268" spans="1:92" ht="15.75" thickBot="1" x14ac:dyDescent="0.3">
      <c r="A268" s="375" t="s">
        <v>161</v>
      </c>
      <c r="B268" s="375" t="s">
        <v>162</v>
      </c>
      <c r="C268" s="375" t="s">
        <v>1134</v>
      </c>
      <c r="D268" s="375" t="s">
        <v>239</v>
      </c>
      <c r="E268" s="375" t="s">
        <v>165</v>
      </c>
      <c r="F268" s="376" t="s">
        <v>166</v>
      </c>
      <c r="G268" s="375" t="s">
        <v>1069</v>
      </c>
      <c r="H268" s="377"/>
      <c r="I268" s="377"/>
      <c r="J268" s="375" t="s">
        <v>168</v>
      </c>
      <c r="K268" s="375" t="s">
        <v>240</v>
      </c>
      <c r="L268" s="375" t="s">
        <v>198</v>
      </c>
      <c r="M268" s="375" t="s">
        <v>177</v>
      </c>
      <c r="N268" s="375" t="s">
        <v>199</v>
      </c>
      <c r="O268" s="378">
        <v>1</v>
      </c>
      <c r="P268" s="384">
        <v>1</v>
      </c>
      <c r="Q268" s="384">
        <v>1</v>
      </c>
      <c r="R268" s="379">
        <v>80</v>
      </c>
      <c r="S268" s="384">
        <v>1</v>
      </c>
      <c r="T268" s="379">
        <v>28852.82</v>
      </c>
      <c r="U268" s="379">
        <v>0</v>
      </c>
      <c r="V268" s="379">
        <v>13747.62</v>
      </c>
      <c r="W268" s="379">
        <v>46092.800000000003</v>
      </c>
      <c r="X268" s="379">
        <v>21489.4</v>
      </c>
      <c r="Y268" s="379">
        <v>46092.800000000003</v>
      </c>
      <c r="Z268" s="379">
        <v>21268.16</v>
      </c>
      <c r="AA268" s="375" t="s">
        <v>1135</v>
      </c>
      <c r="AB268" s="375" t="s">
        <v>1136</v>
      </c>
      <c r="AC268" s="375" t="s">
        <v>1137</v>
      </c>
      <c r="AD268" s="375" t="s">
        <v>198</v>
      </c>
      <c r="AE268" s="375" t="s">
        <v>240</v>
      </c>
      <c r="AF268" s="375" t="s">
        <v>245</v>
      </c>
      <c r="AG268" s="375" t="s">
        <v>183</v>
      </c>
      <c r="AH268" s="380">
        <v>22.16</v>
      </c>
      <c r="AI268" s="380">
        <v>17608.400000000001</v>
      </c>
      <c r="AJ268" s="375" t="s">
        <v>184</v>
      </c>
      <c r="AK268" s="375" t="s">
        <v>185</v>
      </c>
      <c r="AL268" s="375" t="s">
        <v>173</v>
      </c>
      <c r="AM268" s="375" t="s">
        <v>186</v>
      </c>
      <c r="AN268" s="375" t="s">
        <v>68</v>
      </c>
      <c r="AO268" s="378">
        <v>80</v>
      </c>
      <c r="AP268" s="384">
        <v>1</v>
      </c>
      <c r="AQ268" s="384">
        <v>1</v>
      </c>
      <c r="AR268" s="383" t="s">
        <v>187</v>
      </c>
      <c r="AS268" s="386">
        <f t="shared" si="203"/>
        <v>1</v>
      </c>
      <c r="AT268">
        <f t="shared" si="204"/>
        <v>1</v>
      </c>
      <c r="AU268" s="386">
        <f>IF(AT268=0,"",IF(AND(AT268=1,M268="F",SUMIF(C2:C557,C268,AS2:AS557)&lt;=1),SUMIF(C2:C557,C268,AS2:AS557),IF(AND(AT268=1,M268="F",SUMIF(C2:C557,C268,AS2:AS557)&gt;1),1,"")))</f>
        <v>1</v>
      </c>
      <c r="AV268" s="386" t="str">
        <f>IF(AT268=0,"",IF(AND(AT268=3,M268="F",SUMIF(C2:C557,C268,AS2:AS557)&lt;=1),SUMIF(C2:C557,C268,AS2:AS557),IF(AND(AT268=3,M268="F",SUMIF(C2:C557,C268,AS2:AS557)&gt;1),1,"")))</f>
        <v/>
      </c>
      <c r="AW268" s="386">
        <f>SUMIF(C2:C557,C268,O2:O557)</f>
        <v>1</v>
      </c>
      <c r="AX268" s="386">
        <f>IF(AND(M268="F",AS268&lt;&gt;0),SUMIF(C2:C557,C268,W2:W557),0)</f>
        <v>46092.800000000003</v>
      </c>
      <c r="AY268" s="386">
        <f t="shared" si="205"/>
        <v>46092.800000000003</v>
      </c>
      <c r="AZ268" s="386" t="str">
        <f t="shared" si="206"/>
        <v/>
      </c>
      <c r="BA268" s="386">
        <f t="shared" si="207"/>
        <v>0</v>
      </c>
      <c r="BB268" s="386">
        <f t="shared" si="176"/>
        <v>11650</v>
      </c>
      <c r="BC268" s="386">
        <f t="shared" si="177"/>
        <v>0</v>
      </c>
      <c r="BD268" s="386">
        <f t="shared" si="178"/>
        <v>2857.7536</v>
      </c>
      <c r="BE268" s="386">
        <f t="shared" si="179"/>
        <v>668.3456000000001</v>
      </c>
      <c r="BF268" s="386">
        <f t="shared" si="180"/>
        <v>5503.4803200000006</v>
      </c>
      <c r="BG268" s="386">
        <f t="shared" si="181"/>
        <v>332.32908800000001</v>
      </c>
      <c r="BH268" s="386">
        <f t="shared" si="182"/>
        <v>225.85472000000001</v>
      </c>
      <c r="BI268" s="386">
        <f t="shared" si="183"/>
        <v>141.04396800000001</v>
      </c>
      <c r="BJ268" s="386">
        <f t="shared" si="184"/>
        <v>110.62272</v>
      </c>
      <c r="BK268" s="386">
        <f t="shared" si="185"/>
        <v>0</v>
      </c>
      <c r="BL268" s="386">
        <f t="shared" si="208"/>
        <v>9839.4300160000003</v>
      </c>
      <c r="BM268" s="386">
        <f t="shared" si="209"/>
        <v>0</v>
      </c>
      <c r="BN268" s="386">
        <f t="shared" si="186"/>
        <v>11650</v>
      </c>
      <c r="BO268" s="386">
        <f t="shared" si="187"/>
        <v>0</v>
      </c>
      <c r="BP268" s="386">
        <f t="shared" si="188"/>
        <v>2857.7536</v>
      </c>
      <c r="BQ268" s="386">
        <f t="shared" si="189"/>
        <v>668.3456000000001</v>
      </c>
      <c r="BR268" s="386">
        <f t="shared" si="190"/>
        <v>5503.4803200000006</v>
      </c>
      <c r="BS268" s="386">
        <f t="shared" si="191"/>
        <v>332.32908800000001</v>
      </c>
      <c r="BT268" s="386">
        <f t="shared" si="192"/>
        <v>0</v>
      </c>
      <c r="BU268" s="386">
        <f t="shared" si="193"/>
        <v>141.04396800000001</v>
      </c>
      <c r="BV268" s="386">
        <f t="shared" si="194"/>
        <v>115.23200000000001</v>
      </c>
      <c r="BW268" s="386">
        <f t="shared" si="195"/>
        <v>0</v>
      </c>
      <c r="BX268" s="386">
        <f t="shared" si="210"/>
        <v>9618.1845760000015</v>
      </c>
      <c r="BY268" s="386">
        <f t="shared" si="211"/>
        <v>0</v>
      </c>
      <c r="BZ268" s="386">
        <f t="shared" si="212"/>
        <v>0</v>
      </c>
      <c r="CA268" s="386">
        <f t="shared" si="213"/>
        <v>0</v>
      </c>
      <c r="CB268" s="386">
        <f t="shared" si="214"/>
        <v>0</v>
      </c>
      <c r="CC268" s="386">
        <f t="shared" si="196"/>
        <v>0</v>
      </c>
      <c r="CD268" s="386">
        <f t="shared" si="197"/>
        <v>0</v>
      </c>
      <c r="CE268" s="386">
        <f t="shared" si="198"/>
        <v>0</v>
      </c>
      <c r="CF268" s="386">
        <f t="shared" si="199"/>
        <v>-225.85472000000001</v>
      </c>
      <c r="CG268" s="386">
        <f t="shared" si="200"/>
        <v>0</v>
      </c>
      <c r="CH268" s="386">
        <f t="shared" si="201"/>
        <v>4.6092800000000125</v>
      </c>
      <c r="CI268" s="386">
        <f t="shared" si="202"/>
        <v>0</v>
      </c>
      <c r="CJ268" s="386">
        <f t="shared" si="215"/>
        <v>-221.24544</v>
      </c>
      <c r="CK268" s="386" t="str">
        <f t="shared" si="216"/>
        <v/>
      </c>
      <c r="CL268" s="386" t="str">
        <f t="shared" si="217"/>
        <v/>
      </c>
      <c r="CM268" s="386" t="str">
        <f t="shared" si="218"/>
        <v/>
      </c>
      <c r="CN268" s="386" t="str">
        <f t="shared" si="219"/>
        <v>0001-00</v>
      </c>
    </row>
    <row r="269" spans="1:92" ht="15.75" thickBot="1" x14ac:dyDescent="0.3">
      <c r="A269" s="375" t="s">
        <v>161</v>
      </c>
      <c r="B269" s="375" t="s">
        <v>162</v>
      </c>
      <c r="C269" s="375" t="s">
        <v>1138</v>
      </c>
      <c r="D269" s="375" t="s">
        <v>665</v>
      </c>
      <c r="E269" s="375" t="s">
        <v>165</v>
      </c>
      <c r="F269" s="376" t="s">
        <v>166</v>
      </c>
      <c r="G269" s="375" t="s">
        <v>1069</v>
      </c>
      <c r="H269" s="377"/>
      <c r="I269" s="377"/>
      <c r="J269" s="375" t="s">
        <v>168</v>
      </c>
      <c r="K269" s="375" t="s">
        <v>666</v>
      </c>
      <c r="L269" s="375" t="s">
        <v>183</v>
      </c>
      <c r="M269" s="375" t="s">
        <v>177</v>
      </c>
      <c r="N269" s="375" t="s">
        <v>199</v>
      </c>
      <c r="O269" s="378">
        <v>1</v>
      </c>
      <c r="P269" s="384">
        <v>1</v>
      </c>
      <c r="Q269" s="384">
        <v>1</v>
      </c>
      <c r="R269" s="379">
        <v>80</v>
      </c>
      <c r="S269" s="384">
        <v>1</v>
      </c>
      <c r="T269" s="379">
        <v>27974.400000000001</v>
      </c>
      <c r="U269" s="379">
        <v>273.54000000000002</v>
      </c>
      <c r="V269" s="379">
        <v>17323.810000000001</v>
      </c>
      <c r="W269" s="379">
        <v>31283.200000000001</v>
      </c>
      <c r="X269" s="379">
        <v>18327.98</v>
      </c>
      <c r="Y269" s="379">
        <v>31283.200000000001</v>
      </c>
      <c r="Z269" s="379">
        <v>18177.830000000002</v>
      </c>
      <c r="AA269" s="375" t="s">
        <v>1139</v>
      </c>
      <c r="AB269" s="375" t="s">
        <v>1140</v>
      </c>
      <c r="AC269" s="375" t="s">
        <v>1141</v>
      </c>
      <c r="AD269" s="375" t="s">
        <v>352</v>
      </c>
      <c r="AE269" s="375" t="s">
        <v>666</v>
      </c>
      <c r="AF269" s="375" t="s">
        <v>206</v>
      </c>
      <c r="AG269" s="375" t="s">
        <v>183</v>
      </c>
      <c r="AH269" s="380">
        <v>15.04</v>
      </c>
      <c r="AI269" s="378">
        <v>7140</v>
      </c>
      <c r="AJ269" s="375" t="s">
        <v>184</v>
      </c>
      <c r="AK269" s="375" t="s">
        <v>185</v>
      </c>
      <c r="AL269" s="375" t="s">
        <v>173</v>
      </c>
      <c r="AM269" s="375" t="s">
        <v>186</v>
      </c>
      <c r="AN269" s="375" t="s">
        <v>68</v>
      </c>
      <c r="AO269" s="378">
        <v>80</v>
      </c>
      <c r="AP269" s="384">
        <v>1</v>
      </c>
      <c r="AQ269" s="384">
        <v>1</v>
      </c>
      <c r="AR269" s="383" t="s">
        <v>187</v>
      </c>
      <c r="AS269" s="386">
        <f t="shared" si="203"/>
        <v>1</v>
      </c>
      <c r="AT269">
        <f t="shared" si="204"/>
        <v>1</v>
      </c>
      <c r="AU269" s="386">
        <f>IF(AT269=0,"",IF(AND(AT269=1,M269="F",SUMIF(C2:C557,C269,AS2:AS557)&lt;=1),SUMIF(C2:C557,C269,AS2:AS557),IF(AND(AT269=1,M269="F",SUMIF(C2:C557,C269,AS2:AS557)&gt;1),1,"")))</f>
        <v>1</v>
      </c>
      <c r="AV269" s="386" t="str">
        <f>IF(AT269=0,"",IF(AND(AT269=3,M269="F",SUMIF(C2:C557,C269,AS2:AS557)&lt;=1),SUMIF(C2:C557,C269,AS2:AS557),IF(AND(AT269=3,M269="F",SUMIF(C2:C557,C269,AS2:AS557)&gt;1),1,"")))</f>
        <v/>
      </c>
      <c r="AW269" s="386">
        <f>SUMIF(C2:C557,C269,O2:O557)</f>
        <v>1</v>
      </c>
      <c r="AX269" s="386">
        <f>IF(AND(M269="F",AS269&lt;&gt;0),SUMIF(C2:C557,C269,W2:W557),0)</f>
        <v>31283.200000000001</v>
      </c>
      <c r="AY269" s="386">
        <f t="shared" si="205"/>
        <v>31283.200000000001</v>
      </c>
      <c r="AZ269" s="386" t="str">
        <f t="shared" si="206"/>
        <v/>
      </c>
      <c r="BA269" s="386">
        <f t="shared" si="207"/>
        <v>0</v>
      </c>
      <c r="BB269" s="386">
        <f t="shared" si="176"/>
        <v>11650</v>
      </c>
      <c r="BC269" s="386">
        <f t="shared" si="177"/>
        <v>0</v>
      </c>
      <c r="BD269" s="386">
        <f t="shared" si="178"/>
        <v>1939.5584000000001</v>
      </c>
      <c r="BE269" s="386">
        <f t="shared" si="179"/>
        <v>453.60640000000001</v>
      </c>
      <c r="BF269" s="386">
        <f t="shared" si="180"/>
        <v>3735.2140800000002</v>
      </c>
      <c r="BG269" s="386">
        <f t="shared" si="181"/>
        <v>225.551872</v>
      </c>
      <c r="BH269" s="386">
        <f t="shared" si="182"/>
        <v>153.28767999999999</v>
      </c>
      <c r="BI269" s="386">
        <f t="shared" si="183"/>
        <v>95.726591999999997</v>
      </c>
      <c r="BJ269" s="386">
        <f t="shared" si="184"/>
        <v>75.079679999999996</v>
      </c>
      <c r="BK269" s="386">
        <f t="shared" si="185"/>
        <v>0</v>
      </c>
      <c r="BL269" s="386">
        <f t="shared" si="208"/>
        <v>6678.0247040000004</v>
      </c>
      <c r="BM269" s="386">
        <f t="shared" si="209"/>
        <v>0</v>
      </c>
      <c r="BN269" s="386">
        <f t="shared" si="186"/>
        <v>11650</v>
      </c>
      <c r="BO269" s="386">
        <f t="shared" si="187"/>
        <v>0</v>
      </c>
      <c r="BP269" s="386">
        <f t="shared" si="188"/>
        <v>1939.5584000000001</v>
      </c>
      <c r="BQ269" s="386">
        <f t="shared" si="189"/>
        <v>453.60640000000001</v>
      </c>
      <c r="BR269" s="386">
        <f t="shared" si="190"/>
        <v>3735.2140800000002</v>
      </c>
      <c r="BS269" s="386">
        <f t="shared" si="191"/>
        <v>225.551872</v>
      </c>
      <c r="BT269" s="386">
        <f t="shared" si="192"/>
        <v>0</v>
      </c>
      <c r="BU269" s="386">
        <f t="shared" si="193"/>
        <v>95.726591999999997</v>
      </c>
      <c r="BV269" s="386">
        <f t="shared" si="194"/>
        <v>78.207999999999998</v>
      </c>
      <c r="BW269" s="386">
        <f t="shared" si="195"/>
        <v>0</v>
      </c>
      <c r="BX269" s="386">
        <f t="shared" si="210"/>
        <v>6527.8653439999998</v>
      </c>
      <c r="BY269" s="386">
        <f t="shared" si="211"/>
        <v>0</v>
      </c>
      <c r="BZ269" s="386">
        <f t="shared" si="212"/>
        <v>0</v>
      </c>
      <c r="CA269" s="386">
        <f t="shared" si="213"/>
        <v>0</v>
      </c>
      <c r="CB269" s="386">
        <f t="shared" si="214"/>
        <v>0</v>
      </c>
      <c r="CC269" s="386">
        <f t="shared" si="196"/>
        <v>0</v>
      </c>
      <c r="CD269" s="386">
        <f t="shared" si="197"/>
        <v>0</v>
      </c>
      <c r="CE269" s="386">
        <f t="shared" si="198"/>
        <v>0</v>
      </c>
      <c r="CF269" s="386">
        <f t="shared" si="199"/>
        <v>-153.28767999999999</v>
      </c>
      <c r="CG269" s="386">
        <f t="shared" si="200"/>
        <v>0</v>
      </c>
      <c r="CH269" s="386">
        <f t="shared" si="201"/>
        <v>3.1283200000000084</v>
      </c>
      <c r="CI269" s="386">
        <f t="shared" si="202"/>
        <v>0</v>
      </c>
      <c r="CJ269" s="386">
        <f t="shared" si="215"/>
        <v>-150.15935999999999</v>
      </c>
      <c r="CK269" s="386" t="str">
        <f t="shared" si="216"/>
        <v/>
      </c>
      <c r="CL269" s="386" t="str">
        <f t="shared" si="217"/>
        <v/>
      </c>
      <c r="CM269" s="386" t="str">
        <f t="shared" si="218"/>
        <v/>
      </c>
      <c r="CN269" s="386" t="str">
        <f t="shared" si="219"/>
        <v>0001-00</v>
      </c>
    </row>
    <row r="270" spans="1:92" ht="15.75" thickBot="1" x14ac:dyDescent="0.3">
      <c r="A270" s="375" t="s">
        <v>161</v>
      </c>
      <c r="B270" s="375" t="s">
        <v>162</v>
      </c>
      <c r="C270" s="375" t="s">
        <v>1142</v>
      </c>
      <c r="D270" s="375" t="s">
        <v>746</v>
      </c>
      <c r="E270" s="375" t="s">
        <v>165</v>
      </c>
      <c r="F270" s="376" t="s">
        <v>166</v>
      </c>
      <c r="G270" s="375" t="s">
        <v>1069</v>
      </c>
      <c r="H270" s="377"/>
      <c r="I270" s="377"/>
      <c r="J270" s="375" t="s">
        <v>168</v>
      </c>
      <c r="K270" s="375" t="s">
        <v>747</v>
      </c>
      <c r="L270" s="375" t="s">
        <v>210</v>
      </c>
      <c r="M270" s="375" t="s">
        <v>171</v>
      </c>
      <c r="N270" s="375" t="s">
        <v>199</v>
      </c>
      <c r="O270" s="378">
        <v>0</v>
      </c>
      <c r="P270" s="384">
        <v>1</v>
      </c>
      <c r="Q270" s="384">
        <v>1</v>
      </c>
      <c r="R270" s="379">
        <v>80</v>
      </c>
      <c r="S270" s="384">
        <v>1</v>
      </c>
      <c r="T270" s="379">
        <v>33204.76</v>
      </c>
      <c r="U270" s="379">
        <v>123.17</v>
      </c>
      <c r="V270" s="379">
        <v>18020.689999999999</v>
      </c>
      <c r="W270" s="379">
        <v>37502.400000000001</v>
      </c>
      <c r="X270" s="379">
        <v>16426.05</v>
      </c>
      <c r="Y270" s="379">
        <v>37502.400000000001</v>
      </c>
      <c r="Z270" s="379">
        <v>16238.53</v>
      </c>
      <c r="AA270" s="377"/>
      <c r="AB270" s="375" t="s">
        <v>45</v>
      </c>
      <c r="AC270" s="375" t="s">
        <v>45</v>
      </c>
      <c r="AD270" s="377"/>
      <c r="AE270" s="377"/>
      <c r="AF270" s="377"/>
      <c r="AG270" s="377"/>
      <c r="AH270" s="378">
        <v>0</v>
      </c>
      <c r="AI270" s="378">
        <v>0</v>
      </c>
      <c r="AJ270" s="377"/>
      <c r="AK270" s="377"/>
      <c r="AL270" s="375" t="s">
        <v>173</v>
      </c>
      <c r="AM270" s="377"/>
      <c r="AN270" s="377"/>
      <c r="AO270" s="378">
        <v>0</v>
      </c>
      <c r="AP270" s="384">
        <v>0</v>
      </c>
      <c r="AQ270" s="384">
        <v>0</v>
      </c>
      <c r="AR270" s="382"/>
      <c r="AS270" s="386">
        <f t="shared" si="203"/>
        <v>0</v>
      </c>
      <c r="AT270">
        <f t="shared" si="204"/>
        <v>0</v>
      </c>
      <c r="AU270" s="386" t="str">
        <f>IF(AT270=0,"",IF(AND(AT270=1,M270="F",SUMIF(C2:C557,C270,AS2:AS557)&lt;=1),SUMIF(C2:C557,C270,AS2:AS557),IF(AND(AT270=1,M270="F",SUMIF(C2:C557,C270,AS2:AS557)&gt;1),1,"")))</f>
        <v/>
      </c>
      <c r="AV270" s="386" t="str">
        <f>IF(AT270=0,"",IF(AND(AT270=3,M270="F",SUMIF(C2:C557,C270,AS2:AS557)&lt;=1),SUMIF(C2:C557,C270,AS2:AS557),IF(AND(AT270=3,M270="F",SUMIF(C2:C557,C270,AS2:AS557)&gt;1),1,"")))</f>
        <v/>
      </c>
      <c r="AW270" s="386">
        <f>SUMIF(C2:C557,C270,O2:O557)</f>
        <v>0</v>
      </c>
      <c r="AX270" s="386">
        <f>IF(AND(M270="F",AS270&lt;&gt;0),SUMIF(C2:C557,C270,W2:W557),0)</f>
        <v>0</v>
      </c>
      <c r="AY270" s="386" t="str">
        <f t="shared" si="205"/>
        <v/>
      </c>
      <c r="AZ270" s="386" t="str">
        <f t="shared" si="206"/>
        <v/>
      </c>
      <c r="BA270" s="386">
        <f t="shared" si="207"/>
        <v>0</v>
      </c>
      <c r="BB270" s="386">
        <f t="shared" si="176"/>
        <v>0</v>
      </c>
      <c r="BC270" s="386">
        <f t="shared" si="177"/>
        <v>0</v>
      </c>
      <c r="BD270" s="386">
        <f t="shared" si="178"/>
        <v>0</v>
      </c>
      <c r="BE270" s="386">
        <f t="shared" si="179"/>
        <v>0</v>
      </c>
      <c r="BF270" s="386">
        <f t="shared" si="180"/>
        <v>0</v>
      </c>
      <c r="BG270" s="386">
        <f t="shared" si="181"/>
        <v>0</v>
      </c>
      <c r="BH270" s="386">
        <f t="shared" si="182"/>
        <v>0</v>
      </c>
      <c r="BI270" s="386">
        <f t="shared" si="183"/>
        <v>0</v>
      </c>
      <c r="BJ270" s="386">
        <f t="shared" si="184"/>
        <v>0</v>
      </c>
      <c r="BK270" s="386">
        <f t="shared" si="185"/>
        <v>0</v>
      </c>
      <c r="BL270" s="386">
        <f t="shared" si="208"/>
        <v>0</v>
      </c>
      <c r="BM270" s="386">
        <f t="shared" si="209"/>
        <v>0</v>
      </c>
      <c r="BN270" s="386">
        <f t="shared" si="186"/>
        <v>0</v>
      </c>
      <c r="BO270" s="386">
        <f t="shared" si="187"/>
        <v>0</v>
      </c>
      <c r="BP270" s="386">
        <f t="shared" si="188"/>
        <v>0</v>
      </c>
      <c r="BQ270" s="386">
        <f t="shared" si="189"/>
        <v>0</v>
      </c>
      <c r="BR270" s="386">
        <f t="shared" si="190"/>
        <v>0</v>
      </c>
      <c r="BS270" s="386">
        <f t="shared" si="191"/>
        <v>0</v>
      </c>
      <c r="BT270" s="386">
        <f t="shared" si="192"/>
        <v>0</v>
      </c>
      <c r="BU270" s="386">
        <f t="shared" si="193"/>
        <v>0</v>
      </c>
      <c r="BV270" s="386">
        <f t="shared" si="194"/>
        <v>0</v>
      </c>
      <c r="BW270" s="386">
        <f t="shared" si="195"/>
        <v>0</v>
      </c>
      <c r="BX270" s="386">
        <f t="shared" si="210"/>
        <v>0</v>
      </c>
      <c r="BY270" s="386">
        <f t="shared" si="211"/>
        <v>0</v>
      </c>
      <c r="BZ270" s="386">
        <f t="shared" si="212"/>
        <v>0</v>
      </c>
      <c r="CA270" s="386">
        <f t="shared" si="213"/>
        <v>0</v>
      </c>
      <c r="CB270" s="386">
        <f t="shared" si="214"/>
        <v>0</v>
      </c>
      <c r="CC270" s="386">
        <f t="shared" si="196"/>
        <v>0</v>
      </c>
      <c r="CD270" s="386">
        <f t="shared" si="197"/>
        <v>0</v>
      </c>
      <c r="CE270" s="386">
        <f t="shared" si="198"/>
        <v>0</v>
      </c>
      <c r="CF270" s="386">
        <f t="shared" si="199"/>
        <v>0</v>
      </c>
      <c r="CG270" s="386">
        <f t="shared" si="200"/>
        <v>0</v>
      </c>
      <c r="CH270" s="386">
        <f t="shared" si="201"/>
        <v>0</v>
      </c>
      <c r="CI270" s="386">
        <f t="shared" si="202"/>
        <v>0</v>
      </c>
      <c r="CJ270" s="386">
        <f t="shared" si="215"/>
        <v>0</v>
      </c>
      <c r="CK270" s="386" t="str">
        <f t="shared" si="216"/>
        <v/>
      </c>
      <c r="CL270" s="386" t="str">
        <f t="shared" si="217"/>
        <v/>
      </c>
      <c r="CM270" s="386" t="str">
        <f t="shared" si="218"/>
        <v/>
      </c>
      <c r="CN270" s="386" t="str">
        <f t="shared" si="219"/>
        <v>0001-00</v>
      </c>
    </row>
    <row r="271" spans="1:92" ht="15.75" thickBot="1" x14ac:dyDescent="0.3">
      <c r="A271" s="375" t="s">
        <v>161</v>
      </c>
      <c r="B271" s="375" t="s">
        <v>162</v>
      </c>
      <c r="C271" s="375" t="s">
        <v>1143</v>
      </c>
      <c r="D271" s="375" t="s">
        <v>247</v>
      </c>
      <c r="E271" s="375" t="s">
        <v>165</v>
      </c>
      <c r="F271" s="376" t="s">
        <v>166</v>
      </c>
      <c r="G271" s="375" t="s">
        <v>1069</v>
      </c>
      <c r="H271" s="377"/>
      <c r="I271" s="377"/>
      <c r="J271" s="375" t="s">
        <v>218</v>
      </c>
      <c r="K271" s="375" t="s">
        <v>248</v>
      </c>
      <c r="L271" s="375" t="s">
        <v>220</v>
      </c>
      <c r="M271" s="375" t="s">
        <v>177</v>
      </c>
      <c r="N271" s="375" t="s">
        <v>199</v>
      </c>
      <c r="O271" s="378">
        <v>1</v>
      </c>
      <c r="P271" s="384">
        <v>0.5</v>
      </c>
      <c r="Q271" s="384">
        <v>0.5</v>
      </c>
      <c r="R271" s="379">
        <v>80</v>
      </c>
      <c r="S271" s="384">
        <v>0.5</v>
      </c>
      <c r="T271" s="379">
        <v>34013.35</v>
      </c>
      <c r="U271" s="379">
        <v>0</v>
      </c>
      <c r="V271" s="379">
        <v>12098.76</v>
      </c>
      <c r="W271" s="379">
        <v>41048.800000000003</v>
      </c>
      <c r="X271" s="379">
        <v>14587.67</v>
      </c>
      <c r="Y271" s="379">
        <v>41048.800000000003</v>
      </c>
      <c r="Z271" s="379">
        <v>14390.64</v>
      </c>
      <c r="AA271" s="375" t="s">
        <v>1144</v>
      </c>
      <c r="AB271" s="375" t="s">
        <v>1145</v>
      </c>
      <c r="AC271" s="375" t="s">
        <v>1146</v>
      </c>
      <c r="AD271" s="375" t="s">
        <v>195</v>
      </c>
      <c r="AE271" s="375" t="s">
        <v>248</v>
      </c>
      <c r="AF271" s="375" t="s">
        <v>252</v>
      </c>
      <c r="AG271" s="375" t="s">
        <v>183</v>
      </c>
      <c r="AH271" s="380">
        <v>39.47</v>
      </c>
      <c r="AI271" s="380">
        <v>69377.399999999994</v>
      </c>
      <c r="AJ271" s="375" t="s">
        <v>184</v>
      </c>
      <c r="AK271" s="375" t="s">
        <v>185</v>
      </c>
      <c r="AL271" s="375" t="s">
        <v>173</v>
      </c>
      <c r="AM271" s="375" t="s">
        <v>186</v>
      </c>
      <c r="AN271" s="375" t="s">
        <v>68</v>
      </c>
      <c r="AO271" s="378">
        <v>80</v>
      </c>
      <c r="AP271" s="384">
        <v>1</v>
      </c>
      <c r="AQ271" s="384">
        <v>0.5</v>
      </c>
      <c r="AR271" s="383" t="s">
        <v>187</v>
      </c>
      <c r="AS271" s="386">
        <f t="shared" si="203"/>
        <v>0.5</v>
      </c>
      <c r="AT271">
        <f t="shared" si="204"/>
        <v>1</v>
      </c>
      <c r="AU271" s="386">
        <f>IF(AT271=0,"",IF(AND(AT271=1,M271="F",SUMIF(C2:C557,C271,AS2:AS557)&lt;=1),SUMIF(C2:C557,C271,AS2:AS557),IF(AND(AT271=1,M271="F",SUMIF(C2:C557,C271,AS2:AS557)&gt;1),1,"")))</f>
        <v>1</v>
      </c>
      <c r="AV271" s="386" t="str">
        <f>IF(AT271=0,"",IF(AND(AT271=3,M271="F",SUMIF(C2:C557,C271,AS2:AS557)&lt;=1),SUMIF(C2:C557,C271,AS2:AS557),IF(AND(AT271=3,M271="F",SUMIF(C2:C557,C271,AS2:AS557)&gt;1),1,"")))</f>
        <v/>
      </c>
      <c r="AW271" s="386">
        <f>SUMIF(C2:C557,C271,O2:O557)</f>
        <v>2</v>
      </c>
      <c r="AX271" s="386">
        <f>IF(AND(M271="F",AS271&lt;&gt;0),SUMIF(C2:C557,C271,W2:W557),0)</f>
        <v>82097.600000000006</v>
      </c>
      <c r="AY271" s="386">
        <f t="shared" si="205"/>
        <v>41048.800000000003</v>
      </c>
      <c r="AZ271" s="386" t="str">
        <f t="shared" si="206"/>
        <v/>
      </c>
      <c r="BA271" s="386">
        <f t="shared" si="207"/>
        <v>0</v>
      </c>
      <c r="BB271" s="386">
        <f t="shared" si="176"/>
        <v>5825</v>
      </c>
      <c r="BC271" s="386">
        <f t="shared" si="177"/>
        <v>0</v>
      </c>
      <c r="BD271" s="386">
        <f t="shared" si="178"/>
        <v>2545.0255999999999</v>
      </c>
      <c r="BE271" s="386">
        <f t="shared" si="179"/>
        <v>595.20760000000007</v>
      </c>
      <c r="BF271" s="386">
        <f t="shared" si="180"/>
        <v>4901.2267200000006</v>
      </c>
      <c r="BG271" s="386">
        <f t="shared" si="181"/>
        <v>295.96184800000003</v>
      </c>
      <c r="BH271" s="386">
        <f t="shared" si="182"/>
        <v>201.13912000000002</v>
      </c>
      <c r="BI271" s="386">
        <f t="shared" si="183"/>
        <v>125.609328</v>
      </c>
      <c r="BJ271" s="386">
        <f t="shared" si="184"/>
        <v>98.517119999999991</v>
      </c>
      <c r="BK271" s="386">
        <f t="shared" si="185"/>
        <v>0</v>
      </c>
      <c r="BL271" s="386">
        <f t="shared" si="208"/>
        <v>8762.6873360000027</v>
      </c>
      <c r="BM271" s="386">
        <f t="shared" si="209"/>
        <v>0</v>
      </c>
      <c r="BN271" s="386">
        <f t="shared" si="186"/>
        <v>5825</v>
      </c>
      <c r="BO271" s="386">
        <f t="shared" si="187"/>
        <v>0</v>
      </c>
      <c r="BP271" s="386">
        <f t="shared" si="188"/>
        <v>2545.0255999999999</v>
      </c>
      <c r="BQ271" s="386">
        <f t="shared" si="189"/>
        <v>595.20760000000007</v>
      </c>
      <c r="BR271" s="386">
        <f t="shared" si="190"/>
        <v>4901.2267200000006</v>
      </c>
      <c r="BS271" s="386">
        <f t="shared" si="191"/>
        <v>295.96184800000003</v>
      </c>
      <c r="BT271" s="386">
        <f t="shared" si="192"/>
        <v>0</v>
      </c>
      <c r="BU271" s="386">
        <f t="shared" si="193"/>
        <v>125.609328</v>
      </c>
      <c r="BV271" s="386">
        <f t="shared" si="194"/>
        <v>102.62200000000001</v>
      </c>
      <c r="BW271" s="386">
        <f t="shared" si="195"/>
        <v>0</v>
      </c>
      <c r="BX271" s="386">
        <f t="shared" si="210"/>
        <v>8565.6530960000018</v>
      </c>
      <c r="BY271" s="386">
        <f t="shared" si="211"/>
        <v>0</v>
      </c>
      <c r="BZ271" s="386">
        <f t="shared" si="212"/>
        <v>0</v>
      </c>
      <c r="CA271" s="386">
        <f t="shared" si="213"/>
        <v>0</v>
      </c>
      <c r="CB271" s="386">
        <f t="shared" si="214"/>
        <v>0</v>
      </c>
      <c r="CC271" s="386">
        <f t="shared" si="196"/>
        <v>0</v>
      </c>
      <c r="CD271" s="386">
        <f t="shared" si="197"/>
        <v>0</v>
      </c>
      <c r="CE271" s="386">
        <f t="shared" si="198"/>
        <v>0</v>
      </c>
      <c r="CF271" s="386">
        <f t="shared" si="199"/>
        <v>-201.13912000000002</v>
      </c>
      <c r="CG271" s="386">
        <f t="shared" si="200"/>
        <v>0</v>
      </c>
      <c r="CH271" s="386">
        <f t="shared" si="201"/>
        <v>4.1048800000000112</v>
      </c>
      <c r="CI271" s="386">
        <f t="shared" si="202"/>
        <v>0</v>
      </c>
      <c r="CJ271" s="386">
        <f t="shared" si="215"/>
        <v>-197.03424000000001</v>
      </c>
      <c r="CK271" s="386" t="str">
        <f t="shared" si="216"/>
        <v/>
      </c>
      <c r="CL271" s="386" t="str">
        <f t="shared" si="217"/>
        <v/>
      </c>
      <c r="CM271" s="386" t="str">
        <f t="shared" si="218"/>
        <v/>
      </c>
      <c r="CN271" s="386" t="str">
        <f t="shared" si="219"/>
        <v>0001-00</v>
      </c>
    </row>
    <row r="272" spans="1:92" ht="15.75" thickBot="1" x14ac:dyDescent="0.3">
      <c r="A272" s="375" t="s">
        <v>161</v>
      </c>
      <c r="B272" s="375" t="s">
        <v>162</v>
      </c>
      <c r="C272" s="375" t="s">
        <v>1147</v>
      </c>
      <c r="D272" s="375" t="s">
        <v>1091</v>
      </c>
      <c r="E272" s="375" t="s">
        <v>165</v>
      </c>
      <c r="F272" s="376" t="s">
        <v>166</v>
      </c>
      <c r="G272" s="375" t="s">
        <v>1069</v>
      </c>
      <c r="H272" s="377"/>
      <c r="I272" s="377"/>
      <c r="J272" s="375" t="s">
        <v>218</v>
      </c>
      <c r="K272" s="375" t="s">
        <v>1092</v>
      </c>
      <c r="L272" s="375" t="s">
        <v>233</v>
      </c>
      <c r="M272" s="375" t="s">
        <v>177</v>
      </c>
      <c r="N272" s="375" t="s">
        <v>199</v>
      </c>
      <c r="O272" s="378">
        <v>1</v>
      </c>
      <c r="P272" s="384">
        <v>0.7</v>
      </c>
      <c r="Q272" s="384">
        <v>0.7</v>
      </c>
      <c r="R272" s="379">
        <v>80</v>
      </c>
      <c r="S272" s="384">
        <v>0.7</v>
      </c>
      <c r="T272" s="379">
        <v>25862.69</v>
      </c>
      <c r="U272" s="379">
        <v>0</v>
      </c>
      <c r="V272" s="379">
        <v>13528.75</v>
      </c>
      <c r="W272" s="379">
        <v>30299.360000000001</v>
      </c>
      <c r="X272" s="379">
        <v>14622.97</v>
      </c>
      <c r="Y272" s="379">
        <v>30299.360000000001</v>
      </c>
      <c r="Z272" s="379">
        <v>14477.54</v>
      </c>
      <c r="AA272" s="375" t="s">
        <v>1148</v>
      </c>
      <c r="AB272" s="375" t="s">
        <v>1149</v>
      </c>
      <c r="AC272" s="375" t="s">
        <v>1150</v>
      </c>
      <c r="AD272" s="375" t="s">
        <v>214</v>
      </c>
      <c r="AE272" s="375" t="s">
        <v>1092</v>
      </c>
      <c r="AF272" s="375" t="s">
        <v>237</v>
      </c>
      <c r="AG272" s="375" t="s">
        <v>183</v>
      </c>
      <c r="AH272" s="380">
        <v>20.81</v>
      </c>
      <c r="AI272" s="380">
        <v>33857.199999999997</v>
      </c>
      <c r="AJ272" s="375" t="s">
        <v>184</v>
      </c>
      <c r="AK272" s="375" t="s">
        <v>185</v>
      </c>
      <c r="AL272" s="375" t="s">
        <v>173</v>
      </c>
      <c r="AM272" s="375" t="s">
        <v>186</v>
      </c>
      <c r="AN272" s="375" t="s">
        <v>68</v>
      </c>
      <c r="AO272" s="378">
        <v>80</v>
      </c>
      <c r="AP272" s="384">
        <v>1</v>
      </c>
      <c r="AQ272" s="384">
        <v>0.7</v>
      </c>
      <c r="AR272" s="383" t="s">
        <v>187</v>
      </c>
      <c r="AS272" s="386">
        <f t="shared" si="203"/>
        <v>0.7</v>
      </c>
      <c r="AT272">
        <f t="shared" si="204"/>
        <v>1</v>
      </c>
      <c r="AU272" s="386">
        <f>IF(AT272=0,"",IF(AND(AT272=1,M272="F",SUMIF(C2:C557,C272,AS2:AS557)&lt;=1),SUMIF(C2:C557,C272,AS2:AS557),IF(AND(AT272=1,M272="F",SUMIF(C2:C557,C272,AS2:AS557)&gt;1),1,"")))</f>
        <v>1</v>
      </c>
      <c r="AV272" s="386" t="str">
        <f>IF(AT272=0,"",IF(AND(AT272=3,M272="F",SUMIF(C2:C557,C272,AS2:AS557)&lt;=1),SUMIF(C2:C557,C272,AS2:AS557),IF(AND(AT272=3,M272="F",SUMIF(C2:C557,C272,AS2:AS557)&gt;1),1,"")))</f>
        <v/>
      </c>
      <c r="AW272" s="386">
        <f>SUMIF(C2:C557,C272,O2:O557)</f>
        <v>2</v>
      </c>
      <c r="AX272" s="386">
        <f>IF(AND(M272="F",AS272&lt;&gt;0),SUMIF(C2:C557,C272,W2:W557),0)</f>
        <v>43284.800000000003</v>
      </c>
      <c r="AY272" s="386">
        <f t="shared" si="205"/>
        <v>30299.360000000001</v>
      </c>
      <c r="AZ272" s="386" t="str">
        <f t="shared" si="206"/>
        <v/>
      </c>
      <c r="BA272" s="386">
        <f t="shared" si="207"/>
        <v>0</v>
      </c>
      <c r="BB272" s="386">
        <f t="shared" si="176"/>
        <v>8154.9999999999991</v>
      </c>
      <c r="BC272" s="386">
        <f t="shared" si="177"/>
        <v>0</v>
      </c>
      <c r="BD272" s="386">
        <f t="shared" si="178"/>
        <v>1878.56032</v>
      </c>
      <c r="BE272" s="386">
        <f t="shared" si="179"/>
        <v>439.34072000000003</v>
      </c>
      <c r="BF272" s="386">
        <f t="shared" si="180"/>
        <v>3617.7435840000003</v>
      </c>
      <c r="BG272" s="386">
        <f t="shared" si="181"/>
        <v>218.45838560000001</v>
      </c>
      <c r="BH272" s="386">
        <f t="shared" si="182"/>
        <v>148.46686399999999</v>
      </c>
      <c r="BI272" s="386">
        <f t="shared" si="183"/>
        <v>92.716041599999997</v>
      </c>
      <c r="BJ272" s="386">
        <f t="shared" si="184"/>
        <v>72.718463999999997</v>
      </c>
      <c r="BK272" s="386">
        <f t="shared" si="185"/>
        <v>0</v>
      </c>
      <c r="BL272" s="386">
        <f t="shared" si="208"/>
        <v>6468.0043791999997</v>
      </c>
      <c r="BM272" s="386">
        <f t="shared" si="209"/>
        <v>0</v>
      </c>
      <c r="BN272" s="386">
        <f t="shared" si="186"/>
        <v>8154.9999999999991</v>
      </c>
      <c r="BO272" s="386">
        <f t="shared" si="187"/>
        <v>0</v>
      </c>
      <c r="BP272" s="386">
        <f t="shared" si="188"/>
        <v>1878.56032</v>
      </c>
      <c r="BQ272" s="386">
        <f t="shared" si="189"/>
        <v>439.34072000000003</v>
      </c>
      <c r="BR272" s="386">
        <f t="shared" si="190"/>
        <v>3617.7435840000003</v>
      </c>
      <c r="BS272" s="386">
        <f t="shared" si="191"/>
        <v>218.45838560000001</v>
      </c>
      <c r="BT272" s="386">
        <f t="shared" si="192"/>
        <v>0</v>
      </c>
      <c r="BU272" s="386">
        <f t="shared" si="193"/>
        <v>92.716041599999997</v>
      </c>
      <c r="BV272" s="386">
        <f t="shared" si="194"/>
        <v>75.748400000000004</v>
      </c>
      <c r="BW272" s="386">
        <f t="shared" si="195"/>
        <v>0</v>
      </c>
      <c r="BX272" s="386">
        <f t="shared" si="210"/>
        <v>6322.5674512000005</v>
      </c>
      <c r="BY272" s="386">
        <f t="shared" si="211"/>
        <v>0</v>
      </c>
      <c r="BZ272" s="386">
        <f t="shared" si="212"/>
        <v>0</v>
      </c>
      <c r="CA272" s="386">
        <f t="shared" si="213"/>
        <v>0</v>
      </c>
      <c r="CB272" s="386">
        <f t="shared" si="214"/>
        <v>0</v>
      </c>
      <c r="CC272" s="386">
        <f t="shared" si="196"/>
        <v>0</v>
      </c>
      <c r="CD272" s="386">
        <f t="shared" si="197"/>
        <v>0</v>
      </c>
      <c r="CE272" s="386">
        <f t="shared" si="198"/>
        <v>0</v>
      </c>
      <c r="CF272" s="386">
        <f t="shared" si="199"/>
        <v>-148.46686399999999</v>
      </c>
      <c r="CG272" s="386">
        <f t="shared" si="200"/>
        <v>0</v>
      </c>
      <c r="CH272" s="386">
        <f t="shared" si="201"/>
        <v>3.0299360000000082</v>
      </c>
      <c r="CI272" s="386">
        <f t="shared" si="202"/>
        <v>0</v>
      </c>
      <c r="CJ272" s="386">
        <f t="shared" si="215"/>
        <v>-145.43692799999997</v>
      </c>
      <c r="CK272" s="386" t="str">
        <f t="shared" si="216"/>
        <v/>
      </c>
      <c r="CL272" s="386" t="str">
        <f t="shared" si="217"/>
        <v/>
      </c>
      <c r="CM272" s="386" t="str">
        <f t="shared" si="218"/>
        <v/>
      </c>
      <c r="CN272" s="386" t="str">
        <f t="shared" si="219"/>
        <v>0001-00</v>
      </c>
    </row>
    <row r="273" spans="1:92" ht="15.75" thickBot="1" x14ac:dyDescent="0.3">
      <c r="A273" s="375" t="s">
        <v>161</v>
      </c>
      <c r="B273" s="375" t="s">
        <v>162</v>
      </c>
      <c r="C273" s="375" t="s">
        <v>1151</v>
      </c>
      <c r="D273" s="375" t="s">
        <v>665</v>
      </c>
      <c r="E273" s="375" t="s">
        <v>165</v>
      </c>
      <c r="F273" s="376" t="s">
        <v>166</v>
      </c>
      <c r="G273" s="375" t="s">
        <v>1069</v>
      </c>
      <c r="H273" s="377"/>
      <c r="I273" s="377"/>
      <c r="J273" s="375" t="s">
        <v>218</v>
      </c>
      <c r="K273" s="375" t="s">
        <v>666</v>
      </c>
      <c r="L273" s="375" t="s">
        <v>183</v>
      </c>
      <c r="M273" s="375" t="s">
        <v>177</v>
      </c>
      <c r="N273" s="375" t="s">
        <v>199</v>
      </c>
      <c r="O273" s="378">
        <v>1</v>
      </c>
      <c r="P273" s="384">
        <v>0.71</v>
      </c>
      <c r="Q273" s="384">
        <v>0.71</v>
      </c>
      <c r="R273" s="379">
        <v>80</v>
      </c>
      <c r="S273" s="384">
        <v>0.71</v>
      </c>
      <c r="T273" s="379">
        <v>18961.63</v>
      </c>
      <c r="U273" s="379">
        <v>0</v>
      </c>
      <c r="V273" s="379">
        <v>12085.61</v>
      </c>
      <c r="W273" s="379">
        <v>21339.759999999998</v>
      </c>
      <c r="X273" s="379">
        <v>12826.88</v>
      </c>
      <c r="Y273" s="379">
        <v>21339.759999999998</v>
      </c>
      <c r="Z273" s="379">
        <v>12724.45</v>
      </c>
      <c r="AA273" s="375" t="s">
        <v>1152</v>
      </c>
      <c r="AB273" s="375" t="s">
        <v>520</v>
      </c>
      <c r="AC273" s="375" t="s">
        <v>1153</v>
      </c>
      <c r="AD273" s="375" t="s">
        <v>170</v>
      </c>
      <c r="AE273" s="375" t="s">
        <v>666</v>
      </c>
      <c r="AF273" s="375" t="s">
        <v>206</v>
      </c>
      <c r="AG273" s="375" t="s">
        <v>183</v>
      </c>
      <c r="AH273" s="380">
        <v>14.45</v>
      </c>
      <c r="AI273" s="380">
        <v>3295.5</v>
      </c>
      <c r="AJ273" s="375" t="s">
        <v>184</v>
      </c>
      <c r="AK273" s="375" t="s">
        <v>185</v>
      </c>
      <c r="AL273" s="375" t="s">
        <v>173</v>
      </c>
      <c r="AM273" s="375" t="s">
        <v>186</v>
      </c>
      <c r="AN273" s="375" t="s">
        <v>68</v>
      </c>
      <c r="AO273" s="378">
        <v>80</v>
      </c>
      <c r="AP273" s="384">
        <v>1</v>
      </c>
      <c r="AQ273" s="384">
        <v>0.71</v>
      </c>
      <c r="AR273" s="383" t="s">
        <v>187</v>
      </c>
      <c r="AS273" s="386">
        <f t="shared" si="203"/>
        <v>0.71</v>
      </c>
      <c r="AT273">
        <f t="shared" si="204"/>
        <v>1</v>
      </c>
      <c r="AU273" s="386">
        <f>IF(AT273=0,"",IF(AND(AT273=1,M273="F",SUMIF(C2:C557,C273,AS2:AS557)&lt;=1),SUMIF(C2:C557,C273,AS2:AS557),IF(AND(AT273=1,M273="F",SUMIF(C2:C557,C273,AS2:AS557)&gt;1),1,"")))</f>
        <v>1</v>
      </c>
      <c r="AV273" s="386" t="str">
        <f>IF(AT273=0,"",IF(AND(AT273=3,M273="F",SUMIF(C2:C557,C273,AS2:AS557)&lt;=1),SUMIF(C2:C557,C273,AS2:AS557),IF(AND(AT273=3,M273="F",SUMIF(C2:C557,C273,AS2:AS557)&gt;1),1,"")))</f>
        <v/>
      </c>
      <c r="AW273" s="386">
        <f>SUMIF(C2:C557,C273,O2:O557)</f>
        <v>2</v>
      </c>
      <c r="AX273" s="386">
        <f>IF(AND(M273="F",AS273&lt;&gt;0),SUMIF(C2:C557,C273,W2:W557),0)</f>
        <v>30056</v>
      </c>
      <c r="AY273" s="386">
        <f t="shared" si="205"/>
        <v>21339.759999999998</v>
      </c>
      <c r="AZ273" s="386" t="str">
        <f t="shared" si="206"/>
        <v/>
      </c>
      <c r="BA273" s="386">
        <f t="shared" si="207"/>
        <v>0</v>
      </c>
      <c r="BB273" s="386">
        <f t="shared" si="176"/>
        <v>8271.5</v>
      </c>
      <c r="BC273" s="386">
        <f t="shared" si="177"/>
        <v>0</v>
      </c>
      <c r="BD273" s="386">
        <f t="shared" si="178"/>
        <v>1323.06512</v>
      </c>
      <c r="BE273" s="386">
        <f t="shared" si="179"/>
        <v>309.42651999999998</v>
      </c>
      <c r="BF273" s="386">
        <f t="shared" si="180"/>
        <v>2547.9673440000001</v>
      </c>
      <c r="BG273" s="386">
        <f t="shared" si="181"/>
        <v>153.85966959999999</v>
      </c>
      <c r="BH273" s="386">
        <f t="shared" si="182"/>
        <v>104.56482399999999</v>
      </c>
      <c r="BI273" s="386">
        <f t="shared" si="183"/>
        <v>65.299665599999997</v>
      </c>
      <c r="BJ273" s="386">
        <f t="shared" si="184"/>
        <v>51.215423999999992</v>
      </c>
      <c r="BK273" s="386">
        <f t="shared" si="185"/>
        <v>0</v>
      </c>
      <c r="BL273" s="386">
        <f t="shared" si="208"/>
        <v>4555.3985671999999</v>
      </c>
      <c r="BM273" s="386">
        <f t="shared" si="209"/>
        <v>0</v>
      </c>
      <c r="BN273" s="386">
        <f t="shared" si="186"/>
        <v>8271.5</v>
      </c>
      <c r="BO273" s="386">
        <f t="shared" si="187"/>
        <v>0</v>
      </c>
      <c r="BP273" s="386">
        <f t="shared" si="188"/>
        <v>1323.06512</v>
      </c>
      <c r="BQ273" s="386">
        <f t="shared" si="189"/>
        <v>309.42651999999998</v>
      </c>
      <c r="BR273" s="386">
        <f t="shared" si="190"/>
        <v>2547.9673440000001</v>
      </c>
      <c r="BS273" s="386">
        <f t="shared" si="191"/>
        <v>153.85966959999999</v>
      </c>
      <c r="BT273" s="386">
        <f t="shared" si="192"/>
        <v>0</v>
      </c>
      <c r="BU273" s="386">
        <f t="shared" si="193"/>
        <v>65.299665599999997</v>
      </c>
      <c r="BV273" s="386">
        <f t="shared" si="194"/>
        <v>53.349399999999996</v>
      </c>
      <c r="BW273" s="386">
        <f t="shared" si="195"/>
        <v>0</v>
      </c>
      <c r="BX273" s="386">
        <f t="shared" si="210"/>
        <v>4452.9677191999999</v>
      </c>
      <c r="BY273" s="386">
        <f t="shared" si="211"/>
        <v>0</v>
      </c>
      <c r="BZ273" s="386">
        <f t="shared" si="212"/>
        <v>0</v>
      </c>
      <c r="CA273" s="386">
        <f t="shared" si="213"/>
        <v>0</v>
      </c>
      <c r="CB273" s="386">
        <f t="shared" si="214"/>
        <v>0</v>
      </c>
      <c r="CC273" s="386">
        <f t="shared" si="196"/>
        <v>0</v>
      </c>
      <c r="CD273" s="386">
        <f t="shared" si="197"/>
        <v>0</v>
      </c>
      <c r="CE273" s="386">
        <f t="shared" si="198"/>
        <v>0</v>
      </c>
      <c r="CF273" s="386">
        <f t="shared" si="199"/>
        <v>-104.56482399999999</v>
      </c>
      <c r="CG273" s="386">
        <f t="shared" si="200"/>
        <v>0</v>
      </c>
      <c r="CH273" s="386">
        <f t="shared" si="201"/>
        <v>2.1339760000000054</v>
      </c>
      <c r="CI273" s="386">
        <f t="shared" si="202"/>
        <v>0</v>
      </c>
      <c r="CJ273" s="386">
        <f t="shared" si="215"/>
        <v>-102.43084799999998</v>
      </c>
      <c r="CK273" s="386" t="str">
        <f t="shared" si="216"/>
        <v/>
      </c>
      <c r="CL273" s="386" t="str">
        <f t="shared" si="217"/>
        <v/>
      </c>
      <c r="CM273" s="386" t="str">
        <f t="shared" si="218"/>
        <v/>
      </c>
      <c r="CN273" s="386" t="str">
        <f t="shared" si="219"/>
        <v>0001-00</v>
      </c>
    </row>
    <row r="274" spans="1:92" ht="15.75" thickBot="1" x14ac:dyDescent="0.3">
      <c r="A274" s="375" t="s">
        <v>161</v>
      </c>
      <c r="B274" s="375" t="s">
        <v>162</v>
      </c>
      <c r="C274" s="375" t="s">
        <v>380</v>
      </c>
      <c r="D274" s="375" t="s">
        <v>247</v>
      </c>
      <c r="E274" s="375" t="s">
        <v>165</v>
      </c>
      <c r="F274" s="376" t="s">
        <v>166</v>
      </c>
      <c r="G274" s="375" t="s">
        <v>1069</v>
      </c>
      <c r="H274" s="377"/>
      <c r="I274" s="377"/>
      <c r="J274" s="375" t="s">
        <v>218</v>
      </c>
      <c r="K274" s="375" t="s">
        <v>268</v>
      </c>
      <c r="L274" s="375" t="s">
        <v>170</v>
      </c>
      <c r="M274" s="375" t="s">
        <v>177</v>
      </c>
      <c r="N274" s="375" t="s">
        <v>199</v>
      </c>
      <c r="O274" s="378">
        <v>1</v>
      </c>
      <c r="P274" s="384">
        <v>0</v>
      </c>
      <c r="Q274" s="384">
        <v>0</v>
      </c>
      <c r="R274" s="379">
        <v>80</v>
      </c>
      <c r="S274" s="384">
        <v>0</v>
      </c>
      <c r="T274" s="379">
        <v>31231.91</v>
      </c>
      <c r="U274" s="379">
        <v>0</v>
      </c>
      <c r="V274" s="379">
        <v>11122.57</v>
      </c>
      <c r="W274" s="379">
        <v>0</v>
      </c>
      <c r="X274" s="379">
        <v>0</v>
      </c>
      <c r="Y274" s="379">
        <v>0</v>
      </c>
      <c r="Z274" s="379">
        <v>0</v>
      </c>
      <c r="AA274" s="375" t="s">
        <v>381</v>
      </c>
      <c r="AB274" s="375" t="s">
        <v>382</v>
      </c>
      <c r="AC274" s="375" t="s">
        <v>383</v>
      </c>
      <c r="AD274" s="375" t="s">
        <v>181</v>
      </c>
      <c r="AE274" s="375" t="s">
        <v>284</v>
      </c>
      <c r="AF274" s="375" t="s">
        <v>245</v>
      </c>
      <c r="AG274" s="375" t="s">
        <v>183</v>
      </c>
      <c r="AH274" s="380">
        <v>21.58</v>
      </c>
      <c r="AI274" s="378">
        <v>1600</v>
      </c>
      <c r="AJ274" s="375" t="s">
        <v>184</v>
      </c>
      <c r="AK274" s="375" t="s">
        <v>185</v>
      </c>
      <c r="AL274" s="375" t="s">
        <v>173</v>
      </c>
      <c r="AM274" s="375" t="s">
        <v>186</v>
      </c>
      <c r="AN274" s="375" t="s">
        <v>68</v>
      </c>
      <c r="AO274" s="378">
        <v>80</v>
      </c>
      <c r="AP274" s="384">
        <v>1</v>
      </c>
      <c r="AQ274" s="384">
        <v>0</v>
      </c>
      <c r="AR274" s="383">
        <v>3</v>
      </c>
      <c r="AS274" s="386">
        <f t="shared" si="203"/>
        <v>0</v>
      </c>
      <c r="AT274">
        <f t="shared" si="204"/>
        <v>0</v>
      </c>
      <c r="AU274" s="386" t="str">
        <f>IF(AT274=0,"",IF(AND(AT274=1,M274="F",SUMIF(C2:C557,C274,AS2:AS557)&lt;=1),SUMIF(C2:C557,C274,AS2:AS557),IF(AND(AT274=1,M274="F",SUMIF(C2:C557,C274,AS2:AS557)&gt;1),1,"")))</f>
        <v/>
      </c>
      <c r="AV274" s="386" t="str">
        <f>IF(AT274=0,"",IF(AND(AT274=3,M274="F",SUMIF(C2:C557,C274,AS2:AS557)&lt;=1),SUMIF(C2:C557,C274,AS2:AS557),IF(AND(AT274=3,M274="F",SUMIF(C2:C557,C274,AS2:AS557)&gt;1),1,"")))</f>
        <v/>
      </c>
      <c r="AW274" s="386">
        <f>SUMIF(C2:C557,C274,O2:O557)</f>
        <v>4</v>
      </c>
      <c r="AX274" s="386">
        <f>IF(AND(M274="F",AS274&lt;&gt;0),SUMIF(C2:C557,C274,W2:W557),0)</f>
        <v>0</v>
      </c>
      <c r="AY274" s="386" t="str">
        <f t="shared" si="205"/>
        <v/>
      </c>
      <c r="AZ274" s="386" t="str">
        <f t="shared" si="206"/>
        <v/>
      </c>
      <c r="BA274" s="386">
        <f t="shared" si="207"/>
        <v>0</v>
      </c>
      <c r="BB274" s="386">
        <f t="shared" si="176"/>
        <v>0</v>
      </c>
      <c r="BC274" s="386">
        <f t="shared" si="177"/>
        <v>0</v>
      </c>
      <c r="BD274" s="386">
        <f t="shared" si="178"/>
        <v>0</v>
      </c>
      <c r="BE274" s="386">
        <f t="shared" si="179"/>
        <v>0</v>
      </c>
      <c r="BF274" s="386">
        <f t="shared" si="180"/>
        <v>0</v>
      </c>
      <c r="BG274" s="386">
        <f t="shared" si="181"/>
        <v>0</v>
      </c>
      <c r="BH274" s="386">
        <f t="shared" si="182"/>
        <v>0</v>
      </c>
      <c r="BI274" s="386">
        <f t="shared" si="183"/>
        <v>0</v>
      </c>
      <c r="BJ274" s="386">
        <f t="shared" si="184"/>
        <v>0</v>
      </c>
      <c r="BK274" s="386">
        <f t="shared" si="185"/>
        <v>0</v>
      </c>
      <c r="BL274" s="386">
        <f t="shared" si="208"/>
        <v>0</v>
      </c>
      <c r="BM274" s="386">
        <f t="shared" si="209"/>
        <v>0</v>
      </c>
      <c r="BN274" s="386">
        <f t="shared" si="186"/>
        <v>0</v>
      </c>
      <c r="BO274" s="386">
        <f t="shared" si="187"/>
        <v>0</v>
      </c>
      <c r="BP274" s="386">
        <f t="shared" si="188"/>
        <v>0</v>
      </c>
      <c r="BQ274" s="386">
        <f t="shared" si="189"/>
        <v>0</v>
      </c>
      <c r="BR274" s="386">
        <f t="shared" si="190"/>
        <v>0</v>
      </c>
      <c r="BS274" s="386">
        <f t="shared" si="191"/>
        <v>0</v>
      </c>
      <c r="BT274" s="386">
        <f t="shared" si="192"/>
        <v>0</v>
      </c>
      <c r="BU274" s="386">
        <f t="shared" si="193"/>
        <v>0</v>
      </c>
      <c r="BV274" s="386">
        <f t="shared" si="194"/>
        <v>0</v>
      </c>
      <c r="BW274" s="386">
        <f t="shared" si="195"/>
        <v>0</v>
      </c>
      <c r="BX274" s="386">
        <f t="shared" si="210"/>
        <v>0</v>
      </c>
      <c r="BY274" s="386">
        <f t="shared" si="211"/>
        <v>0</v>
      </c>
      <c r="BZ274" s="386">
        <f t="shared" si="212"/>
        <v>0</v>
      </c>
      <c r="CA274" s="386">
        <f t="shared" si="213"/>
        <v>0</v>
      </c>
      <c r="CB274" s="386">
        <f t="shared" si="214"/>
        <v>0</v>
      </c>
      <c r="CC274" s="386">
        <f t="shared" si="196"/>
        <v>0</v>
      </c>
      <c r="CD274" s="386">
        <f t="shared" si="197"/>
        <v>0</v>
      </c>
      <c r="CE274" s="386">
        <f t="shared" si="198"/>
        <v>0</v>
      </c>
      <c r="CF274" s="386">
        <f t="shared" si="199"/>
        <v>0</v>
      </c>
      <c r="CG274" s="386">
        <f t="shared" si="200"/>
        <v>0</v>
      </c>
      <c r="CH274" s="386">
        <f t="shared" si="201"/>
        <v>0</v>
      </c>
      <c r="CI274" s="386">
        <f t="shared" si="202"/>
        <v>0</v>
      </c>
      <c r="CJ274" s="386">
        <f t="shared" si="215"/>
        <v>0</v>
      </c>
      <c r="CK274" s="386" t="str">
        <f t="shared" si="216"/>
        <v/>
      </c>
      <c r="CL274" s="386" t="str">
        <f t="shared" si="217"/>
        <v/>
      </c>
      <c r="CM274" s="386" t="str">
        <f t="shared" si="218"/>
        <v/>
      </c>
      <c r="CN274" s="386" t="str">
        <f t="shared" si="219"/>
        <v>0001-00</v>
      </c>
    </row>
    <row r="275" spans="1:92" ht="15.75" thickBot="1" x14ac:dyDescent="0.3">
      <c r="A275" s="375" t="s">
        <v>161</v>
      </c>
      <c r="B275" s="375" t="s">
        <v>162</v>
      </c>
      <c r="C275" s="375" t="s">
        <v>1154</v>
      </c>
      <c r="D275" s="375" t="s">
        <v>665</v>
      </c>
      <c r="E275" s="375" t="s">
        <v>165</v>
      </c>
      <c r="F275" s="376" t="s">
        <v>166</v>
      </c>
      <c r="G275" s="375" t="s">
        <v>1069</v>
      </c>
      <c r="H275" s="377"/>
      <c r="I275" s="377"/>
      <c r="J275" s="375" t="s">
        <v>168</v>
      </c>
      <c r="K275" s="375" t="s">
        <v>666</v>
      </c>
      <c r="L275" s="375" t="s">
        <v>183</v>
      </c>
      <c r="M275" s="375" t="s">
        <v>177</v>
      </c>
      <c r="N275" s="375" t="s">
        <v>199</v>
      </c>
      <c r="O275" s="378">
        <v>1</v>
      </c>
      <c r="P275" s="384">
        <v>1</v>
      </c>
      <c r="Q275" s="384">
        <v>1</v>
      </c>
      <c r="R275" s="379">
        <v>80</v>
      </c>
      <c r="S275" s="384">
        <v>1</v>
      </c>
      <c r="T275" s="379">
        <v>28176</v>
      </c>
      <c r="U275" s="379">
        <v>0</v>
      </c>
      <c r="V275" s="379">
        <v>17368.310000000001</v>
      </c>
      <c r="W275" s="379">
        <v>31678.400000000001</v>
      </c>
      <c r="X275" s="379">
        <v>18412.36</v>
      </c>
      <c r="Y275" s="379">
        <v>31678.400000000001</v>
      </c>
      <c r="Z275" s="379">
        <v>18260.310000000001</v>
      </c>
      <c r="AA275" s="375" t="s">
        <v>1155</v>
      </c>
      <c r="AB275" s="375" t="s">
        <v>1156</v>
      </c>
      <c r="AC275" s="375" t="s">
        <v>1157</v>
      </c>
      <c r="AD275" s="375" t="s">
        <v>170</v>
      </c>
      <c r="AE275" s="375" t="s">
        <v>666</v>
      </c>
      <c r="AF275" s="375" t="s">
        <v>206</v>
      </c>
      <c r="AG275" s="375" t="s">
        <v>183</v>
      </c>
      <c r="AH275" s="380">
        <v>15.23</v>
      </c>
      <c r="AI275" s="380">
        <v>10967.8</v>
      </c>
      <c r="AJ275" s="375" t="s">
        <v>184</v>
      </c>
      <c r="AK275" s="375" t="s">
        <v>185</v>
      </c>
      <c r="AL275" s="375" t="s">
        <v>173</v>
      </c>
      <c r="AM275" s="375" t="s">
        <v>186</v>
      </c>
      <c r="AN275" s="375" t="s">
        <v>68</v>
      </c>
      <c r="AO275" s="378">
        <v>80</v>
      </c>
      <c r="AP275" s="384">
        <v>1</v>
      </c>
      <c r="AQ275" s="384">
        <v>1</v>
      </c>
      <c r="AR275" s="383" t="s">
        <v>187</v>
      </c>
      <c r="AS275" s="386">
        <f t="shared" si="203"/>
        <v>1</v>
      </c>
      <c r="AT275">
        <f t="shared" si="204"/>
        <v>1</v>
      </c>
      <c r="AU275" s="386">
        <f>IF(AT275=0,"",IF(AND(AT275=1,M275="F",SUMIF(C2:C557,C275,AS2:AS557)&lt;=1),SUMIF(C2:C557,C275,AS2:AS557),IF(AND(AT275=1,M275="F",SUMIF(C2:C557,C275,AS2:AS557)&gt;1),1,"")))</f>
        <v>1</v>
      </c>
      <c r="AV275" s="386" t="str">
        <f>IF(AT275=0,"",IF(AND(AT275=3,M275="F",SUMIF(C2:C557,C275,AS2:AS557)&lt;=1),SUMIF(C2:C557,C275,AS2:AS557),IF(AND(AT275=3,M275="F",SUMIF(C2:C557,C275,AS2:AS557)&gt;1),1,"")))</f>
        <v/>
      </c>
      <c r="AW275" s="386">
        <f>SUMIF(C2:C557,C275,O2:O557)</f>
        <v>1</v>
      </c>
      <c r="AX275" s="386">
        <f>IF(AND(M275="F",AS275&lt;&gt;0),SUMIF(C2:C557,C275,W2:W557),0)</f>
        <v>31678.400000000001</v>
      </c>
      <c r="AY275" s="386">
        <f t="shared" si="205"/>
        <v>31678.400000000001</v>
      </c>
      <c r="AZ275" s="386" t="str">
        <f t="shared" si="206"/>
        <v/>
      </c>
      <c r="BA275" s="386">
        <f t="shared" si="207"/>
        <v>0</v>
      </c>
      <c r="BB275" s="386">
        <f t="shared" si="176"/>
        <v>11650</v>
      </c>
      <c r="BC275" s="386">
        <f t="shared" si="177"/>
        <v>0</v>
      </c>
      <c r="BD275" s="386">
        <f t="shared" si="178"/>
        <v>1964.0608</v>
      </c>
      <c r="BE275" s="386">
        <f t="shared" si="179"/>
        <v>459.33680000000004</v>
      </c>
      <c r="BF275" s="386">
        <f t="shared" si="180"/>
        <v>3782.4009600000004</v>
      </c>
      <c r="BG275" s="386">
        <f t="shared" si="181"/>
        <v>228.40126400000003</v>
      </c>
      <c r="BH275" s="386">
        <f t="shared" si="182"/>
        <v>155.22416000000001</v>
      </c>
      <c r="BI275" s="386">
        <f t="shared" si="183"/>
        <v>96.935903999999994</v>
      </c>
      <c r="BJ275" s="386">
        <f t="shared" si="184"/>
        <v>76.02816</v>
      </c>
      <c r="BK275" s="386">
        <f t="shared" si="185"/>
        <v>0</v>
      </c>
      <c r="BL275" s="386">
        <f t="shared" si="208"/>
        <v>6762.3880480000007</v>
      </c>
      <c r="BM275" s="386">
        <f t="shared" si="209"/>
        <v>0</v>
      </c>
      <c r="BN275" s="386">
        <f t="shared" si="186"/>
        <v>11650</v>
      </c>
      <c r="BO275" s="386">
        <f t="shared" si="187"/>
        <v>0</v>
      </c>
      <c r="BP275" s="386">
        <f t="shared" si="188"/>
        <v>1964.0608</v>
      </c>
      <c r="BQ275" s="386">
        <f t="shared" si="189"/>
        <v>459.33680000000004</v>
      </c>
      <c r="BR275" s="386">
        <f t="shared" si="190"/>
        <v>3782.4009600000004</v>
      </c>
      <c r="BS275" s="386">
        <f t="shared" si="191"/>
        <v>228.40126400000003</v>
      </c>
      <c r="BT275" s="386">
        <f t="shared" si="192"/>
        <v>0</v>
      </c>
      <c r="BU275" s="386">
        <f t="shared" si="193"/>
        <v>96.935903999999994</v>
      </c>
      <c r="BV275" s="386">
        <f t="shared" si="194"/>
        <v>79.196000000000012</v>
      </c>
      <c r="BW275" s="386">
        <f t="shared" si="195"/>
        <v>0</v>
      </c>
      <c r="BX275" s="386">
        <f t="shared" si="210"/>
        <v>6610.331728000001</v>
      </c>
      <c r="BY275" s="386">
        <f t="shared" si="211"/>
        <v>0</v>
      </c>
      <c r="BZ275" s="386">
        <f t="shared" si="212"/>
        <v>0</v>
      </c>
      <c r="CA275" s="386">
        <f t="shared" si="213"/>
        <v>0</v>
      </c>
      <c r="CB275" s="386">
        <f t="shared" si="214"/>
        <v>0</v>
      </c>
      <c r="CC275" s="386">
        <f t="shared" si="196"/>
        <v>0</v>
      </c>
      <c r="CD275" s="386">
        <f t="shared" si="197"/>
        <v>0</v>
      </c>
      <c r="CE275" s="386">
        <f t="shared" si="198"/>
        <v>0</v>
      </c>
      <c r="CF275" s="386">
        <f t="shared" si="199"/>
        <v>-155.22416000000001</v>
      </c>
      <c r="CG275" s="386">
        <f t="shared" si="200"/>
        <v>0</v>
      </c>
      <c r="CH275" s="386">
        <f t="shared" si="201"/>
        <v>3.1678400000000084</v>
      </c>
      <c r="CI275" s="386">
        <f t="shared" si="202"/>
        <v>0</v>
      </c>
      <c r="CJ275" s="386">
        <f t="shared" si="215"/>
        <v>-152.05632</v>
      </c>
      <c r="CK275" s="386" t="str">
        <f t="shared" si="216"/>
        <v/>
      </c>
      <c r="CL275" s="386" t="str">
        <f t="shared" si="217"/>
        <v/>
      </c>
      <c r="CM275" s="386" t="str">
        <f t="shared" si="218"/>
        <v/>
      </c>
      <c r="CN275" s="386" t="str">
        <f t="shared" si="219"/>
        <v>0001-00</v>
      </c>
    </row>
    <row r="276" spans="1:92" ht="15.75" thickBot="1" x14ac:dyDescent="0.3">
      <c r="A276" s="375" t="s">
        <v>161</v>
      </c>
      <c r="B276" s="375" t="s">
        <v>162</v>
      </c>
      <c r="C276" s="375" t="s">
        <v>1158</v>
      </c>
      <c r="D276" s="375" t="s">
        <v>324</v>
      </c>
      <c r="E276" s="375" t="s">
        <v>165</v>
      </c>
      <c r="F276" s="376" t="s">
        <v>166</v>
      </c>
      <c r="G276" s="375" t="s">
        <v>1069</v>
      </c>
      <c r="H276" s="377"/>
      <c r="I276" s="377"/>
      <c r="J276" s="375" t="s">
        <v>168</v>
      </c>
      <c r="K276" s="375" t="s">
        <v>325</v>
      </c>
      <c r="L276" s="375" t="s">
        <v>170</v>
      </c>
      <c r="M276" s="375" t="s">
        <v>177</v>
      </c>
      <c r="N276" s="375" t="s">
        <v>199</v>
      </c>
      <c r="O276" s="378">
        <v>1</v>
      </c>
      <c r="P276" s="384">
        <v>1</v>
      </c>
      <c r="Q276" s="384">
        <v>1</v>
      </c>
      <c r="R276" s="379">
        <v>80</v>
      </c>
      <c r="S276" s="384">
        <v>1</v>
      </c>
      <c r="T276" s="379">
        <v>46967.64</v>
      </c>
      <c r="U276" s="379">
        <v>0</v>
      </c>
      <c r="V276" s="379">
        <v>21355.919999999998</v>
      </c>
      <c r="W276" s="379">
        <v>52062.400000000001</v>
      </c>
      <c r="X276" s="379">
        <v>22763.72</v>
      </c>
      <c r="Y276" s="379">
        <v>52062.400000000001</v>
      </c>
      <c r="Z276" s="379">
        <v>22513.83</v>
      </c>
      <c r="AA276" s="375" t="s">
        <v>1159</v>
      </c>
      <c r="AB276" s="375" t="s">
        <v>1160</v>
      </c>
      <c r="AC276" s="375" t="s">
        <v>1161</v>
      </c>
      <c r="AD276" s="375" t="s">
        <v>233</v>
      </c>
      <c r="AE276" s="375" t="s">
        <v>325</v>
      </c>
      <c r="AF276" s="375" t="s">
        <v>269</v>
      </c>
      <c r="AG276" s="375" t="s">
        <v>183</v>
      </c>
      <c r="AH276" s="380">
        <v>25.03</v>
      </c>
      <c r="AI276" s="378">
        <v>15453</v>
      </c>
      <c r="AJ276" s="375" t="s">
        <v>184</v>
      </c>
      <c r="AK276" s="375" t="s">
        <v>185</v>
      </c>
      <c r="AL276" s="375" t="s">
        <v>173</v>
      </c>
      <c r="AM276" s="375" t="s">
        <v>186</v>
      </c>
      <c r="AN276" s="375" t="s">
        <v>68</v>
      </c>
      <c r="AO276" s="378">
        <v>80</v>
      </c>
      <c r="AP276" s="384">
        <v>1</v>
      </c>
      <c r="AQ276" s="384">
        <v>1</v>
      </c>
      <c r="AR276" s="383" t="s">
        <v>187</v>
      </c>
      <c r="AS276" s="386">
        <f t="shared" si="203"/>
        <v>1</v>
      </c>
      <c r="AT276">
        <f t="shared" si="204"/>
        <v>1</v>
      </c>
      <c r="AU276" s="386">
        <f>IF(AT276=0,"",IF(AND(AT276=1,M276="F",SUMIF(C2:C557,C276,AS2:AS557)&lt;=1),SUMIF(C2:C557,C276,AS2:AS557),IF(AND(AT276=1,M276="F",SUMIF(C2:C557,C276,AS2:AS557)&gt;1),1,"")))</f>
        <v>1</v>
      </c>
      <c r="AV276" s="386" t="str">
        <f>IF(AT276=0,"",IF(AND(AT276=3,M276="F",SUMIF(C2:C557,C276,AS2:AS557)&lt;=1),SUMIF(C2:C557,C276,AS2:AS557),IF(AND(AT276=3,M276="F",SUMIF(C2:C557,C276,AS2:AS557)&gt;1),1,"")))</f>
        <v/>
      </c>
      <c r="AW276" s="386">
        <f>SUMIF(C2:C557,C276,O2:O557)</f>
        <v>1</v>
      </c>
      <c r="AX276" s="386">
        <f>IF(AND(M276="F",AS276&lt;&gt;0),SUMIF(C2:C557,C276,W2:W557),0)</f>
        <v>52062.400000000001</v>
      </c>
      <c r="AY276" s="386">
        <f t="shared" si="205"/>
        <v>52062.400000000001</v>
      </c>
      <c r="AZ276" s="386" t="str">
        <f t="shared" si="206"/>
        <v/>
      </c>
      <c r="BA276" s="386">
        <f t="shared" si="207"/>
        <v>0</v>
      </c>
      <c r="BB276" s="386">
        <f t="shared" si="176"/>
        <v>11650</v>
      </c>
      <c r="BC276" s="386">
        <f t="shared" si="177"/>
        <v>0</v>
      </c>
      <c r="BD276" s="386">
        <f t="shared" si="178"/>
        <v>3227.8688000000002</v>
      </c>
      <c r="BE276" s="386">
        <f t="shared" si="179"/>
        <v>754.90480000000002</v>
      </c>
      <c r="BF276" s="386">
        <f t="shared" si="180"/>
        <v>6216.2505600000004</v>
      </c>
      <c r="BG276" s="386">
        <f t="shared" si="181"/>
        <v>375.36990400000002</v>
      </c>
      <c r="BH276" s="386">
        <f t="shared" si="182"/>
        <v>255.10576</v>
      </c>
      <c r="BI276" s="386">
        <f t="shared" si="183"/>
        <v>159.31094400000001</v>
      </c>
      <c r="BJ276" s="386">
        <f t="shared" si="184"/>
        <v>124.94976</v>
      </c>
      <c r="BK276" s="386">
        <f t="shared" si="185"/>
        <v>0</v>
      </c>
      <c r="BL276" s="386">
        <f t="shared" si="208"/>
        <v>11113.760528000001</v>
      </c>
      <c r="BM276" s="386">
        <f t="shared" si="209"/>
        <v>0</v>
      </c>
      <c r="BN276" s="386">
        <f t="shared" si="186"/>
        <v>11650</v>
      </c>
      <c r="BO276" s="386">
        <f t="shared" si="187"/>
        <v>0</v>
      </c>
      <c r="BP276" s="386">
        <f t="shared" si="188"/>
        <v>3227.8688000000002</v>
      </c>
      <c r="BQ276" s="386">
        <f t="shared" si="189"/>
        <v>754.90480000000002</v>
      </c>
      <c r="BR276" s="386">
        <f t="shared" si="190"/>
        <v>6216.2505600000004</v>
      </c>
      <c r="BS276" s="386">
        <f t="shared" si="191"/>
        <v>375.36990400000002</v>
      </c>
      <c r="BT276" s="386">
        <f t="shared" si="192"/>
        <v>0</v>
      </c>
      <c r="BU276" s="386">
        <f t="shared" si="193"/>
        <v>159.31094400000001</v>
      </c>
      <c r="BV276" s="386">
        <f t="shared" si="194"/>
        <v>130.15600000000001</v>
      </c>
      <c r="BW276" s="386">
        <f t="shared" si="195"/>
        <v>0</v>
      </c>
      <c r="BX276" s="386">
        <f t="shared" si="210"/>
        <v>10863.861008000002</v>
      </c>
      <c r="BY276" s="386">
        <f t="shared" si="211"/>
        <v>0</v>
      </c>
      <c r="BZ276" s="386">
        <f t="shared" si="212"/>
        <v>0</v>
      </c>
      <c r="CA276" s="386">
        <f t="shared" si="213"/>
        <v>0</v>
      </c>
      <c r="CB276" s="386">
        <f t="shared" si="214"/>
        <v>0</v>
      </c>
      <c r="CC276" s="386">
        <f t="shared" si="196"/>
        <v>0</v>
      </c>
      <c r="CD276" s="386">
        <f t="shared" si="197"/>
        <v>0</v>
      </c>
      <c r="CE276" s="386">
        <f t="shared" si="198"/>
        <v>0</v>
      </c>
      <c r="CF276" s="386">
        <f t="shared" si="199"/>
        <v>-255.10576</v>
      </c>
      <c r="CG276" s="386">
        <f t="shared" si="200"/>
        <v>0</v>
      </c>
      <c r="CH276" s="386">
        <f t="shared" si="201"/>
        <v>5.2062400000000135</v>
      </c>
      <c r="CI276" s="386">
        <f t="shared" si="202"/>
        <v>0</v>
      </c>
      <c r="CJ276" s="386">
        <f t="shared" si="215"/>
        <v>-249.89952</v>
      </c>
      <c r="CK276" s="386" t="str">
        <f t="shared" si="216"/>
        <v/>
      </c>
      <c r="CL276" s="386" t="str">
        <f t="shared" si="217"/>
        <v/>
      </c>
      <c r="CM276" s="386" t="str">
        <f t="shared" si="218"/>
        <v/>
      </c>
      <c r="CN276" s="386" t="str">
        <f t="shared" si="219"/>
        <v>0001-00</v>
      </c>
    </row>
    <row r="277" spans="1:92" ht="15.75" thickBot="1" x14ac:dyDescent="0.3">
      <c r="A277" s="375" t="s">
        <v>161</v>
      </c>
      <c r="B277" s="375" t="s">
        <v>162</v>
      </c>
      <c r="C277" s="375" t="s">
        <v>389</v>
      </c>
      <c r="D277" s="375" t="s">
        <v>390</v>
      </c>
      <c r="E277" s="375" t="s">
        <v>165</v>
      </c>
      <c r="F277" s="376" t="s">
        <v>166</v>
      </c>
      <c r="G277" s="375" t="s">
        <v>1069</v>
      </c>
      <c r="H277" s="377"/>
      <c r="I277" s="377"/>
      <c r="J277" s="375" t="s">
        <v>218</v>
      </c>
      <c r="K277" s="375" t="s">
        <v>391</v>
      </c>
      <c r="L277" s="375" t="s">
        <v>173</v>
      </c>
      <c r="M277" s="375" t="s">
        <v>177</v>
      </c>
      <c r="N277" s="375" t="s">
        <v>199</v>
      </c>
      <c r="O277" s="378">
        <v>1</v>
      </c>
      <c r="P277" s="384">
        <v>0</v>
      </c>
      <c r="Q277" s="384">
        <v>0</v>
      </c>
      <c r="R277" s="379">
        <v>80</v>
      </c>
      <c r="S277" s="384">
        <v>0</v>
      </c>
      <c r="T277" s="379">
        <v>67409.740000000005</v>
      </c>
      <c r="U277" s="379">
        <v>0</v>
      </c>
      <c r="V277" s="379">
        <v>23634.7</v>
      </c>
      <c r="W277" s="379">
        <v>0</v>
      </c>
      <c r="X277" s="379">
        <v>0</v>
      </c>
      <c r="Y277" s="379">
        <v>0</v>
      </c>
      <c r="Z277" s="379">
        <v>0</v>
      </c>
      <c r="AA277" s="375" t="s">
        <v>392</v>
      </c>
      <c r="AB277" s="375" t="s">
        <v>393</v>
      </c>
      <c r="AC277" s="375" t="s">
        <v>394</v>
      </c>
      <c r="AD277" s="375" t="s">
        <v>194</v>
      </c>
      <c r="AE277" s="375" t="s">
        <v>391</v>
      </c>
      <c r="AF277" s="375" t="s">
        <v>305</v>
      </c>
      <c r="AG277" s="375" t="s">
        <v>183</v>
      </c>
      <c r="AH277" s="380">
        <v>39.49</v>
      </c>
      <c r="AI277" s="380">
        <v>55690.3</v>
      </c>
      <c r="AJ277" s="375" t="s">
        <v>184</v>
      </c>
      <c r="AK277" s="375" t="s">
        <v>185</v>
      </c>
      <c r="AL277" s="375" t="s">
        <v>173</v>
      </c>
      <c r="AM277" s="375" t="s">
        <v>186</v>
      </c>
      <c r="AN277" s="375" t="s">
        <v>68</v>
      </c>
      <c r="AO277" s="378">
        <v>80</v>
      </c>
      <c r="AP277" s="384">
        <v>1</v>
      </c>
      <c r="AQ277" s="384">
        <v>0</v>
      </c>
      <c r="AR277" s="383" t="s">
        <v>187</v>
      </c>
      <c r="AS277" s="386">
        <f t="shared" si="203"/>
        <v>0</v>
      </c>
      <c r="AT277">
        <f t="shared" si="204"/>
        <v>0</v>
      </c>
      <c r="AU277" s="386" t="str">
        <f>IF(AT277=0,"",IF(AND(AT277=1,M277="F",SUMIF(C2:C557,C277,AS2:AS557)&lt;=1),SUMIF(C2:C557,C277,AS2:AS557),IF(AND(AT277=1,M277="F",SUMIF(C2:C557,C277,AS2:AS557)&gt;1),1,"")))</f>
        <v/>
      </c>
      <c r="AV277" s="386" t="str">
        <f>IF(AT277=0,"",IF(AND(AT277=3,M277="F",SUMIF(C2:C557,C277,AS2:AS557)&lt;=1),SUMIF(C2:C557,C277,AS2:AS557),IF(AND(AT277=3,M277="F",SUMIF(C2:C557,C277,AS2:AS557)&gt;1),1,"")))</f>
        <v/>
      </c>
      <c r="AW277" s="386">
        <f>SUMIF(C2:C557,C277,O2:O557)</f>
        <v>4</v>
      </c>
      <c r="AX277" s="386">
        <f>IF(AND(M277="F",AS277&lt;&gt;0),SUMIF(C2:C557,C277,W2:W557),0)</f>
        <v>0</v>
      </c>
      <c r="AY277" s="386" t="str">
        <f t="shared" si="205"/>
        <v/>
      </c>
      <c r="AZ277" s="386" t="str">
        <f t="shared" si="206"/>
        <v/>
      </c>
      <c r="BA277" s="386">
        <f t="shared" si="207"/>
        <v>0</v>
      </c>
      <c r="BB277" s="386">
        <f t="shared" si="176"/>
        <v>0</v>
      </c>
      <c r="BC277" s="386">
        <f t="shared" si="177"/>
        <v>0</v>
      </c>
      <c r="BD277" s="386">
        <f t="shared" si="178"/>
        <v>0</v>
      </c>
      <c r="BE277" s="386">
        <f t="shared" si="179"/>
        <v>0</v>
      </c>
      <c r="BF277" s="386">
        <f t="shared" si="180"/>
        <v>0</v>
      </c>
      <c r="BG277" s="386">
        <f t="shared" si="181"/>
        <v>0</v>
      </c>
      <c r="BH277" s="386">
        <f t="shared" si="182"/>
        <v>0</v>
      </c>
      <c r="BI277" s="386">
        <f t="shared" si="183"/>
        <v>0</v>
      </c>
      <c r="BJ277" s="386">
        <f t="shared" si="184"/>
        <v>0</v>
      </c>
      <c r="BK277" s="386">
        <f t="shared" si="185"/>
        <v>0</v>
      </c>
      <c r="BL277" s="386">
        <f t="shared" si="208"/>
        <v>0</v>
      </c>
      <c r="BM277" s="386">
        <f t="shared" si="209"/>
        <v>0</v>
      </c>
      <c r="BN277" s="386">
        <f t="shared" si="186"/>
        <v>0</v>
      </c>
      <c r="BO277" s="386">
        <f t="shared" si="187"/>
        <v>0</v>
      </c>
      <c r="BP277" s="386">
        <f t="shared" si="188"/>
        <v>0</v>
      </c>
      <c r="BQ277" s="386">
        <f t="shared" si="189"/>
        <v>0</v>
      </c>
      <c r="BR277" s="386">
        <f t="shared" si="190"/>
        <v>0</v>
      </c>
      <c r="BS277" s="386">
        <f t="shared" si="191"/>
        <v>0</v>
      </c>
      <c r="BT277" s="386">
        <f t="shared" si="192"/>
        <v>0</v>
      </c>
      <c r="BU277" s="386">
        <f t="shared" si="193"/>
        <v>0</v>
      </c>
      <c r="BV277" s="386">
        <f t="shared" si="194"/>
        <v>0</v>
      </c>
      <c r="BW277" s="386">
        <f t="shared" si="195"/>
        <v>0</v>
      </c>
      <c r="BX277" s="386">
        <f t="shared" si="210"/>
        <v>0</v>
      </c>
      <c r="BY277" s="386">
        <f t="shared" si="211"/>
        <v>0</v>
      </c>
      <c r="BZ277" s="386">
        <f t="shared" si="212"/>
        <v>0</v>
      </c>
      <c r="CA277" s="386">
        <f t="shared" si="213"/>
        <v>0</v>
      </c>
      <c r="CB277" s="386">
        <f t="shared" si="214"/>
        <v>0</v>
      </c>
      <c r="CC277" s="386">
        <f t="shared" si="196"/>
        <v>0</v>
      </c>
      <c r="CD277" s="386">
        <f t="shared" si="197"/>
        <v>0</v>
      </c>
      <c r="CE277" s="386">
        <f t="shared" si="198"/>
        <v>0</v>
      </c>
      <c r="CF277" s="386">
        <f t="shared" si="199"/>
        <v>0</v>
      </c>
      <c r="CG277" s="386">
        <f t="shared" si="200"/>
        <v>0</v>
      </c>
      <c r="CH277" s="386">
        <f t="shared" si="201"/>
        <v>0</v>
      </c>
      <c r="CI277" s="386">
        <f t="shared" si="202"/>
        <v>0</v>
      </c>
      <c r="CJ277" s="386">
        <f t="shared" si="215"/>
        <v>0</v>
      </c>
      <c r="CK277" s="386" t="str">
        <f t="shared" si="216"/>
        <v/>
      </c>
      <c r="CL277" s="386" t="str">
        <f t="shared" si="217"/>
        <v/>
      </c>
      <c r="CM277" s="386" t="str">
        <f t="shared" si="218"/>
        <v/>
      </c>
      <c r="CN277" s="386" t="str">
        <f t="shared" si="219"/>
        <v>0001-00</v>
      </c>
    </row>
    <row r="278" spans="1:92" ht="15.75" thickBot="1" x14ac:dyDescent="0.3">
      <c r="A278" s="375" t="s">
        <v>161</v>
      </c>
      <c r="B278" s="375" t="s">
        <v>162</v>
      </c>
      <c r="C278" s="375" t="s">
        <v>1162</v>
      </c>
      <c r="D278" s="375" t="s">
        <v>665</v>
      </c>
      <c r="E278" s="375" t="s">
        <v>165</v>
      </c>
      <c r="F278" s="376" t="s">
        <v>166</v>
      </c>
      <c r="G278" s="375" t="s">
        <v>1069</v>
      </c>
      <c r="H278" s="377"/>
      <c r="I278" s="377"/>
      <c r="J278" s="375" t="s">
        <v>168</v>
      </c>
      <c r="K278" s="375" t="s">
        <v>666</v>
      </c>
      <c r="L278" s="375" t="s">
        <v>183</v>
      </c>
      <c r="M278" s="375" t="s">
        <v>177</v>
      </c>
      <c r="N278" s="375" t="s">
        <v>199</v>
      </c>
      <c r="O278" s="378">
        <v>1</v>
      </c>
      <c r="P278" s="384">
        <v>1</v>
      </c>
      <c r="Q278" s="384">
        <v>1</v>
      </c>
      <c r="R278" s="379">
        <v>80</v>
      </c>
      <c r="S278" s="384">
        <v>1</v>
      </c>
      <c r="T278" s="379">
        <v>24317.33</v>
      </c>
      <c r="U278" s="379">
        <v>837.08</v>
      </c>
      <c r="V278" s="379">
        <v>13849.6</v>
      </c>
      <c r="W278" s="379">
        <v>31262.400000000001</v>
      </c>
      <c r="X278" s="379">
        <v>18323.55</v>
      </c>
      <c r="Y278" s="379">
        <v>31262.400000000001</v>
      </c>
      <c r="Z278" s="379">
        <v>18173.5</v>
      </c>
      <c r="AA278" s="375" t="s">
        <v>1163</v>
      </c>
      <c r="AB278" s="375" t="s">
        <v>1164</v>
      </c>
      <c r="AC278" s="375" t="s">
        <v>315</v>
      </c>
      <c r="AD278" s="375" t="s">
        <v>1165</v>
      </c>
      <c r="AE278" s="375" t="s">
        <v>666</v>
      </c>
      <c r="AF278" s="375" t="s">
        <v>206</v>
      </c>
      <c r="AG278" s="375" t="s">
        <v>183</v>
      </c>
      <c r="AH278" s="380">
        <v>15.03</v>
      </c>
      <c r="AI278" s="378">
        <v>5194</v>
      </c>
      <c r="AJ278" s="375" t="s">
        <v>184</v>
      </c>
      <c r="AK278" s="375" t="s">
        <v>185</v>
      </c>
      <c r="AL278" s="375" t="s">
        <v>173</v>
      </c>
      <c r="AM278" s="375" t="s">
        <v>186</v>
      </c>
      <c r="AN278" s="375" t="s">
        <v>68</v>
      </c>
      <c r="AO278" s="378">
        <v>80</v>
      </c>
      <c r="AP278" s="384">
        <v>1</v>
      </c>
      <c r="AQ278" s="384">
        <v>1</v>
      </c>
      <c r="AR278" s="383" t="s">
        <v>187</v>
      </c>
      <c r="AS278" s="386">
        <f t="shared" si="203"/>
        <v>1</v>
      </c>
      <c r="AT278">
        <f t="shared" si="204"/>
        <v>1</v>
      </c>
      <c r="AU278" s="386">
        <f>IF(AT278=0,"",IF(AND(AT278=1,M278="F",SUMIF(C2:C557,C278,AS2:AS557)&lt;=1),SUMIF(C2:C557,C278,AS2:AS557),IF(AND(AT278=1,M278="F",SUMIF(C2:C557,C278,AS2:AS557)&gt;1),1,"")))</f>
        <v>1</v>
      </c>
      <c r="AV278" s="386" t="str">
        <f>IF(AT278=0,"",IF(AND(AT278=3,M278="F",SUMIF(C2:C557,C278,AS2:AS557)&lt;=1),SUMIF(C2:C557,C278,AS2:AS557),IF(AND(AT278=3,M278="F",SUMIF(C2:C557,C278,AS2:AS557)&gt;1),1,"")))</f>
        <v/>
      </c>
      <c r="AW278" s="386">
        <f>SUMIF(C2:C557,C278,O2:O557)</f>
        <v>1</v>
      </c>
      <c r="AX278" s="386">
        <f>IF(AND(M278="F",AS278&lt;&gt;0),SUMIF(C2:C557,C278,W2:W557),0)</f>
        <v>31262.400000000001</v>
      </c>
      <c r="AY278" s="386">
        <f t="shared" si="205"/>
        <v>31262.400000000001</v>
      </c>
      <c r="AZ278" s="386" t="str">
        <f t="shared" si="206"/>
        <v/>
      </c>
      <c r="BA278" s="386">
        <f t="shared" si="207"/>
        <v>0</v>
      </c>
      <c r="BB278" s="386">
        <f t="shared" si="176"/>
        <v>11650</v>
      </c>
      <c r="BC278" s="386">
        <f t="shared" si="177"/>
        <v>0</v>
      </c>
      <c r="BD278" s="386">
        <f t="shared" si="178"/>
        <v>1938.2688000000001</v>
      </c>
      <c r="BE278" s="386">
        <f t="shared" si="179"/>
        <v>453.30480000000006</v>
      </c>
      <c r="BF278" s="386">
        <f t="shared" si="180"/>
        <v>3732.7305600000004</v>
      </c>
      <c r="BG278" s="386">
        <f t="shared" si="181"/>
        <v>225.40190400000003</v>
      </c>
      <c r="BH278" s="386">
        <f t="shared" si="182"/>
        <v>153.18576000000002</v>
      </c>
      <c r="BI278" s="386">
        <f t="shared" si="183"/>
        <v>95.662943999999996</v>
      </c>
      <c r="BJ278" s="386">
        <f t="shared" si="184"/>
        <v>75.029759999999996</v>
      </c>
      <c r="BK278" s="386">
        <f t="shared" si="185"/>
        <v>0</v>
      </c>
      <c r="BL278" s="386">
        <f t="shared" si="208"/>
        <v>6673.5845280000012</v>
      </c>
      <c r="BM278" s="386">
        <f t="shared" si="209"/>
        <v>0</v>
      </c>
      <c r="BN278" s="386">
        <f t="shared" si="186"/>
        <v>11650</v>
      </c>
      <c r="BO278" s="386">
        <f t="shared" si="187"/>
        <v>0</v>
      </c>
      <c r="BP278" s="386">
        <f t="shared" si="188"/>
        <v>1938.2688000000001</v>
      </c>
      <c r="BQ278" s="386">
        <f t="shared" si="189"/>
        <v>453.30480000000006</v>
      </c>
      <c r="BR278" s="386">
        <f t="shared" si="190"/>
        <v>3732.7305600000004</v>
      </c>
      <c r="BS278" s="386">
        <f t="shared" si="191"/>
        <v>225.40190400000003</v>
      </c>
      <c r="BT278" s="386">
        <f t="shared" si="192"/>
        <v>0</v>
      </c>
      <c r="BU278" s="386">
        <f t="shared" si="193"/>
        <v>95.662943999999996</v>
      </c>
      <c r="BV278" s="386">
        <f t="shared" si="194"/>
        <v>78.156000000000006</v>
      </c>
      <c r="BW278" s="386">
        <f t="shared" si="195"/>
        <v>0</v>
      </c>
      <c r="BX278" s="386">
        <f t="shared" si="210"/>
        <v>6523.5250080000005</v>
      </c>
      <c r="BY278" s="386">
        <f t="shared" si="211"/>
        <v>0</v>
      </c>
      <c r="BZ278" s="386">
        <f t="shared" si="212"/>
        <v>0</v>
      </c>
      <c r="CA278" s="386">
        <f t="shared" si="213"/>
        <v>0</v>
      </c>
      <c r="CB278" s="386">
        <f t="shared" si="214"/>
        <v>0</v>
      </c>
      <c r="CC278" s="386">
        <f t="shared" si="196"/>
        <v>0</v>
      </c>
      <c r="CD278" s="386">
        <f t="shared" si="197"/>
        <v>0</v>
      </c>
      <c r="CE278" s="386">
        <f t="shared" si="198"/>
        <v>0</v>
      </c>
      <c r="CF278" s="386">
        <f t="shared" si="199"/>
        <v>-153.18576000000002</v>
      </c>
      <c r="CG278" s="386">
        <f t="shared" si="200"/>
        <v>0</v>
      </c>
      <c r="CH278" s="386">
        <f t="shared" si="201"/>
        <v>3.1262400000000081</v>
      </c>
      <c r="CI278" s="386">
        <f t="shared" si="202"/>
        <v>0</v>
      </c>
      <c r="CJ278" s="386">
        <f t="shared" si="215"/>
        <v>-150.05952000000002</v>
      </c>
      <c r="CK278" s="386" t="str">
        <f t="shared" si="216"/>
        <v/>
      </c>
      <c r="CL278" s="386" t="str">
        <f t="shared" si="217"/>
        <v/>
      </c>
      <c r="CM278" s="386" t="str">
        <f t="shared" si="218"/>
        <v/>
      </c>
      <c r="CN278" s="386" t="str">
        <f t="shared" si="219"/>
        <v>0001-00</v>
      </c>
    </row>
    <row r="279" spans="1:92" ht="15.75" thickBot="1" x14ac:dyDescent="0.3">
      <c r="A279" s="375" t="s">
        <v>161</v>
      </c>
      <c r="B279" s="375" t="s">
        <v>162</v>
      </c>
      <c r="C279" s="375" t="s">
        <v>1166</v>
      </c>
      <c r="D279" s="375" t="s">
        <v>665</v>
      </c>
      <c r="E279" s="375" t="s">
        <v>165</v>
      </c>
      <c r="F279" s="376" t="s">
        <v>166</v>
      </c>
      <c r="G279" s="375" t="s">
        <v>1069</v>
      </c>
      <c r="H279" s="377"/>
      <c r="I279" s="377"/>
      <c r="J279" s="375" t="s">
        <v>168</v>
      </c>
      <c r="K279" s="375" t="s">
        <v>666</v>
      </c>
      <c r="L279" s="375" t="s">
        <v>183</v>
      </c>
      <c r="M279" s="375" t="s">
        <v>177</v>
      </c>
      <c r="N279" s="375" t="s">
        <v>199</v>
      </c>
      <c r="O279" s="378">
        <v>1</v>
      </c>
      <c r="P279" s="384">
        <v>1</v>
      </c>
      <c r="Q279" s="384">
        <v>1</v>
      </c>
      <c r="R279" s="379">
        <v>80</v>
      </c>
      <c r="S279" s="384">
        <v>1</v>
      </c>
      <c r="T279" s="379">
        <v>30837.59</v>
      </c>
      <c r="U279" s="379">
        <v>0</v>
      </c>
      <c r="V279" s="379">
        <v>18032.39</v>
      </c>
      <c r="W279" s="379">
        <v>32926.400000000001</v>
      </c>
      <c r="X279" s="379">
        <v>18678.759999999998</v>
      </c>
      <c r="Y279" s="379">
        <v>32926.400000000001</v>
      </c>
      <c r="Z279" s="379">
        <v>18520.72</v>
      </c>
      <c r="AA279" s="375" t="s">
        <v>1167</v>
      </c>
      <c r="AB279" s="375" t="s">
        <v>1168</v>
      </c>
      <c r="AC279" s="375" t="s">
        <v>1169</v>
      </c>
      <c r="AD279" s="375" t="s">
        <v>261</v>
      </c>
      <c r="AE279" s="375" t="s">
        <v>666</v>
      </c>
      <c r="AF279" s="375" t="s">
        <v>206</v>
      </c>
      <c r="AG279" s="375" t="s">
        <v>183</v>
      </c>
      <c r="AH279" s="380">
        <v>15.83</v>
      </c>
      <c r="AI279" s="380">
        <v>14698.4</v>
      </c>
      <c r="AJ279" s="375" t="s">
        <v>184</v>
      </c>
      <c r="AK279" s="375" t="s">
        <v>185</v>
      </c>
      <c r="AL279" s="375" t="s">
        <v>173</v>
      </c>
      <c r="AM279" s="375" t="s">
        <v>186</v>
      </c>
      <c r="AN279" s="375" t="s">
        <v>68</v>
      </c>
      <c r="AO279" s="378">
        <v>80</v>
      </c>
      <c r="AP279" s="384">
        <v>1</v>
      </c>
      <c r="AQ279" s="384">
        <v>1</v>
      </c>
      <c r="AR279" s="383" t="s">
        <v>187</v>
      </c>
      <c r="AS279" s="386">
        <f t="shared" si="203"/>
        <v>1</v>
      </c>
      <c r="AT279">
        <f t="shared" si="204"/>
        <v>1</v>
      </c>
      <c r="AU279" s="386">
        <f>IF(AT279=0,"",IF(AND(AT279=1,M279="F",SUMIF(C2:C557,C279,AS2:AS557)&lt;=1),SUMIF(C2:C557,C279,AS2:AS557),IF(AND(AT279=1,M279="F",SUMIF(C2:C557,C279,AS2:AS557)&gt;1),1,"")))</f>
        <v>1</v>
      </c>
      <c r="AV279" s="386" t="str">
        <f>IF(AT279=0,"",IF(AND(AT279=3,M279="F",SUMIF(C2:C557,C279,AS2:AS557)&lt;=1),SUMIF(C2:C557,C279,AS2:AS557),IF(AND(AT279=3,M279="F",SUMIF(C2:C557,C279,AS2:AS557)&gt;1),1,"")))</f>
        <v/>
      </c>
      <c r="AW279" s="386">
        <f>SUMIF(C2:C557,C279,O2:O557)</f>
        <v>1</v>
      </c>
      <c r="AX279" s="386">
        <f>IF(AND(M279="F",AS279&lt;&gt;0),SUMIF(C2:C557,C279,W2:W557),0)</f>
        <v>32926.400000000001</v>
      </c>
      <c r="AY279" s="386">
        <f t="shared" si="205"/>
        <v>32926.400000000001</v>
      </c>
      <c r="AZ279" s="386" t="str">
        <f t="shared" si="206"/>
        <v/>
      </c>
      <c r="BA279" s="386">
        <f t="shared" si="207"/>
        <v>0</v>
      </c>
      <c r="BB279" s="386">
        <f t="shared" si="176"/>
        <v>11650</v>
      </c>
      <c r="BC279" s="386">
        <f t="shared" si="177"/>
        <v>0</v>
      </c>
      <c r="BD279" s="386">
        <f t="shared" si="178"/>
        <v>2041.4368000000002</v>
      </c>
      <c r="BE279" s="386">
        <f t="shared" si="179"/>
        <v>477.43280000000004</v>
      </c>
      <c r="BF279" s="386">
        <f t="shared" si="180"/>
        <v>3931.4121600000003</v>
      </c>
      <c r="BG279" s="386">
        <f t="shared" si="181"/>
        <v>237.39934400000001</v>
      </c>
      <c r="BH279" s="386">
        <f t="shared" si="182"/>
        <v>161.33936</v>
      </c>
      <c r="BI279" s="386">
        <f t="shared" si="183"/>
        <v>100.754784</v>
      </c>
      <c r="BJ279" s="386">
        <f t="shared" si="184"/>
        <v>79.023359999999997</v>
      </c>
      <c r="BK279" s="386">
        <f t="shared" si="185"/>
        <v>0</v>
      </c>
      <c r="BL279" s="386">
        <f t="shared" si="208"/>
        <v>7028.7986080000001</v>
      </c>
      <c r="BM279" s="386">
        <f t="shared" si="209"/>
        <v>0</v>
      </c>
      <c r="BN279" s="386">
        <f t="shared" si="186"/>
        <v>11650</v>
      </c>
      <c r="BO279" s="386">
        <f t="shared" si="187"/>
        <v>0</v>
      </c>
      <c r="BP279" s="386">
        <f t="shared" si="188"/>
        <v>2041.4368000000002</v>
      </c>
      <c r="BQ279" s="386">
        <f t="shared" si="189"/>
        <v>477.43280000000004</v>
      </c>
      <c r="BR279" s="386">
        <f t="shared" si="190"/>
        <v>3931.4121600000003</v>
      </c>
      <c r="BS279" s="386">
        <f t="shared" si="191"/>
        <v>237.39934400000001</v>
      </c>
      <c r="BT279" s="386">
        <f t="shared" si="192"/>
        <v>0</v>
      </c>
      <c r="BU279" s="386">
        <f t="shared" si="193"/>
        <v>100.754784</v>
      </c>
      <c r="BV279" s="386">
        <f t="shared" si="194"/>
        <v>82.316000000000003</v>
      </c>
      <c r="BW279" s="386">
        <f t="shared" si="195"/>
        <v>0</v>
      </c>
      <c r="BX279" s="386">
        <f t="shared" si="210"/>
        <v>6870.7518879999998</v>
      </c>
      <c r="BY279" s="386">
        <f t="shared" si="211"/>
        <v>0</v>
      </c>
      <c r="BZ279" s="386">
        <f t="shared" si="212"/>
        <v>0</v>
      </c>
      <c r="CA279" s="386">
        <f t="shared" si="213"/>
        <v>0</v>
      </c>
      <c r="CB279" s="386">
        <f t="shared" si="214"/>
        <v>0</v>
      </c>
      <c r="CC279" s="386">
        <f t="shared" si="196"/>
        <v>0</v>
      </c>
      <c r="CD279" s="386">
        <f t="shared" si="197"/>
        <v>0</v>
      </c>
      <c r="CE279" s="386">
        <f t="shared" si="198"/>
        <v>0</v>
      </c>
      <c r="CF279" s="386">
        <f t="shared" si="199"/>
        <v>-161.33936</v>
      </c>
      <c r="CG279" s="386">
        <f t="shared" si="200"/>
        <v>0</v>
      </c>
      <c r="CH279" s="386">
        <f t="shared" si="201"/>
        <v>3.2926400000000089</v>
      </c>
      <c r="CI279" s="386">
        <f t="shared" si="202"/>
        <v>0</v>
      </c>
      <c r="CJ279" s="386">
        <f t="shared" si="215"/>
        <v>-158.04671999999999</v>
      </c>
      <c r="CK279" s="386" t="str">
        <f t="shared" si="216"/>
        <v/>
      </c>
      <c r="CL279" s="386" t="str">
        <f t="shared" si="217"/>
        <v/>
      </c>
      <c r="CM279" s="386" t="str">
        <f t="shared" si="218"/>
        <v/>
      </c>
      <c r="CN279" s="386" t="str">
        <f t="shared" si="219"/>
        <v>0001-00</v>
      </c>
    </row>
    <row r="280" spans="1:92" ht="15.75" thickBot="1" x14ac:dyDescent="0.3">
      <c r="A280" s="375" t="s">
        <v>161</v>
      </c>
      <c r="B280" s="375" t="s">
        <v>162</v>
      </c>
      <c r="C280" s="375" t="s">
        <v>1170</v>
      </c>
      <c r="D280" s="375" t="s">
        <v>318</v>
      </c>
      <c r="E280" s="375" t="s">
        <v>165</v>
      </c>
      <c r="F280" s="376" t="s">
        <v>166</v>
      </c>
      <c r="G280" s="375" t="s">
        <v>1069</v>
      </c>
      <c r="H280" s="377"/>
      <c r="I280" s="377"/>
      <c r="J280" s="375" t="s">
        <v>168</v>
      </c>
      <c r="K280" s="375" t="s">
        <v>319</v>
      </c>
      <c r="L280" s="375" t="s">
        <v>220</v>
      </c>
      <c r="M280" s="375" t="s">
        <v>177</v>
      </c>
      <c r="N280" s="375" t="s">
        <v>199</v>
      </c>
      <c r="O280" s="378">
        <v>1</v>
      </c>
      <c r="P280" s="384">
        <v>1</v>
      </c>
      <c r="Q280" s="384">
        <v>1</v>
      </c>
      <c r="R280" s="379">
        <v>80</v>
      </c>
      <c r="S280" s="384">
        <v>1</v>
      </c>
      <c r="T280" s="379">
        <v>71664</v>
      </c>
      <c r="U280" s="379">
        <v>0</v>
      </c>
      <c r="V280" s="379">
        <v>26445.21</v>
      </c>
      <c r="W280" s="379">
        <v>72092.800000000003</v>
      </c>
      <c r="X280" s="379">
        <v>27039.62</v>
      </c>
      <c r="Y280" s="379">
        <v>72092.800000000003</v>
      </c>
      <c r="Z280" s="379">
        <v>26693.58</v>
      </c>
      <c r="AA280" s="375" t="s">
        <v>1171</v>
      </c>
      <c r="AB280" s="375" t="s">
        <v>1172</v>
      </c>
      <c r="AC280" s="375" t="s">
        <v>511</v>
      </c>
      <c r="AD280" s="375" t="s">
        <v>220</v>
      </c>
      <c r="AE280" s="375" t="s">
        <v>319</v>
      </c>
      <c r="AF280" s="375" t="s">
        <v>252</v>
      </c>
      <c r="AG280" s="375" t="s">
        <v>183</v>
      </c>
      <c r="AH280" s="380">
        <v>34.659999999999997</v>
      </c>
      <c r="AI280" s="380">
        <v>77973.3</v>
      </c>
      <c r="AJ280" s="375" t="s">
        <v>184</v>
      </c>
      <c r="AK280" s="375" t="s">
        <v>185</v>
      </c>
      <c r="AL280" s="375" t="s">
        <v>173</v>
      </c>
      <c r="AM280" s="375" t="s">
        <v>186</v>
      </c>
      <c r="AN280" s="375" t="s">
        <v>68</v>
      </c>
      <c r="AO280" s="378">
        <v>80</v>
      </c>
      <c r="AP280" s="384">
        <v>1</v>
      </c>
      <c r="AQ280" s="384">
        <v>1</v>
      </c>
      <c r="AR280" s="383" t="s">
        <v>187</v>
      </c>
      <c r="AS280" s="386">
        <f t="shared" si="203"/>
        <v>1</v>
      </c>
      <c r="AT280">
        <f t="shared" si="204"/>
        <v>1</v>
      </c>
      <c r="AU280" s="386">
        <f>IF(AT280=0,"",IF(AND(AT280=1,M280="F",SUMIF(C2:C557,C280,AS2:AS557)&lt;=1),SUMIF(C2:C557,C280,AS2:AS557),IF(AND(AT280=1,M280="F",SUMIF(C2:C557,C280,AS2:AS557)&gt;1),1,"")))</f>
        <v>1</v>
      </c>
      <c r="AV280" s="386" t="str">
        <f>IF(AT280=0,"",IF(AND(AT280=3,M280="F",SUMIF(C2:C557,C280,AS2:AS557)&lt;=1),SUMIF(C2:C557,C280,AS2:AS557),IF(AND(AT280=3,M280="F",SUMIF(C2:C557,C280,AS2:AS557)&gt;1),1,"")))</f>
        <v/>
      </c>
      <c r="AW280" s="386">
        <f>SUMIF(C2:C557,C280,O2:O557)</f>
        <v>1</v>
      </c>
      <c r="AX280" s="386">
        <f>IF(AND(M280="F",AS280&lt;&gt;0),SUMIF(C2:C557,C280,W2:W557),0)</f>
        <v>72092.800000000003</v>
      </c>
      <c r="AY280" s="386">
        <f t="shared" si="205"/>
        <v>72092.800000000003</v>
      </c>
      <c r="AZ280" s="386" t="str">
        <f t="shared" si="206"/>
        <v/>
      </c>
      <c r="BA280" s="386">
        <f t="shared" si="207"/>
        <v>0</v>
      </c>
      <c r="BB280" s="386">
        <f t="shared" si="176"/>
        <v>11650</v>
      </c>
      <c r="BC280" s="386">
        <f t="shared" si="177"/>
        <v>0</v>
      </c>
      <c r="BD280" s="386">
        <f t="shared" si="178"/>
        <v>4469.7536</v>
      </c>
      <c r="BE280" s="386">
        <f t="shared" si="179"/>
        <v>1045.3456000000001</v>
      </c>
      <c r="BF280" s="386">
        <f t="shared" si="180"/>
        <v>8607.8803200000002</v>
      </c>
      <c r="BG280" s="386">
        <f t="shared" si="181"/>
        <v>519.78908799999999</v>
      </c>
      <c r="BH280" s="386">
        <f t="shared" si="182"/>
        <v>353.25472000000002</v>
      </c>
      <c r="BI280" s="386">
        <f t="shared" si="183"/>
        <v>220.60396799999998</v>
      </c>
      <c r="BJ280" s="386">
        <f t="shared" si="184"/>
        <v>173.02271999999999</v>
      </c>
      <c r="BK280" s="386">
        <f t="shared" si="185"/>
        <v>0</v>
      </c>
      <c r="BL280" s="386">
        <f t="shared" si="208"/>
        <v>15389.650016000001</v>
      </c>
      <c r="BM280" s="386">
        <f t="shared" si="209"/>
        <v>0</v>
      </c>
      <c r="BN280" s="386">
        <f t="shared" si="186"/>
        <v>11650</v>
      </c>
      <c r="BO280" s="386">
        <f t="shared" si="187"/>
        <v>0</v>
      </c>
      <c r="BP280" s="386">
        <f t="shared" si="188"/>
        <v>4469.7536</v>
      </c>
      <c r="BQ280" s="386">
        <f t="shared" si="189"/>
        <v>1045.3456000000001</v>
      </c>
      <c r="BR280" s="386">
        <f t="shared" si="190"/>
        <v>8607.8803200000002</v>
      </c>
      <c r="BS280" s="386">
        <f t="shared" si="191"/>
        <v>519.78908799999999</v>
      </c>
      <c r="BT280" s="386">
        <f t="shared" si="192"/>
        <v>0</v>
      </c>
      <c r="BU280" s="386">
        <f t="shared" si="193"/>
        <v>220.60396799999998</v>
      </c>
      <c r="BV280" s="386">
        <f t="shared" si="194"/>
        <v>180.232</v>
      </c>
      <c r="BW280" s="386">
        <f t="shared" si="195"/>
        <v>0</v>
      </c>
      <c r="BX280" s="386">
        <f t="shared" si="210"/>
        <v>15043.604576</v>
      </c>
      <c r="BY280" s="386">
        <f t="shared" si="211"/>
        <v>0</v>
      </c>
      <c r="BZ280" s="386">
        <f t="shared" si="212"/>
        <v>0</v>
      </c>
      <c r="CA280" s="386">
        <f t="shared" si="213"/>
        <v>0</v>
      </c>
      <c r="CB280" s="386">
        <f t="shared" si="214"/>
        <v>0</v>
      </c>
      <c r="CC280" s="386">
        <f t="shared" si="196"/>
        <v>0</v>
      </c>
      <c r="CD280" s="386">
        <f t="shared" si="197"/>
        <v>0</v>
      </c>
      <c r="CE280" s="386">
        <f t="shared" si="198"/>
        <v>0</v>
      </c>
      <c r="CF280" s="386">
        <f t="shared" si="199"/>
        <v>-353.25472000000002</v>
      </c>
      <c r="CG280" s="386">
        <f t="shared" si="200"/>
        <v>0</v>
      </c>
      <c r="CH280" s="386">
        <f t="shared" si="201"/>
        <v>7.2092800000000192</v>
      </c>
      <c r="CI280" s="386">
        <f t="shared" si="202"/>
        <v>0</v>
      </c>
      <c r="CJ280" s="386">
        <f t="shared" si="215"/>
        <v>-346.04543999999999</v>
      </c>
      <c r="CK280" s="386" t="str">
        <f t="shared" si="216"/>
        <v/>
      </c>
      <c r="CL280" s="386" t="str">
        <f t="shared" si="217"/>
        <v/>
      </c>
      <c r="CM280" s="386" t="str">
        <f t="shared" si="218"/>
        <v/>
      </c>
      <c r="CN280" s="386" t="str">
        <f t="shared" si="219"/>
        <v>0001-00</v>
      </c>
    </row>
    <row r="281" spans="1:92" ht="15.75" thickBot="1" x14ac:dyDescent="0.3">
      <c r="A281" s="375" t="s">
        <v>161</v>
      </c>
      <c r="B281" s="375" t="s">
        <v>162</v>
      </c>
      <c r="C281" s="375" t="s">
        <v>1173</v>
      </c>
      <c r="D281" s="375" t="s">
        <v>665</v>
      </c>
      <c r="E281" s="375" t="s">
        <v>165</v>
      </c>
      <c r="F281" s="376" t="s">
        <v>166</v>
      </c>
      <c r="G281" s="375" t="s">
        <v>1069</v>
      </c>
      <c r="H281" s="377"/>
      <c r="I281" s="377"/>
      <c r="J281" s="375" t="s">
        <v>168</v>
      </c>
      <c r="K281" s="375" t="s">
        <v>666</v>
      </c>
      <c r="L281" s="375" t="s">
        <v>183</v>
      </c>
      <c r="M281" s="375" t="s">
        <v>177</v>
      </c>
      <c r="N281" s="375" t="s">
        <v>199</v>
      </c>
      <c r="O281" s="378">
        <v>1</v>
      </c>
      <c r="P281" s="384">
        <v>1</v>
      </c>
      <c r="Q281" s="384">
        <v>1</v>
      </c>
      <c r="R281" s="379">
        <v>80</v>
      </c>
      <c r="S281" s="384">
        <v>1</v>
      </c>
      <c r="T281" s="379">
        <v>26601.200000000001</v>
      </c>
      <c r="U281" s="379">
        <v>0</v>
      </c>
      <c r="V281" s="379">
        <v>17685.64</v>
      </c>
      <c r="W281" s="379">
        <v>30056</v>
      </c>
      <c r="X281" s="379">
        <v>18066.03</v>
      </c>
      <c r="Y281" s="379">
        <v>30056</v>
      </c>
      <c r="Z281" s="379">
        <v>17921.77</v>
      </c>
      <c r="AA281" s="375" t="s">
        <v>1174</v>
      </c>
      <c r="AB281" s="375" t="s">
        <v>1175</v>
      </c>
      <c r="AC281" s="375" t="s">
        <v>1176</v>
      </c>
      <c r="AD281" s="375" t="s">
        <v>181</v>
      </c>
      <c r="AE281" s="375" t="s">
        <v>666</v>
      </c>
      <c r="AF281" s="375" t="s">
        <v>206</v>
      </c>
      <c r="AG281" s="375" t="s">
        <v>183</v>
      </c>
      <c r="AH281" s="380">
        <v>14.45</v>
      </c>
      <c r="AI281" s="380">
        <v>462.6</v>
      </c>
      <c r="AJ281" s="375" t="s">
        <v>184</v>
      </c>
      <c r="AK281" s="375" t="s">
        <v>185</v>
      </c>
      <c r="AL281" s="375" t="s">
        <v>173</v>
      </c>
      <c r="AM281" s="375" t="s">
        <v>186</v>
      </c>
      <c r="AN281" s="375" t="s">
        <v>68</v>
      </c>
      <c r="AO281" s="378">
        <v>80</v>
      </c>
      <c r="AP281" s="384">
        <v>1</v>
      </c>
      <c r="AQ281" s="384">
        <v>1</v>
      </c>
      <c r="AR281" s="383" t="s">
        <v>187</v>
      </c>
      <c r="AS281" s="386">
        <f t="shared" si="203"/>
        <v>1</v>
      </c>
      <c r="AT281">
        <f t="shared" si="204"/>
        <v>1</v>
      </c>
      <c r="AU281" s="386">
        <f>IF(AT281=0,"",IF(AND(AT281=1,M281="F",SUMIF(C2:C557,C281,AS2:AS557)&lt;=1),SUMIF(C2:C557,C281,AS2:AS557),IF(AND(AT281=1,M281="F",SUMIF(C2:C557,C281,AS2:AS557)&gt;1),1,"")))</f>
        <v>1</v>
      </c>
      <c r="AV281" s="386" t="str">
        <f>IF(AT281=0,"",IF(AND(AT281=3,M281="F",SUMIF(C2:C557,C281,AS2:AS557)&lt;=1),SUMIF(C2:C557,C281,AS2:AS557),IF(AND(AT281=3,M281="F",SUMIF(C2:C557,C281,AS2:AS557)&gt;1),1,"")))</f>
        <v/>
      </c>
      <c r="AW281" s="386">
        <f>SUMIF(C2:C557,C281,O2:O557)</f>
        <v>1</v>
      </c>
      <c r="AX281" s="386">
        <f>IF(AND(M281="F",AS281&lt;&gt;0),SUMIF(C2:C557,C281,W2:W557),0)</f>
        <v>30056</v>
      </c>
      <c r="AY281" s="386">
        <f t="shared" si="205"/>
        <v>30056</v>
      </c>
      <c r="AZ281" s="386" t="str">
        <f t="shared" si="206"/>
        <v/>
      </c>
      <c r="BA281" s="386">
        <f t="shared" si="207"/>
        <v>0</v>
      </c>
      <c r="BB281" s="386">
        <f t="shared" si="176"/>
        <v>11650</v>
      </c>
      <c r="BC281" s="386">
        <f t="shared" si="177"/>
        <v>0</v>
      </c>
      <c r="BD281" s="386">
        <f t="shared" si="178"/>
        <v>1863.472</v>
      </c>
      <c r="BE281" s="386">
        <f t="shared" si="179"/>
        <v>435.81200000000001</v>
      </c>
      <c r="BF281" s="386">
        <f t="shared" si="180"/>
        <v>3588.6864</v>
      </c>
      <c r="BG281" s="386">
        <f t="shared" si="181"/>
        <v>216.70376000000002</v>
      </c>
      <c r="BH281" s="386">
        <f t="shared" si="182"/>
        <v>147.27439999999999</v>
      </c>
      <c r="BI281" s="386">
        <f t="shared" si="183"/>
        <v>91.97135999999999</v>
      </c>
      <c r="BJ281" s="386">
        <f t="shared" si="184"/>
        <v>72.134399999999999</v>
      </c>
      <c r="BK281" s="386">
        <f t="shared" si="185"/>
        <v>0</v>
      </c>
      <c r="BL281" s="386">
        <f t="shared" si="208"/>
        <v>6416.0543200000002</v>
      </c>
      <c r="BM281" s="386">
        <f t="shared" si="209"/>
        <v>0</v>
      </c>
      <c r="BN281" s="386">
        <f t="shared" si="186"/>
        <v>11650</v>
      </c>
      <c r="BO281" s="386">
        <f t="shared" si="187"/>
        <v>0</v>
      </c>
      <c r="BP281" s="386">
        <f t="shared" si="188"/>
        <v>1863.472</v>
      </c>
      <c r="BQ281" s="386">
        <f t="shared" si="189"/>
        <v>435.81200000000001</v>
      </c>
      <c r="BR281" s="386">
        <f t="shared" si="190"/>
        <v>3588.6864</v>
      </c>
      <c r="BS281" s="386">
        <f t="shared" si="191"/>
        <v>216.70376000000002</v>
      </c>
      <c r="BT281" s="386">
        <f t="shared" si="192"/>
        <v>0</v>
      </c>
      <c r="BU281" s="386">
        <f t="shared" si="193"/>
        <v>91.97135999999999</v>
      </c>
      <c r="BV281" s="386">
        <f t="shared" si="194"/>
        <v>75.14</v>
      </c>
      <c r="BW281" s="386">
        <f t="shared" si="195"/>
        <v>0</v>
      </c>
      <c r="BX281" s="386">
        <f t="shared" si="210"/>
        <v>6271.7855200000004</v>
      </c>
      <c r="BY281" s="386">
        <f t="shared" si="211"/>
        <v>0</v>
      </c>
      <c r="BZ281" s="386">
        <f t="shared" si="212"/>
        <v>0</v>
      </c>
      <c r="CA281" s="386">
        <f t="shared" si="213"/>
        <v>0</v>
      </c>
      <c r="CB281" s="386">
        <f t="shared" si="214"/>
        <v>0</v>
      </c>
      <c r="CC281" s="386">
        <f t="shared" si="196"/>
        <v>0</v>
      </c>
      <c r="CD281" s="386">
        <f t="shared" si="197"/>
        <v>0</v>
      </c>
      <c r="CE281" s="386">
        <f t="shared" si="198"/>
        <v>0</v>
      </c>
      <c r="CF281" s="386">
        <f t="shared" si="199"/>
        <v>-147.27439999999999</v>
      </c>
      <c r="CG281" s="386">
        <f t="shared" si="200"/>
        <v>0</v>
      </c>
      <c r="CH281" s="386">
        <f t="shared" si="201"/>
        <v>3.0056000000000078</v>
      </c>
      <c r="CI281" s="386">
        <f t="shared" si="202"/>
        <v>0</v>
      </c>
      <c r="CJ281" s="386">
        <f t="shared" si="215"/>
        <v>-144.26879999999997</v>
      </c>
      <c r="CK281" s="386" t="str">
        <f t="shared" si="216"/>
        <v/>
      </c>
      <c r="CL281" s="386" t="str">
        <f t="shared" si="217"/>
        <v/>
      </c>
      <c r="CM281" s="386" t="str">
        <f t="shared" si="218"/>
        <v/>
      </c>
      <c r="CN281" s="386" t="str">
        <f t="shared" si="219"/>
        <v>0001-00</v>
      </c>
    </row>
    <row r="282" spans="1:92" ht="15.75" thickBot="1" x14ac:dyDescent="0.3">
      <c r="A282" s="375" t="s">
        <v>161</v>
      </c>
      <c r="B282" s="375" t="s">
        <v>162</v>
      </c>
      <c r="C282" s="375" t="s">
        <v>1177</v>
      </c>
      <c r="D282" s="375" t="s">
        <v>665</v>
      </c>
      <c r="E282" s="375" t="s">
        <v>165</v>
      </c>
      <c r="F282" s="376" t="s">
        <v>166</v>
      </c>
      <c r="G282" s="375" t="s">
        <v>1069</v>
      </c>
      <c r="H282" s="377"/>
      <c r="I282" s="377"/>
      <c r="J282" s="375" t="s">
        <v>168</v>
      </c>
      <c r="K282" s="375" t="s">
        <v>666</v>
      </c>
      <c r="L282" s="375" t="s">
        <v>183</v>
      </c>
      <c r="M282" s="375" t="s">
        <v>177</v>
      </c>
      <c r="N282" s="375" t="s">
        <v>199</v>
      </c>
      <c r="O282" s="378">
        <v>1</v>
      </c>
      <c r="P282" s="384">
        <v>1</v>
      </c>
      <c r="Q282" s="384">
        <v>1</v>
      </c>
      <c r="R282" s="379">
        <v>80</v>
      </c>
      <c r="S282" s="384">
        <v>1</v>
      </c>
      <c r="T282" s="379">
        <v>26477.279999999999</v>
      </c>
      <c r="U282" s="379">
        <v>0</v>
      </c>
      <c r="V282" s="379">
        <v>17020.2</v>
      </c>
      <c r="W282" s="379">
        <v>30867.200000000001</v>
      </c>
      <c r="X282" s="379">
        <v>18239.189999999999</v>
      </c>
      <c r="Y282" s="379">
        <v>30867.200000000001</v>
      </c>
      <c r="Z282" s="379">
        <v>18091.03</v>
      </c>
      <c r="AA282" s="375" t="s">
        <v>1178</v>
      </c>
      <c r="AB282" s="375" t="s">
        <v>1179</v>
      </c>
      <c r="AC282" s="375" t="s">
        <v>1180</v>
      </c>
      <c r="AD282" s="375" t="s">
        <v>194</v>
      </c>
      <c r="AE282" s="375" t="s">
        <v>666</v>
      </c>
      <c r="AF282" s="375" t="s">
        <v>206</v>
      </c>
      <c r="AG282" s="375" t="s">
        <v>183</v>
      </c>
      <c r="AH282" s="380">
        <v>14.84</v>
      </c>
      <c r="AI282" s="380">
        <v>7633.5</v>
      </c>
      <c r="AJ282" s="375" t="s">
        <v>184</v>
      </c>
      <c r="AK282" s="375" t="s">
        <v>185</v>
      </c>
      <c r="AL282" s="375" t="s">
        <v>173</v>
      </c>
      <c r="AM282" s="375" t="s">
        <v>186</v>
      </c>
      <c r="AN282" s="375" t="s">
        <v>68</v>
      </c>
      <c r="AO282" s="378">
        <v>80</v>
      </c>
      <c r="AP282" s="384">
        <v>1</v>
      </c>
      <c r="AQ282" s="384">
        <v>1</v>
      </c>
      <c r="AR282" s="383" t="s">
        <v>187</v>
      </c>
      <c r="AS282" s="386">
        <f t="shared" si="203"/>
        <v>1</v>
      </c>
      <c r="AT282">
        <f t="shared" si="204"/>
        <v>1</v>
      </c>
      <c r="AU282" s="386">
        <f>IF(AT282=0,"",IF(AND(AT282=1,M282="F",SUMIF(C2:C557,C282,AS2:AS557)&lt;=1),SUMIF(C2:C557,C282,AS2:AS557),IF(AND(AT282=1,M282="F",SUMIF(C2:C557,C282,AS2:AS557)&gt;1),1,"")))</f>
        <v>1</v>
      </c>
      <c r="AV282" s="386" t="str">
        <f>IF(AT282=0,"",IF(AND(AT282=3,M282="F",SUMIF(C2:C557,C282,AS2:AS557)&lt;=1),SUMIF(C2:C557,C282,AS2:AS557),IF(AND(AT282=3,M282="F",SUMIF(C2:C557,C282,AS2:AS557)&gt;1),1,"")))</f>
        <v/>
      </c>
      <c r="AW282" s="386">
        <f>SUMIF(C2:C557,C282,O2:O557)</f>
        <v>1</v>
      </c>
      <c r="AX282" s="386">
        <f>IF(AND(M282="F",AS282&lt;&gt;0),SUMIF(C2:C557,C282,W2:W557),0)</f>
        <v>30867.200000000001</v>
      </c>
      <c r="AY282" s="386">
        <f t="shared" si="205"/>
        <v>30867.200000000001</v>
      </c>
      <c r="AZ282" s="386" t="str">
        <f t="shared" si="206"/>
        <v/>
      </c>
      <c r="BA282" s="386">
        <f t="shared" si="207"/>
        <v>0</v>
      </c>
      <c r="BB282" s="386">
        <f t="shared" si="176"/>
        <v>11650</v>
      </c>
      <c r="BC282" s="386">
        <f t="shared" si="177"/>
        <v>0</v>
      </c>
      <c r="BD282" s="386">
        <f t="shared" si="178"/>
        <v>1913.7664</v>
      </c>
      <c r="BE282" s="386">
        <f t="shared" si="179"/>
        <v>447.57440000000003</v>
      </c>
      <c r="BF282" s="386">
        <f t="shared" si="180"/>
        <v>3685.5436800000002</v>
      </c>
      <c r="BG282" s="386">
        <f t="shared" si="181"/>
        <v>222.55251200000001</v>
      </c>
      <c r="BH282" s="386">
        <f t="shared" si="182"/>
        <v>151.24928</v>
      </c>
      <c r="BI282" s="386">
        <f t="shared" si="183"/>
        <v>94.453631999999999</v>
      </c>
      <c r="BJ282" s="386">
        <f t="shared" si="184"/>
        <v>74.081279999999992</v>
      </c>
      <c r="BK282" s="386">
        <f t="shared" si="185"/>
        <v>0</v>
      </c>
      <c r="BL282" s="386">
        <f t="shared" si="208"/>
        <v>6589.2211840000009</v>
      </c>
      <c r="BM282" s="386">
        <f t="shared" si="209"/>
        <v>0</v>
      </c>
      <c r="BN282" s="386">
        <f t="shared" si="186"/>
        <v>11650</v>
      </c>
      <c r="BO282" s="386">
        <f t="shared" si="187"/>
        <v>0</v>
      </c>
      <c r="BP282" s="386">
        <f t="shared" si="188"/>
        <v>1913.7664</v>
      </c>
      <c r="BQ282" s="386">
        <f t="shared" si="189"/>
        <v>447.57440000000003</v>
      </c>
      <c r="BR282" s="386">
        <f t="shared" si="190"/>
        <v>3685.5436800000002</v>
      </c>
      <c r="BS282" s="386">
        <f t="shared" si="191"/>
        <v>222.55251200000001</v>
      </c>
      <c r="BT282" s="386">
        <f t="shared" si="192"/>
        <v>0</v>
      </c>
      <c r="BU282" s="386">
        <f t="shared" si="193"/>
        <v>94.453631999999999</v>
      </c>
      <c r="BV282" s="386">
        <f t="shared" si="194"/>
        <v>77.168000000000006</v>
      </c>
      <c r="BW282" s="386">
        <f t="shared" si="195"/>
        <v>0</v>
      </c>
      <c r="BX282" s="386">
        <f t="shared" si="210"/>
        <v>6441.0586240000002</v>
      </c>
      <c r="BY282" s="386">
        <f t="shared" si="211"/>
        <v>0</v>
      </c>
      <c r="BZ282" s="386">
        <f t="shared" si="212"/>
        <v>0</v>
      </c>
      <c r="CA282" s="386">
        <f t="shared" si="213"/>
        <v>0</v>
      </c>
      <c r="CB282" s="386">
        <f t="shared" si="214"/>
        <v>0</v>
      </c>
      <c r="CC282" s="386">
        <f t="shared" si="196"/>
        <v>0</v>
      </c>
      <c r="CD282" s="386">
        <f t="shared" si="197"/>
        <v>0</v>
      </c>
      <c r="CE282" s="386">
        <f t="shared" si="198"/>
        <v>0</v>
      </c>
      <c r="CF282" s="386">
        <f t="shared" si="199"/>
        <v>-151.24928</v>
      </c>
      <c r="CG282" s="386">
        <f t="shared" si="200"/>
        <v>0</v>
      </c>
      <c r="CH282" s="386">
        <f t="shared" si="201"/>
        <v>3.0867200000000081</v>
      </c>
      <c r="CI282" s="386">
        <f t="shared" si="202"/>
        <v>0</v>
      </c>
      <c r="CJ282" s="386">
        <f t="shared" si="215"/>
        <v>-148.16255999999998</v>
      </c>
      <c r="CK282" s="386" t="str">
        <f t="shared" si="216"/>
        <v/>
      </c>
      <c r="CL282" s="386" t="str">
        <f t="shared" si="217"/>
        <v/>
      </c>
      <c r="CM282" s="386" t="str">
        <f t="shared" si="218"/>
        <v/>
      </c>
      <c r="CN282" s="386" t="str">
        <f t="shared" si="219"/>
        <v>0001-00</v>
      </c>
    </row>
    <row r="283" spans="1:92" ht="15.75" thickBot="1" x14ac:dyDescent="0.3">
      <c r="A283" s="375" t="s">
        <v>161</v>
      </c>
      <c r="B283" s="375" t="s">
        <v>162</v>
      </c>
      <c r="C283" s="375" t="s">
        <v>400</v>
      </c>
      <c r="D283" s="375" t="s">
        <v>318</v>
      </c>
      <c r="E283" s="375" t="s">
        <v>165</v>
      </c>
      <c r="F283" s="376" t="s">
        <v>166</v>
      </c>
      <c r="G283" s="375" t="s">
        <v>1069</v>
      </c>
      <c r="H283" s="377"/>
      <c r="I283" s="377"/>
      <c r="J283" s="375" t="s">
        <v>168</v>
      </c>
      <c r="K283" s="375" t="s">
        <v>319</v>
      </c>
      <c r="L283" s="375" t="s">
        <v>220</v>
      </c>
      <c r="M283" s="375" t="s">
        <v>177</v>
      </c>
      <c r="N283" s="375" t="s">
        <v>199</v>
      </c>
      <c r="O283" s="378">
        <v>1</v>
      </c>
      <c r="P283" s="384">
        <v>0</v>
      </c>
      <c r="Q283" s="384">
        <v>0</v>
      </c>
      <c r="R283" s="379">
        <v>80</v>
      </c>
      <c r="S283" s="384">
        <v>0</v>
      </c>
      <c r="T283" s="379">
        <v>12079.42</v>
      </c>
      <c r="U283" s="379">
        <v>0</v>
      </c>
      <c r="V283" s="379">
        <v>5872.3</v>
      </c>
      <c r="W283" s="379">
        <v>0</v>
      </c>
      <c r="X283" s="379">
        <v>0</v>
      </c>
      <c r="Y283" s="379">
        <v>0</v>
      </c>
      <c r="Z283" s="379">
        <v>0</v>
      </c>
      <c r="AA283" s="375" t="s">
        <v>401</v>
      </c>
      <c r="AB283" s="375" t="s">
        <v>402</v>
      </c>
      <c r="AC283" s="375" t="s">
        <v>403</v>
      </c>
      <c r="AD283" s="375" t="s">
        <v>267</v>
      </c>
      <c r="AE283" s="375" t="s">
        <v>319</v>
      </c>
      <c r="AF283" s="375" t="s">
        <v>252</v>
      </c>
      <c r="AG283" s="375" t="s">
        <v>183</v>
      </c>
      <c r="AH283" s="380">
        <v>28.35</v>
      </c>
      <c r="AI283" s="380">
        <v>14119.7</v>
      </c>
      <c r="AJ283" s="375" t="s">
        <v>184</v>
      </c>
      <c r="AK283" s="375" t="s">
        <v>185</v>
      </c>
      <c r="AL283" s="375" t="s">
        <v>173</v>
      </c>
      <c r="AM283" s="375" t="s">
        <v>186</v>
      </c>
      <c r="AN283" s="375" t="s">
        <v>68</v>
      </c>
      <c r="AO283" s="378">
        <v>80</v>
      </c>
      <c r="AP283" s="384">
        <v>1</v>
      </c>
      <c r="AQ283" s="384">
        <v>0</v>
      </c>
      <c r="AR283" s="383" t="s">
        <v>187</v>
      </c>
      <c r="AS283" s="386">
        <f t="shared" si="203"/>
        <v>0</v>
      </c>
      <c r="AT283">
        <f t="shared" si="204"/>
        <v>0</v>
      </c>
      <c r="AU283" s="386" t="str">
        <f>IF(AT283=0,"",IF(AND(AT283=1,M283="F",SUMIF(C2:C557,C283,AS2:AS557)&lt;=1),SUMIF(C2:C557,C283,AS2:AS557),IF(AND(AT283=1,M283="F",SUMIF(C2:C557,C283,AS2:AS557)&gt;1),1,"")))</f>
        <v/>
      </c>
      <c r="AV283" s="386" t="str">
        <f>IF(AT283=0,"",IF(AND(AT283=3,M283="F",SUMIF(C2:C557,C283,AS2:AS557)&lt;=1),SUMIF(C2:C557,C283,AS2:AS557),IF(AND(AT283=3,M283="F",SUMIF(C2:C557,C283,AS2:AS557)&gt;1),1,"")))</f>
        <v/>
      </c>
      <c r="AW283" s="386">
        <f>SUMIF(C2:C557,C283,O2:O557)</f>
        <v>4</v>
      </c>
      <c r="AX283" s="386">
        <f>IF(AND(M283="F",AS283&lt;&gt;0),SUMIF(C2:C557,C283,W2:W557),0)</f>
        <v>0</v>
      </c>
      <c r="AY283" s="386" t="str">
        <f t="shared" si="205"/>
        <v/>
      </c>
      <c r="AZ283" s="386" t="str">
        <f t="shared" si="206"/>
        <v/>
      </c>
      <c r="BA283" s="386">
        <f t="shared" si="207"/>
        <v>0</v>
      </c>
      <c r="BB283" s="386">
        <f t="shared" si="176"/>
        <v>0</v>
      </c>
      <c r="BC283" s="386">
        <f t="shared" si="177"/>
        <v>0</v>
      </c>
      <c r="BD283" s="386">
        <f t="shared" si="178"/>
        <v>0</v>
      </c>
      <c r="BE283" s="386">
        <f t="shared" si="179"/>
        <v>0</v>
      </c>
      <c r="BF283" s="386">
        <f t="shared" si="180"/>
        <v>0</v>
      </c>
      <c r="BG283" s="386">
        <f t="shared" si="181"/>
        <v>0</v>
      </c>
      <c r="BH283" s="386">
        <f t="shared" si="182"/>
        <v>0</v>
      </c>
      <c r="BI283" s="386">
        <f t="shared" si="183"/>
        <v>0</v>
      </c>
      <c r="BJ283" s="386">
        <f t="shared" si="184"/>
        <v>0</v>
      </c>
      <c r="BK283" s="386">
        <f t="shared" si="185"/>
        <v>0</v>
      </c>
      <c r="BL283" s="386">
        <f t="shared" si="208"/>
        <v>0</v>
      </c>
      <c r="BM283" s="386">
        <f t="shared" si="209"/>
        <v>0</v>
      </c>
      <c r="BN283" s="386">
        <f t="shared" si="186"/>
        <v>0</v>
      </c>
      <c r="BO283" s="386">
        <f t="shared" si="187"/>
        <v>0</v>
      </c>
      <c r="BP283" s="386">
        <f t="shared" si="188"/>
        <v>0</v>
      </c>
      <c r="BQ283" s="386">
        <f t="shared" si="189"/>
        <v>0</v>
      </c>
      <c r="BR283" s="386">
        <f t="shared" si="190"/>
        <v>0</v>
      </c>
      <c r="BS283" s="386">
        <f t="shared" si="191"/>
        <v>0</v>
      </c>
      <c r="BT283" s="386">
        <f t="shared" si="192"/>
        <v>0</v>
      </c>
      <c r="BU283" s="386">
        <f t="shared" si="193"/>
        <v>0</v>
      </c>
      <c r="BV283" s="386">
        <f t="shared" si="194"/>
        <v>0</v>
      </c>
      <c r="BW283" s="386">
        <f t="shared" si="195"/>
        <v>0</v>
      </c>
      <c r="BX283" s="386">
        <f t="shared" si="210"/>
        <v>0</v>
      </c>
      <c r="BY283" s="386">
        <f t="shared" si="211"/>
        <v>0</v>
      </c>
      <c r="BZ283" s="386">
        <f t="shared" si="212"/>
        <v>0</v>
      </c>
      <c r="CA283" s="386">
        <f t="shared" si="213"/>
        <v>0</v>
      </c>
      <c r="CB283" s="386">
        <f t="shared" si="214"/>
        <v>0</v>
      </c>
      <c r="CC283" s="386">
        <f t="shared" si="196"/>
        <v>0</v>
      </c>
      <c r="CD283" s="386">
        <f t="shared" si="197"/>
        <v>0</v>
      </c>
      <c r="CE283" s="386">
        <f t="shared" si="198"/>
        <v>0</v>
      </c>
      <c r="CF283" s="386">
        <f t="shared" si="199"/>
        <v>0</v>
      </c>
      <c r="CG283" s="386">
        <f t="shared" si="200"/>
        <v>0</v>
      </c>
      <c r="CH283" s="386">
        <f t="shared" si="201"/>
        <v>0</v>
      </c>
      <c r="CI283" s="386">
        <f t="shared" si="202"/>
        <v>0</v>
      </c>
      <c r="CJ283" s="386">
        <f t="shared" si="215"/>
        <v>0</v>
      </c>
      <c r="CK283" s="386" t="str">
        <f t="shared" si="216"/>
        <v/>
      </c>
      <c r="CL283" s="386" t="str">
        <f t="shared" si="217"/>
        <v/>
      </c>
      <c r="CM283" s="386" t="str">
        <f t="shared" si="218"/>
        <v/>
      </c>
      <c r="CN283" s="386" t="str">
        <f t="shared" si="219"/>
        <v>0001-00</v>
      </c>
    </row>
    <row r="284" spans="1:92" ht="15.75" thickBot="1" x14ac:dyDescent="0.3">
      <c r="A284" s="375" t="s">
        <v>161</v>
      </c>
      <c r="B284" s="375" t="s">
        <v>162</v>
      </c>
      <c r="C284" s="375" t="s">
        <v>1181</v>
      </c>
      <c r="D284" s="375" t="s">
        <v>354</v>
      </c>
      <c r="E284" s="375" t="s">
        <v>165</v>
      </c>
      <c r="F284" s="376" t="s">
        <v>166</v>
      </c>
      <c r="G284" s="375" t="s">
        <v>1069</v>
      </c>
      <c r="H284" s="377"/>
      <c r="I284" s="377"/>
      <c r="J284" s="375" t="s">
        <v>168</v>
      </c>
      <c r="K284" s="375" t="s">
        <v>355</v>
      </c>
      <c r="L284" s="375" t="s">
        <v>185</v>
      </c>
      <c r="M284" s="375" t="s">
        <v>171</v>
      </c>
      <c r="N284" s="375" t="s">
        <v>262</v>
      </c>
      <c r="O284" s="378">
        <v>0</v>
      </c>
      <c r="P284" s="384">
        <v>1</v>
      </c>
      <c r="Q284" s="384">
        <v>0</v>
      </c>
      <c r="R284" s="379">
        <v>0</v>
      </c>
      <c r="S284" s="384">
        <v>0</v>
      </c>
      <c r="T284" s="379">
        <v>0</v>
      </c>
      <c r="U284" s="379">
        <v>0</v>
      </c>
      <c r="V284" s="379">
        <v>0</v>
      </c>
      <c r="W284" s="379">
        <v>0</v>
      </c>
      <c r="X284" s="379">
        <v>0</v>
      </c>
      <c r="Y284" s="379">
        <v>0</v>
      </c>
      <c r="Z284" s="379">
        <v>0</v>
      </c>
      <c r="AA284" s="377"/>
      <c r="AB284" s="375" t="s">
        <v>45</v>
      </c>
      <c r="AC284" s="375" t="s">
        <v>45</v>
      </c>
      <c r="AD284" s="377"/>
      <c r="AE284" s="377"/>
      <c r="AF284" s="377"/>
      <c r="AG284" s="377"/>
      <c r="AH284" s="378">
        <v>0</v>
      </c>
      <c r="AI284" s="378">
        <v>0</v>
      </c>
      <c r="AJ284" s="377"/>
      <c r="AK284" s="377"/>
      <c r="AL284" s="375" t="s">
        <v>173</v>
      </c>
      <c r="AM284" s="377"/>
      <c r="AN284" s="377"/>
      <c r="AO284" s="378">
        <v>0</v>
      </c>
      <c r="AP284" s="384">
        <v>0</v>
      </c>
      <c r="AQ284" s="384">
        <v>0</v>
      </c>
      <c r="AR284" s="382"/>
      <c r="AS284" s="386">
        <f t="shared" si="203"/>
        <v>0</v>
      </c>
      <c r="AT284">
        <f t="shared" si="204"/>
        <v>0</v>
      </c>
      <c r="AU284" s="386" t="str">
        <f>IF(AT284=0,"",IF(AND(AT284=1,M284="F",SUMIF(C2:C557,C284,AS2:AS557)&lt;=1),SUMIF(C2:C557,C284,AS2:AS557),IF(AND(AT284=1,M284="F",SUMIF(C2:C557,C284,AS2:AS557)&gt;1),1,"")))</f>
        <v/>
      </c>
      <c r="AV284" s="386" t="str">
        <f>IF(AT284=0,"",IF(AND(AT284=3,M284="F",SUMIF(C2:C557,C284,AS2:AS557)&lt;=1),SUMIF(C2:C557,C284,AS2:AS557),IF(AND(AT284=3,M284="F",SUMIF(C2:C557,C284,AS2:AS557)&gt;1),1,"")))</f>
        <v/>
      </c>
      <c r="AW284" s="386">
        <f>SUMIF(C2:C557,C284,O2:O557)</f>
        <v>0</v>
      </c>
      <c r="AX284" s="386">
        <f>IF(AND(M284="F",AS284&lt;&gt;0),SUMIF(C2:C557,C284,W2:W557),0)</f>
        <v>0</v>
      </c>
      <c r="AY284" s="386" t="str">
        <f t="shared" si="205"/>
        <v/>
      </c>
      <c r="AZ284" s="386" t="str">
        <f t="shared" si="206"/>
        <v/>
      </c>
      <c r="BA284" s="386">
        <f t="shared" si="207"/>
        <v>0</v>
      </c>
      <c r="BB284" s="386">
        <f t="shared" si="176"/>
        <v>0</v>
      </c>
      <c r="BC284" s="386">
        <f t="shared" si="177"/>
        <v>0</v>
      </c>
      <c r="BD284" s="386">
        <f t="shared" si="178"/>
        <v>0</v>
      </c>
      <c r="BE284" s="386">
        <f t="shared" si="179"/>
        <v>0</v>
      </c>
      <c r="BF284" s="386">
        <f t="shared" si="180"/>
        <v>0</v>
      </c>
      <c r="BG284" s="386">
        <f t="shared" si="181"/>
        <v>0</v>
      </c>
      <c r="BH284" s="386">
        <f t="shared" si="182"/>
        <v>0</v>
      </c>
      <c r="BI284" s="386">
        <f t="shared" si="183"/>
        <v>0</v>
      </c>
      <c r="BJ284" s="386">
        <f t="shared" si="184"/>
        <v>0</v>
      </c>
      <c r="BK284" s="386">
        <f t="shared" si="185"/>
        <v>0</v>
      </c>
      <c r="BL284" s="386">
        <f t="shared" si="208"/>
        <v>0</v>
      </c>
      <c r="BM284" s="386">
        <f t="shared" si="209"/>
        <v>0</v>
      </c>
      <c r="BN284" s="386">
        <f t="shared" si="186"/>
        <v>0</v>
      </c>
      <c r="BO284" s="386">
        <f t="shared" si="187"/>
        <v>0</v>
      </c>
      <c r="BP284" s="386">
        <f t="shared" si="188"/>
        <v>0</v>
      </c>
      <c r="BQ284" s="386">
        <f t="shared" si="189"/>
        <v>0</v>
      </c>
      <c r="BR284" s="386">
        <f t="shared" si="190"/>
        <v>0</v>
      </c>
      <c r="BS284" s="386">
        <f t="shared" si="191"/>
        <v>0</v>
      </c>
      <c r="BT284" s="386">
        <f t="shared" si="192"/>
        <v>0</v>
      </c>
      <c r="BU284" s="386">
        <f t="shared" si="193"/>
        <v>0</v>
      </c>
      <c r="BV284" s="386">
        <f t="shared" si="194"/>
        <v>0</v>
      </c>
      <c r="BW284" s="386">
        <f t="shared" si="195"/>
        <v>0</v>
      </c>
      <c r="BX284" s="386">
        <f t="shared" si="210"/>
        <v>0</v>
      </c>
      <c r="BY284" s="386">
        <f t="shared" si="211"/>
        <v>0</v>
      </c>
      <c r="BZ284" s="386">
        <f t="shared" si="212"/>
        <v>0</v>
      </c>
      <c r="CA284" s="386">
        <f t="shared" si="213"/>
        <v>0</v>
      </c>
      <c r="CB284" s="386">
        <f t="shared" si="214"/>
        <v>0</v>
      </c>
      <c r="CC284" s="386">
        <f t="shared" si="196"/>
        <v>0</v>
      </c>
      <c r="CD284" s="386">
        <f t="shared" si="197"/>
        <v>0</v>
      </c>
      <c r="CE284" s="386">
        <f t="shared" si="198"/>
        <v>0</v>
      </c>
      <c r="CF284" s="386">
        <f t="shared" si="199"/>
        <v>0</v>
      </c>
      <c r="CG284" s="386">
        <f t="shared" si="200"/>
        <v>0</v>
      </c>
      <c r="CH284" s="386">
        <f t="shared" si="201"/>
        <v>0</v>
      </c>
      <c r="CI284" s="386">
        <f t="shared" si="202"/>
        <v>0</v>
      </c>
      <c r="CJ284" s="386">
        <f t="shared" si="215"/>
        <v>0</v>
      </c>
      <c r="CK284" s="386" t="str">
        <f t="shared" si="216"/>
        <v/>
      </c>
      <c r="CL284" s="386">
        <f t="shared" si="217"/>
        <v>0</v>
      </c>
      <c r="CM284" s="386">
        <f t="shared" si="218"/>
        <v>0</v>
      </c>
      <c r="CN284" s="386" t="str">
        <f t="shared" si="219"/>
        <v>0001-00</v>
      </c>
    </row>
    <row r="285" spans="1:92" ht="15.75" thickBot="1" x14ac:dyDescent="0.3">
      <c r="A285" s="375" t="s">
        <v>161</v>
      </c>
      <c r="B285" s="375" t="s">
        <v>162</v>
      </c>
      <c r="C285" s="375" t="s">
        <v>1182</v>
      </c>
      <c r="D285" s="375" t="s">
        <v>665</v>
      </c>
      <c r="E285" s="375" t="s">
        <v>165</v>
      </c>
      <c r="F285" s="376" t="s">
        <v>166</v>
      </c>
      <c r="G285" s="375" t="s">
        <v>1069</v>
      </c>
      <c r="H285" s="377"/>
      <c r="I285" s="377"/>
      <c r="J285" s="375" t="s">
        <v>168</v>
      </c>
      <c r="K285" s="375" t="s">
        <v>666</v>
      </c>
      <c r="L285" s="375" t="s">
        <v>183</v>
      </c>
      <c r="M285" s="375" t="s">
        <v>177</v>
      </c>
      <c r="N285" s="375" t="s">
        <v>199</v>
      </c>
      <c r="O285" s="378">
        <v>1</v>
      </c>
      <c r="P285" s="384">
        <v>1</v>
      </c>
      <c r="Q285" s="384">
        <v>1</v>
      </c>
      <c r="R285" s="379">
        <v>80</v>
      </c>
      <c r="S285" s="384">
        <v>1</v>
      </c>
      <c r="T285" s="379">
        <v>29221.63</v>
      </c>
      <c r="U285" s="379">
        <v>0</v>
      </c>
      <c r="V285" s="379">
        <v>17775.27</v>
      </c>
      <c r="W285" s="379">
        <v>30056</v>
      </c>
      <c r="X285" s="379">
        <v>18066.03</v>
      </c>
      <c r="Y285" s="379">
        <v>30056</v>
      </c>
      <c r="Z285" s="379">
        <v>17921.77</v>
      </c>
      <c r="AA285" s="375" t="s">
        <v>1183</v>
      </c>
      <c r="AB285" s="375" t="s">
        <v>1184</v>
      </c>
      <c r="AC285" s="375" t="s">
        <v>1185</v>
      </c>
      <c r="AD285" s="375" t="s">
        <v>181</v>
      </c>
      <c r="AE285" s="375" t="s">
        <v>666</v>
      </c>
      <c r="AF285" s="375" t="s">
        <v>206</v>
      </c>
      <c r="AG285" s="375" t="s">
        <v>183</v>
      </c>
      <c r="AH285" s="380">
        <v>14.45</v>
      </c>
      <c r="AI285" s="380">
        <v>720.5</v>
      </c>
      <c r="AJ285" s="375" t="s">
        <v>184</v>
      </c>
      <c r="AK285" s="375" t="s">
        <v>185</v>
      </c>
      <c r="AL285" s="375" t="s">
        <v>173</v>
      </c>
      <c r="AM285" s="375" t="s">
        <v>186</v>
      </c>
      <c r="AN285" s="375" t="s">
        <v>68</v>
      </c>
      <c r="AO285" s="378">
        <v>80</v>
      </c>
      <c r="AP285" s="384">
        <v>1</v>
      </c>
      <c r="AQ285" s="384">
        <v>1</v>
      </c>
      <c r="AR285" s="383" t="s">
        <v>187</v>
      </c>
      <c r="AS285" s="386">
        <f t="shared" si="203"/>
        <v>1</v>
      </c>
      <c r="AT285">
        <f t="shared" si="204"/>
        <v>1</v>
      </c>
      <c r="AU285" s="386">
        <f>IF(AT285=0,"",IF(AND(AT285=1,M285="F",SUMIF(C2:C557,C285,AS2:AS557)&lt;=1),SUMIF(C2:C557,C285,AS2:AS557),IF(AND(AT285=1,M285="F",SUMIF(C2:C557,C285,AS2:AS557)&gt;1),1,"")))</f>
        <v>1</v>
      </c>
      <c r="AV285" s="386" t="str">
        <f>IF(AT285=0,"",IF(AND(AT285=3,M285="F",SUMIF(C2:C557,C285,AS2:AS557)&lt;=1),SUMIF(C2:C557,C285,AS2:AS557),IF(AND(AT285=3,M285="F",SUMIF(C2:C557,C285,AS2:AS557)&gt;1),1,"")))</f>
        <v/>
      </c>
      <c r="AW285" s="386">
        <f>SUMIF(C2:C557,C285,O2:O557)</f>
        <v>1</v>
      </c>
      <c r="AX285" s="386">
        <f>IF(AND(M285="F",AS285&lt;&gt;0),SUMIF(C2:C557,C285,W2:W557),0)</f>
        <v>30056</v>
      </c>
      <c r="AY285" s="386">
        <f t="shared" si="205"/>
        <v>30056</v>
      </c>
      <c r="AZ285" s="386" t="str">
        <f t="shared" si="206"/>
        <v/>
      </c>
      <c r="BA285" s="386">
        <f t="shared" si="207"/>
        <v>0</v>
      </c>
      <c r="BB285" s="386">
        <f t="shared" si="176"/>
        <v>11650</v>
      </c>
      <c r="BC285" s="386">
        <f t="shared" si="177"/>
        <v>0</v>
      </c>
      <c r="BD285" s="386">
        <f t="shared" si="178"/>
        <v>1863.472</v>
      </c>
      <c r="BE285" s="386">
        <f t="shared" si="179"/>
        <v>435.81200000000001</v>
      </c>
      <c r="BF285" s="386">
        <f t="shared" si="180"/>
        <v>3588.6864</v>
      </c>
      <c r="BG285" s="386">
        <f t="shared" si="181"/>
        <v>216.70376000000002</v>
      </c>
      <c r="BH285" s="386">
        <f t="shared" si="182"/>
        <v>147.27439999999999</v>
      </c>
      <c r="BI285" s="386">
        <f t="shared" si="183"/>
        <v>91.97135999999999</v>
      </c>
      <c r="BJ285" s="386">
        <f t="shared" si="184"/>
        <v>72.134399999999999</v>
      </c>
      <c r="BK285" s="386">
        <f t="shared" si="185"/>
        <v>0</v>
      </c>
      <c r="BL285" s="386">
        <f t="shared" si="208"/>
        <v>6416.0543200000002</v>
      </c>
      <c r="BM285" s="386">
        <f t="shared" si="209"/>
        <v>0</v>
      </c>
      <c r="BN285" s="386">
        <f t="shared" si="186"/>
        <v>11650</v>
      </c>
      <c r="BO285" s="386">
        <f t="shared" si="187"/>
        <v>0</v>
      </c>
      <c r="BP285" s="386">
        <f t="shared" si="188"/>
        <v>1863.472</v>
      </c>
      <c r="BQ285" s="386">
        <f t="shared" si="189"/>
        <v>435.81200000000001</v>
      </c>
      <c r="BR285" s="386">
        <f t="shared" si="190"/>
        <v>3588.6864</v>
      </c>
      <c r="BS285" s="386">
        <f t="shared" si="191"/>
        <v>216.70376000000002</v>
      </c>
      <c r="BT285" s="386">
        <f t="shared" si="192"/>
        <v>0</v>
      </c>
      <c r="BU285" s="386">
        <f t="shared" si="193"/>
        <v>91.97135999999999</v>
      </c>
      <c r="BV285" s="386">
        <f t="shared" si="194"/>
        <v>75.14</v>
      </c>
      <c r="BW285" s="386">
        <f t="shared" si="195"/>
        <v>0</v>
      </c>
      <c r="BX285" s="386">
        <f t="shared" si="210"/>
        <v>6271.7855200000004</v>
      </c>
      <c r="BY285" s="386">
        <f t="shared" si="211"/>
        <v>0</v>
      </c>
      <c r="BZ285" s="386">
        <f t="shared" si="212"/>
        <v>0</v>
      </c>
      <c r="CA285" s="386">
        <f t="shared" si="213"/>
        <v>0</v>
      </c>
      <c r="CB285" s="386">
        <f t="shared" si="214"/>
        <v>0</v>
      </c>
      <c r="CC285" s="386">
        <f t="shared" si="196"/>
        <v>0</v>
      </c>
      <c r="CD285" s="386">
        <f t="shared" si="197"/>
        <v>0</v>
      </c>
      <c r="CE285" s="386">
        <f t="shared" si="198"/>
        <v>0</v>
      </c>
      <c r="CF285" s="386">
        <f t="shared" si="199"/>
        <v>-147.27439999999999</v>
      </c>
      <c r="CG285" s="386">
        <f t="shared" si="200"/>
        <v>0</v>
      </c>
      <c r="CH285" s="386">
        <f t="shared" si="201"/>
        <v>3.0056000000000078</v>
      </c>
      <c r="CI285" s="386">
        <f t="shared" si="202"/>
        <v>0</v>
      </c>
      <c r="CJ285" s="386">
        <f t="shared" si="215"/>
        <v>-144.26879999999997</v>
      </c>
      <c r="CK285" s="386" t="str">
        <f t="shared" si="216"/>
        <v/>
      </c>
      <c r="CL285" s="386" t="str">
        <f t="shared" si="217"/>
        <v/>
      </c>
      <c r="CM285" s="386" t="str">
        <f t="shared" si="218"/>
        <v/>
      </c>
      <c r="CN285" s="386" t="str">
        <f t="shared" si="219"/>
        <v>0001-00</v>
      </c>
    </row>
    <row r="286" spans="1:92" ht="15.75" thickBot="1" x14ac:dyDescent="0.3">
      <c r="A286" s="375" t="s">
        <v>161</v>
      </c>
      <c r="B286" s="375" t="s">
        <v>162</v>
      </c>
      <c r="C286" s="375" t="s">
        <v>1186</v>
      </c>
      <c r="D286" s="375" t="s">
        <v>665</v>
      </c>
      <c r="E286" s="375" t="s">
        <v>165</v>
      </c>
      <c r="F286" s="376" t="s">
        <v>166</v>
      </c>
      <c r="G286" s="375" t="s">
        <v>1069</v>
      </c>
      <c r="H286" s="377"/>
      <c r="I286" s="377"/>
      <c r="J286" s="375" t="s">
        <v>168</v>
      </c>
      <c r="K286" s="375" t="s">
        <v>666</v>
      </c>
      <c r="L286" s="375" t="s">
        <v>183</v>
      </c>
      <c r="M286" s="375" t="s">
        <v>177</v>
      </c>
      <c r="N286" s="375" t="s">
        <v>199</v>
      </c>
      <c r="O286" s="378">
        <v>1</v>
      </c>
      <c r="P286" s="384">
        <v>1</v>
      </c>
      <c r="Q286" s="384">
        <v>1</v>
      </c>
      <c r="R286" s="379">
        <v>80</v>
      </c>
      <c r="S286" s="384">
        <v>1</v>
      </c>
      <c r="T286" s="379">
        <v>36738.86</v>
      </c>
      <c r="U286" s="379">
        <v>0</v>
      </c>
      <c r="V286" s="379">
        <v>19267.23</v>
      </c>
      <c r="W286" s="379">
        <v>40892.800000000003</v>
      </c>
      <c r="X286" s="379">
        <v>20379.36</v>
      </c>
      <c r="Y286" s="379">
        <v>40892.800000000003</v>
      </c>
      <c r="Z286" s="379">
        <v>20183.080000000002</v>
      </c>
      <c r="AA286" s="375" t="s">
        <v>1187</v>
      </c>
      <c r="AB286" s="375" t="s">
        <v>1188</v>
      </c>
      <c r="AC286" s="375" t="s">
        <v>1189</v>
      </c>
      <c r="AD286" s="375" t="s">
        <v>214</v>
      </c>
      <c r="AE286" s="375" t="s">
        <v>666</v>
      </c>
      <c r="AF286" s="375" t="s">
        <v>206</v>
      </c>
      <c r="AG286" s="375" t="s">
        <v>183</v>
      </c>
      <c r="AH286" s="380">
        <v>19.66</v>
      </c>
      <c r="AI286" s="380">
        <v>53494.400000000001</v>
      </c>
      <c r="AJ286" s="375" t="s">
        <v>184</v>
      </c>
      <c r="AK286" s="375" t="s">
        <v>185</v>
      </c>
      <c r="AL286" s="375" t="s">
        <v>173</v>
      </c>
      <c r="AM286" s="375" t="s">
        <v>186</v>
      </c>
      <c r="AN286" s="375" t="s">
        <v>68</v>
      </c>
      <c r="AO286" s="378">
        <v>80</v>
      </c>
      <c r="AP286" s="384">
        <v>1</v>
      </c>
      <c r="AQ286" s="384">
        <v>1</v>
      </c>
      <c r="AR286" s="383" t="s">
        <v>187</v>
      </c>
      <c r="AS286" s="386">
        <f t="shared" si="203"/>
        <v>1</v>
      </c>
      <c r="AT286">
        <f t="shared" si="204"/>
        <v>1</v>
      </c>
      <c r="AU286" s="386">
        <f>IF(AT286=0,"",IF(AND(AT286=1,M286="F",SUMIF(C2:C557,C286,AS2:AS557)&lt;=1),SUMIF(C2:C557,C286,AS2:AS557),IF(AND(AT286=1,M286="F",SUMIF(C2:C557,C286,AS2:AS557)&gt;1),1,"")))</f>
        <v>1</v>
      </c>
      <c r="AV286" s="386" t="str">
        <f>IF(AT286=0,"",IF(AND(AT286=3,M286="F",SUMIF(C2:C557,C286,AS2:AS557)&lt;=1),SUMIF(C2:C557,C286,AS2:AS557),IF(AND(AT286=3,M286="F",SUMIF(C2:C557,C286,AS2:AS557)&gt;1),1,"")))</f>
        <v/>
      </c>
      <c r="AW286" s="386">
        <f>SUMIF(C2:C557,C286,O2:O557)</f>
        <v>1</v>
      </c>
      <c r="AX286" s="386">
        <f>IF(AND(M286="F",AS286&lt;&gt;0),SUMIF(C2:C557,C286,W2:W557),0)</f>
        <v>40892.800000000003</v>
      </c>
      <c r="AY286" s="386">
        <f t="shared" si="205"/>
        <v>40892.800000000003</v>
      </c>
      <c r="AZ286" s="386" t="str">
        <f t="shared" si="206"/>
        <v/>
      </c>
      <c r="BA286" s="386">
        <f t="shared" si="207"/>
        <v>0</v>
      </c>
      <c r="BB286" s="386">
        <f t="shared" si="176"/>
        <v>11650</v>
      </c>
      <c r="BC286" s="386">
        <f t="shared" si="177"/>
        <v>0</v>
      </c>
      <c r="BD286" s="386">
        <f t="shared" si="178"/>
        <v>2535.3536000000004</v>
      </c>
      <c r="BE286" s="386">
        <f t="shared" si="179"/>
        <v>592.94560000000013</v>
      </c>
      <c r="BF286" s="386">
        <f t="shared" si="180"/>
        <v>4882.6003200000005</v>
      </c>
      <c r="BG286" s="386">
        <f t="shared" si="181"/>
        <v>294.83708800000005</v>
      </c>
      <c r="BH286" s="386">
        <f t="shared" si="182"/>
        <v>200.37472</v>
      </c>
      <c r="BI286" s="386">
        <f t="shared" si="183"/>
        <v>125.131968</v>
      </c>
      <c r="BJ286" s="386">
        <f t="shared" si="184"/>
        <v>98.142719999999997</v>
      </c>
      <c r="BK286" s="386">
        <f t="shared" si="185"/>
        <v>0</v>
      </c>
      <c r="BL286" s="386">
        <f t="shared" si="208"/>
        <v>8729.3860160000004</v>
      </c>
      <c r="BM286" s="386">
        <f t="shared" si="209"/>
        <v>0</v>
      </c>
      <c r="BN286" s="386">
        <f t="shared" si="186"/>
        <v>11650</v>
      </c>
      <c r="BO286" s="386">
        <f t="shared" si="187"/>
        <v>0</v>
      </c>
      <c r="BP286" s="386">
        <f t="shared" si="188"/>
        <v>2535.3536000000004</v>
      </c>
      <c r="BQ286" s="386">
        <f t="shared" si="189"/>
        <v>592.94560000000013</v>
      </c>
      <c r="BR286" s="386">
        <f t="shared" si="190"/>
        <v>4882.6003200000005</v>
      </c>
      <c r="BS286" s="386">
        <f t="shared" si="191"/>
        <v>294.83708800000005</v>
      </c>
      <c r="BT286" s="386">
        <f t="shared" si="192"/>
        <v>0</v>
      </c>
      <c r="BU286" s="386">
        <f t="shared" si="193"/>
        <v>125.131968</v>
      </c>
      <c r="BV286" s="386">
        <f t="shared" si="194"/>
        <v>102.23200000000001</v>
      </c>
      <c r="BW286" s="386">
        <f t="shared" si="195"/>
        <v>0</v>
      </c>
      <c r="BX286" s="386">
        <f t="shared" si="210"/>
        <v>8533.1005760000007</v>
      </c>
      <c r="BY286" s="386">
        <f t="shared" si="211"/>
        <v>0</v>
      </c>
      <c r="BZ286" s="386">
        <f t="shared" si="212"/>
        <v>0</v>
      </c>
      <c r="CA286" s="386">
        <f t="shared" si="213"/>
        <v>0</v>
      </c>
      <c r="CB286" s="386">
        <f t="shared" si="214"/>
        <v>0</v>
      </c>
      <c r="CC286" s="386">
        <f t="shared" si="196"/>
        <v>0</v>
      </c>
      <c r="CD286" s="386">
        <f t="shared" si="197"/>
        <v>0</v>
      </c>
      <c r="CE286" s="386">
        <f t="shared" si="198"/>
        <v>0</v>
      </c>
      <c r="CF286" s="386">
        <f t="shared" si="199"/>
        <v>-200.37472</v>
      </c>
      <c r="CG286" s="386">
        <f t="shared" si="200"/>
        <v>0</v>
      </c>
      <c r="CH286" s="386">
        <f t="shared" si="201"/>
        <v>4.0892800000000111</v>
      </c>
      <c r="CI286" s="386">
        <f t="shared" si="202"/>
        <v>0</v>
      </c>
      <c r="CJ286" s="386">
        <f t="shared" si="215"/>
        <v>-196.28543999999999</v>
      </c>
      <c r="CK286" s="386" t="str">
        <f t="shared" si="216"/>
        <v/>
      </c>
      <c r="CL286" s="386" t="str">
        <f t="shared" si="217"/>
        <v/>
      </c>
      <c r="CM286" s="386" t="str">
        <f t="shared" si="218"/>
        <v/>
      </c>
      <c r="CN286" s="386" t="str">
        <f t="shared" si="219"/>
        <v>0001-00</v>
      </c>
    </row>
    <row r="287" spans="1:92" ht="15.75" thickBot="1" x14ac:dyDescent="0.3">
      <c r="A287" s="375" t="s">
        <v>161</v>
      </c>
      <c r="B287" s="375" t="s">
        <v>162</v>
      </c>
      <c r="C287" s="375" t="s">
        <v>1190</v>
      </c>
      <c r="D287" s="375" t="s">
        <v>1108</v>
      </c>
      <c r="E287" s="375" t="s">
        <v>165</v>
      </c>
      <c r="F287" s="376" t="s">
        <v>166</v>
      </c>
      <c r="G287" s="375" t="s">
        <v>1069</v>
      </c>
      <c r="H287" s="377"/>
      <c r="I287" s="377"/>
      <c r="J287" s="375" t="s">
        <v>218</v>
      </c>
      <c r="K287" s="375" t="s">
        <v>1109</v>
      </c>
      <c r="L287" s="375" t="s">
        <v>220</v>
      </c>
      <c r="M287" s="375" t="s">
        <v>177</v>
      </c>
      <c r="N287" s="375" t="s">
        <v>199</v>
      </c>
      <c r="O287" s="378">
        <v>1</v>
      </c>
      <c r="P287" s="384">
        <v>0.85</v>
      </c>
      <c r="Q287" s="384">
        <v>0.85</v>
      </c>
      <c r="R287" s="379">
        <v>80</v>
      </c>
      <c r="S287" s="384">
        <v>0.85</v>
      </c>
      <c r="T287" s="379">
        <v>51066.720000000001</v>
      </c>
      <c r="U287" s="379">
        <v>0</v>
      </c>
      <c r="V287" s="379">
        <v>20328.13</v>
      </c>
      <c r="W287" s="379">
        <v>51431.12</v>
      </c>
      <c r="X287" s="379">
        <v>20881.46</v>
      </c>
      <c r="Y287" s="379">
        <v>51431.12</v>
      </c>
      <c r="Z287" s="379">
        <v>20634.599999999999</v>
      </c>
      <c r="AA287" s="375" t="s">
        <v>1191</v>
      </c>
      <c r="AB287" s="375" t="s">
        <v>282</v>
      </c>
      <c r="AC287" s="375" t="s">
        <v>1192</v>
      </c>
      <c r="AD287" s="375" t="s">
        <v>1193</v>
      </c>
      <c r="AE287" s="375" t="s">
        <v>1109</v>
      </c>
      <c r="AF287" s="375" t="s">
        <v>252</v>
      </c>
      <c r="AG287" s="375" t="s">
        <v>183</v>
      </c>
      <c r="AH287" s="380">
        <v>29.09</v>
      </c>
      <c r="AI287" s="380">
        <v>45151.8</v>
      </c>
      <c r="AJ287" s="375" t="s">
        <v>184</v>
      </c>
      <c r="AK287" s="375" t="s">
        <v>185</v>
      </c>
      <c r="AL287" s="375" t="s">
        <v>173</v>
      </c>
      <c r="AM287" s="375" t="s">
        <v>186</v>
      </c>
      <c r="AN287" s="375" t="s">
        <v>68</v>
      </c>
      <c r="AO287" s="378">
        <v>80</v>
      </c>
      <c r="AP287" s="384">
        <v>1</v>
      </c>
      <c r="AQ287" s="384">
        <v>0.85</v>
      </c>
      <c r="AR287" s="383" t="s">
        <v>187</v>
      </c>
      <c r="AS287" s="386">
        <f t="shared" si="203"/>
        <v>0.85</v>
      </c>
      <c r="AT287">
        <f t="shared" si="204"/>
        <v>1</v>
      </c>
      <c r="AU287" s="386">
        <f>IF(AT287=0,"",IF(AND(AT287=1,M287="F",SUMIF(C2:C557,C287,AS2:AS557)&lt;=1),SUMIF(C2:C557,C287,AS2:AS557),IF(AND(AT287=1,M287="F",SUMIF(C2:C557,C287,AS2:AS557)&gt;1),1,"")))</f>
        <v>1</v>
      </c>
      <c r="AV287" s="386" t="str">
        <f>IF(AT287=0,"",IF(AND(AT287=3,M287="F",SUMIF(C2:C557,C287,AS2:AS557)&lt;=1),SUMIF(C2:C557,C287,AS2:AS557),IF(AND(AT287=3,M287="F",SUMIF(C2:C557,C287,AS2:AS557)&gt;1),1,"")))</f>
        <v/>
      </c>
      <c r="AW287" s="386">
        <f>SUMIF(C2:C557,C287,O2:O557)</f>
        <v>2</v>
      </c>
      <c r="AX287" s="386">
        <f>IF(AND(M287="F",AS287&lt;&gt;0),SUMIF(C2:C557,C287,W2:W557),0)</f>
        <v>60507.200000000004</v>
      </c>
      <c r="AY287" s="386">
        <f t="shared" si="205"/>
        <v>51431.12</v>
      </c>
      <c r="AZ287" s="386" t="str">
        <f t="shared" si="206"/>
        <v/>
      </c>
      <c r="BA287" s="386">
        <f t="shared" si="207"/>
        <v>0</v>
      </c>
      <c r="BB287" s="386">
        <f t="shared" si="176"/>
        <v>9902.5</v>
      </c>
      <c r="BC287" s="386">
        <f t="shared" si="177"/>
        <v>0</v>
      </c>
      <c r="BD287" s="386">
        <f t="shared" si="178"/>
        <v>3188.7294400000001</v>
      </c>
      <c r="BE287" s="386">
        <f t="shared" si="179"/>
        <v>745.75124000000005</v>
      </c>
      <c r="BF287" s="386">
        <f t="shared" si="180"/>
        <v>6140.8757280000009</v>
      </c>
      <c r="BG287" s="386">
        <f t="shared" si="181"/>
        <v>370.81837520000005</v>
      </c>
      <c r="BH287" s="386">
        <f t="shared" si="182"/>
        <v>252.01248799999999</v>
      </c>
      <c r="BI287" s="386">
        <f t="shared" si="183"/>
        <v>157.3792272</v>
      </c>
      <c r="BJ287" s="386">
        <f t="shared" si="184"/>
        <v>123.43468799999999</v>
      </c>
      <c r="BK287" s="386">
        <f t="shared" si="185"/>
        <v>0</v>
      </c>
      <c r="BL287" s="386">
        <f t="shared" si="208"/>
        <v>10979.001186400001</v>
      </c>
      <c r="BM287" s="386">
        <f t="shared" si="209"/>
        <v>0</v>
      </c>
      <c r="BN287" s="386">
        <f t="shared" si="186"/>
        <v>9902.5</v>
      </c>
      <c r="BO287" s="386">
        <f t="shared" si="187"/>
        <v>0</v>
      </c>
      <c r="BP287" s="386">
        <f t="shared" si="188"/>
        <v>3188.7294400000001</v>
      </c>
      <c r="BQ287" s="386">
        <f t="shared" si="189"/>
        <v>745.75124000000005</v>
      </c>
      <c r="BR287" s="386">
        <f t="shared" si="190"/>
        <v>6140.8757280000009</v>
      </c>
      <c r="BS287" s="386">
        <f t="shared" si="191"/>
        <v>370.81837520000005</v>
      </c>
      <c r="BT287" s="386">
        <f t="shared" si="192"/>
        <v>0</v>
      </c>
      <c r="BU287" s="386">
        <f t="shared" si="193"/>
        <v>157.3792272</v>
      </c>
      <c r="BV287" s="386">
        <f t="shared" si="194"/>
        <v>128.5778</v>
      </c>
      <c r="BW287" s="386">
        <f t="shared" si="195"/>
        <v>0</v>
      </c>
      <c r="BX287" s="386">
        <f t="shared" si="210"/>
        <v>10732.1318104</v>
      </c>
      <c r="BY287" s="386">
        <f t="shared" si="211"/>
        <v>0</v>
      </c>
      <c r="BZ287" s="386">
        <f t="shared" si="212"/>
        <v>0</v>
      </c>
      <c r="CA287" s="386">
        <f t="shared" si="213"/>
        <v>0</v>
      </c>
      <c r="CB287" s="386">
        <f t="shared" si="214"/>
        <v>0</v>
      </c>
      <c r="CC287" s="386">
        <f t="shared" si="196"/>
        <v>0</v>
      </c>
      <c r="CD287" s="386">
        <f t="shared" si="197"/>
        <v>0</v>
      </c>
      <c r="CE287" s="386">
        <f t="shared" si="198"/>
        <v>0</v>
      </c>
      <c r="CF287" s="386">
        <f t="shared" si="199"/>
        <v>-252.01248799999999</v>
      </c>
      <c r="CG287" s="386">
        <f t="shared" si="200"/>
        <v>0</v>
      </c>
      <c r="CH287" s="386">
        <f t="shared" si="201"/>
        <v>5.1431120000000137</v>
      </c>
      <c r="CI287" s="386">
        <f t="shared" si="202"/>
        <v>0</v>
      </c>
      <c r="CJ287" s="386">
        <f t="shared" si="215"/>
        <v>-246.86937599999999</v>
      </c>
      <c r="CK287" s="386" t="str">
        <f t="shared" si="216"/>
        <v/>
      </c>
      <c r="CL287" s="386" t="str">
        <f t="shared" si="217"/>
        <v/>
      </c>
      <c r="CM287" s="386" t="str">
        <f t="shared" si="218"/>
        <v/>
      </c>
      <c r="CN287" s="386" t="str">
        <f t="shared" si="219"/>
        <v>0001-00</v>
      </c>
    </row>
    <row r="288" spans="1:92" ht="15.75" thickBot="1" x14ac:dyDescent="0.3">
      <c r="A288" s="375" t="s">
        <v>161</v>
      </c>
      <c r="B288" s="375" t="s">
        <v>162</v>
      </c>
      <c r="C288" s="375" t="s">
        <v>353</v>
      </c>
      <c r="D288" s="375" t="s">
        <v>354</v>
      </c>
      <c r="E288" s="375" t="s">
        <v>165</v>
      </c>
      <c r="F288" s="376" t="s">
        <v>166</v>
      </c>
      <c r="G288" s="375" t="s">
        <v>1069</v>
      </c>
      <c r="H288" s="377"/>
      <c r="I288" s="377"/>
      <c r="J288" s="375" t="s">
        <v>168</v>
      </c>
      <c r="K288" s="375" t="s">
        <v>355</v>
      </c>
      <c r="L288" s="375" t="s">
        <v>185</v>
      </c>
      <c r="M288" s="375" t="s">
        <v>177</v>
      </c>
      <c r="N288" s="375" t="s">
        <v>262</v>
      </c>
      <c r="O288" s="378">
        <v>0</v>
      </c>
      <c r="P288" s="384">
        <v>0</v>
      </c>
      <c r="Q288" s="384">
        <v>0</v>
      </c>
      <c r="R288" s="379">
        <v>0</v>
      </c>
      <c r="S288" s="384">
        <v>0</v>
      </c>
      <c r="T288" s="379">
        <v>40124.79</v>
      </c>
      <c r="U288" s="379">
        <v>65.400000000000006</v>
      </c>
      <c r="V288" s="379">
        <v>3231.3</v>
      </c>
      <c r="W288" s="379">
        <v>0</v>
      </c>
      <c r="X288" s="379">
        <v>0</v>
      </c>
      <c r="Y288" s="379">
        <v>0</v>
      </c>
      <c r="Z288" s="379">
        <v>0</v>
      </c>
      <c r="AA288" s="377"/>
      <c r="AB288" s="375" t="s">
        <v>45</v>
      </c>
      <c r="AC288" s="375" t="s">
        <v>45</v>
      </c>
      <c r="AD288" s="377"/>
      <c r="AE288" s="377"/>
      <c r="AF288" s="377"/>
      <c r="AG288" s="377"/>
      <c r="AH288" s="378">
        <v>0</v>
      </c>
      <c r="AI288" s="378">
        <v>0</v>
      </c>
      <c r="AJ288" s="377"/>
      <c r="AK288" s="377"/>
      <c r="AL288" s="375" t="s">
        <v>173</v>
      </c>
      <c r="AM288" s="377"/>
      <c r="AN288" s="377"/>
      <c r="AO288" s="378">
        <v>0</v>
      </c>
      <c r="AP288" s="384">
        <v>0</v>
      </c>
      <c r="AQ288" s="384">
        <v>0</v>
      </c>
      <c r="AR288" s="382"/>
      <c r="AS288" s="386">
        <f t="shared" si="203"/>
        <v>0</v>
      </c>
      <c r="AT288">
        <f t="shared" si="204"/>
        <v>0</v>
      </c>
      <c r="AU288" s="386" t="str">
        <f>IF(AT288=0,"",IF(AND(AT288=1,M288="F",SUMIF(C2:C557,C288,AS2:AS557)&lt;=1),SUMIF(C2:C557,C288,AS2:AS557),IF(AND(AT288=1,M288="F",SUMIF(C2:C557,C288,AS2:AS557)&gt;1),1,"")))</f>
        <v/>
      </c>
      <c r="AV288" s="386" t="str">
        <f>IF(AT288=0,"",IF(AND(AT288=3,M288="F",SUMIF(C2:C557,C288,AS2:AS557)&lt;=1),SUMIF(C2:C557,C288,AS2:AS557),IF(AND(AT288=3,M288="F",SUMIF(C2:C557,C288,AS2:AS557)&gt;1),1,"")))</f>
        <v/>
      </c>
      <c r="AW288" s="386">
        <f>SUMIF(C2:C557,C288,O2:O557)</f>
        <v>0</v>
      </c>
      <c r="AX288" s="386">
        <f>IF(AND(M288="F",AS288&lt;&gt;0),SUMIF(C2:C557,C288,W2:W557),0)</f>
        <v>0</v>
      </c>
      <c r="AY288" s="386" t="str">
        <f t="shared" si="205"/>
        <v/>
      </c>
      <c r="AZ288" s="386" t="str">
        <f t="shared" si="206"/>
        <v/>
      </c>
      <c r="BA288" s="386">
        <f t="shared" si="207"/>
        <v>0</v>
      </c>
      <c r="BB288" s="386">
        <f t="shared" si="176"/>
        <v>0</v>
      </c>
      <c r="BC288" s="386">
        <f t="shared" si="177"/>
        <v>0</v>
      </c>
      <c r="BD288" s="386">
        <f t="shared" si="178"/>
        <v>0</v>
      </c>
      <c r="BE288" s="386">
        <f t="shared" si="179"/>
        <v>0</v>
      </c>
      <c r="BF288" s="386">
        <f t="shared" si="180"/>
        <v>0</v>
      </c>
      <c r="BG288" s="386">
        <f t="shared" si="181"/>
        <v>0</v>
      </c>
      <c r="BH288" s="386">
        <f t="shared" si="182"/>
        <v>0</v>
      </c>
      <c r="BI288" s="386">
        <f t="shared" si="183"/>
        <v>0</v>
      </c>
      <c r="BJ288" s="386">
        <f t="shared" si="184"/>
        <v>0</v>
      </c>
      <c r="BK288" s="386">
        <f t="shared" si="185"/>
        <v>0</v>
      </c>
      <c r="BL288" s="386">
        <f t="shared" si="208"/>
        <v>0</v>
      </c>
      <c r="BM288" s="386">
        <f t="shared" si="209"/>
        <v>0</v>
      </c>
      <c r="BN288" s="386">
        <f t="shared" si="186"/>
        <v>0</v>
      </c>
      <c r="BO288" s="386">
        <f t="shared" si="187"/>
        <v>0</v>
      </c>
      <c r="BP288" s="386">
        <f t="shared" si="188"/>
        <v>0</v>
      </c>
      <c r="BQ288" s="386">
        <f t="shared" si="189"/>
        <v>0</v>
      </c>
      <c r="BR288" s="386">
        <f t="shared" si="190"/>
        <v>0</v>
      </c>
      <c r="BS288" s="386">
        <f t="shared" si="191"/>
        <v>0</v>
      </c>
      <c r="BT288" s="386">
        <f t="shared" si="192"/>
        <v>0</v>
      </c>
      <c r="BU288" s="386">
        <f t="shared" si="193"/>
        <v>0</v>
      </c>
      <c r="BV288" s="386">
        <f t="shared" si="194"/>
        <v>0</v>
      </c>
      <c r="BW288" s="386">
        <f t="shared" si="195"/>
        <v>0</v>
      </c>
      <c r="BX288" s="386">
        <f t="shared" si="210"/>
        <v>0</v>
      </c>
      <c r="BY288" s="386">
        <f t="shared" si="211"/>
        <v>0</v>
      </c>
      <c r="BZ288" s="386">
        <f t="shared" si="212"/>
        <v>0</v>
      </c>
      <c r="CA288" s="386">
        <f t="shared" si="213"/>
        <v>0</v>
      </c>
      <c r="CB288" s="386">
        <f t="shared" si="214"/>
        <v>0</v>
      </c>
      <c r="CC288" s="386">
        <f t="shared" si="196"/>
        <v>0</v>
      </c>
      <c r="CD288" s="386">
        <f t="shared" si="197"/>
        <v>0</v>
      </c>
      <c r="CE288" s="386">
        <f t="shared" si="198"/>
        <v>0</v>
      </c>
      <c r="CF288" s="386">
        <f t="shared" si="199"/>
        <v>0</v>
      </c>
      <c r="CG288" s="386">
        <f t="shared" si="200"/>
        <v>0</v>
      </c>
      <c r="CH288" s="386">
        <f t="shared" si="201"/>
        <v>0</v>
      </c>
      <c r="CI288" s="386">
        <f t="shared" si="202"/>
        <v>0</v>
      </c>
      <c r="CJ288" s="386">
        <f t="shared" si="215"/>
        <v>0</v>
      </c>
      <c r="CK288" s="386" t="str">
        <f t="shared" si="216"/>
        <v/>
      </c>
      <c r="CL288" s="386">
        <f t="shared" si="217"/>
        <v>40190.19</v>
      </c>
      <c r="CM288" s="386">
        <f t="shared" si="218"/>
        <v>3231.3</v>
      </c>
      <c r="CN288" s="386" t="str">
        <f t="shared" si="219"/>
        <v>0001-00</v>
      </c>
    </row>
    <row r="289" spans="1:92" ht="15.75" thickBot="1" x14ac:dyDescent="0.3">
      <c r="A289" s="375" t="s">
        <v>161</v>
      </c>
      <c r="B289" s="375" t="s">
        <v>162</v>
      </c>
      <c r="C289" s="375" t="s">
        <v>1194</v>
      </c>
      <c r="D289" s="375" t="s">
        <v>746</v>
      </c>
      <c r="E289" s="375" t="s">
        <v>165</v>
      </c>
      <c r="F289" s="376" t="s">
        <v>166</v>
      </c>
      <c r="G289" s="375" t="s">
        <v>1069</v>
      </c>
      <c r="H289" s="377"/>
      <c r="I289" s="377"/>
      <c r="J289" s="375" t="s">
        <v>168</v>
      </c>
      <c r="K289" s="375" t="s">
        <v>747</v>
      </c>
      <c r="L289" s="375" t="s">
        <v>210</v>
      </c>
      <c r="M289" s="375" t="s">
        <v>177</v>
      </c>
      <c r="N289" s="375" t="s">
        <v>199</v>
      </c>
      <c r="O289" s="378">
        <v>1</v>
      </c>
      <c r="P289" s="384">
        <v>1</v>
      </c>
      <c r="Q289" s="384">
        <v>1</v>
      </c>
      <c r="R289" s="379">
        <v>80</v>
      </c>
      <c r="S289" s="384">
        <v>1</v>
      </c>
      <c r="T289" s="379">
        <v>38087.300000000003</v>
      </c>
      <c r="U289" s="379">
        <v>0</v>
      </c>
      <c r="V289" s="379">
        <v>19513.86</v>
      </c>
      <c r="W289" s="379">
        <v>37960</v>
      </c>
      <c r="X289" s="379">
        <v>19753.3</v>
      </c>
      <c r="Y289" s="379">
        <v>37960</v>
      </c>
      <c r="Z289" s="379">
        <v>19571.099999999999</v>
      </c>
      <c r="AA289" s="375" t="s">
        <v>1195</v>
      </c>
      <c r="AB289" s="375" t="s">
        <v>1196</v>
      </c>
      <c r="AC289" s="375" t="s">
        <v>1197</v>
      </c>
      <c r="AD289" s="375" t="s">
        <v>198</v>
      </c>
      <c r="AE289" s="375" t="s">
        <v>747</v>
      </c>
      <c r="AF289" s="375" t="s">
        <v>215</v>
      </c>
      <c r="AG289" s="375" t="s">
        <v>183</v>
      </c>
      <c r="AH289" s="380">
        <v>18.25</v>
      </c>
      <c r="AI289" s="380">
        <v>32095.7</v>
      </c>
      <c r="AJ289" s="375" t="s">
        <v>184</v>
      </c>
      <c r="AK289" s="375" t="s">
        <v>185</v>
      </c>
      <c r="AL289" s="375" t="s">
        <v>173</v>
      </c>
      <c r="AM289" s="375" t="s">
        <v>186</v>
      </c>
      <c r="AN289" s="375" t="s">
        <v>68</v>
      </c>
      <c r="AO289" s="378">
        <v>80</v>
      </c>
      <c r="AP289" s="384">
        <v>1</v>
      </c>
      <c r="AQ289" s="384">
        <v>1</v>
      </c>
      <c r="AR289" s="383" t="s">
        <v>187</v>
      </c>
      <c r="AS289" s="386">
        <f t="shared" si="203"/>
        <v>1</v>
      </c>
      <c r="AT289">
        <f t="shared" si="204"/>
        <v>1</v>
      </c>
      <c r="AU289" s="386">
        <f>IF(AT289=0,"",IF(AND(AT289=1,M289="F",SUMIF(C2:C557,C289,AS2:AS557)&lt;=1),SUMIF(C2:C557,C289,AS2:AS557),IF(AND(AT289=1,M289="F",SUMIF(C2:C557,C289,AS2:AS557)&gt;1),1,"")))</f>
        <v>1</v>
      </c>
      <c r="AV289" s="386" t="str">
        <f>IF(AT289=0,"",IF(AND(AT289=3,M289="F",SUMIF(C2:C557,C289,AS2:AS557)&lt;=1),SUMIF(C2:C557,C289,AS2:AS557),IF(AND(AT289=3,M289="F",SUMIF(C2:C557,C289,AS2:AS557)&gt;1),1,"")))</f>
        <v/>
      </c>
      <c r="AW289" s="386">
        <f>SUMIF(C2:C557,C289,O2:O557)</f>
        <v>1</v>
      </c>
      <c r="AX289" s="386">
        <f>IF(AND(M289="F",AS289&lt;&gt;0),SUMIF(C2:C557,C289,W2:W557),0)</f>
        <v>37960</v>
      </c>
      <c r="AY289" s="386">
        <f t="shared" si="205"/>
        <v>37960</v>
      </c>
      <c r="AZ289" s="386" t="str">
        <f t="shared" si="206"/>
        <v/>
      </c>
      <c r="BA289" s="386">
        <f t="shared" si="207"/>
        <v>0</v>
      </c>
      <c r="BB289" s="386">
        <f t="shared" si="176"/>
        <v>11650</v>
      </c>
      <c r="BC289" s="386">
        <f t="shared" si="177"/>
        <v>0</v>
      </c>
      <c r="BD289" s="386">
        <f t="shared" si="178"/>
        <v>2353.52</v>
      </c>
      <c r="BE289" s="386">
        <f t="shared" si="179"/>
        <v>550.42000000000007</v>
      </c>
      <c r="BF289" s="386">
        <f t="shared" si="180"/>
        <v>4532.424</v>
      </c>
      <c r="BG289" s="386">
        <f t="shared" si="181"/>
        <v>273.69159999999999</v>
      </c>
      <c r="BH289" s="386">
        <f t="shared" si="182"/>
        <v>186.00399999999999</v>
      </c>
      <c r="BI289" s="386">
        <f t="shared" si="183"/>
        <v>116.15759999999999</v>
      </c>
      <c r="BJ289" s="386">
        <f t="shared" si="184"/>
        <v>91.103999999999985</v>
      </c>
      <c r="BK289" s="386">
        <f t="shared" si="185"/>
        <v>0</v>
      </c>
      <c r="BL289" s="386">
        <f t="shared" si="208"/>
        <v>8103.3211999999994</v>
      </c>
      <c r="BM289" s="386">
        <f t="shared" si="209"/>
        <v>0</v>
      </c>
      <c r="BN289" s="386">
        <f t="shared" si="186"/>
        <v>11650</v>
      </c>
      <c r="BO289" s="386">
        <f t="shared" si="187"/>
        <v>0</v>
      </c>
      <c r="BP289" s="386">
        <f t="shared" si="188"/>
        <v>2353.52</v>
      </c>
      <c r="BQ289" s="386">
        <f t="shared" si="189"/>
        <v>550.42000000000007</v>
      </c>
      <c r="BR289" s="386">
        <f t="shared" si="190"/>
        <v>4532.424</v>
      </c>
      <c r="BS289" s="386">
        <f t="shared" si="191"/>
        <v>273.69159999999999</v>
      </c>
      <c r="BT289" s="386">
        <f t="shared" si="192"/>
        <v>0</v>
      </c>
      <c r="BU289" s="386">
        <f t="shared" si="193"/>
        <v>116.15759999999999</v>
      </c>
      <c r="BV289" s="386">
        <f t="shared" si="194"/>
        <v>94.9</v>
      </c>
      <c r="BW289" s="386">
        <f t="shared" si="195"/>
        <v>0</v>
      </c>
      <c r="BX289" s="386">
        <f t="shared" si="210"/>
        <v>7921.1131999999989</v>
      </c>
      <c r="BY289" s="386">
        <f t="shared" si="211"/>
        <v>0</v>
      </c>
      <c r="BZ289" s="386">
        <f t="shared" si="212"/>
        <v>0</v>
      </c>
      <c r="CA289" s="386">
        <f t="shared" si="213"/>
        <v>0</v>
      </c>
      <c r="CB289" s="386">
        <f t="shared" si="214"/>
        <v>0</v>
      </c>
      <c r="CC289" s="386">
        <f t="shared" si="196"/>
        <v>0</v>
      </c>
      <c r="CD289" s="386">
        <f t="shared" si="197"/>
        <v>0</v>
      </c>
      <c r="CE289" s="386">
        <f t="shared" si="198"/>
        <v>0</v>
      </c>
      <c r="CF289" s="386">
        <f t="shared" si="199"/>
        <v>-186.00399999999999</v>
      </c>
      <c r="CG289" s="386">
        <f t="shared" si="200"/>
        <v>0</v>
      </c>
      <c r="CH289" s="386">
        <f t="shared" si="201"/>
        <v>3.79600000000001</v>
      </c>
      <c r="CI289" s="386">
        <f t="shared" si="202"/>
        <v>0</v>
      </c>
      <c r="CJ289" s="386">
        <f t="shared" si="215"/>
        <v>-182.20799999999997</v>
      </c>
      <c r="CK289" s="386" t="str">
        <f t="shared" si="216"/>
        <v/>
      </c>
      <c r="CL289" s="386" t="str">
        <f t="shared" si="217"/>
        <v/>
      </c>
      <c r="CM289" s="386" t="str">
        <f t="shared" si="218"/>
        <v/>
      </c>
      <c r="CN289" s="386" t="str">
        <f t="shared" si="219"/>
        <v>0001-00</v>
      </c>
    </row>
    <row r="290" spans="1:92" ht="15.75" thickBot="1" x14ac:dyDescent="0.3">
      <c r="A290" s="375" t="s">
        <v>161</v>
      </c>
      <c r="B290" s="375" t="s">
        <v>162</v>
      </c>
      <c r="C290" s="375" t="s">
        <v>1198</v>
      </c>
      <c r="D290" s="375" t="s">
        <v>1199</v>
      </c>
      <c r="E290" s="375" t="s">
        <v>165</v>
      </c>
      <c r="F290" s="376" t="s">
        <v>166</v>
      </c>
      <c r="G290" s="375" t="s">
        <v>1069</v>
      </c>
      <c r="H290" s="377"/>
      <c r="I290" s="377"/>
      <c r="J290" s="375" t="s">
        <v>218</v>
      </c>
      <c r="K290" s="375" t="s">
        <v>1200</v>
      </c>
      <c r="L290" s="375" t="s">
        <v>274</v>
      </c>
      <c r="M290" s="375" t="s">
        <v>177</v>
      </c>
      <c r="N290" s="375" t="s">
        <v>199</v>
      </c>
      <c r="O290" s="378">
        <v>1</v>
      </c>
      <c r="P290" s="384">
        <v>0.6</v>
      </c>
      <c r="Q290" s="384">
        <v>0.6</v>
      </c>
      <c r="R290" s="379">
        <v>80</v>
      </c>
      <c r="S290" s="384">
        <v>0.6</v>
      </c>
      <c r="T290" s="379">
        <v>54361.89</v>
      </c>
      <c r="U290" s="379">
        <v>0</v>
      </c>
      <c r="V290" s="379">
        <v>18181.240000000002</v>
      </c>
      <c r="W290" s="379">
        <v>53526.720000000001</v>
      </c>
      <c r="X290" s="379">
        <v>18416.32</v>
      </c>
      <c r="Y290" s="379">
        <v>53526.720000000001</v>
      </c>
      <c r="Z290" s="379">
        <v>18159.400000000001</v>
      </c>
      <c r="AA290" s="375" t="s">
        <v>1201</v>
      </c>
      <c r="AB290" s="375" t="s">
        <v>1202</v>
      </c>
      <c r="AC290" s="375" t="s">
        <v>1203</v>
      </c>
      <c r="AD290" s="375" t="s">
        <v>195</v>
      </c>
      <c r="AE290" s="375" t="s">
        <v>1200</v>
      </c>
      <c r="AF290" s="375" t="s">
        <v>388</v>
      </c>
      <c r="AG290" s="375" t="s">
        <v>183</v>
      </c>
      <c r="AH290" s="380">
        <v>42.89</v>
      </c>
      <c r="AI290" s="378">
        <v>61144</v>
      </c>
      <c r="AJ290" s="375" t="s">
        <v>184</v>
      </c>
      <c r="AK290" s="375" t="s">
        <v>185</v>
      </c>
      <c r="AL290" s="375" t="s">
        <v>173</v>
      </c>
      <c r="AM290" s="375" t="s">
        <v>186</v>
      </c>
      <c r="AN290" s="375" t="s">
        <v>68</v>
      </c>
      <c r="AO290" s="378">
        <v>80</v>
      </c>
      <c r="AP290" s="384">
        <v>1</v>
      </c>
      <c r="AQ290" s="384">
        <v>0.6</v>
      </c>
      <c r="AR290" s="383" t="s">
        <v>187</v>
      </c>
      <c r="AS290" s="386">
        <f t="shared" si="203"/>
        <v>0.6</v>
      </c>
      <c r="AT290">
        <f t="shared" si="204"/>
        <v>1</v>
      </c>
      <c r="AU290" s="386">
        <f>IF(AT290=0,"",IF(AND(AT290=1,M290="F",SUMIF(C2:C557,C290,AS2:AS557)&lt;=1),SUMIF(C2:C557,C290,AS2:AS557),IF(AND(AT290=1,M290="F",SUMIF(C2:C557,C290,AS2:AS557)&gt;1),1,"")))</f>
        <v>1</v>
      </c>
      <c r="AV290" s="386" t="str">
        <f>IF(AT290=0,"",IF(AND(AT290=3,M290="F",SUMIF(C2:C557,C290,AS2:AS557)&lt;=1),SUMIF(C2:C557,C290,AS2:AS557),IF(AND(AT290=3,M290="F",SUMIF(C2:C557,C290,AS2:AS557)&gt;1),1,"")))</f>
        <v/>
      </c>
      <c r="AW290" s="386">
        <f>SUMIF(C2:C557,C290,O2:O557)</f>
        <v>2</v>
      </c>
      <c r="AX290" s="386">
        <f>IF(AND(M290="F",AS290&lt;&gt;0),SUMIF(C2:C557,C290,W2:W557),0)</f>
        <v>89211.200000000012</v>
      </c>
      <c r="AY290" s="386">
        <f t="shared" si="205"/>
        <v>53526.720000000001</v>
      </c>
      <c r="AZ290" s="386" t="str">
        <f t="shared" si="206"/>
        <v/>
      </c>
      <c r="BA290" s="386">
        <f t="shared" si="207"/>
        <v>0</v>
      </c>
      <c r="BB290" s="386">
        <f t="shared" si="176"/>
        <v>6990</v>
      </c>
      <c r="BC290" s="386">
        <f t="shared" si="177"/>
        <v>0</v>
      </c>
      <c r="BD290" s="386">
        <f t="shared" si="178"/>
        <v>3318.6566400000002</v>
      </c>
      <c r="BE290" s="386">
        <f t="shared" si="179"/>
        <v>776.13744000000008</v>
      </c>
      <c r="BF290" s="386">
        <f t="shared" si="180"/>
        <v>6391.0903680000001</v>
      </c>
      <c r="BG290" s="386">
        <f t="shared" si="181"/>
        <v>385.92765120000001</v>
      </c>
      <c r="BH290" s="386">
        <f t="shared" si="182"/>
        <v>262.28092800000002</v>
      </c>
      <c r="BI290" s="386">
        <f t="shared" si="183"/>
        <v>163.79176319999999</v>
      </c>
      <c r="BJ290" s="386">
        <f t="shared" si="184"/>
        <v>128.46412799999999</v>
      </c>
      <c r="BK290" s="386">
        <f t="shared" si="185"/>
        <v>0</v>
      </c>
      <c r="BL290" s="386">
        <f t="shared" si="208"/>
        <v>11426.348918400001</v>
      </c>
      <c r="BM290" s="386">
        <f t="shared" si="209"/>
        <v>0</v>
      </c>
      <c r="BN290" s="386">
        <f t="shared" si="186"/>
        <v>6990</v>
      </c>
      <c r="BO290" s="386">
        <f t="shared" si="187"/>
        <v>0</v>
      </c>
      <c r="BP290" s="386">
        <f t="shared" si="188"/>
        <v>3318.6566400000002</v>
      </c>
      <c r="BQ290" s="386">
        <f t="shared" si="189"/>
        <v>776.13744000000008</v>
      </c>
      <c r="BR290" s="386">
        <f t="shared" si="190"/>
        <v>6391.0903680000001</v>
      </c>
      <c r="BS290" s="386">
        <f t="shared" si="191"/>
        <v>385.92765120000001</v>
      </c>
      <c r="BT290" s="386">
        <f t="shared" si="192"/>
        <v>0</v>
      </c>
      <c r="BU290" s="386">
        <f t="shared" si="193"/>
        <v>163.79176319999999</v>
      </c>
      <c r="BV290" s="386">
        <f t="shared" si="194"/>
        <v>133.8168</v>
      </c>
      <c r="BW290" s="386">
        <f t="shared" si="195"/>
        <v>0</v>
      </c>
      <c r="BX290" s="386">
        <f t="shared" si="210"/>
        <v>11169.420662400002</v>
      </c>
      <c r="BY290" s="386">
        <f t="shared" si="211"/>
        <v>0</v>
      </c>
      <c r="BZ290" s="386">
        <f t="shared" si="212"/>
        <v>0</v>
      </c>
      <c r="CA290" s="386">
        <f t="shared" si="213"/>
        <v>0</v>
      </c>
      <c r="CB290" s="386">
        <f t="shared" si="214"/>
        <v>0</v>
      </c>
      <c r="CC290" s="386">
        <f t="shared" si="196"/>
        <v>0</v>
      </c>
      <c r="CD290" s="386">
        <f t="shared" si="197"/>
        <v>0</v>
      </c>
      <c r="CE290" s="386">
        <f t="shared" si="198"/>
        <v>0</v>
      </c>
      <c r="CF290" s="386">
        <f t="shared" si="199"/>
        <v>-262.28092800000002</v>
      </c>
      <c r="CG290" s="386">
        <f t="shared" si="200"/>
        <v>0</v>
      </c>
      <c r="CH290" s="386">
        <f t="shared" si="201"/>
        <v>5.3526720000000143</v>
      </c>
      <c r="CI290" s="386">
        <f t="shared" si="202"/>
        <v>0</v>
      </c>
      <c r="CJ290" s="386">
        <f t="shared" si="215"/>
        <v>-256.92825599999998</v>
      </c>
      <c r="CK290" s="386" t="str">
        <f t="shared" si="216"/>
        <v/>
      </c>
      <c r="CL290" s="386" t="str">
        <f t="shared" si="217"/>
        <v/>
      </c>
      <c r="CM290" s="386" t="str">
        <f t="shared" si="218"/>
        <v/>
      </c>
      <c r="CN290" s="386" t="str">
        <f t="shared" si="219"/>
        <v>0001-00</v>
      </c>
    </row>
    <row r="291" spans="1:92" ht="15.75" thickBot="1" x14ac:dyDescent="0.3">
      <c r="A291" s="375" t="s">
        <v>161</v>
      </c>
      <c r="B291" s="375" t="s">
        <v>162</v>
      </c>
      <c r="C291" s="375" t="s">
        <v>1204</v>
      </c>
      <c r="D291" s="375" t="s">
        <v>746</v>
      </c>
      <c r="E291" s="375" t="s">
        <v>165</v>
      </c>
      <c r="F291" s="376" t="s">
        <v>166</v>
      </c>
      <c r="G291" s="375" t="s">
        <v>1069</v>
      </c>
      <c r="H291" s="377"/>
      <c r="I291" s="377"/>
      <c r="J291" s="375" t="s">
        <v>168</v>
      </c>
      <c r="K291" s="375" t="s">
        <v>747</v>
      </c>
      <c r="L291" s="375" t="s">
        <v>210</v>
      </c>
      <c r="M291" s="375" t="s">
        <v>177</v>
      </c>
      <c r="N291" s="375" t="s">
        <v>199</v>
      </c>
      <c r="O291" s="378">
        <v>1</v>
      </c>
      <c r="P291" s="384">
        <v>1</v>
      </c>
      <c r="Q291" s="384">
        <v>1</v>
      </c>
      <c r="R291" s="379">
        <v>80</v>
      </c>
      <c r="S291" s="384">
        <v>1</v>
      </c>
      <c r="T291" s="379">
        <v>37070.85</v>
      </c>
      <c r="U291" s="379">
        <v>0</v>
      </c>
      <c r="V291" s="379">
        <v>19330.05</v>
      </c>
      <c r="W291" s="379">
        <v>40560</v>
      </c>
      <c r="X291" s="379">
        <v>20308.32</v>
      </c>
      <c r="Y291" s="379">
        <v>40560</v>
      </c>
      <c r="Z291" s="379">
        <v>20113.64</v>
      </c>
      <c r="AA291" s="375" t="s">
        <v>1205</v>
      </c>
      <c r="AB291" s="375" t="s">
        <v>1206</v>
      </c>
      <c r="AC291" s="375" t="s">
        <v>1207</v>
      </c>
      <c r="AD291" s="375" t="s">
        <v>739</v>
      </c>
      <c r="AE291" s="375" t="s">
        <v>747</v>
      </c>
      <c r="AF291" s="375" t="s">
        <v>215</v>
      </c>
      <c r="AG291" s="375" t="s">
        <v>183</v>
      </c>
      <c r="AH291" s="380">
        <v>19.5</v>
      </c>
      <c r="AI291" s="380">
        <v>27436.5</v>
      </c>
      <c r="AJ291" s="375" t="s">
        <v>184</v>
      </c>
      <c r="AK291" s="375" t="s">
        <v>185</v>
      </c>
      <c r="AL291" s="375" t="s">
        <v>173</v>
      </c>
      <c r="AM291" s="375" t="s">
        <v>186</v>
      </c>
      <c r="AN291" s="375" t="s">
        <v>68</v>
      </c>
      <c r="AO291" s="378">
        <v>80</v>
      </c>
      <c r="AP291" s="384">
        <v>1</v>
      </c>
      <c r="AQ291" s="384">
        <v>1</v>
      </c>
      <c r="AR291" s="383" t="s">
        <v>187</v>
      </c>
      <c r="AS291" s="386">
        <f t="shared" si="203"/>
        <v>1</v>
      </c>
      <c r="AT291">
        <f t="shared" si="204"/>
        <v>1</v>
      </c>
      <c r="AU291" s="386">
        <f>IF(AT291=0,"",IF(AND(AT291=1,M291="F",SUMIF(C2:C557,C291,AS2:AS557)&lt;=1),SUMIF(C2:C557,C291,AS2:AS557),IF(AND(AT291=1,M291="F",SUMIF(C2:C557,C291,AS2:AS557)&gt;1),1,"")))</f>
        <v>1</v>
      </c>
      <c r="AV291" s="386" t="str">
        <f>IF(AT291=0,"",IF(AND(AT291=3,M291="F",SUMIF(C2:C557,C291,AS2:AS557)&lt;=1),SUMIF(C2:C557,C291,AS2:AS557),IF(AND(AT291=3,M291="F",SUMIF(C2:C557,C291,AS2:AS557)&gt;1),1,"")))</f>
        <v/>
      </c>
      <c r="AW291" s="386">
        <f>SUMIF(C2:C557,C291,O2:O557)</f>
        <v>1</v>
      </c>
      <c r="AX291" s="386">
        <f>IF(AND(M291="F",AS291&lt;&gt;0),SUMIF(C2:C557,C291,W2:W557),0)</f>
        <v>40560</v>
      </c>
      <c r="AY291" s="386">
        <f t="shared" si="205"/>
        <v>40560</v>
      </c>
      <c r="AZ291" s="386" t="str">
        <f t="shared" si="206"/>
        <v/>
      </c>
      <c r="BA291" s="386">
        <f t="shared" si="207"/>
        <v>0</v>
      </c>
      <c r="BB291" s="386">
        <f t="shared" si="176"/>
        <v>11650</v>
      </c>
      <c r="BC291" s="386">
        <f t="shared" si="177"/>
        <v>0</v>
      </c>
      <c r="BD291" s="386">
        <f t="shared" si="178"/>
        <v>2514.7199999999998</v>
      </c>
      <c r="BE291" s="386">
        <f t="shared" si="179"/>
        <v>588.12</v>
      </c>
      <c r="BF291" s="386">
        <f t="shared" si="180"/>
        <v>4842.8640000000005</v>
      </c>
      <c r="BG291" s="386">
        <f t="shared" si="181"/>
        <v>292.43760000000003</v>
      </c>
      <c r="BH291" s="386">
        <f t="shared" si="182"/>
        <v>198.744</v>
      </c>
      <c r="BI291" s="386">
        <f t="shared" si="183"/>
        <v>124.11359999999999</v>
      </c>
      <c r="BJ291" s="386">
        <f t="shared" si="184"/>
        <v>97.343999999999994</v>
      </c>
      <c r="BK291" s="386">
        <f t="shared" si="185"/>
        <v>0</v>
      </c>
      <c r="BL291" s="386">
        <f t="shared" si="208"/>
        <v>8658.3431999999993</v>
      </c>
      <c r="BM291" s="386">
        <f t="shared" si="209"/>
        <v>0</v>
      </c>
      <c r="BN291" s="386">
        <f t="shared" si="186"/>
        <v>11650</v>
      </c>
      <c r="BO291" s="386">
        <f t="shared" si="187"/>
        <v>0</v>
      </c>
      <c r="BP291" s="386">
        <f t="shared" si="188"/>
        <v>2514.7199999999998</v>
      </c>
      <c r="BQ291" s="386">
        <f t="shared" si="189"/>
        <v>588.12</v>
      </c>
      <c r="BR291" s="386">
        <f t="shared" si="190"/>
        <v>4842.8640000000005</v>
      </c>
      <c r="BS291" s="386">
        <f t="shared" si="191"/>
        <v>292.43760000000003</v>
      </c>
      <c r="BT291" s="386">
        <f t="shared" si="192"/>
        <v>0</v>
      </c>
      <c r="BU291" s="386">
        <f t="shared" si="193"/>
        <v>124.11359999999999</v>
      </c>
      <c r="BV291" s="386">
        <f t="shared" si="194"/>
        <v>101.4</v>
      </c>
      <c r="BW291" s="386">
        <f t="shared" si="195"/>
        <v>0</v>
      </c>
      <c r="BX291" s="386">
        <f t="shared" si="210"/>
        <v>8463.6551999999992</v>
      </c>
      <c r="BY291" s="386">
        <f t="shared" si="211"/>
        <v>0</v>
      </c>
      <c r="BZ291" s="386">
        <f t="shared" si="212"/>
        <v>0</v>
      </c>
      <c r="CA291" s="386">
        <f t="shared" si="213"/>
        <v>0</v>
      </c>
      <c r="CB291" s="386">
        <f t="shared" si="214"/>
        <v>0</v>
      </c>
      <c r="CC291" s="386">
        <f t="shared" si="196"/>
        <v>0</v>
      </c>
      <c r="CD291" s="386">
        <f t="shared" si="197"/>
        <v>0</v>
      </c>
      <c r="CE291" s="386">
        <f t="shared" si="198"/>
        <v>0</v>
      </c>
      <c r="CF291" s="386">
        <f t="shared" si="199"/>
        <v>-198.744</v>
      </c>
      <c r="CG291" s="386">
        <f t="shared" si="200"/>
        <v>0</v>
      </c>
      <c r="CH291" s="386">
        <f t="shared" si="201"/>
        <v>4.0560000000000107</v>
      </c>
      <c r="CI291" s="386">
        <f t="shared" si="202"/>
        <v>0</v>
      </c>
      <c r="CJ291" s="386">
        <f t="shared" si="215"/>
        <v>-194.68799999999999</v>
      </c>
      <c r="CK291" s="386" t="str">
        <f t="shared" si="216"/>
        <v/>
      </c>
      <c r="CL291" s="386" t="str">
        <f t="shared" si="217"/>
        <v/>
      </c>
      <c r="CM291" s="386" t="str">
        <f t="shared" si="218"/>
        <v/>
      </c>
      <c r="CN291" s="386" t="str">
        <f t="shared" si="219"/>
        <v>0001-00</v>
      </c>
    </row>
    <row r="292" spans="1:92" ht="15.75" thickBot="1" x14ac:dyDescent="0.3">
      <c r="A292" s="375" t="s">
        <v>161</v>
      </c>
      <c r="B292" s="375" t="s">
        <v>162</v>
      </c>
      <c r="C292" s="375" t="s">
        <v>412</v>
      </c>
      <c r="D292" s="375" t="s">
        <v>301</v>
      </c>
      <c r="E292" s="375" t="s">
        <v>165</v>
      </c>
      <c r="F292" s="376" t="s">
        <v>166</v>
      </c>
      <c r="G292" s="375" t="s">
        <v>1069</v>
      </c>
      <c r="H292" s="377"/>
      <c r="I292" s="377"/>
      <c r="J292" s="375" t="s">
        <v>168</v>
      </c>
      <c r="K292" s="375" t="s">
        <v>302</v>
      </c>
      <c r="L292" s="375" t="s">
        <v>173</v>
      </c>
      <c r="M292" s="375" t="s">
        <v>177</v>
      </c>
      <c r="N292" s="375" t="s">
        <v>199</v>
      </c>
      <c r="O292" s="378">
        <v>1</v>
      </c>
      <c r="P292" s="384">
        <v>0</v>
      </c>
      <c r="Q292" s="384">
        <v>0</v>
      </c>
      <c r="R292" s="379">
        <v>80</v>
      </c>
      <c r="S292" s="384">
        <v>0</v>
      </c>
      <c r="T292" s="379">
        <v>73336.820000000007</v>
      </c>
      <c r="U292" s="379">
        <v>0</v>
      </c>
      <c r="V292" s="379">
        <v>26701.95</v>
      </c>
      <c r="W292" s="379">
        <v>0</v>
      </c>
      <c r="X292" s="379">
        <v>0</v>
      </c>
      <c r="Y292" s="379">
        <v>0</v>
      </c>
      <c r="Z292" s="379">
        <v>0</v>
      </c>
      <c r="AA292" s="375" t="s">
        <v>413</v>
      </c>
      <c r="AB292" s="375" t="s">
        <v>414</v>
      </c>
      <c r="AC292" s="375" t="s">
        <v>415</v>
      </c>
      <c r="AD292" s="375" t="s">
        <v>220</v>
      </c>
      <c r="AE292" s="375" t="s">
        <v>302</v>
      </c>
      <c r="AF292" s="375" t="s">
        <v>305</v>
      </c>
      <c r="AG292" s="375" t="s">
        <v>183</v>
      </c>
      <c r="AH292" s="380">
        <v>36.700000000000003</v>
      </c>
      <c r="AI292" s="380">
        <v>63958.5</v>
      </c>
      <c r="AJ292" s="375" t="s">
        <v>184</v>
      </c>
      <c r="AK292" s="375" t="s">
        <v>185</v>
      </c>
      <c r="AL292" s="375" t="s">
        <v>173</v>
      </c>
      <c r="AM292" s="375" t="s">
        <v>186</v>
      </c>
      <c r="AN292" s="375" t="s">
        <v>68</v>
      </c>
      <c r="AO292" s="378">
        <v>80</v>
      </c>
      <c r="AP292" s="384">
        <v>1</v>
      </c>
      <c r="AQ292" s="384">
        <v>0</v>
      </c>
      <c r="AR292" s="383" t="s">
        <v>187</v>
      </c>
      <c r="AS292" s="386">
        <f t="shared" si="203"/>
        <v>0</v>
      </c>
      <c r="AT292">
        <f t="shared" si="204"/>
        <v>0</v>
      </c>
      <c r="AU292" s="386" t="str">
        <f>IF(AT292=0,"",IF(AND(AT292=1,M292="F",SUMIF(C2:C557,C292,AS2:AS557)&lt;=1),SUMIF(C2:C557,C292,AS2:AS557),IF(AND(AT292=1,M292="F",SUMIF(C2:C557,C292,AS2:AS557)&gt;1),1,"")))</f>
        <v/>
      </c>
      <c r="AV292" s="386" t="str">
        <f>IF(AT292=0,"",IF(AND(AT292=3,M292="F",SUMIF(C2:C557,C292,AS2:AS557)&lt;=1),SUMIF(C2:C557,C292,AS2:AS557),IF(AND(AT292=3,M292="F",SUMIF(C2:C557,C292,AS2:AS557)&gt;1),1,"")))</f>
        <v/>
      </c>
      <c r="AW292" s="386">
        <f>SUMIF(C2:C557,C292,O2:O557)</f>
        <v>2</v>
      </c>
      <c r="AX292" s="386">
        <f>IF(AND(M292="F",AS292&lt;&gt;0),SUMIF(C2:C557,C292,W2:W557),0)</f>
        <v>0</v>
      </c>
      <c r="AY292" s="386" t="str">
        <f t="shared" si="205"/>
        <v/>
      </c>
      <c r="AZ292" s="386" t="str">
        <f t="shared" si="206"/>
        <v/>
      </c>
      <c r="BA292" s="386">
        <f t="shared" si="207"/>
        <v>0</v>
      </c>
      <c r="BB292" s="386">
        <f t="shared" si="176"/>
        <v>0</v>
      </c>
      <c r="BC292" s="386">
        <f t="shared" si="177"/>
        <v>0</v>
      </c>
      <c r="BD292" s="386">
        <f t="shared" si="178"/>
        <v>0</v>
      </c>
      <c r="BE292" s="386">
        <f t="shared" si="179"/>
        <v>0</v>
      </c>
      <c r="BF292" s="386">
        <f t="shared" si="180"/>
        <v>0</v>
      </c>
      <c r="BG292" s="386">
        <f t="shared" si="181"/>
        <v>0</v>
      </c>
      <c r="BH292" s="386">
        <f t="shared" si="182"/>
        <v>0</v>
      </c>
      <c r="BI292" s="386">
        <f t="shared" si="183"/>
        <v>0</v>
      </c>
      <c r="BJ292" s="386">
        <f t="shared" si="184"/>
        <v>0</v>
      </c>
      <c r="BK292" s="386">
        <f t="shared" si="185"/>
        <v>0</v>
      </c>
      <c r="BL292" s="386">
        <f t="shared" si="208"/>
        <v>0</v>
      </c>
      <c r="BM292" s="386">
        <f t="shared" si="209"/>
        <v>0</v>
      </c>
      <c r="BN292" s="386">
        <f t="shared" si="186"/>
        <v>0</v>
      </c>
      <c r="BO292" s="386">
        <f t="shared" si="187"/>
        <v>0</v>
      </c>
      <c r="BP292" s="386">
        <f t="shared" si="188"/>
        <v>0</v>
      </c>
      <c r="BQ292" s="386">
        <f t="shared" si="189"/>
        <v>0</v>
      </c>
      <c r="BR292" s="386">
        <f t="shared" si="190"/>
        <v>0</v>
      </c>
      <c r="BS292" s="386">
        <f t="shared" si="191"/>
        <v>0</v>
      </c>
      <c r="BT292" s="386">
        <f t="shared" si="192"/>
        <v>0</v>
      </c>
      <c r="BU292" s="386">
        <f t="shared" si="193"/>
        <v>0</v>
      </c>
      <c r="BV292" s="386">
        <f t="shared" si="194"/>
        <v>0</v>
      </c>
      <c r="BW292" s="386">
        <f t="shared" si="195"/>
        <v>0</v>
      </c>
      <c r="BX292" s="386">
        <f t="shared" si="210"/>
        <v>0</v>
      </c>
      <c r="BY292" s="386">
        <f t="shared" si="211"/>
        <v>0</v>
      </c>
      <c r="BZ292" s="386">
        <f t="shared" si="212"/>
        <v>0</v>
      </c>
      <c r="CA292" s="386">
        <f t="shared" si="213"/>
        <v>0</v>
      </c>
      <c r="CB292" s="386">
        <f t="shared" si="214"/>
        <v>0</v>
      </c>
      <c r="CC292" s="386">
        <f t="shared" si="196"/>
        <v>0</v>
      </c>
      <c r="CD292" s="386">
        <f t="shared" si="197"/>
        <v>0</v>
      </c>
      <c r="CE292" s="386">
        <f t="shared" si="198"/>
        <v>0</v>
      </c>
      <c r="CF292" s="386">
        <f t="shared" si="199"/>
        <v>0</v>
      </c>
      <c r="CG292" s="386">
        <f t="shared" si="200"/>
        <v>0</v>
      </c>
      <c r="CH292" s="386">
        <f t="shared" si="201"/>
        <v>0</v>
      </c>
      <c r="CI292" s="386">
        <f t="shared" si="202"/>
        <v>0</v>
      </c>
      <c r="CJ292" s="386">
        <f t="shared" si="215"/>
        <v>0</v>
      </c>
      <c r="CK292" s="386" t="str">
        <f t="shared" si="216"/>
        <v/>
      </c>
      <c r="CL292" s="386" t="str">
        <f t="shared" si="217"/>
        <v/>
      </c>
      <c r="CM292" s="386" t="str">
        <f t="shared" si="218"/>
        <v/>
      </c>
      <c r="CN292" s="386" t="str">
        <f t="shared" si="219"/>
        <v>0001-00</v>
      </c>
    </row>
    <row r="293" spans="1:92" ht="15.75" thickBot="1" x14ac:dyDescent="0.3">
      <c r="A293" s="375" t="s">
        <v>161</v>
      </c>
      <c r="B293" s="375" t="s">
        <v>162</v>
      </c>
      <c r="C293" s="375" t="s">
        <v>1208</v>
      </c>
      <c r="D293" s="375" t="s">
        <v>1209</v>
      </c>
      <c r="E293" s="375" t="s">
        <v>165</v>
      </c>
      <c r="F293" s="376" t="s">
        <v>166</v>
      </c>
      <c r="G293" s="375" t="s">
        <v>1069</v>
      </c>
      <c r="H293" s="377"/>
      <c r="I293" s="377"/>
      <c r="J293" s="375" t="s">
        <v>168</v>
      </c>
      <c r="K293" s="375" t="s">
        <v>1210</v>
      </c>
      <c r="L293" s="375" t="s">
        <v>233</v>
      </c>
      <c r="M293" s="375" t="s">
        <v>177</v>
      </c>
      <c r="N293" s="375" t="s">
        <v>199</v>
      </c>
      <c r="O293" s="378">
        <v>1</v>
      </c>
      <c r="P293" s="384">
        <v>1</v>
      </c>
      <c r="Q293" s="384">
        <v>1</v>
      </c>
      <c r="R293" s="379">
        <v>80</v>
      </c>
      <c r="S293" s="384">
        <v>1</v>
      </c>
      <c r="T293" s="379">
        <v>45686.84</v>
      </c>
      <c r="U293" s="379">
        <v>0</v>
      </c>
      <c r="V293" s="379">
        <v>21083.22</v>
      </c>
      <c r="W293" s="379">
        <v>46134.400000000001</v>
      </c>
      <c r="X293" s="379">
        <v>21498.27</v>
      </c>
      <c r="Y293" s="379">
        <v>46134.400000000001</v>
      </c>
      <c r="Z293" s="379">
        <v>21276.83</v>
      </c>
      <c r="AA293" s="375" t="s">
        <v>1211</v>
      </c>
      <c r="AB293" s="375" t="s">
        <v>1212</v>
      </c>
      <c r="AC293" s="375" t="s">
        <v>1213</v>
      </c>
      <c r="AD293" s="375" t="s">
        <v>220</v>
      </c>
      <c r="AE293" s="375" t="s">
        <v>1210</v>
      </c>
      <c r="AF293" s="375" t="s">
        <v>237</v>
      </c>
      <c r="AG293" s="375" t="s">
        <v>183</v>
      </c>
      <c r="AH293" s="380">
        <v>22.18</v>
      </c>
      <c r="AI293" s="380">
        <v>49613.9</v>
      </c>
      <c r="AJ293" s="375" t="s">
        <v>184</v>
      </c>
      <c r="AK293" s="375" t="s">
        <v>185</v>
      </c>
      <c r="AL293" s="375" t="s">
        <v>173</v>
      </c>
      <c r="AM293" s="375" t="s">
        <v>186</v>
      </c>
      <c r="AN293" s="375" t="s">
        <v>68</v>
      </c>
      <c r="AO293" s="378">
        <v>80</v>
      </c>
      <c r="AP293" s="384">
        <v>1</v>
      </c>
      <c r="AQ293" s="384">
        <v>1</v>
      </c>
      <c r="AR293" s="383" t="s">
        <v>187</v>
      </c>
      <c r="AS293" s="386">
        <f t="shared" si="203"/>
        <v>1</v>
      </c>
      <c r="AT293">
        <f t="shared" si="204"/>
        <v>1</v>
      </c>
      <c r="AU293" s="386">
        <f>IF(AT293=0,"",IF(AND(AT293=1,M293="F",SUMIF(C2:C557,C293,AS2:AS557)&lt;=1),SUMIF(C2:C557,C293,AS2:AS557),IF(AND(AT293=1,M293="F",SUMIF(C2:C557,C293,AS2:AS557)&gt;1),1,"")))</f>
        <v>1</v>
      </c>
      <c r="AV293" s="386" t="str">
        <f>IF(AT293=0,"",IF(AND(AT293=3,M293="F",SUMIF(C2:C557,C293,AS2:AS557)&lt;=1),SUMIF(C2:C557,C293,AS2:AS557),IF(AND(AT293=3,M293="F",SUMIF(C2:C557,C293,AS2:AS557)&gt;1),1,"")))</f>
        <v/>
      </c>
      <c r="AW293" s="386">
        <f>SUMIF(C2:C557,C293,O2:O557)</f>
        <v>1</v>
      </c>
      <c r="AX293" s="386">
        <f>IF(AND(M293="F",AS293&lt;&gt;0),SUMIF(C2:C557,C293,W2:W557),0)</f>
        <v>46134.400000000001</v>
      </c>
      <c r="AY293" s="386">
        <f t="shared" si="205"/>
        <v>46134.400000000001</v>
      </c>
      <c r="AZ293" s="386" t="str">
        <f t="shared" si="206"/>
        <v/>
      </c>
      <c r="BA293" s="386">
        <f t="shared" si="207"/>
        <v>0</v>
      </c>
      <c r="BB293" s="386">
        <f t="shared" si="176"/>
        <v>11650</v>
      </c>
      <c r="BC293" s="386">
        <f t="shared" si="177"/>
        <v>0</v>
      </c>
      <c r="BD293" s="386">
        <f t="shared" si="178"/>
        <v>2860.3328000000001</v>
      </c>
      <c r="BE293" s="386">
        <f t="shared" si="179"/>
        <v>668.94880000000001</v>
      </c>
      <c r="BF293" s="386">
        <f t="shared" si="180"/>
        <v>5508.4473600000001</v>
      </c>
      <c r="BG293" s="386">
        <f t="shared" si="181"/>
        <v>332.62902400000002</v>
      </c>
      <c r="BH293" s="386">
        <f t="shared" si="182"/>
        <v>226.05856</v>
      </c>
      <c r="BI293" s="386">
        <f t="shared" si="183"/>
        <v>141.17126400000001</v>
      </c>
      <c r="BJ293" s="386">
        <f t="shared" si="184"/>
        <v>110.72255999999999</v>
      </c>
      <c r="BK293" s="386">
        <f t="shared" si="185"/>
        <v>0</v>
      </c>
      <c r="BL293" s="386">
        <f t="shared" si="208"/>
        <v>9848.3103680000004</v>
      </c>
      <c r="BM293" s="386">
        <f t="shared" si="209"/>
        <v>0</v>
      </c>
      <c r="BN293" s="386">
        <f t="shared" si="186"/>
        <v>11650</v>
      </c>
      <c r="BO293" s="386">
        <f t="shared" si="187"/>
        <v>0</v>
      </c>
      <c r="BP293" s="386">
        <f t="shared" si="188"/>
        <v>2860.3328000000001</v>
      </c>
      <c r="BQ293" s="386">
        <f t="shared" si="189"/>
        <v>668.94880000000001</v>
      </c>
      <c r="BR293" s="386">
        <f t="shared" si="190"/>
        <v>5508.4473600000001</v>
      </c>
      <c r="BS293" s="386">
        <f t="shared" si="191"/>
        <v>332.62902400000002</v>
      </c>
      <c r="BT293" s="386">
        <f t="shared" si="192"/>
        <v>0</v>
      </c>
      <c r="BU293" s="386">
        <f t="shared" si="193"/>
        <v>141.17126400000001</v>
      </c>
      <c r="BV293" s="386">
        <f t="shared" si="194"/>
        <v>115.33600000000001</v>
      </c>
      <c r="BW293" s="386">
        <f t="shared" si="195"/>
        <v>0</v>
      </c>
      <c r="BX293" s="386">
        <f t="shared" si="210"/>
        <v>9626.8652480000001</v>
      </c>
      <c r="BY293" s="386">
        <f t="shared" si="211"/>
        <v>0</v>
      </c>
      <c r="BZ293" s="386">
        <f t="shared" si="212"/>
        <v>0</v>
      </c>
      <c r="CA293" s="386">
        <f t="shared" si="213"/>
        <v>0</v>
      </c>
      <c r="CB293" s="386">
        <f t="shared" si="214"/>
        <v>0</v>
      </c>
      <c r="CC293" s="386">
        <f t="shared" si="196"/>
        <v>0</v>
      </c>
      <c r="CD293" s="386">
        <f t="shared" si="197"/>
        <v>0</v>
      </c>
      <c r="CE293" s="386">
        <f t="shared" si="198"/>
        <v>0</v>
      </c>
      <c r="CF293" s="386">
        <f t="shared" si="199"/>
        <v>-226.05856</v>
      </c>
      <c r="CG293" s="386">
        <f t="shared" si="200"/>
        <v>0</v>
      </c>
      <c r="CH293" s="386">
        <f t="shared" si="201"/>
        <v>4.6134400000000122</v>
      </c>
      <c r="CI293" s="386">
        <f t="shared" si="202"/>
        <v>0</v>
      </c>
      <c r="CJ293" s="386">
        <f t="shared" si="215"/>
        <v>-221.44511999999997</v>
      </c>
      <c r="CK293" s="386" t="str">
        <f t="shared" si="216"/>
        <v/>
      </c>
      <c r="CL293" s="386" t="str">
        <f t="shared" si="217"/>
        <v/>
      </c>
      <c r="CM293" s="386" t="str">
        <f t="shared" si="218"/>
        <v/>
      </c>
      <c r="CN293" s="386" t="str">
        <f t="shared" si="219"/>
        <v>0001-00</v>
      </c>
    </row>
    <row r="294" spans="1:92" ht="15.75" thickBot="1" x14ac:dyDescent="0.3">
      <c r="A294" s="375" t="s">
        <v>161</v>
      </c>
      <c r="B294" s="375" t="s">
        <v>162</v>
      </c>
      <c r="C294" s="375" t="s">
        <v>1214</v>
      </c>
      <c r="D294" s="375" t="s">
        <v>1215</v>
      </c>
      <c r="E294" s="375" t="s">
        <v>165</v>
      </c>
      <c r="F294" s="376" t="s">
        <v>166</v>
      </c>
      <c r="G294" s="375" t="s">
        <v>1069</v>
      </c>
      <c r="H294" s="377"/>
      <c r="I294" s="377"/>
      <c r="J294" s="375" t="s">
        <v>218</v>
      </c>
      <c r="K294" s="375" t="s">
        <v>1216</v>
      </c>
      <c r="L294" s="375" t="s">
        <v>316</v>
      </c>
      <c r="M294" s="375" t="s">
        <v>177</v>
      </c>
      <c r="N294" s="375" t="s">
        <v>172</v>
      </c>
      <c r="O294" s="378">
        <v>1</v>
      </c>
      <c r="P294" s="384">
        <v>0.6</v>
      </c>
      <c r="Q294" s="384">
        <v>0.6</v>
      </c>
      <c r="R294" s="379">
        <v>80</v>
      </c>
      <c r="S294" s="384">
        <v>0.6</v>
      </c>
      <c r="T294" s="379">
        <v>22406.880000000001</v>
      </c>
      <c r="U294" s="379">
        <v>0</v>
      </c>
      <c r="V294" s="379">
        <v>8171.69</v>
      </c>
      <c r="W294" s="379">
        <v>54288</v>
      </c>
      <c r="X294" s="379">
        <v>18412.73</v>
      </c>
      <c r="Y294" s="379">
        <v>54288</v>
      </c>
      <c r="Z294" s="379">
        <v>18152.150000000001</v>
      </c>
      <c r="AA294" s="375" t="s">
        <v>1217</v>
      </c>
      <c r="AB294" s="375" t="s">
        <v>1218</v>
      </c>
      <c r="AC294" s="375" t="s">
        <v>938</v>
      </c>
      <c r="AD294" s="375" t="s">
        <v>352</v>
      </c>
      <c r="AE294" s="375" t="s">
        <v>1216</v>
      </c>
      <c r="AF294" s="375" t="s">
        <v>182</v>
      </c>
      <c r="AG294" s="375" t="s">
        <v>183</v>
      </c>
      <c r="AH294" s="380">
        <v>43.5</v>
      </c>
      <c r="AI294" s="380">
        <v>17958.5</v>
      </c>
      <c r="AJ294" s="375" t="s">
        <v>184</v>
      </c>
      <c r="AK294" s="375" t="s">
        <v>185</v>
      </c>
      <c r="AL294" s="375" t="s">
        <v>173</v>
      </c>
      <c r="AM294" s="375" t="s">
        <v>186</v>
      </c>
      <c r="AN294" s="375" t="s">
        <v>68</v>
      </c>
      <c r="AO294" s="378">
        <v>80</v>
      </c>
      <c r="AP294" s="384">
        <v>1</v>
      </c>
      <c r="AQ294" s="384">
        <v>0.6</v>
      </c>
      <c r="AR294" s="383" t="s">
        <v>187</v>
      </c>
      <c r="AS294" s="386">
        <f t="shared" si="203"/>
        <v>0.6</v>
      </c>
      <c r="AT294">
        <f t="shared" si="204"/>
        <v>1</v>
      </c>
      <c r="AU294" s="386">
        <f>IF(AT294=0,"",IF(AND(AT294=1,M294="F",SUMIF(C2:C557,C294,AS2:AS557)&lt;=1),SUMIF(C2:C557,C294,AS2:AS557),IF(AND(AT294=1,M294="F",SUMIF(C2:C557,C294,AS2:AS557)&gt;1),1,"")))</f>
        <v>1</v>
      </c>
      <c r="AV294" s="386" t="str">
        <f>IF(AT294=0,"",IF(AND(AT294=3,M294="F",SUMIF(C2:C557,C294,AS2:AS557)&lt;=1),SUMIF(C2:C557,C294,AS2:AS557),IF(AND(AT294=3,M294="F",SUMIF(C2:C557,C294,AS2:AS557)&gt;1),1,"")))</f>
        <v/>
      </c>
      <c r="AW294" s="386">
        <f>SUMIF(C2:C557,C294,O2:O557)</f>
        <v>2</v>
      </c>
      <c r="AX294" s="386">
        <f>IF(AND(M294="F",AS294&lt;&gt;0),SUMIF(C2:C557,C294,W2:W557),0)</f>
        <v>90480</v>
      </c>
      <c r="AY294" s="386">
        <f t="shared" si="205"/>
        <v>54288</v>
      </c>
      <c r="AZ294" s="386" t="str">
        <f t="shared" si="206"/>
        <v/>
      </c>
      <c r="BA294" s="386">
        <f t="shared" si="207"/>
        <v>0</v>
      </c>
      <c r="BB294" s="386">
        <f t="shared" si="176"/>
        <v>6990</v>
      </c>
      <c r="BC294" s="386">
        <f t="shared" si="177"/>
        <v>0</v>
      </c>
      <c r="BD294" s="386">
        <f t="shared" si="178"/>
        <v>3365.8559999999998</v>
      </c>
      <c r="BE294" s="386">
        <f t="shared" si="179"/>
        <v>787.17600000000004</v>
      </c>
      <c r="BF294" s="386">
        <f t="shared" si="180"/>
        <v>6481.9872000000005</v>
      </c>
      <c r="BG294" s="386">
        <f t="shared" si="181"/>
        <v>391.41648000000004</v>
      </c>
      <c r="BH294" s="386">
        <f t="shared" si="182"/>
        <v>266.01119999999997</v>
      </c>
      <c r="BI294" s="386">
        <f t="shared" si="183"/>
        <v>0</v>
      </c>
      <c r="BJ294" s="386">
        <f t="shared" si="184"/>
        <v>130.29119999999998</v>
      </c>
      <c r="BK294" s="386">
        <f t="shared" si="185"/>
        <v>0</v>
      </c>
      <c r="BL294" s="386">
        <f t="shared" si="208"/>
        <v>11422.738080000001</v>
      </c>
      <c r="BM294" s="386">
        <f t="shared" si="209"/>
        <v>0</v>
      </c>
      <c r="BN294" s="386">
        <f t="shared" si="186"/>
        <v>6990</v>
      </c>
      <c r="BO294" s="386">
        <f t="shared" si="187"/>
        <v>0</v>
      </c>
      <c r="BP294" s="386">
        <f t="shared" si="188"/>
        <v>3365.8559999999998</v>
      </c>
      <c r="BQ294" s="386">
        <f t="shared" si="189"/>
        <v>787.17600000000004</v>
      </c>
      <c r="BR294" s="386">
        <f t="shared" si="190"/>
        <v>6481.9872000000005</v>
      </c>
      <c r="BS294" s="386">
        <f t="shared" si="191"/>
        <v>391.41648000000004</v>
      </c>
      <c r="BT294" s="386">
        <f t="shared" si="192"/>
        <v>0</v>
      </c>
      <c r="BU294" s="386">
        <f t="shared" si="193"/>
        <v>0</v>
      </c>
      <c r="BV294" s="386">
        <f t="shared" si="194"/>
        <v>135.72</v>
      </c>
      <c r="BW294" s="386">
        <f t="shared" si="195"/>
        <v>0</v>
      </c>
      <c r="BX294" s="386">
        <f t="shared" si="210"/>
        <v>11162.15568</v>
      </c>
      <c r="BY294" s="386">
        <f t="shared" si="211"/>
        <v>0</v>
      </c>
      <c r="BZ294" s="386">
        <f t="shared" si="212"/>
        <v>0</v>
      </c>
      <c r="CA294" s="386">
        <f t="shared" si="213"/>
        <v>0</v>
      </c>
      <c r="CB294" s="386">
        <f t="shared" si="214"/>
        <v>0</v>
      </c>
      <c r="CC294" s="386">
        <f t="shared" si="196"/>
        <v>0</v>
      </c>
      <c r="CD294" s="386">
        <f t="shared" si="197"/>
        <v>0</v>
      </c>
      <c r="CE294" s="386">
        <f t="shared" si="198"/>
        <v>0</v>
      </c>
      <c r="CF294" s="386">
        <f t="shared" si="199"/>
        <v>-266.01119999999997</v>
      </c>
      <c r="CG294" s="386">
        <f t="shared" si="200"/>
        <v>0</v>
      </c>
      <c r="CH294" s="386">
        <f t="shared" si="201"/>
        <v>5.4288000000000141</v>
      </c>
      <c r="CI294" s="386">
        <f t="shared" si="202"/>
        <v>0</v>
      </c>
      <c r="CJ294" s="386">
        <f t="shared" si="215"/>
        <v>-260.58239999999995</v>
      </c>
      <c r="CK294" s="386" t="str">
        <f t="shared" si="216"/>
        <v/>
      </c>
      <c r="CL294" s="386" t="str">
        <f t="shared" si="217"/>
        <v/>
      </c>
      <c r="CM294" s="386" t="str">
        <f t="shared" si="218"/>
        <v/>
      </c>
      <c r="CN294" s="386" t="str">
        <f t="shared" si="219"/>
        <v>0001-00</v>
      </c>
    </row>
    <row r="295" spans="1:92" ht="15.75" thickBot="1" x14ac:dyDescent="0.3">
      <c r="A295" s="375" t="s">
        <v>161</v>
      </c>
      <c r="B295" s="375" t="s">
        <v>162</v>
      </c>
      <c r="C295" s="375" t="s">
        <v>1219</v>
      </c>
      <c r="D295" s="375" t="s">
        <v>1209</v>
      </c>
      <c r="E295" s="375" t="s">
        <v>165</v>
      </c>
      <c r="F295" s="376" t="s">
        <v>166</v>
      </c>
      <c r="G295" s="375" t="s">
        <v>1069</v>
      </c>
      <c r="H295" s="377"/>
      <c r="I295" s="377"/>
      <c r="J295" s="375" t="s">
        <v>168</v>
      </c>
      <c r="K295" s="375" t="s">
        <v>1210</v>
      </c>
      <c r="L295" s="375" t="s">
        <v>233</v>
      </c>
      <c r="M295" s="375" t="s">
        <v>177</v>
      </c>
      <c r="N295" s="375" t="s">
        <v>199</v>
      </c>
      <c r="O295" s="378">
        <v>1</v>
      </c>
      <c r="P295" s="384">
        <v>1</v>
      </c>
      <c r="Q295" s="384">
        <v>1</v>
      </c>
      <c r="R295" s="379">
        <v>80</v>
      </c>
      <c r="S295" s="384">
        <v>1</v>
      </c>
      <c r="T295" s="379">
        <v>44829.66</v>
      </c>
      <c r="U295" s="379">
        <v>0</v>
      </c>
      <c r="V295" s="379">
        <v>20761</v>
      </c>
      <c r="W295" s="379">
        <v>44948.800000000003</v>
      </c>
      <c r="X295" s="379">
        <v>21245.18</v>
      </c>
      <c r="Y295" s="379">
        <v>44948.800000000003</v>
      </c>
      <c r="Z295" s="379">
        <v>21029.439999999999</v>
      </c>
      <c r="AA295" s="375" t="s">
        <v>1220</v>
      </c>
      <c r="AB295" s="375" t="s">
        <v>1221</v>
      </c>
      <c r="AC295" s="375" t="s">
        <v>1141</v>
      </c>
      <c r="AD295" s="375" t="s">
        <v>1222</v>
      </c>
      <c r="AE295" s="375" t="s">
        <v>1210</v>
      </c>
      <c r="AF295" s="375" t="s">
        <v>237</v>
      </c>
      <c r="AG295" s="375" t="s">
        <v>183</v>
      </c>
      <c r="AH295" s="380">
        <v>21.61</v>
      </c>
      <c r="AI295" s="380">
        <v>41361.199999999997</v>
      </c>
      <c r="AJ295" s="375" t="s">
        <v>184</v>
      </c>
      <c r="AK295" s="375" t="s">
        <v>185</v>
      </c>
      <c r="AL295" s="375" t="s">
        <v>173</v>
      </c>
      <c r="AM295" s="375" t="s">
        <v>186</v>
      </c>
      <c r="AN295" s="375" t="s">
        <v>68</v>
      </c>
      <c r="AO295" s="378">
        <v>80</v>
      </c>
      <c r="AP295" s="384">
        <v>1</v>
      </c>
      <c r="AQ295" s="384">
        <v>1</v>
      </c>
      <c r="AR295" s="383" t="s">
        <v>187</v>
      </c>
      <c r="AS295" s="386">
        <f t="shared" si="203"/>
        <v>1</v>
      </c>
      <c r="AT295">
        <f t="shared" si="204"/>
        <v>1</v>
      </c>
      <c r="AU295" s="386">
        <f>IF(AT295=0,"",IF(AND(AT295=1,M295="F",SUMIF(C2:C557,C295,AS2:AS557)&lt;=1),SUMIF(C2:C557,C295,AS2:AS557),IF(AND(AT295=1,M295="F",SUMIF(C2:C557,C295,AS2:AS557)&gt;1),1,"")))</f>
        <v>1</v>
      </c>
      <c r="AV295" s="386" t="str">
        <f>IF(AT295=0,"",IF(AND(AT295=3,M295="F",SUMIF(C2:C557,C295,AS2:AS557)&lt;=1),SUMIF(C2:C557,C295,AS2:AS557),IF(AND(AT295=3,M295="F",SUMIF(C2:C557,C295,AS2:AS557)&gt;1),1,"")))</f>
        <v/>
      </c>
      <c r="AW295" s="386">
        <f>SUMIF(C2:C557,C295,O2:O557)</f>
        <v>1</v>
      </c>
      <c r="AX295" s="386">
        <f>IF(AND(M295="F",AS295&lt;&gt;0),SUMIF(C2:C557,C295,W2:W557),0)</f>
        <v>44948.800000000003</v>
      </c>
      <c r="AY295" s="386">
        <f t="shared" si="205"/>
        <v>44948.800000000003</v>
      </c>
      <c r="AZ295" s="386" t="str">
        <f t="shared" si="206"/>
        <v/>
      </c>
      <c r="BA295" s="386">
        <f t="shared" si="207"/>
        <v>0</v>
      </c>
      <c r="BB295" s="386">
        <f t="shared" si="176"/>
        <v>11650</v>
      </c>
      <c r="BC295" s="386">
        <f t="shared" si="177"/>
        <v>0</v>
      </c>
      <c r="BD295" s="386">
        <f t="shared" si="178"/>
        <v>2786.8256000000001</v>
      </c>
      <c r="BE295" s="386">
        <f t="shared" si="179"/>
        <v>651.75760000000002</v>
      </c>
      <c r="BF295" s="386">
        <f t="shared" si="180"/>
        <v>5366.8867200000004</v>
      </c>
      <c r="BG295" s="386">
        <f t="shared" si="181"/>
        <v>324.08084800000006</v>
      </c>
      <c r="BH295" s="386">
        <f t="shared" si="182"/>
        <v>220.24912</v>
      </c>
      <c r="BI295" s="386">
        <f t="shared" si="183"/>
        <v>137.543328</v>
      </c>
      <c r="BJ295" s="386">
        <f t="shared" si="184"/>
        <v>107.87711999999999</v>
      </c>
      <c r="BK295" s="386">
        <f t="shared" si="185"/>
        <v>0</v>
      </c>
      <c r="BL295" s="386">
        <f t="shared" si="208"/>
        <v>9595.2203359999985</v>
      </c>
      <c r="BM295" s="386">
        <f t="shared" si="209"/>
        <v>0</v>
      </c>
      <c r="BN295" s="386">
        <f t="shared" si="186"/>
        <v>11650</v>
      </c>
      <c r="BO295" s="386">
        <f t="shared" si="187"/>
        <v>0</v>
      </c>
      <c r="BP295" s="386">
        <f t="shared" si="188"/>
        <v>2786.8256000000001</v>
      </c>
      <c r="BQ295" s="386">
        <f t="shared" si="189"/>
        <v>651.75760000000002</v>
      </c>
      <c r="BR295" s="386">
        <f t="shared" si="190"/>
        <v>5366.8867200000004</v>
      </c>
      <c r="BS295" s="386">
        <f t="shared" si="191"/>
        <v>324.08084800000006</v>
      </c>
      <c r="BT295" s="386">
        <f t="shared" si="192"/>
        <v>0</v>
      </c>
      <c r="BU295" s="386">
        <f t="shared" si="193"/>
        <v>137.543328</v>
      </c>
      <c r="BV295" s="386">
        <f t="shared" si="194"/>
        <v>112.37200000000001</v>
      </c>
      <c r="BW295" s="386">
        <f t="shared" si="195"/>
        <v>0</v>
      </c>
      <c r="BX295" s="386">
        <f t="shared" si="210"/>
        <v>9379.4660959999983</v>
      </c>
      <c r="BY295" s="386">
        <f t="shared" si="211"/>
        <v>0</v>
      </c>
      <c r="BZ295" s="386">
        <f t="shared" si="212"/>
        <v>0</v>
      </c>
      <c r="CA295" s="386">
        <f t="shared" si="213"/>
        <v>0</v>
      </c>
      <c r="CB295" s="386">
        <f t="shared" si="214"/>
        <v>0</v>
      </c>
      <c r="CC295" s="386">
        <f t="shared" si="196"/>
        <v>0</v>
      </c>
      <c r="CD295" s="386">
        <f t="shared" si="197"/>
        <v>0</v>
      </c>
      <c r="CE295" s="386">
        <f t="shared" si="198"/>
        <v>0</v>
      </c>
      <c r="CF295" s="386">
        <f t="shared" si="199"/>
        <v>-220.24912</v>
      </c>
      <c r="CG295" s="386">
        <f t="shared" si="200"/>
        <v>0</v>
      </c>
      <c r="CH295" s="386">
        <f t="shared" si="201"/>
        <v>4.4948800000000118</v>
      </c>
      <c r="CI295" s="386">
        <f t="shared" si="202"/>
        <v>0</v>
      </c>
      <c r="CJ295" s="386">
        <f t="shared" si="215"/>
        <v>-215.75423999999998</v>
      </c>
      <c r="CK295" s="386" t="str">
        <f t="shared" si="216"/>
        <v/>
      </c>
      <c r="CL295" s="386" t="str">
        <f t="shared" si="217"/>
        <v/>
      </c>
      <c r="CM295" s="386" t="str">
        <f t="shared" si="218"/>
        <v/>
      </c>
      <c r="CN295" s="386" t="str">
        <f t="shared" si="219"/>
        <v>0001-00</v>
      </c>
    </row>
    <row r="296" spans="1:92" ht="15.75" thickBot="1" x14ac:dyDescent="0.3">
      <c r="A296" s="375" t="s">
        <v>161</v>
      </c>
      <c r="B296" s="375" t="s">
        <v>162</v>
      </c>
      <c r="C296" s="375" t="s">
        <v>1223</v>
      </c>
      <c r="D296" s="375" t="s">
        <v>665</v>
      </c>
      <c r="E296" s="375" t="s">
        <v>165</v>
      </c>
      <c r="F296" s="376" t="s">
        <v>166</v>
      </c>
      <c r="G296" s="375" t="s">
        <v>1069</v>
      </c>
      <c r="H296" s="377"/>
      <c r="I296" s="377"/>
      <c r="J296" s="375" t="s">
        <v>168</v>
      </c>
      <c r="K296" s="375" t="s">
        <v>666</v>
      </c>
      <c r="L296" s="375" t="s">
        <v>183</v>
      </c>
      <c r="M296" s="375" t="s">
        <v>177</v>
      </c>
      <c r="N296" s="375" t="s">
        <v>199</v>
      </c>
      <c r="O296" s="378">
        <v>1</v>
      </c>
      <c r="P296" s="384">
        <v>1</v>
      </c>
      <c r="Q296" s="384">
        <v>1</v>
      </c>
      <c r="R296" s="379">
        <v>80</v>
      </c>
      <c r="S296" s="384">
        <v>1</v>
      </c>
      <c r="T296" s="379">
        <v>31936</v>
      </c>
      <c r="U296" s="379">
        <v>0</v>
      </c>
      <c r="V296" s="379">
        <v>18256.29</v>
      </c>
      <c r="W296" s="379">
        <v>32780.800000000003</v>
      </c>
      <c r="X296" s="379">
        <v>18647.669999999998</v>
      </c>
      <c r="Y296" s="379">
        <v>32780.800000000003</v>
      </c>
      <c r="Z296" s="379">
        <v>18490.330000000002</v>
      </c>
      <c r="AA296" s="375" t="s">
        <v>1224</v>
      </c>
      <c r="AB296" s="375" t="s">
        <v>1225</v>
      </c>
      <c r="AC296" s="375" t="s">
        <v>1226</v>
      </c>
      <c r="AD296" s="375" t="s">
        <v>904</v>
      </c>
      <c r="AE296" s="375" t="s">
        <v>666</v>
      </c>
      <c r="AF296" s="375" t="s">
        <v>206</v>
      </c>
      <c r="AG296" s="375" t="s">
        <v>183</v>
      </c>
      <c r="AH296" s="380">
        <v>15.76</v>
      </c>
      <c r="AI296" s="378">
        <v>33178</v>
      </c>
      <c r="AJ296" s="375" t="s">
        <v>184</v>
      </c>
      <c r="AK296" s="375" t="s">
        <v>185</v>
      </c>
      <c r="AL296" s="375" t="s">
        <v>173</v>
      </c>
      <c r="AM296" s="375" t="s">
        <v>186</v>
      </c>
      <c r="AN296" s="375" t="s">
        <v>68</v>
      </c>
      <c r="AO296" s="378">
        <v>80</v>
      </c>
      <c r="AP296" s="384">
        <v>1</v>
      </c>
      <c r="AQ296" s="384">
        <v>1</v>
      </c>
      <c r="AR296" s="383" t="s">
        <v>187</v>
      </c>
      <c r="AS296" s="386">
        <f t="shared" si="203"/>
        <v>1</v>
      </c>
      <c r="AT296">
        <f t="shared" si="204"/>
        <v>1</v>
      </c>
      <c r="AU296" s="386">
        <f>IF(AT296=0,"",IF(AND(AT296=1,M296="F",SUMIF(C2:C557,C296,AS2:AS557)&lt;=1),SUMIF(C2:C557,C296,AS2:AS557),IF(AND(AT296=1,M296="F",SUMIF(C2:C557,C296,AS2:AS557)&gt;1),1,"")))</f>
        <v>1</v>
      </c>
      <c r="AV296" s="386" t="str">
        <f>IF(AT296=0,"",IF(AND(AT296=3,M296="F",SUMIF(C2:C557,C296,AS2:AS557)&lt;=1),SUMIF(C2:C557,C296,AS2:AS557),IF(AND(AT296=3,M296="F",SUMIF(C2:C557,C296,AS2:AS557)&gt;1),1,"")))</f>
        <v/>
      </c>
      <c r="AW296" s="386">
        <f>SUMIF(C2:C557,C296,O2:O557)</f>
        <v>1</v>
      </c>
      <c r="AX296" s="386">
        <f>IF(AND(M296="F",AS296&lt;&gt;0),SUMIF(C2:C557,C296,W2:W557),0)</f>
        <v>32780.800000000003</v>
      </c>
      <c r="AY296" s="386">
        <f t="shared" si="205"/>
        <v>32780.800000000003</v>
      </c>
      <c r="AZ296" s="386" t="str">
        <f t="shared" si="206"/>
        <v/>
      </c>
      <c r="BA296" s="386">
        <f t="shared" si="207"/>
        <v>0</v>
      </c>
      <c r="BB296" s="386">
        <f t="shared" si="176"/>
        <v>11650</v>
      </c>
      <c r="BC296" s="386">
        <f t="shared" si="177"/>
        <v>0</v>
      </c>
      <c r="BD296" s="386">
        <f t="shared" si="178"/>
        <v>2032.4096000000002</v>
      </c>
      <c r="BE296" s="386">
        <f t="shared" si="179"/>
        <v>475.32160000000005</v>
      </c>
      <c r="BF296" s="386">
        <f t="shared" si="180"/>
        <v>3914.0275200000005</v>
      </c>
      <c r="BG296" s="386">
        <f t="shared" si="181"/>
        <v>236.34956800000003</v>
      </c>
      <c r="BH296" s="386">
        <f t="shared" si="182"/>
        <v>160.62592000000001</v>
      </c>
      <c r="BI296" s="386">
        <f t="shared" si="183"/>
        <v>100.309248</v>
      </c>
      <c r="BJ296" s="386">
        <f t="shared" si="184"/>
        <v>78.673919999999995</v>
      </c>
      <c r="BK296" s="386">
        <f t="shared" si="185"/>
        <v>0</v>
      </c>
      <c r="BL296" s="386">
        <f t="shared" si="208"/>
        <v>6997.7173760000005</v>
      </c>
      <c r="BM296" s="386">
        <f t="shared" si="209"/>
        <v>0</v>
      </c>
      <c r="BN296" s="386">
        <f t="shared" si="186"/>
        <v>11650</v>
      </c>
      <c r="BO296" s="386">
        <f t="shared" si="187"/>
        <v>0</v>
      </c>
      <c r="BP296" s="386">
        <f t="shared" si="188"/>
        <v>2032.4096000000002</v>
      </c>
      <c r="BQ296" s="386">
        <f t="shared" si="189"/>
        <v>475.32160000000005</v>
      </c>
      <c r="BR296" s="386">
        <f t="shared" si="190"/>
        <v>3914.0275200000005</v>
      </c>
      <c r="BS296" s="386">
        <f t="shared" si="191"/>
        <v>236.34956800000003</v>
      </c>
      <c r="BT296" s="386">
        <f t="shared" si="192"/>
        <v>0</v>
      </c>
      <c r="BU296" s="386">
        <f t="shared" si="193"/>
        <v>100.309248</v>
      </c>
      <c r="BV296" s="386">
        <f t="shared" si="194"/>
        <v>81.952000000000012</v>
      </c>
      <c r="BW296" s="386">
        <f t="shared" si="195"/>
        <v>0</v>
      </c>
      <c r="BX296" s="386">
        <f t="shared" si="210"/>
        <v>6840.3695360000002</v>
      </c>
      <c r="BY296" s="386">
        <f t="shared" si="211"/>
        <v>0</v>
      </c>
      <c r="BZ296" s="386">
        <f t="shared" si="212"/>
        <v>0</v>
      </c>
      <c r="CA296" s="386">
        <f t="shared" si="213"/>
        <v>0</v>
      </c>
      <c r="CB296" s="386">
        <f t="shared" si="214"/>
        <v>0</v>
      </c>
      <c r="CC296" s="386">
        <f t="shared" si="196"/>
        <v>0</v>
      </c>
      <c r="CD296" s="386">
        <f t="shared" si="197"/>
        <v>0</v>
      </c>
      <c r="CE296" s="386">
        <f t="shared" si="198"/>
        <v>0</v>
      </c>
      <c r="CF296" s="386">
        <f t="shared" si="199"/>
        <v>-160.62592000000001</v>
      </c>
      <c r="CG296" s="386">
        <f t="shared" si="200"/>
        <v>0</v>
      </c>
      <c r="CH296" s="386">
        <f t="shared" si="201"/>
        <v>3.278080000000009</v>
      </c>
      <c r="CI296" s="386">
        <f t="shared" si="202"/>
        <v>0</v>
      </c>
      <c r="CJ296" s="386">
        <f t="shared" si="215"/>
        <v>-157.34783999999999</v>
      </c>
      <c r="CK296" s="386" t="str">
        <f t="shared" si="216"/>
        <v/>
      </c>
      <c r="CL296" s="386" t="str">
        <f t="shared" si="217"/>
        <v/>
      </c>
      <c r="CM296" s="386" t="str">
        <f t="shared" si="218"/>
        <v/>
      </c>
      <c r="CN296" s="386" t="str">
        <f t="shared" si="219"/>
        <v>0001-00</v>
      </c>
    </row>
    <row r="297" spans="1:92" ht="15.75" thickBot="1" x14ac:dyDescent="0.3">
      <c r="A297" s="375" t="s">
        <v>161</v>
      </c>
      <c r="B297" s="375" t="s">
        <v>162</v>
      </c>
      <c r="C297" s="375" t="s">
        <v>1227</v>
      </c>
      <c r="D297" s="375" t="s">
        <v>1209</v>
      </c>
      <c r="E297" s="375" t="s">
        <v>165</v>
      </c>
      <c r="F297" s="376" t="s">
        <v>166</v>
      </c>
      <c r="G297" s="375" t="s">
        <v>1069</v>
      </c>
      <c r="H297" s="377"/>
      <c r="I297" s="377"/>
      <c r="J297" s="375" t="s">
        <v>168</v>
      </c>
      <c r="K297" s="375" t="s">
        <v>1210</v>
      </c>
      <c r="L297" s="375" t="s">
        <v>233</v>
      </c>
      <c r="M297" s="375" t="s">
        <v>177</v>
      </c>
      <c r="N297" s="375" t="s">
        <v>199</v>
      </c>
      <c r="O297" s="378">
        <v>1</v>
      </c>
      <c r="P297" s="384">
        <v>1</v>
      </c>
      <c r="Q297" s="384">
        <v>1</v>
      </c>
      <c r="R297" s="379">
        <v>80</v>
      </c>
      <c r="S297" s="384">
        <v>1</v>
      </c>
      <c r="T297" s="379">
        <v>32862.01</v>
      </c>
      <c r="U297" s="379">
        <v>0</v>
      </c>
      <c r="V297" s="379">
        <v>16967.97</v>
      </c>
      <c r="W297" s="379">
        <v>38376</v>
      </c>
      <c r="X297" s="379">
        <v>19842.11</v>
      </c>
      <c r="Y297" s="379">
        <v>38376</v>
      </c>
      <c r="Z297" s="379">
        <v>19657.91</v>
      </c>
      <c r="AA297" s="375" t="s">
        <v>1228</v>
      </c>
      <c r="AB297" s="375" t="s">
        <v>1229</v>
      </c>
      <c r="AC297" s="375" t="s">
        <v>1230</v>
      </c>
      <c r="AD297" s="375" t="s">
        <v>214</v>
      </c>
      <c r="AE297" s="375" t="s">
        <v>1210</v>
      </c>
      <c r="AF297" s="375" t="s">
        <v>237</v>
      </c>
      <c r="AG297" s="375" t="s">
        <v>183</v>
      </c>
      <c r="AH297" s="380">
        <v>18.45</v>
      </c>
      <c r="AI297" s="380">
        <v>14689.5</v>
      </c>
      <c r="AJ297" s="375" t="s">
        <v>184</v>
      </c>
      <c r="AK297" s="375" t="s">
        <v>185</v>
      </c>
      <c r="AL297" s="375" t="s">
        <v>173</v>
      </c>
      <c r="AM297" s="375" t="s">
        <v>186</v>
      </c>
      <c r="AN297" s="375" t="s">
        <v>68</v>
      </c>
      <c r="AO297" s="378">
        <v>80</v>
      </c>
      <c r="AP297" s="384">
        <v>1</v>
      </c>
      <c r="AQ297" s="384">
        <v>1</v>
      </c>
      <c r="AR297" s="383" t="s">
        <v>187</v>
      </c>
      <c r="AS297" s="386">
        <f t="shared" si="203"/>
        <v>1</v>
      </c>
      <c r="AT297">
        <f t="shared" si="204"/>
        <v>1</v>
      </c>
      <c r="AU297" s="386">
        <f>IF(AT297=0,"",IF(AND(AT297=1,M297="F",SUMIF(C2:C557,C297,AS2:AS557)&lt;=1),SUMIF(C2:C557,C297,AS2:AS557),IF(AND(AT297=1,M297="F",SUMIF(C2:C557,C297,AS2:AS557)&gt;1),1,"")))</f>
        <v>1</v>
      </c>
      <c r="AV297" s="386" t="str">
        <f>IF(AT297=0,"",IF(AND(AT297=3,M297="F",SUMIF(C2:C557,C297,AS2:AS557)&lt;=1),SUMIF(C2:C557,C297,AS2:AS557),IF(AND(AT297=3,M297="F",SUMIF(C2:C557,C297,AS2:AS557)&gt;1),1,"")))</f>
        <v/>
      </c>
      <c r="AW297" s="386">
        <f>SUMIF(C2:C557,C297,O2:O557)</f>
        <v>1</v>
      </c>
      <c r="AX297" s="386">
        <f>IF(AND(M297="F",AS297&lt;&gt;0),SUMIF(C2:C557,C297,W2:W557),0)</f>
        <v>38376</v>
      </c>
      <c r="AY297" s="386">
        <f t="shared" si="205"/>
        <v>38376</v>
      </c>
      <c r="AZ297" s="386" t="str">
        <f t="shared" si="206"/>
        <v/>
      </c>
      <c r="BA297" s="386">
        <f t="shared" si="207"/>
        <v>0</v>
      </c>
      <c r="BB297" s="386">
        <f t="shared" si="176"/>
        <v>11650</v>
      </c>
      <c r="BC297" s="386">
        <f t="shared" si="177"/>
        <v>0</v>
      </c>
      <c r="BD297" s="386">
        <f t="shared" si="178"/>
        <v>2379.3119999999999</v>
      </c>
      <c r="BE297" s="386">
        <f t="shared" si="179"/>
        <v>556.452</v>
      </c>
      <c r="BF297" s="386">
        <f t="shared" si="180"/>
        <v>4582.0944</v>
      </c>
      <c r="BG297" s="386">
        <f t="shared" si="181"/>
        <v>276.69096000000002</v>
      </c>
      <c r="BH297" s="386">
        <f t="shared" si="182"/>
        <v>188.04239999999999</v>
      </c>
      <c r="BI297" s="386">
        <f t="shared" si="183"/>
        <v>117.43055999999999</v>
      </c>
      <c r="BJ297" s="386">
        <f t="shared" si="184"/>
        <v>92.102399999999989</v>
      </c>
      <c r="BK297" s="386">
        <f t="shared" si="185"/>
        <v>0</v>
      </c>
      <c r="BL297" s="386">
        <f t="shared" si="208"/>
        <v>8192.1247199999998</v>
      </c>
      <c r="BM297" s="386">
        <f t="shared" si="209"/>
        <v>0</v>
      </c>
      <c r="BN297" s="386">
        <f t="shared" si="186"/>
        <v>11650</v>
      </c>
      <c r="BO297" s="386">
        <f t="shared" si="187"/>
        <v>0</v>
      </c>
      <c r="BP297" s="386">
        <f t="shared" si="188"/>
        <v>2379.3119999999999</v>
      </c>
      <c r="BQ297" s="386">
        <f t="shared" si="189"/>
        <v>556.452</v>
      </c>
      <c r="BR297" s="386">
        <f t="shared" si="190"/>
        <v>4582.0944</v>
      </c>
      <c r="BS297" s="386">
        <f t="shared" si="191"/>
        <v>276.69096000000002</v>
      </c>
      <c r="BT297" s="386">
        <f t="shared" si="192"/>
        <v>0</v>
      </c>
      <c r="BU297" s="386">
        <f t="shared" si="193"/>
        <v>117.43055999999999</v>
      </c>
      <c r="BV297" s="386">
        <f t="shared" si="194"/>
        <v>95.94</v>
      </c>
      <c r="BW297" s="386">
        <f t="shared" si="195"/>
        <v>0</v>
      </c>
      <c r="BX297" s="386">
        <f t="shared" si="210"/>
        <v>8007.9199199999994</v>
      </c>
      <c r="BY297" s="386">
        <f t="shared" si="211"/>
        <v>0</v>
      </c>
      <c r="BZ297" s="386">
        <f t="shared" si="212"/>
        <v>0</v>
      </c>
      <c r="CA297" s="386">
        <f t="shared" si="213"/>
        <v>0</v>
      </c>
      <c r="CB297" s="386">
        <f t="shared" si="214"/>
        <v>0</v>
      </c>
      <c r="CC297" s="386">
        <f t="shared" si="196"/>
        <v>0</v>
      </c>
      <c r="CD297" s="386">
        <f t="shared" si="197"/>
        <v>0</v>
      </c>
      <c r="CE297" s="386">
        <f t="shared" si="198"/>
        <v>0</v>
      </c>
      <c r="CF297" s="386">
        <f t="shared" si="199"/>
        <v>-188.04239999999999</v>
      </c>
      <c r="CG297" s="386">
        <f t="shared" si="200"/>
        <v>0</v>
      </c>
      <c r="CH297" s="386">
        <f t="shared" si="201"/>
        <v>3.8376000000000099</v>
      </c>
      <c r="CI297" s="386">
        <f t="shared" si="202"/>
        <v>0</v>
      </c>
      <c r="CJ297" s="386">
        <f t="shared" si="215"/>
        <v>-184.20479999999998</v>
      </c>
      <c r="CK297" s="386" t="str">
        <f t="shared" si="216"/>
        <v/>
      </c>
      <c r="CL297" s="386" t="str">
        <f t="shared" si="217"/>
        <v/>
      </c>
      <c r="CM297" s="386" t="str">
        <f t="shared" si="218"/>
        <v/>
      </c>
      <c r="CN297" s="386" t="str">
        <f t="shared" si="219"/>
        <v>0001-00</v>
      </c>
    </row>
    <row r="298" spans="1:92" ht="15.75" thickBot="1" x14ac:dyDescent="0.3">
      <c r="A298" s="375" t="s">
        <v>161</v>
      </c>
      <c r="B298" s="375" t="s">
        <v>162</v>
      </c>
      <c r="C298" s="375" t="s">
        <v>1231</v>
      </c>
      <c r="D298" s="375" t="s">
        <v>665</v>
      </c>
      <c r="E298" s="375" t="s">
        <v>165</v>
      </c>
      <c r="F298" s="376" t="s">
        <v>166</v>
      </c>
      <c r="G298" s="375" t="s">
        <v>1069</v>
      </c>
      <c r="H298" s="377"/>
      <c r="I298" s="377"/>
      <c r="J298" s="375" t="s">
        <v>168</v>
      </c>
      <c r="K298" s="375" t="s">
        <v>666</v>
      </c>
      <c r="L298" s="375" t="s">
        <v>183</v>
      </c>
      <c r="M298" s="375" t="s">
        <v>177</v>
      </c>
      <c r="N298" s="375" t="s">
        <v>199</v>
      </c>
      <c r="O298" s="378">
        <v>1</v>
      </c>
      <c r="P298" s="384">
        <v>1</v>
      </c>
      <c r="Q298" s="384">
        <v>1</v>
      </c>
      <c r="R298" s="379">
        <v>80</v>
      </c>
      <c r="S298" s="384">
        <v>1</v>
      </c>
      <c r="T298" s="379">
        <v>29861.84</v>
      </c>
      <c r="U298" s="379">
        <v>0</v>
      </c>
      <c r="V298" s="379">
        <v>17833.59</v>
      </c>
      <c r="W298" s="379">
        <v>32926.400000000001</v>
      </c>
      <c r="X298" s="379">
        <v>18678.759999999998</v>
      </c>
      <c r="Y298" s="379">
        <v>32926.400000000001</v>
      </c>
      <c r="Z298" s="379">
        <v>18520.72</v>
      </c>
      <c r="AA298" s="375" t="s">
        <v>1232</v>
      </c>
      <c r="AB298" s="375" t="s">
        <v>1233</v>
      </c>
      <c r="AC298" s="375" t="s">
        <v>251</v>
      </c>
      <c r="AD298" s="375" t="s">
        <v>352</v>
      </c>
      <c r="AE298" s="375" t="s">
        <v>666</v>
      </c>
      <c r="AF298" s="375" t="s">
        <v>206</v>
      </c>
      <c r="AG298" s="375" t="s">
        <v>183</v>
      </c>
      <c r="AH298" s="380">
        <v>15.83</v>
      </c>
      <c r="AI298" s="380">
        <v>14089.5</v>
      </c>
      <c r="AJ298" s="375" t="s">
        <v>184</v>
      </c>
      <c r="AK298" s="375" t="s">
        <v>185</v>
      </c>
      <c r="AL298" s="375" t="s">
        <v>173</v>
      </c>
      <c r="AM298" s="375" t="s">
        <v>186</v>
      </c>
      <c r="AN298" s="375" t="s">
        <v>68</v>
      </c>
      <c r="AO298" s="378">
        <v>80</v>
      </c>
      <c r="AP298" s="384">
        <v>1</v>
      </c>
      <c r="AQ298" s="384">
        <v>1</v>
      </c>
      <c r="AR298" s="383" t="s">
        <v>187</v>
      </c>
      <c r="AS298" s="386">
        <f t="shared" si="203"/>
        <v>1</v>
      </c>
      <c r="AT298">
        <f t="shared" si="204"/>
        <v>1</v>
      </c>
      <c r="AU298" s="386">
        <f>IF(AT298=0,"",IF(AND(AT298=1,M298="F",SUMIF(C2:C557,C298,AS2:AS557)&lt;=1),SUMIF(C2:C557,C298,AS2:AS557),IF(AND(AT298=1,M298="F",SUMIF(C2:C557,C298,AS2:AS557)&gt;1),1,"")))</f>
        <v>1</v>
      </c>
      <c r="AV298" s="386" t="str">
        <f>IF(AT298=0,"",IF(AND(AT298=3,M298="F",SUMIF(C2:C557,C298,AS2:AS557)&lt;=1),SUMIF(C2:C557,C298,AS2:AS557),IF(AND(AT298=3,M298="F",SUMIF(C2:C557,C298,AS2:AS557)&gt;1),1,"")))</f>
        <v/>
      </c>
      <c r="AW298" s="386">
        <f>SUMIF(C2:C557,C298,O2:O557)</f>
        <v>1</v>
      </c>
      <c r="AX298" s="386">
        <f>IF(AND(M298="F",AS298&lt;&gt;0),SUMIF(C2:C557,C298,W2:W557),0)</f>
        <v>32926.400000000001</v>
      </c>
      <c r="AY298" s="386">
        <f t="shared" si="205"/>
        <v>32926.400000000001</v>
      </c>
      <c r="AZ298" s="386" t="str">
        <f t="shared" si="206"/>
        <v/>
      </c>
      <c r="BA298" s="386">
        <f t="shared" si="207"/>
        <v>0</v>
      </c>
      <c r="BB298" s="386">
        <f t="shared" si="176"/>
        <v>11650</v>
      </c>
      <c r="BC298" s="386">
        <f t="shared" si="177"/>
        <v>0</v>
      </c>
      <c r="BD298" s="386">
        <f t="shared" si="178"/>
        <v>2041.4368000000002</v>
      </c>
      <c r="BE298" s="386">
        <f t="shared" si="179"/>
        <v>477.43280000000004</v>
      </c>
      <c r="BF298" s="386">
        <f t="shared" si="180"/>
        <v>3931.4121600000003</v>
      </c>
      <c r="BG298" s="386">
        <f t="shared" si="181"/>
        <v>237.39934400000001</v>
      </c>
      <c r="BH298" s="386">
        <f t="shared" si="182"/>
        <v>161.33936</v>
      </c>
      <c r="BI298" s="386">
        <f t="shared" si="183"/>
        <v>100.754784</v>
      </c>
      <c r="BJ298" s="386">
        <f t="shared" si="184"/>
        <v>79.023359999999997</v>
      </c>
      <c r="BK298" s="386">
        <f t="shared" si="185"/>
        <v>0</v>
      </c>
      <c r="BL298" s="386">
        <f t="shared" si="208"/>
        <v>7028.7986080000001</v>
      </c>
      <c r="BM298" s="386">
        <f t="shared" si="209"/>
        <v>0</v>
      </c>
      <c r="BN298" s="386">
        <f t="shared" si="186"/>
        <v>11650</v>
      </c>
      <c r="BO298" s="386">
        <f t="shared" si="187"/>
        <v>0</v>
      </c>
      <c r="BP298" s="386">
        <f t="shared" si="188"/>
        <v>2041.4368000000002</v>
      </c>
      <c r="BQ298" s="386">
        <f t="shared" si="189"/>
        <v>477.43280000000004</v>
      </c>
      <c r="BR298" s="386">
        <f t="shared" si="190"/>
        <v>3931.4121600000003</v>
      </c>
      <c r="BS298" s="386">
        <f t="shared" si="191"/>
        <v>237.39934400000001</v>
      </c>
      <c r="BT298" s="386">
        <f t="shared" si="192"/>
        <v>0</v>
      </c>
      <c r="BU298" s="386">
        <f t="shared" si="193"/>
        <v>100.754784</v>
      </c>
      <c r="BV298" s="386">
        <f t="shared" si="194"/>
        <v>82.316000000000003</v>
      </c>
      <c r="BW298" s="386">
        <f t="shared" si="195"/>
        <v>0</v>
      </c>
      <c r="BX298" s="386">
        <f t="shared" si="210"/>
        <v>6870.7518879999998</v>
      </c>
      <c r="BY298" s="386">
        <f t="shared" si="211"/>
        <v>0</v>
      </c>
      <c r="BZ298" s="386">
        <f t="shared" si="212"/>
        <v>0</v>
      </c>
      <c r="CA298" s="386">
        <f t="shared" si="213"/>
        <v>0</v>
      </c>
      <c r="CB298" s="386">
        <f t="shared" si="214"/>
        <v>0</v>
      </c>
      <c r="CC298" s="386">
        <f t="shared" si="196"/>
        <v>0</v>
      </c>
      <c r="CD298" s="386">
        <f t="shared" si="197"/>
        <v>0</v>
      </c>
      <c r="CE298" s="386">
        <f t="shared" si="198"/>
        <v>0</v>
      </c>
      <c r="CF298" s="386">
        <f t="shared" si="199"/>
        <v>-161.33936</v>
      </c>
      <c r="CG298" s="386">
        <f t="shared" si="200"/>
        <v>0</v>
      </c>
      <c r="CH298" s="386">
        <f t="shared" si="201"/>
        <v>3.2926400000000089</v>
      </c>
      <c r="CI298" s="386">
        <f t="shared" si="202"/>
        <v>0</v>
      </c>
      <c r="CJ298" s="386">
        <f t="shared" si="215"/>
        <v>-158.04671999999999</v>
      </c>
      <c r="CK298" s="386" t="str">
        <f t="shared" si="216"/>
        <v/>
      </c>
      <c r="CL298" s="386" t="str">
        <f t="shared" si="217"/>
        <v/>
      </c>
      <c r="CM298" s="386" t="str">
        <f t="shared" si="218"/>
        <v/>
      </c>
      <c r="CN298" s="386" t="str">
        <f t="shared" si="219"/>
        <v>0001-00</v>
      </c>
    </row>
    <row r="299" spans="1:92" ht="15.75" thickBot="1" x14ac:dyDescent="0.3">
      <c r="A299" s="375" t="s">
        <v>161</v>
      </c>
      <c r="B299" s="375" t="s">
        <v>162</v>
      </c>
      <c r="C299" s="375" t="s">
        <v>1234</v>
      </c>
      <c r="D299" s="375" t="s">
        <v>1235</v>
      </c>
      <c r="E299" s="375" t="s">
        <v>165</v>
      </c>
      <c r="F299" s="376" t="s">
        <v>166</v>
      </c>
      <c r="G299" s="375" t="s">
        <v>1069</v>
      </c>
      <c r="H299" s="377"/>
      <c r="I299" s="377"/>
      <c r="J299" s="375" t="s">
        <v>168</v>
      </c>
      <c r="K299" s="375" t="s">
        <v>1236</v>
      </c>
      <c r="L299" s="375" t="s">
        <v>166</v>
      </c>
      <c r="M299" s="375" t="s">
        <v>171</v>
      </c>
      <c r="N299" s="375" t="s">
        <v>262</v>
      </c>
      <c r="O299" s="378">
        <v>0</v>
      </c>
      <c r="P299" s="384">
        <v>1</v>
      </c>
      <c r="Q299" s="384">
        <v>0</v>
      </c>
      <c r="R299" s="379">
        <v>0</v>
      </c>
      <c r="S299" s="384">
        <v>0</v>
      </c>
      <c r="T299" s="379">
        <v>0</v>
      </c>
      <c r="U299" s="379">
        <v>0</v>
      </c>
      <c r="V299" s="379">
        <v>0</v>
      </c>
      <c r="W299" s="379">
        <v>0</v>
      </c>
      <c r="X299" s="379">
        <v>0</v>
      </c>
      <c r="Y299" s="379">
        <v>0</v>
      </c>
      <c r="Z299" s="379">
        <v>0</v>
      </c>
      <c r="AA299" s="377"/>
      <c r="AB299" s="375" t="s">
        <v>45</v>
      </c>
      <c r="AC299" s="375" t="s">
        <v>45</v>
      </c>
      <c r="AD299" s="377"/>
      <c r="AE299" s="377"/>
      <c r="AF299" s="377"/>
      <c r="AG299" s="377"/>
      <c r="AH299" s="378">
        <v>0</v>
      </c>
      <c r="AI299" s="378">
        <v>0</v>
      </c>
      <c r="AJ299" s="377"/>
      <c r="AK299" s="377"/>
      <c r="AL299" s="375" t="s">
        <v>173</v>
      </c>
      <c r="AM299" s="377"/>
      <c r="AN299" s="377"/>
      <c r="AO299" s="378">
        <v>0</v>
      </c>
      <c r="AP299" s="384">
        <v>0</v>
      </c>
      <c r="AQ299" s="384">
        <v>0</v>
      </c>
      <c r="AR299" s="382"/>
      <c r="AS299" s="386">
        <f t="shared" si="203"/>
        <v>0</v>
      </c>
      <c r="AT299">
        <f t="shared" si="204"/>
        <v>0</v>
      </c>
      <c r="AU299" s="386" t="str">
        <f>IF(AT299=0,"",IF(AND(AT299=1,M299="F",SUMIF(C2:C557,C299,AS2:AS557)&lt;=1),SUMIF(C2:C557,C299,AS2:AS557),IF(AND(AT299=1,M299="F",SUMIF(C2:C557,C299,AS2:AS557)&gt;1),1,"")))</f>
        <v/>
      </c>
      <c r="AV299" s="386" t="str">
        <f>IF(AT299=0,"",IF(AND(AT299=3,M299="F",SUMIF(C2:C557,C299,AS2:AS557)&lt;=1),SUMIF(C2:C557,C299,AS2:AS557),IF(AND(AT299=3,M299="F",SUMIF(C2:C557,C299,AS2:AS557)&gt;1),1,"")))</f>
        <v/>
      </c>
      <c r="AW299" s="386">
        <f>SUMIF(C2:C557,C299,O2:O557)</f>
        <v>0</v>
      </c>
      <c r="AX299" s="386">
        <f>IF(AND(M299="F",AS299&lt;&gt;0),SUMIF(C2:C557,C299,W2:W557),0)</f>
        <v>0</v>
      </c>
      <c r="AY299" s="386" t="str">
        <f t="shared" si="205"/>
        <v/>
      </c>
      <c r="AZ299" s="386" t="str">
        <f t="shared" si="206"/>
        <v/>
      </c>
      <c r="BA299" s="386">
        <f t="shared" si="207"/>
        <v>0</v>
      </c>
      <c r="BB299" s="386">
        <f t="shared" si="176"/>
        <v>0</v>
      </c>
      <c r="BC299" s="386">
        <f t="shared" si="177"/>
        <v>0</v>
      </c>
      <c r="BD299" s="386">
        <f t="shared" si="178"/>
        <v>0</v>
      </c>
      <c r="BE299" s="386">
        <f t="shared" si="179"/>
        <v>0</v>
      </c>
      <c r="BF299" s="386">
        <f t="shared" si="180"/>
        <v>0</v>
      </c>
      <c r="BG299" s="386">
        <f t="shared" si="181"/>
        <v>0</v>
      </c>
      <c r="BH299" s="386">
        <f t="shared" si="182"/>
        <v>0</v>
      </c>
      <c r="BI299" s="386">
        <f t="shared" si="183"/>
        <v>0</v>
      </c>
      <c r="BJ299" s="386">
        <f t="shared" si="184"/>
        <v>0</v>
      </c>
      <c r="BK299" s="386">
        <f t="shared" si="185"/>
        <v>0</v>
      </c>
      <c r="BL299" s="386">
        <f t="shared" si="208"/>
        <v>0</v>
      </c>
      <c r="BM299" s="386">
        <f t="shared" si="209"/>
        <v>0</v>
      </c>
      <c r="BN299" s="386">
        <f t="shared" si="186"/>
        <v>0</v>
      </c>
      <c r="BO299" s="386">
        <f t="shared" si="187"/>
        <v>0</v>
      </c>
      <c r="BP299" s="386">
        <f t="shared" si="188"/>
        <v>0</v>
      </c>
      <c r="BQ299" s="386">
        <f t="shared" si="189"/>
        <v>0</v>
      </c>
      <c r="BR299" s="386">
        <f t="shared" si="190"/>
        <v>0</v>
      </c>
      <c r="BS299" s="386">
        <f t="shared" si="191"/>
        <v>0</v>
      </c>
      <c r="BT299" s="386">
        <f t="shared" si="192"/>
        <v>0</v>
      </c>
      <c r="BU299" s="386">
        <f t="shared" si="193"/>
        <v>0</v>
      </c>
      <c r="BV299" s="386">
        <f t="shared" si="194"/>
        <v>0</v>
      </c>
      <c r="BW299" s="386">
        <f t="shared" si="195"/>
        <v>0</v>
      </c>
      <c r="BX299" s="386">
        <f t="shared" si="210"/>
        <v>0</v>
      </c>
      <c r="BY299" s="386">
        <f t="shared" si="211"/>
        <v>0</v>
      </c>
      <c r="BZ299" s="386">
        <f t="shared" si="212"/>
        <v>0</v>
      </c>
      <c r="CA299" s="386">
        <f t="shared" si="213"/>
        <v>0</v>
      </c>
      <c r="CB299" s="386">
        <f t="shared" si="214"/>
        <v>0</v>
      </c>
      <c r="CC299" s="386">
        <f t="shared" si="196"/>
        <v>0</v>
      </c>
      <c r="CD299" s="386">
        <f t="shared" si="197"/>
        <v>0</v>
      </c>
      <c r="CE299" s="386">
        <f t="shared" si="198"/>
        <v>0</v>
      </c>
      <c r="CF299" s="386">
        <f t="shared" si="199"/>
        <v>0</v>
      </c>
      <c r="CG299" s="386">
        <f t="shared" si="200"/>
        <v>0</v>
      </c>
      <c r="CH299" s="386">
        <f t="shared" si="201"/>
        <v>0</v>
      </c>
      <c r="CI299" s="386">
        <f t="shared" si="202"/>
        <v>0</v>
      </c>
      <c r="CJ299" s="386">
        <f t="shared" si="215"/>
        <v>0</v>
      </c>
      <c r="CK299" s="386" t="str">
        <f t="shared" si="216"/>
        <v/>
      </c>
      <c r="CL299" s="386">
        <f t="shared" si="217"/>
        <v>0</v>
      </c>
      <c r="CM299" s="386">
        <f t="shared" si="218"/>
        <v>0</v>
      </c>
      <c r="CN299" s="386" t="str">
        <f t="shared" si="219"/>
        <v>0001-00</v>
      </c>
    </row>
    <row r="300" spans="1:92" ht="15.75" thickBot="1" x14ac:dyDescent="0.3">
      <c r="A300" s="375" t="s">
        <v>161</v>
      </c>
      <c r="B300" s="375" t="s">
        <v>162</v>
      </c>
      <c r="C300" s="375" t="s">
        <v>1237</v>
      </c>
      <c r="D300" s="375" t="s">
        <v>1209</v>
      </c>
      <c r="E300" s="375" t="s">
        <v>165</v>
      </c>
      <c r="F300" s="376" t="s">
        <v>166</v>
      </c>
      <c r="G300" s="375" t="s">
        <v>1069</v>
      </c>
      <c r="H300" s="377"/>
      <c r="I300" s="377"/>
      <c r="J300" s="375" t="s">
        <v>168</v>
      </c>
      <c r="K300" s="375" t="s">
        <v>1210</v>
      </c>
      <c r="L300" s="375" t="s">
        <v>233</v>
      </c>
      <c r="M300" s="375" t="s">
        <v>177</v>
      </c>
      <c r="N300" s="375" t="s">
        <v>199</v>
      </c>
      <c r="O300" s="378">
        <v>1</v>
      </c>
      <c r="P300" s="384">
        <v>1</v>
      </c>
      <c r="Q300" s="384">
        <v>1</v>
      </c>
      <c r="R300" s="379">
        <v>80</v>
      </c>
      <c r="S300" s="384">
        <v>1</v>
      </c>
      <c r="T300" s="379">
        <v>34108.99</v>
      </c>
      <c r="U300" s="379">
        <v>0</v>
      </c>
      <c r="V300" s="379">
        <v>18303.32</v>
      </c>
      <c r="W300" s="379">
        <v>40081.599999999999</v>
      </c>
      <c r="X300" s="379">
        <v>20206.169999999998</v>
      </c>
      <c r="Y300" s="379">
        <v>40081.599999999999</v>
      </c>
      <c r="Z300" s="379">
        <v>20013.79</v>
      </c>
      <c r="AA300" s="375" t="s">
        <v>1238</v>
      </c>
      <c r="AB300" s="375" t="s">
        <v>1239</v>
      </c>
      <c r="AC300" s="375" t="s">
        <v>1240</v>
      </c>
      <c r="AD300" s="375" t="s">
        <v>1010</v>
      </c>
      <c r="AE300" s="375" t="s">
        <v>1210</v>
      </c>
      <c r="AF300" s="375" t="s">
        <v>237</v>
      </c>
      <c r="AG300" s="375" t="s">
        <v>183</v>
      </c>
      <c r="AH300" s="380">
        <v>19.27</v>
      </c>
      <c r="AI300" s="378">
        <v>4405</v>
      </c>
      <c r="AJ300" s="375" t="s">
        <v>184</v>
      </c>
      <c r="AK300" s="375" t="s">
        <v>185</v>
      </c>
      <c r="AL300" s="375" t="s">
        <v>173</v>
      </c>
      <c r="AM300" s="375" t="s">
        <v>186</v>
      </c>
      <c r="AN300" s="375" t="s">
        <v>68</v>
      </c>
      <c r="AO300" s="378">
        <v>80</v>
      </c>
      <c r="AP300" s="384">
        <v>1</v>
      </c>
      <c r="AQ300" s="384">
        <v>1</v>
      </c>
      <c r="AR300" s="383" t="s">
        <v>187</v>
      </c>
      <c r="AS300" s="386">
        <f t="shared" si="203"/>
        <v>1</v>
      </c>
      <c r="AT300">
        <f t="shared" si="204"/>
        <v>1</v>
      </c>
      <c r="AU300" s="386">
        <f>IF(AT300=0,"",IF(AND(AT300=1,M300="F",SUMIF(C2:C557,C300,AS2:AS557)&lt;=1),SUMIF(C2:C557,C300,AS2:AS557),IF(AND(AT300=1,M300="F",SUMIF(C2:C557,C300,AS2:AS557)&gt;1),1,"")))</f>
        <v>1</v>
      </c>
      <c r="AV300" s="386" t="str">
        <f>IF(AT300=0,"",IF(AND(AT300=3,M300="F",SUMIF(C2:C557,C300,AS2:AS557)&lt;=1),SUMIF(C2:C557,C300,AS2:AS557),IF(AND(AT300=3,M300="F",SUMIF(C2:C557,C300,AS2:AS557)&gt;1),1,"")))</f>
        <v/>
      </c>
      <c r="AW300" s="386">
        <f>SUMIF(C2:C557,C300,O2:O557)</f>
        <v>1</v>
      </c>
      <c r="AX300" s="386">
        <f>IF(AND(M300="F",AS300&lt;&gt;0),SUMIF(C2:C557,C300,W2:W557),0)</f>
        <v>40081.599999999999</v>
      </c>
      <c r="AY300" s="386">
        <f t="shared" si="205"/>
        <v>40081.599999999999</v>
      </c>
      <c r="AZ300" s="386" t="str">
        <f t="shared" si="206"/>
        <v/>
      </c>
      <c r="BA300" s="386">
        <f t="shared" si="207"/>
        <v>0</v>
      </c>
      <c r="BB300" s="386">
        <f t="shared" si="176"/>
        <v>11650</v>
      </c>
      <c r="BC300" s="386">
        <f t="shared" si="177"/>
        <v>0</v>
      </c>
      <c r="BD300" s="386">
        <f t="shared" si="178"/>
        <v>2485.0591999999997</v>
      </c>
      <c r="BE300" s="386">
        <f t="shared" si="179"/>
        <v>581.18320000000006</v>
      </c>
      <c r="BF300" s="386">
        <f t="shared" si="180"/>
        <v>4785.7430400000003</v>
      </c>
      <c r="BG300" s="386">
        <f t="shared" si="181"/>
        <v>288.988336</v>
      </c>
      <c r="BH300" s="386">
        <f t="shared" si="182"/>
        <v>196.39983999999998</v>
      </c>
      <c r="BI300" s="386">
        <f t="shared" si="183"/>
        <v>122.64969599999999</v>
      </c>
      <c r="BJ300" s="386">
        <f t="shared" si="184"/>
        <v>96.19583999999999</v>
      </c>
      <c r="BK300" s="386">
        <f t="shared" si="185"/>
        <v>0</v>
      </c>
      <c r="BL300" s="386">
        <f t="shared" si="208"/>
        <v>8556.2191520000015</v>
      </c>
      <c r="BM300" s="386">
        <f t="shared" si="209"/>
        <v>0</v>
      </c>
      <c r="BN300" s="386">
        <f t="shared" si="186"/>
        <v>11650</v>
      </c>
      <c r="BO300" s="386">
        <f t="shared" si="187"/>
        <v>0</v>
      </c>
      <c r="BP300" s="386">
        <f t="shared" si="188"/>
        <v>2485.0591999999997</v>
      </c>
      <c r="BQ300" s="386">
        <f t="shared" si="189"/>
        <v>581.18320000000006</v>
      </c>
      <c r="BR300" s="386">
        <f t="shared" si="190"/>
        <v>4785.7430400000003</v>
      </c>
      <c r="BS300" s="386">
        <f t="shared" si="191"/>
        <v>288.988336</v>
      </c>
      <c r="BT300" s="386">
        <f t="shared" si="192"/>
        <v>0</v>
      </c>
      <c r="BU300" s="386">
        <f t="shared" si="193"/>
        <v>122.64969599999999</v>
      </c>
      <c r="BV300" s="386">
        <f t="shared" si="194"/>
        <v>100.20399999999999</v>
      </c>
      <c r="BW300" s="386">
        <f t="shared" si="195"/>
        <v>0</v>
      </c>
      <c r="BX300" s="386">
        <f t="shared" si="210"/>
        <v>8363.8274720000009</v>
      </c>
      <c r="BY300" s="386">
        <f t="shared" si="211"/>
        <v>0</v>
      </c>
      <c r="BZ300" s="386">
        <f t="shared" si="212"/>
        <v>0</v>
      </c>
      <c r="CA300" s="386">
        <f t="shared" si="213"/>
        <v>0</v>
      </c>
      <c r="CB300" s="386">
        <f t="shared" si="214"/>
        <v>0</v>
      </c>
      <c r="CC300" s="386">
        <f t="shared" si="196"/>
        <v>0</v>
      </c>
      <c r="CD300" s="386">
        <f t="shared" si="197"/>
        <v>0</v>
      </c>
      <c r="CE300" s="386">
        <f t="shared" si="198"/>
        <v>0</v>
      </c>
      <c r="CF300" s="386">
        <f t="shared" si="199"/>
        <v>-196.39983999999998</v>
      </c>
      <c r="CG300" s="386">
        <f t="shared" si="200"/>
        <v>0</v>
      </c>
      <c r="CH300" s="386">
        <f t="shared" si="201"/>
        <v>4.0081600000000099</v>
      </c>
      <c r="CI300" s="386">
        <f t="shared" si="202"/>
        <v>0</v>
      </c>
      <c r="CJ300" s="386">
        <f t="shared" si="215"/>
        <v>-192.39167999999998</v>
      </c>
      <c r="CK300" s="386" t="str">
        <f t="shared" si="216"/>
        <v/>
      </c>
      <c r="CL300" s="386" t="str">
        <f t="shared" si="217"/>
        <v/>
      </c>
      <c r="CM300" s="386" t="str">
        <f t="shared" si="218"/>
        <v/>
      </c>
      <c r="CN300" s="386" t="str">
        <f t="shared" si="219"/>
        <v>0001-00</v>
      </c>
    </row>
    <row r="301" spans="1:92" ht="15.75" thickBot="1" x14ac:dyDescent="0.3">
      <c r="A301" s="375" t="s">
        <v>161</v>
      </c>
      <c r="B301" s="375" t="s">
        <v>162</v>
      </c>
      <c r="C301" s="375" t="s">
        <v>1241</v>
      </c>
      <c r="D301" s="375" t="s">
        <v>665</v>
      </c>
      <c r="E301" s="375" t="s">
        <v>165</v>
      </c>
      <c r="F301" s="376" t="s">
        <v>166</v>
      </c>
      <c r="G301" s="375" t="s">
        <v>1069</v>
      </c>
      <c r="H301" s="377"/>
      <c r="I301" s="377"/>
      <c r="J301" s="375" t="s">
        <v>168</v>
      </c>
      <c r="K301" s="375" t="s">
        <v>666</v>
      </c>
      <c r="L301" s="375" t="s">
        <v>183</v>
      </c>
      <c r="M301" s="375" t="s">
        <v>177</v>
      </c>
      <c r="N301" s="375" t="s">
        <v>199</v>
      </c>
      <c r="O301" s="378">
        <v>1</v>
      </c>
      <c r="P301" s="384">
        <v>1</v>
      </c>
      <c r="Q301" s="384">
        <v>1</v>
      </c>
      <c r="R301" s="379">
        <v>80</v>
      </c>
      <c r="S301" s="384">
        <v>1</v>
      </c>
      <c r="T301" s="379">
        <v>31588.799999999999</v>
      </c>
      <c r="U301" s="379">
        <v>1484.54</v>
      </c>
      <c r="V301" s="379">
        <v>18411.61</v>
      </c>
      <c r="W301" s="379">
        <v>32926.400000000001</v>
      </c>
      <c r="X301" s="379">
        <v>18678.759999999998</v>
      </c>
      <c r="Y301" s="379">
        <v>32926.400000000001</v>
      </c>
      <c r="Z301" s="379">
        <v>18520.72</v>
      </c>
      <c r="AA301" s="375" t="s">
        <v>1242</v>
      </c>
      <c r="AB301" s="375" t="s">
        <v>1243</v>
      </c>
      <c r="AC301" s="375" t="s">
        <v>1244</v>
      </c>
      <c r="AD301" s="375" t="s">
        <v>170</v>
      </c>
      <c r="AE301" s="375" t="s">
        <v>666</v>
      </c>
      <c r="AF301" s="375" t="s">
        <v>206</v>
      </c>
      <c r="AG301" s="375" t="s">
        <v>183</v>
      </c>
      <c r="AH301" s="380">
        <v>15.83</v>
      </c>
      <c r="AI301" s="380">
        <v>21020.9</v>
      </c>
      <c r="AJ301" s="375" t="s">
        <v>184</v>
      </c>
      <c r="AK301" s="375" t="s">
        <v>185</v>
      </c>
      <c r="AL301" s="375" t="s">
        <v>173</v>
      </c>
      <c r="AM301" s="375" t="s">
        <v>186</v>
      </c>
      <c r="AN301" s="375" t="s">
        <v>68</v>
      </c>
      <c r="AO301" s="378">
        <v>80</v>
      </c>
      <c r="AP301" s="384">
        <v>1</v>
      </c>
      <c r="AQ301" s="384">
        <v>1</v>
      </c>
      <c r="AR301" s="383" t="s">
        <v>187</v>
      </c>
      <c r="AS301" s="386">
        <f t="shared" si="203"/>
        <v>1</v>
      </c>
      <c r="AT301">
        <f t="shared" si="204"/>
        <v>1</v>
      </c>
      <c r="AU301" s="386">
        <f>IF(AT301=0,"",IF(AND(AT301=1,M301="F",SUMIF(C2:C557,C301,AS2:AS557)&lt;=1),SUMIF(C2:C557,C301,AS2:AS557),IF(AND(AT301=1,M301="F",SUMIF(C2:C557,C301,AS2:AS557)&gt;1),1,"")))</f>
        <v>1</v>
      </c>
      <c r="AV301" s="386" t="str">
        <f>IF(AT301=0,"",IF(AND(AT301=3,M301="F",SUMIF(C2:C557,C301,AS2:AS557)&lt;=1),SUMIF(C2:C557,C301,AS2:AS557),IF(AND(AT301=3,M301="F",SUMIF(C2:C557,C301,AS2:AS557)&gt;1),1,"")))</f>
        <v/>
      </c>
      <c r="AW301" s="386">
        <f>SUMIF(C2:C557,C301,O2:O557)</f>
        <v>1</v>
      </c>
      <c r="AX301" s="386">
        <f>IF(AND(M301="F",AS301&lt;&gt;0),SUMIF(C2:C557,C301,W2:W557),0)</f>
        <v>32926.400000000001</v>
      </c>
      <c r="AY301" s="386">
        <f t="shared" si="205"/>
        <v>32926.400000000001</v>
      </c>
      <c r="AZ301" s="386" t="str">
        <f t="shared" si="206"/>
        <v/>
      </c>
      <c r="BA301" s="386">
        <f t="shared" si="207"/>
        <v>0</v>
      </c>
      <c r="BB301" s="386">
        <f t="shared" si="176"/>
        <v>11650</v>
      </c>
      <c r="BC301" s="386">
        <f t="shared" si="177"/>
        <v>0</v>
      </c>
      <c r="BD301" s="386">
        <f t="shared" si="178"/>
        <v>2041.4368000000002</v>
      </c>
      <c r="BE301" s="386">
        <f t="shared" si="179"/>
        <v>477.43280000000004</v>
      </c>
      <c r="BF301" s="386">
        <f t="shared" si="180"/>
        <v>3931.4121600000003</v>
      </c>
      <c r="BG301" s="386">
        <f t="shared" si="181"/>
        <v>237.39934400000001</v>
      </c>
      <c r="BH301" s="386">
        <f t="shared" si="182"/>
        <v>161.33936</v>
      </c>
      <c r="BI301" s="386">
        <f t="shared" si="183"/>
        <v>100.754784</v>
      </c>
      <c r="BJ301" s="386">
        <f t="shared" si="184"/>
        <v>79.023359999999997</v>
      </c>
      <c r="BK301" s="386">
        <f t="shared" si="185"/>
        <v>0</v>
      </c>
      <c r="BL301" s="386">
        <f t="shared" si="208"/>
        <v>7028.7986080000001</v>
      </c>
      <c r="BM301" s="386">
        <f t="shared" si="209"/>
        <v>0</v>
      </c>
      <c r="BN301" s="386">
        <f t="shared" si="186"/>
        <v>11650</v>
      </c>
      <c r="BO301" s="386">
        <f t="shared" si="187"/>
        <v>0</v>
      </c>
      <c r="BP301" s="386">
        <f t="shared" si="188"/>
        <v>2041.4368000000002</v>
      </c>
      <c r="BQ301" s="386">
        <f t="shared" si="189"/>
        <v>477.43280000000004</v>
      </c>
      <c r="BR301" s="386">
        <f t="shared" si="190"/>
        <v>3931.4121600000003</v>
      </c>
      <c r="BS301" s="386">
        <f t="shared" si="191"/>
        <v>237.39934400000001</v>
      </c>
      <c r="BT301" s="386">
        <f t="shared" si="192"/>
        <v>0</v>
      </c>
      <c r="BU301" s="386">
        <f t="shared" si="193"/>
        <v>100.754784</v>
      </c>
      <c r="BV301" s="386">
        <f t="shared" si="194"/>
        <v>82.316000000000003</v>
      </c>
      <c r="BW301" s="386">
        <f t="shared" si="195"/>
        <v>0</v>
      </c>
      <c r="BX301" s="386">
        <f t="shared" si="210"/>
        <v>6870.7518879999998</v>
      </c>
      <c r="BY301" s="386">
        <f t="shared" si="211"/>
        <v>0</v>
      </c>
      <c r="BZ301" s="386">
        <f t="shared" si="212"/>
        <v>0</v>
      </c>
      <c r="CA301" s="386">
        <f t="shared" si="213"/>
        <v>0</v>
      </c>
      <c r="CB301" s="386">
        <f t="shared" si="214"/>
        <v>0</v>
      </c>
      <c r="CC301" s="386">
        <f t="shared" si="196"/>
        <v>0</v>
      </c>
      <c r="CD301" s="386">
        <f t="shared" si="197"/>
        <v>0</v>
      </c>
      <c r="CE301" s="386">
        <f t="shared" si="198"/>
        <v>0</v>
      </c>
      <c r="CF301" s="386">
        <f t="shared" si="199"/>
        <v>-161.33936</v>
      </c>
      <c r="CG301" s="386">
        <f t="shared" si="200"/>
        <v>0</v>
      </c>
      <c r="CH301" s="386">
        <f t="shared" si="201"/>
        <v>3.2926400000000089</v>
      </c>
      <c r="CI301" s="386">
        <f t="shared" si="202"/>
        <v>0</v>
      </c>
      <c r="CJ301" s="386">
        <f t="shared" si="215"/>
        <v>-158.04671999999999</v>
      </c>
      <c r="CK301" s="386" t="str">
        <f t="shared" si="216"/>
        <v/>
      </c>
      <c r="CL301" s="386" t="str">
        <f t="shared" si="217"/>
        <v/>
      </c>
      <c r="CM301" s="386" t="str">
        <f t="shared" si="218"/>
        <v/>
      </c>
      <c r="CN301" s="386" t="str">
        <f t="shared" si="219"/>
        <v>0001-00</v>
      </c>
    </row>
    <row r="302" spans="1:92" ht="15.75" thickBot="1" x14ac:dyDescent="0.3">
      <c r="A302" s="375" t="s">
        <v>161</v>
      </c>
      <c r="B302" s="375" t="s">
        <v>162</v>
      </c>
      <c r="C302" s="375" t="s">
        <v>1245</v>
      </c>
      <c r="D302" s="375" t="s">
        <v>464</v>
      </c>
      <c r="E302" s="375" t="s">
        <v>165</v>
      </c>
      <c r="F302" s="376" t="s">
        <v>166</v>
      </c>
      <c r="G302" s="375" t="s">
        <v>1069</v>
      </c>
      <c r="H302" s="377"/>
      <c r="I302" s="377"/>
      <c r="J302" s="375" t="s">
        <v>168</v>
      </c>
      <c r="K302" s="375" t="s">
        <v>465</v>
      </c>
      <c r="L302" s="375" t="s">
        <v>166</v>
      </c>
      <c r="M302" s="375" t="s">
        <v>171</v>
      </c>
      <c r="N302" s="375" t="s">
        <v>262</v>
      </c>
      <c r="O302" s="378">
        <v>0</v>
      </c>
      <c r="P302" s="384">
        <v>1</v>
      </c>
      <c r="Q302" s="384">
        <v>0</v>
      </c>
      <c r="R302" s="379">
        <v>0</v>
      </c>
      <c r="S302" s="384">
        <v>0</v>
      </c>
      <c r="T302" s="379">
        <v>0</v>
      </c>
      <c r="U302" s="379">
        <v>0</v>
      </c>
      <c r="V302" s="379">
        <v>0</v>
      </c>
      <c r="W302" s="379">
        <v>0</v>
      </c>
      <c r="X302" s="379">
        <v>0</v>
      </c>
      <c r="Y302" s="379">
        <v>0</v>
      </c>
      <c r="Z302" s="379">
        <v>0</v>
      </c>
      <c r="AA302" s="377"/>
      <c r="AB302" s="375" t="s">
        <v>45</v>
      </c>
      <c r="AC302" s="375" t="s">
        <v>45</v>
      </c>
      <c r="AD302" s="377"/>
      <c r="AE302" s="377"/>
      <c r="AF302" s="377"/>
      <c r="AG302" s="377"/>
      <c r="AH302" s="378">
        <v>0</v>
      </c>
      <c r="AI302" s="378">
        <v>0</v>
      </c>
      <c r="AJ302" s="377"/>
      <c r="AK302" s="377"/>
      <c r="AL302" s="375" t="s">
        <v>173</v>
      </c>
      <c r="AM302" s="377"/>
      <c r="AN302" s="377"/>
      <c r="AO302" s="378">
        <v>0</v>
      </c>
      <c r="AP302" s="384">
        <v>0</v>
      </c>
      <c r="AQ302" s="384">
        <v>0</v>
      </c>
      <c r="AR302" s="382"/>
      <c r="AS302" s="386">
        <f t="shared" si="203"/>
        <v>0</v>
      </c>
      <c r="AT302">
        <f t="shared" si="204"/>
        <v>0</v>
      </c>
      <c r="AU302" s="386" t="str">
        <f>IF(AT302=0,"",IF(AND(AT302=1,M302="F",SUMIF(C2:C557,C302,AS2:AS557)&lt;=1),SUMIF(C2:C557,C302,AS2:AS557),IF(AND(AT302=1,M302="F",SUMIF(C2:C557,C302,AS2:AS557)&gt;1),1,"")))</f>
        <v/>
      </c>
      <c r="AV302" s="386" t="str">
        <f>IF(AT302=0,"",IF(AND(AT302=3,M302="F",SUMIF(C2:C557,C302,AS2:AS557)&lt;=1),SUMIF(C2:C557,C302,AS2:AS557),IF(AND(AT302=3,M302="F",SUMIF(C2:C557,C302,AS2:AS557)&gt;1),1,"")))</f>
        <v/>
      </c>
      <c r="AW302" s="386">
        <f>SUMIF(C2:C557,C302,O2:O557)</f>
        <v>0</v>
      </c>
      <c r="AX302" s="386">
        <f>IF(AND(M302="F",AS302&lt;&gt;0),SUMIF(C2:C557,C302,W2:W557),0)</f>
        <v>0</v>
      </c>
      <c r="AY302" s="386" t="str">
        <f t="shared" si="205"/>
        <v/>
      </c>
      <c r="AZ302" s="386" t="str">
        <f t="shared" si="206"/>
        <v/>
      </c>
      <c r="BA302" s="386">
        <f t="shared" si="207"/>
        <v>0</v>
      </c>
      <c r="BB302" s="386">
        <f t="shared" si="176"/>
        <v>0</v>
      </c>
      <c r="BC302" s="386">
        <f t="shared" si="177"/>
        <v>0</v>
      </c>
      <c r="BD302" s="386">
        <f t="shared" si="178"/>
        <v>0</v>
      </c>
      <c r="BE302" s="386">
        <f t="shared" si="179"/>
        <v>0</v>
      </c>
      <c r="BF302" s="386">
        <f t="shared" si="180"/>
        <v>0</v>
      </c>
      <c r="BG302" s="386">
        <f t="shared" si="181"/>
        <v>0</v>
      </c>
      <c r="BH302" s="386">
        <f t="shared" si="182"/>
        <v>0</v>
      </c>
      <c r="BI302" s="386">
        <f t="shared" si="183"/>
        <v>0</v>
      </c>
      <c r="BJ302" s="386">
        <f t="shared" si="184"/>
        <v>0</v>
      </c>
      <c r="BK302" s="386">
        <f t="shared" si="185"/>
        <v>0</v>
      </c>
      <c r="BL302" s="386">
        <f t="shared" si="208"/>
        <v>0</v>
      </c>
      <c r="BM302" s="386">
        <f t="shared" si="209"/>
        <v>0</v>
      </c>
      <c r="BN302" s="386">
        <f t="shared" si="186"/>
        <v>0</v>
      </c>
      <c r="BO302" s="386">
        <f t="shared" si="187"/>
        <v>0</v>
      </c>
      <c r="BP302" s="386">
        <f t="shared" si="188"/>
        <v>0</v>
      </c>
      <c r="BQ302" s="386">
        <f t="shared" si="189"/>
        <v>0</v>
      </c>
      <c r="BR302" s="386">
        <f t="shared" si="190"/>
        <v>0</v>
      </c>
      <c r="BS302" s="386">
        <f t="shared" si="191"/>
        <v>0</v>
      </c>
      <c r="BT302" s="386">
        <f t="shared" si="192"/>
        <v>0</v>
      </c>
      <c r="BU302" s="386">
        <f t="shared" si="193"/>
        <v>0</v>
      </c>
      <c r="BV302" s="386">
        <f t="shared" si="194"/>
        <v>0</v>
      </c>
      <c r="BW302" s="386">
        <f t="shared" si="195"/>
        <v>0</v>
      </c>
      <c r="BX302" s="386">
        <f t="shared" si="210"/>
        <v>0</v>
      </c>
      <c r="BY302" s="386">
        <f t="shared" si="211"/>
        <v>0</v>
      </c>
      <c r="BZ302" s="386">
        <f t="shared" si="212"/>
        <v>0</v>
      </c>
      <c r="CA302" s="386">
        <f t="shared" si="213"/>
        <v>0</v>
      </c>
      <c r="CB302" s="386">
        <f t="shared" si="214"/>
        <v>0</v>
      </c>
      <c r="CC302" s="386">
        <f t="shared" si="196"/>
        <v>0</v>
      </c>
      <c r="CD302" s="386">
        <f t="shared" si="197"/>
        <v>0</v>
      </c>
      <c r="CE302" s="386">
        <f t="shared" si="198"/>
        <v>0</v>
      </c>
      <c r="CF302" s="386">
        <f t="shared" si="199"/>
        <v>0</v>
      </c>
      <c r="CG302" s="386">
        <f t="shared" si="200"/>
        <v>0</v>
      </c>
      <c r="CH302" s="386">
        <f t="shared" si="201"/>
        <v>0</v>
      </c>
      <c r="CI302" s="386">
        <f t="shared" si="202"/>
        <v>0</v>
      </c>
      <c r="CJ302" s="386">
        <f t="shared" si="215"/>
        <v>0</v>
      </c>
      <c r="CK302" s="386" t="str">
        <f t="shared" si="216"/>
        <v/>
      </c>
      <c r="CL302" s="386">
        <f t="shared" si="217"/>
        <v>0</v>
      </c>
      <c r="CM302" s="386">
        <f t="shared" si="218"/>
        <v>0</v>
      </c>
      <c r="CN302" s="386" t="str">
        <f t="shared" si="219"/>
        <v>0001-00</v>
      </c>
    </row>
    <row r="303" spans="1:92" ht="15.75" thickBot="1" x14ac:dyDescent="0.3">
      <c r="A303" s="375" t="s">
        <v>161</v>
      </c>
      <c r="B303" s="375" t="s">
        <v>162</v>
      </c>
      <c r="C303" s="375" t="s">
        <v>1246</v>
      </c>
      <c r="D303" s="375" t="s">
        <v>1209</v>
      </c>
      <c r="E303" s="375" t="s">
        <v>165</v>
      </c>
      <c r="F303" s="376" t="s">
        <v>166</v>
      </c>
      <c r="G303" s="375" t="s">
        <v>1069</v>
      </c>
      <c r="H303" s="377"/>
      <c r="I303" s="377"/>
      <c r="J303" s="375" t="s">
        <v>168</v>
      </c>
      <c r="K303" s="375" t="s">
        <v>1210</v>
      </c>
      <c r="L303" s="375" t="s">
        <v>233</v>
      </c>
      <c r="M303" s="375" t="s">
        <v>177</v>
      </c>
      <c r="N303" s="375" t="s">
        <v>199</v>
      </c>
      <c r="O303" s="378">
        <v>1</v>
      </c>
      <c r="P303" s="384">
        <v>1</v>
      </c>
      <c r="Q303" s="384">
        <v>1</v>
      </c>
      <c r="R303" s="379">
        <v>80</v>
      </c>
      <c r="S303" s="384">
        <v>1</v>
      </c>
      <c r="T303" s="379">
        <v>32987.24</v>
      </c>
      <c r="U303" s="379">
        <v>0</v>
      </c>
      <c r="V303" s="379">
        <v>18224.939999999999</v>
      </c>
      <c r="W303" s="379">
        <v>39582.400000000001</v>
      </c>
      <c r="X303" s="379">
        <v>20099.61</v>
      </c>
      <c r="Y303" s="379">
        <v>39582.400000000001</v>
      </c>
      <c r="Z303" s="379">
        <v>19909.62</v>
      </c>
      <c r="AA303" s="375" t="s">
        <v>1247</v>
      </c>
      <c r="AB303" s="375" t="s">
        <v>282</v>
      </c>
      <c r="AC303" s="375" t="s">
        <v>1248</v>
      </c>
      <c r="AD303" s="375" t="s">
        <v>181</v>
      </c>
      <c r="AE303" s="375" t="s">
        <v>1210</v>
      </c>
      <c r="AF303" s="375" t="s">
        <v>237</v>
      </c>
      <c r="AG303" s="375" t="s">
        <v>183</v>
      </c>
      <c r="AH303" s="380">
        <v>19.03</v>
      </c>
      <c r="AI303" s="378">
        <v>1120</v>
      </c>
      <c r="AJ303" s="375" t="s">
        <v>184</v>
      </c>
      <c r="AK303" s="375" t="s">
        <v>185</v>
      </c>
      <c r="AL303" s="375" t="s">
        <v>173</v>
      </c>
      <c r="AM303" s="375" t="s">
        <v>186</v>
      </c>
      <c r="AN303" s="375" t="s">
        <v>68</v>
      </c>
      <c r="AO303" s="378">
        <v>80</v>
      </c>
      <c r="AP303" s="384">
        <v>1</v>
      </c>
      <c r="AQ303" s="384">
        <v>1</v>
      </c>
      <c r="AR303" s="383" t="s">
        <v>187</v>
      </c>
      <c r="AS303" s="386">
        <f t="shared" si="203"/>
        <v>1</v>
      </c>
      <c r="AT303">
        <f t="shared" si="204"/>
        <v>1</v>
      </c>
      <c r="AU303" s="386">
        <f>IF(AT303=0,"",IF(AND(AT303=1,M303="F",SUMIF(C2:C557,C303,AS2:AS557)&lt;=1),SUMIF(C2:C557,C303,AS2:AS557),IF(AND(AT303=1,M303="F",SUMIF(C2:C557,C303,AS2:AS557)&gt;1),1,"")))</f>
        <v>1</v>
      </c>
      <c r="AV303" s="386" t="str">
        <f>IF(AT303=0,"",IF(AND(AT303=3,M303="F",SUMIF(C2:C557,C303,AS2:AS557)&lt;=1),SUMIF(C2:C557,C303,AS2:AS557),IF(AND(AT303=3,M303="F",SUMIF(C2:C557,C303,AS2:AS557)&gt;1),1,"")))</f>
        <v/>
      </c>
      <c r="AW303" s="386">
        <f>SUMIF(C2:C557,C303,O2:O557)</f>
        <v>1</v>
      </c>
      <c r="AX303" s="386">
        <f>IF(AND(M303="F",AS303&lt;&gt;0),SUMIF(C2:C557,C303,W2:W557),0)</f>
        <v>39582.400000000001</v>
      </c>
      <c r="AY303" s="386">
        <f t="shared" si="205"/>
        <v>39582.400000000001</v>
      </c>
      <c r="AZ303" s="386" t="str">
        <f t="shared" si="206"/>
        <v/>
      </c>
      <c r="BA303" s="386">
        <f t="shared" si="207"/>
        <v>0</v>
      </c>
      <c r="BB303" s="386">
        <f t="shared" si="176"/>
        <v>11650</v>
      </c>
      <c r="BC303" s="386">
        <f t="shared" si="177"/>
        <v>0</v>
      </c>
      <c r="BD303" s="386">
        <f t="shared" si="178"/>
        <v>2454.1088</v>
      </c>
      <c r="BE303" s="386">
        <f t="shared" si="179"/>
        <v>573.9448000000001</v>
      </c>
      <c r="BF303" s="386">
        <f t="shared" si="180"/>
        <v>4726.1385600000003</v>
      </c>
      <c r="BG303" s="386">
        <f t="shared" si="181"/>
        <v>285.38910400000003</v>
      </c>
      <c r="BH303" s="386">
        <f t="shared" si="182"/>
        <v>193.95375999999999</v>
      </c>
      <c r="BI303" s="386">
        <f t="shared" si="183"/>
        <v>121.12214399999999</v>
      </c>
      <c r="BJ303" s="386">
        <f t="shared" si="184"/>
        <v>94.99776</v>
      </c>
      <c r="BK303" s="386">
        <f t="shared" si="185"/>
        <v>0</v>
      </c>
      <c r="BL303" s="386">
        <f t="shared" si="208"/>
        <v>8449.6549280000017</v>
      </c>
      <c r="BM303" s="386">
        <f t="shared" si="209"/>
        <v>0</v>
      </c>
      <c r="BN303" s="386">
        <f t="shared" si="186"/>
        <v>11650</v>
      </c>
      <c r="BO303" s="386">
        <f t="shared" si="187"/>
        <v>0</v>
      </c>
      <c r="BP303" s="386">
        <f t="shared" si="188"/>
        <v>2454.1088</v>
      </c>
      <c r="BQ303" s="386">
        <f t="shared" si="189"/>
        <v>573.9448000000001</v>
      </c>
      <c r="BR303" s="386">
        <f t="shared" si="190"/>
        <v>4726.1385600000003</v>
      </c>
      <c r="BS303" s="386">
        <f t="shared" si="191"/>
        <v>285.38910400000003</v>
      </c>
      <c r="BT303" s="386">
        <f t="shared" si="192"/>
        <v>0</v>
      </c>
      <c r="BU303" s="386">
        <f t="shared" si="193"/>
        <v>121.12214399999999</v>
      </c>
      <c r="BV303" s="386">
        <f t="shared" si="194"/>
        <v>98.956000000000003</v>
      </c>
      <c r="BW303" s="386">
        <f t="shared" si="195"/>
        <v>0</v>
      </c>
      <c r="BX303" s="386">
        <f t="shared" si="210"/>
        <v>8259.6594079999995</v>
      </c>
      <c r="BY303" s="386">
        <f t="shared" si="211"/>
        <v>0</v>
      </c>
      <c r="BZ303" s="386">
        <f t="shared" si="212"/>
        <v>0</v>
      </c>
      <c r="CA303" s="386">
        <f t="shared" si="213"/>
        <v>0</v>
      </c>
      <c r="CB303" s="386">
        <f t="shared" si="214"/>
        <v>0</v>
      </c>
      <c r="CC303" s="386">
        <f t="shared" si="196"/>
        <v>0</v>
      </c>
      <c r="CD303" s="386">
        <f t="shared" si="197"/>
        <v>0</v>
      </c>
      <c r="CE303" s="386">
        <f t="shared" si="198"/>
        <v>0</v>
      </c>
      <c r="CF303" s="386">
        <f t="shared" si="199"/>
        <v>-193.95375999999999</v>
      </c>
      <c r="CG303" s="386">
        <f t="shared" si="200"/>
        <v>0</v>
      </c>
      <c r="CH303" s="386">
        <f t="shared" si="201"/>
        <v>3.9582400000000106</v>
      </c>
      <c r="CI303" s="386">
        <f t="shared" si="202"/>
        <v>0</v>
      </c>
      <c r="CJ303" s="386">
        <f t="shared" si="215"/>
        <v>-189.99551999999997</v>
      </c>
      <c r="CK303" s="386" t="str">
        <f t="shared" si="216"/>
        <v/>
      </c>
      <c r="CL303" s="386" t="str">
        <f t="shared" si="217"/>
        <v/>
      </c>
      <c r="CM303" s="386" t="str">
        <f t="shared" si="218"/>
        <v/>
      </c>
      <c r="CN303" s="386" t="str">
        <f t="shared" si="219"/>
        <v>0001-00</v>
      </c>
    </row>
    <row r="304" spans="1:92" ht="15.75" thickBot="1" x14ac:dyDescent="0.3">
      <c r="A304" s="375" t="s">
        <v>161</v>
      </c>
      <c r="B304" s="375" t="s">
        <v>162</v>
      </c>
      <c r="C304" s="375" t="s">
        <v>1249</v>
      </c>
      <c r="D304" s="375" t="s">
        <v>464</v>
      </c>
      <c r="E304" s="375" t="s">
        <v>165</v>
      </c>
      <c r="F304" s="376" t="s">
        <v>166</v>
      </c>
      <c r="G304" s="375" t="s">
        <v>1069</v>
      </c>
      <c r="H304" s="377"/>
      <c r="I304" s="377"/>
      <c r="J304" s="375" t="s">
        <v>168</v>
      </c>
      <c r="K304" s="375" t="s">
        <v>465</v>
      </c>
      <c r="L304" s="375" t="s">
        <v>166</v>
      </c>
      <c r="M304" s="375" t="s">
        <v>177</v>
      </c>
      <c r="N304" s="375" t="s">
        <v>262</v>
      </c>
      <c r="O304" s="378">
        <v>0</v>
      </c>
      <c r="P304" s="384">
        <v>1</v>
      </c>
      <c r="Q304" s="384">
        <v>0</v>
      </c>
      <c r="R304" s="379">
        <v>0</v>
      </c>
      <c r="S304" s="384">
        <v>0</v>
      </c>
      <c r="T304" s="379">
        <v>95744.3</v>
      </c>
      <c r="U304" s="379">
        <v>1468.57</v>
      </c>
      <c r="V304" s="379">
        <v>7777.04</v>
      </c>
      <c r="W304" s="379">
        <v>97212.87</v>
      </c>
      <c r="X304" s="379">
        <v>7777.04</v>
      </c>
      <c r="Y304" s="379">
        <v>97212.87</v>
      </c>
      <c r="Z304" s="379">
        <v>7777.04</v>
      </c>
      <c r="AA304" s="377"/>
      <c r="AB304" s="375" t="s">
        <v>45</v>
      </c>
      <c r="AC304" s="375" t="s">
        <v>45</v>
      </c>
      <c r="AD304" s="377"/>
      <c r="AE304" s="377"/>
      <c r="AF304" s="377"/>
      <c r="AG304" s="377"/>
      <c r="AH304" s="378">
        <v>0</v>
      </c>
      <c r="AI304" s="378">
        <v>0</v>
      </c>
      <c r="AJ304" s="377"/>
      <c r="AK304" s="377"/>
      <c r="AL304" s="375" t="s">
        <v>173</v>
      </c>
      <c r="AM304" s="377"/>
      <c r="AN304" s="377"/>
      <c r="AO304" s="378">
        <v>0</v>
      </c>
      <c r="AP304" s="384">
        <v>0</v>
      </c>
      <c r="AQ304" s="384">
        <v>0</v>
      </c>
      <c r="AR304" s="382"/>
      <c r="AS304" s="386">
        <f t="shared" si="203"/>
        <v>0</v>
      </c>
      <c r="AT304">
        <f t="shared" si="204"/>
        <v>0</v>
      </c>
      <c r="AU304" s="386" t="str">
        <f>IF(AT304=0,"",IF(AND(AT304=1,M304="F",SUMIF(C2:C557,C304,AS2:AS557)&lt;=1),SUMIF(C2:C557,C304,AS2:AS557),IF(AND(AT304=1,M304="F",SUMIF(C2:C557,C304,AS2:AS557)&gt;1),1,"")))</f>
        <v/>
      </c>
      <c r="AV304" s="386" t="str">
        <f>IF(AT304=0,"",IF(AND(AT304=3,M304="F",SUMIF(C2:C557,C304,AS2:AS557)&lt;=1),SUMIF(C2:C557,C304,AS2:AS557),IF(AND(AT304=3,M304="F",SUMIF(C2:C557,C304,AS2:AS557)&gt;1),1,"")))</f>
        <v/>
      </c>
      <c r="AW304" s="386">
        <f>SUMIF(C2:C557,C304,O2:O557)</f>
        <v>0</v>
      </c>
      <c r="AX304" s="386">
        <f>IF(AND(M304="F",AS304&lt;&gt;0),SUMIF(C2:C557,C304,W2:W557),0)</f>
        <v>0</v>
      </c>
      <c r="AY304" s="386" t="str">
        <f t="shared" si="205"/>
        <v/>
      </c>
      <c r="AZ304" s="386" t="str">
        <f t="shared" si="206"/>
        <v/>
      </c>
      <c r="BA304" s="386">
        <f t="shared" si="207"/>
        <v>0</v>
      </c>
      <c r="BB304" s="386">
        <f t="shared" si="176"/>
        <v>0</v>
      </c>
      <c r="BC304" s="386">
        <f t="shared" si="177"/>
        <v>0</v>
      </c>
      <c r="BD304" s="386">
        <f t="shared" si="178"/>
        <v>0</v>
      </c>
      <c r="BE304" s="386">
        <f t="shared" si="179"/>
        <v>0</v>
      </c>
      <c r="BF304" s="386">
        <f t="shared" si="180"/>
        <v>0</v>
      </c>
      <c r="BG304" s="386">
        <f t="shared" si="181"/>
        <v>0</v>
      </c>
      <c r="BH304" s="386">
        <f t="shared" si="182"/>
        <v>0</v>
      </c>
      <c r="BI304" s="386">
        <f t="shared" si="183"/>
        <v>0</v>
      </c>
      <c r="BJ304" s="386">
        <f t="shared" si="184"/>
        <v>0</v>
      </c>
      <c r="BK304" s="386">
        <f t="shared" si="185"/>
        <v>0</v>
      </c>
      <c r="BL304" s="386">
        <f t="shared" si="208"/>
        <v>0</v>
      </c>
      <c r="BM304" s="386">
        <f t="shared" si="209"/>
        <v>0</v>
      </c>
      <c r="BN304" s="386">
        <f t="shared" si="186"/>
        <v>0</v>
      </c>
      <c r="BO304" s="386">
        <f t="shared" si="187"/>
        <v>0</v>
      </c>
      <c r="BP304" s="386">
        <f t="shared" si="188"/>
        <v>0</v>
      </c>
      <c r="BQ304" s="386">
        <f t="shared" si="189"/>
        <v>0</v>
      </c>
      <c r="BR304" s="386">
        <f t="shared" si="190"/>
        <v>0</v>
      </c>
      <c r="BS304" s="386">
        <f t="shared" si="191"/>
        <v>0</v>
      </c>
      <c r="BT304" s="386">
        <f t="shared" si="192"/>
        <v>0</v>
      </c>
      <c r="BU304" s="386">
        <f t="shared" si="193"/>
        <v>0</v>
      </c>
      <c r="BV304" s="386">
        <f t="shared" si="194"/>
        <v>0</v>
      </c>
      <c r="BW304" s="386">
        <f t="shared" si="195"/>
        <v>0</v>
      </c>
      <c r="BX304" s="386">
        <f t="shared" si="210"/>
        <v>0</v>
      </c>
      <c r="BY304" s="386">
        <f t="shared" si="211"/>
        <v>0</v>
      </c>
      <c r="BZ304" s="386">
        <f t="shared" si="212"/>
        <v>0</v>
      </c>
      <c r="CA304" s="386">
        <f t="shared" si="213"/>
        <v>0</v>
      </c>
      <c r="CB304" s="386">
        <f t="shared" si="214"/>
        <v>0</v>
      </c>
      <c r="CC304" s="386">
        <f t="shared" si="196"/>
        <v>0</v>
      </c>
      <c r="CD304" s="386">
        <f t="shared" si="197"/>
        <v>0</v>
      </c>
      <c r="CE304" s="386">
        <f t="shared" si="198"/>
        <v>0</v>
      </c>
      <c r="CF304" s="386">
        <f t="shared" si="199"/>
        <v>0</v>
      </c>
      <c r="CG304" s="386">
        <f t="shared" si="200"/>
        <v>0</v>
      </c>
      <c r="CH304" s="386">
        <f t="shared" si="201"/>
        <v>0</v>
      </c>
      <c r="CI304" s="386">
        <f t="shared" si="202"/>
        <v>0</v>
      </c>
      <c r="CJ304" s="386">
        <f t="shared" si="215"/>
        <v>0</v>
      </c>
      <c r="CK304" s="386" t="str">
        <f t="shared" si="216"/>
        <v/>
      </c>
      <c r="CL304" s="386">
        <f t="shared" si="217"/>
        <v>97212.87000000001</v>
      </c>
      <c r="CM304" s="386">
        <f t="shared" si="218"/>
        <v>7777.04</v>
      </c>
      <c r="CN304" s="386" t="str">
        <f t="shared" si="219"/>
        <v>0001-00</v>
      </c>
    </row>
    <row r="305" spans="1:92" ht="15.75" thickBot="1" x14ac:dyDescent="0.3">
      <c r="A305" s="375" t="s">
        <v>161</v>
      </c>
      <c r="B305" s="375" t="s">
        <v>162</v>
      </c>
      <c r="C305" s="375" t="s">
        <v>1250</v>
      </c>
      <c r="D305" s="375" t="s">
        <v>665</v>
      </c>
      <c r="E305" s="375" t="s">
        <v>165</v>
      </c>
      <c r="F305" s="376" t="s">
        <v>166</v>
      </c>
      <c r="G305" s="375" t="s">
        <v>1069</v>
      </c>
      <c r="H305" s="377"/>
      <c r="I305" s="377"/>
      <c r="J305" s="375" t="s">
        <v>168</v>
      </c>
      <c r="K305" s="375" t="s">
        <v>666</v>
      </c>
      <c r="L305" s="375" t="s">
        <v>183</v>
      </c>
      <c r="M305" s="375" t="s">
        <v>177</v>
      </c>
      <c r="N305" s="375" t="s">
        <v>199</v>
      </c>
      <c r="O305" s="378">
        <v>1</v>
      </c>
      <c r="P305" s="384">
        <v>1</v>
      </c>
      <c r="Q305" s="384">
        <v>1</v>
      </c>
      <c r="R305" s="379">
        <v>80</v>
      </c>
      <c r="S305" s="384">
        <v>1</v>
      </c>
      <c r="T305" s="379">
        <v>33504.36</v>
      </c>
      <c r="U305" s="379">
        <v>0</v>
      </c>
      <c r="V305" s="379">
        <v>17037.8</v>
      </c>
      <c r="W305" s="379">
        <v>30056</v>
      </c>
      <c r="X305" s="379">
        <v>18066.03</v>
      </c>
      <c r="Y305" s="379">
        <v>30056</v>
      </c>
      <c r="Z305" s="379">
        <v>17921.77</v>
      </c>
      <c r="AA305" s="375" t="s">
        <v>1251</v>
      </c>
      <c r="AB305" s="375" t="s">
        <v>1252</v>
      </c>
      <c r="AC305" s="375" t="s">
        <v>1253</v>
      </c>
      <c r="AD305" s="375" t="s">
        <v>181</v>
      </c>
      <c r="AE305" s="375" t="s">
        <v>666</v>
      </c>
      <c r="AF305" s="375" t="s">
        <v>206</v>
      </c>
      <c r="AG305" s="375" t="s">
        <v>183</v>
      </c>
      <c r="AH305" s="380">
        <v>14.45</v>
      </c>
      <c r="AI305" s="380">
        <v>991.7</v>
      </c>
      <c r="AJ305" s="375" t="s">
        <v>184</v>
      </c>
      <c r="AK305" s="375" t="s">
        <v>185</v>
      </c>
      <c r="AL305" s="375" t="s">
        <v>173</v>
      </c>
      <c r="AM305" s="375" t="s">
        <v>186</v>
      </c>
      <c r="AN305" s="375" t="s">
        <v>68</v>
      </c>
      <c r="AO305" s="378">
        <v>80</v>
      </c>
      <c r="AP305" s="384">
        <v>1</v>
      </c>
      <c r="AQ305" s="384">
        <v>1</v>
      </c>
      <c r="AR305" s="383" t="s">
        <v>187</v>
      </c>
      <c r="AS305" s="386">
        <f t="shared" si="203"/>
        <v>1</v>
      </c>
      <c r="AT305">
        <f t="shared" si="204"/>
        <v>1</v>
      </c>
      <c r="AU305" s="386">
        <f>IF(AT305=0,"",IF(AND(AT305=1,M305="F",SUMIF(C2:C557,C305,AS2:AS557)&lt;=1),SUMIF(C2:C557,C305,AS2:AS557),IF(AND(AT305=1,M305="F",SUMIF(C2:C557,C305,AS2:AS557)&gt;1),1,"")))</f>
        <v>1</v>
      </c>
      <c r="AV305" s="386" t="str">
        <f>IF(AT305=0,"",IF(AND(AT305=3,M305="F",SUMIF(C2:C557,C305,AS2:AS557)&lt;=1),SUMIF(C2:C557,C305,AS2:AS557),IF(AND(AT305=3,M305="F",SUMIF(C2:C557,C305,AS2:AS557)&gt;1),1,"")))</f>
        <v/>
      </c>
      <c r="AW305" s="386">
        <f>SUMIF(C2:C557,C305,O2:O557)</f>
        <v>1</v>
      </c>
      <c r="AX305" s="386">
        <f>IF(AND(M305="F",AS305&lt;&gt;0),SUMIF(C2:C557,C305,W2:W557),0)</f>
        <v>30056</v>
      </c>
      <c r="AY305" s="386">
        <f t="shared" si="205"/>
        <v>30056</v>
      </c>
      <c r="AZ305" s="386" t="str">
        <f t="shared" si="206"/>
        <v/>
      </c>
      <c r="BA305" s="386">
        <f t="shared" si="207"/>
        <v>0</v>
      </c>
      <c r="BB305" s="386">
        <f t="shared" si="176"/>
        <v>11650</v>
      </c>
      <c r="BC305" s="386">
        <f t="shared" si="177"/>
        <v>0</v>
      </c>
      <c r="BD305" s="386">
        <f t="shared" si="178"/>
        <v>1863.472</v>
      </c>
      <c r="BE305" s="386">
        <f t="shared" si="179"/>
        <v>435.81200000000001</v>
      </c>
      <c r="BF305" s="386">
        <f t="shared" si="180"/>
        <v>3588.6864</v>
      </c>
      <c r="BG305" s="386">
        <f t="shared" si="181"/>
        <v>216.70376000000002</v>
      </c>
      <c r="BH305" s="386">
        <f t="shared" si="182"/>
        <v>147.27439999999999</v>
      </c>
      <c r="BI305" s="386">
        <f t="shared" si="183"/>
        <v>91.97135999999999</v>
      </c>
      <c r="BJ305" s="386">
        <f t="shared" si="184"/>
        <v>72.134399999999999</v>
      </c>
      <c r="BK305" s="386">
        <f t="shared" si="185"/>
        <v>0</v>
      </c>
      <c r="BL305" s="386">
        <f t="shared" si="208"/>
        <v>6416.0543200000002</v>
      </c>
      <c r="BM305" s="386">
        <f t="shared" si="209"/>
        <v>0</v>
      </c>
      <c r="BN305" s="386">
        <f t="shared" si="186"/>
        <v>11650</v>
      </c>
      <c r="BO305" s="386">
        <f t="shared" si="187"/>
        <v>0</v>
      </c>
      <c r="BP305" s="386">
        <f t="shared" si="188"/>
        <v>1863.472</v>
      </c>
      <c r="BQ305" s="386">
        <f t="shared" si="189"/>
        <v>435.81200000000001</v>
      </c>
      <c r="BR305" s="386">
        <f t="shared" si="190"/>
        <v>3588.6864</v>
      </c>
      <c r="BS305" s="386">
        <f t="shared" si="191"/>
        <v>216.70376000000002</v>
      </c>
      <c r="BT305" s="386">
        <f t="shared" si="192"/>
        <v>0</v>
      </c>
      <c r="BU305" s="386">
        <f t="shared" si="193"/>
        <v>91.97135999999999</v>
      </c>
      <c r="BV305" s="386">
        <f t="shared" si="194"/>
        <v>75.14</v>
      </c>
      <c r="BW305" s="386">
        <f t="shared" si="195"/>
        <v>0</v>
      </c>
      <c r="BX305" s="386">
        <f t="shared" si="210"/>
        <v>6271.7855200000004</v>
      </c>
      <c r="BY305" s="386">
        <f t="shared" si="211"/>
        <v>0</v>
      </c>
      <c r="BZ305" s="386">
        <f t="shared" si="212"/>
        <v>0</v>
      </c>
      <c r="CA305" s="386">
        <f t="shared" si="213"/>
        <v>0</v>
      </c>
      <c r="CB305" s="386">
        <f t="shared" si="214"/>
        <v>0</v>
      </c>
      <c r="CC305" s="386">
        <f t="shared" si="196"/>
        <v>0</v>
      </c>
      <c r="CD305" s="386">
        <f t="shared" si="197"/>
        <v>0</v>
      </c>
      <c r="CE305" s="386">
        <f t="shared" si="198"/>
        <v>0</v>
      </c>
      <c r="CF305" s="386">
        <f t="shared" si="199"/>
        <v>-147.27439999999999</v>
      </c>
      <c r="CG305" s="386">
        <f t="shared" si="200"/>
        <v>0</v>
      </c>
      <c r="CH305" s="386">
        <f t="shared" si="201"/>
        <v>3.0056000000000078</v>
      </c>
      <c r="CI305" s="386">
        <f t="shared" si="202"/>
        <v>0</v>
      </c>
      <c r="CJ305" s="386">
        <f t="shared" si="215"/>
        <v>-144.26879999999997</v>
      </c>
      <c r="CK305" s="386" t="str">
        <f t="shared" si="216"/>
        <v/>
      </c>
      <c r="CL305" s="386" t="str">
        <f t="shared" si="217"/>
        <v/>
      </c>
      <c r="CM305" s="386" t="str">
        <f t="shared" si="218"/>
        <v/>
      </c>
      <c r="CN305" s="386" t="str">
        <f t="shared" si="219"/>
        <v>0001-00</v>
      </c>
    </row>
    <row r="306" spans="1:92" ht="15.75" thickBot="1" x14ac:dyDescent="0.3">
      <c r="A306" s="375" t="s">
        <v>161</v>
      </c>
      <c r="B306" s="375" t="s">
        <v>162</v>
      </c>
      <c r="C306" s="375" t="s">
        <v>1254</v>
      </c>
      <c r="D306" s="375" t="s">
        <v>259</v>
      </c>
      <c r="E306" s="375" t="s">
        <v>165</v>
      </c>
      <c r="F306" s="376" t="s">
        <v>166</v>
      </c>
      <c r="G306" s="375" t="s">
        <v>1069</v>
      </c>
      <c r="H306" s="377"/>
      <c r="I306" s="377"/>
      <c r="J306" s="375" t="s">
        <v>168</v>
      </c>
      <c r="K306" s="375" t="s">
        <v>260</v>
      </c>
      <c r="L306" s="375" t="s">
        <v>261</v>
      </c>
      <c r="M306" s="375" t="s">
        <v>177</v>
      </c>
      <c r="N306" s="375" t="s">
        <v>199</v>
      </c>
      <c r="O306" s="378">
        <v>1</v>
      </c>
      <c r="P306" s="384">
        <v>1</v>
      </c>
      <c r="Q306" s="384">
        <v>1</v>
      </c>
      <c r="R306" s="379">
        <v>80</v>
      </c>
      <c r="S306" s="384">
        <v>1</v>
      </c>
      <c r="T306" s="379">
        <v>28571.29</v>
      </c>
      <c r="U306" s="379">
        <v>445.56</v>
      </c>
      <c r="V306" s="379">
        <v>17650.14</v>
      </c>
      <c r="W306" s="379">
        <v>29328</v>
      </c>
      <c r="X306" s="379">
        <v>17910.61</v>
      </c>
      <c r="Y306" s="379">
        <v>29328</v>
      </c>
      <c r="Z306" s="379">
        <v>17769.849999999999</v>
      </c>
      <c r="AA306" s="375" t="s">
        <v>1255</v>
      </c>
      <c r="AB306" s="375" t="s">
        <v>1256</v>
      </c>
      <c r="AC306" s="375" t="s">
        <v>1257</v>
      </c>
      <c r="AD306" s="375" t="s">
        <v>366</v>
      </c>
      <c r="AE306" s="375" t="s">
        <v>260</v>
      </c>
      <c r="AF306" s="375" t="s">
        <v>1258</v>
      </c>
      <c r="AG306" s="375" t="s">
        <v>183</v>
      </c>
      <c r="AH306" s="380">
        <v>14.1</v>
      </c>
      <c r="AI306" s="380">
        <v>26321.4</v>
      </c>
      <c r="AJ306" s="375" t="s">
        <v>184</v>
      </c>
      <c r="AK306" s="375" t="s">
        <v>185</v>
      </c>
      <c r="AL306" s="375" t="s">
        <v>173</v>
      </c>
      <c r="AM306" s="375" t="s">
        <v>186</v>
      </c>
      <c r="AN306" s="375" t="s">
        <v>68</v>
      </c>
      <c r="AO306" s="378">
        <v>80</v>
      </c>
      <c r="AP306" s="384">
        <v>1</v>
      </c>
      <c r="AQ306" s="384">
        <v>1</v>
      </c>
      <c r="AR306" s="383" t="s">
        <v>187</v>
      </c>
      <c r="AS306" s="386">
        <f t="shared" si="203"/>
        <v>1</v>
      </c>
      <c r="AT306">
        <f t="shared" si="204"/>
        <v>1</v>
      </c>
      <c r="AU306" s="386">
        <f>IF(AT306=0,"",IF(AND(AT306=1,M306="F",SUMIF(C2:C557,C306,AS2:AS557)&lt;=1),SUMIF(C2:C557,C306,AS2:AS557),IF(AND(AT306=1,M306="F",SUMIF(C2:C557,C306,AS2:AS557)&gt;1),1,"")))</f>
        <v>1</v>
      </c>
      <c r="AV306" s="386" t="str">
        <f>IF(AT306=0,"",IF(AND(AT306=3,M306="F",SUMIF(C2:C557,C306,AS2:AS557)&lt;=1),SUMIF(C2:C557,C306,AS2:AS557),IF(AND(AT306=3,M306="F",SUMIF(C2:C557,C306,AS2:AS557)&gt;1),1,"")))</f>
        <v/>
      </c>
      <c r="AW306" s="386">
        <f>SUMIF(C2:C557,C306,O2:O557)</f>
        <v>1</v>
      </c>
      <c r="AX306" s="386">
        <f>IF(AND(M306="F",AS306&lt;&gt;0),SUMIF(C2:C557,C306,W2:W557),0)</f>
        <v>29328</v>
      </c>
      <c r="AY306" s="386">
        <f t="shared" si="205"/>
        <v>29328</v>
      </c>
      <c r="AZ306" s="386" t="str">
        <f t="shared" si="206"/>
        <v/>
      </c>
      <c r="BA306" s="386">
        <f t="shared" si="207"/>
        <v>0</v>
      </c>
      <c r="BB306" s="386">
        <f t="shared" si="176"/>
        <v>11650</v>
      </c>
      <c r="BC306" s="386">
        <f t="shared" si="177"/>
        <v>0</v>
      </c>
      <c r="BD306" s="386">
        <f t="shared" si="178"/>
        <v>1818.336</v>
      </c>
      <c r="BE306" s="386">
        <f t="shared" si="179"/>
        <v>425.25600000000003</v>
      </c>
      <c r="BF306" s="386">
        <f t="shared" si="180"/>
        <v>3501.7632000000003</v>
      </c>
      <c r="BG306" s="386">
        <f t="shared" si="181"/>
        <v>211.45488</v>
      </c>
      <c r="BH306" s="386">
        <f t="shared" si="182"/>
        <v>143.7072</v>
      </c>
      <c r="BI306" s="386">
        <f t="shared" si="183"/>
        <v>89.743679999999998</v>
      </c>
      <c r="BJ306" s="386">
        <f t="shared" si="184"/>
        <v>70.387199999999993</v>
      </c>
      <c r="BK306" s="386">
        <f t="shared" si="185"/>
        <v>0</v>
      </c>
      <c r="BL306" s="386">
        <f t="shared" si="208"/>
        <v>6260.6481599999997</v>
      </c>
      <c r="BM306" s="386">
        <f t="shared" si="209"/>
        <v>0</v>
      </c>
      <c r="BN306" s="386">
        <f t="shared" si="186"/>
        <v>11650</v>
      </c>
      <c r="BO306" s="386">
        <f t="shared" si="187"/>
        <v>0</v>
      </c>
      <c r="BP306" s="386">
        <f t="shared" si="188"/>
        <v>1818.336</v>
      </c>
      <c r="BQ306" s="386">
        <f t="shared" si="189"/>
        <v>425.25600000000003</v>
      </c>
      <c r="BR306" s="386">
        <f t="shared" si="190"/>
        <v>3501.7632000000003</v>
      </c>
      <c r="BS306" s="386">
        <f t="shared" si="191"/>
        <v>211.45488</v>
      </c>
      <c r="BT306" s="386">
        <f t="shared" si="192"/>
        <v>0</v>
      </c>
      <c r="BU306" s="386">
        <f t="shared" si="193"/>
        <v>89.743679999999998</v>
      </c>
      <c r="BV306" s="386">
        <f t="shared" si="194"/>
        <v>73.320000000000007</v>
      </c>
      <c r="BW306" s="386">
        <f t="shared" si="195"/>
        <v>0</v>
      </c>
      <c r="BX306" s="386">
        <f t="shared" si="210"/>
        <v>6119.8737599999995</v>
      </c>
      <c r="BY306" s="386">
        <f t="shared" si="211"/>
        <v>0</v>
      </c>
      <c r="BZ306" s="386">
        <f t="shared" si="212"/>
        <v>0</v>
      </c>
      <c r="CA306" s="386">
        <f t="shared" si="213"/>
        <v>0</v>
      </c>
      <c r="CB306" s="386">
        <f t="shared" si="214"/>
        <v>0</v>
      </c>
      <c r="CC306" s="386">
        <f t="shared" si="196"/>
        <v>0</v>
      </c>
      <c r="CD306" s="386">
        <f t="shared" si="197"/>
        <v>0</v>
      </c>
      <c r="CE306" s="386">
        <f t="shared" si="198"/>
        <v>0</v>
      </c>
      <c r="CF306" s="386">
        <f t="shared" si="199"/>
        <v>-143.7072</v>
      </c>
      <c r="CG306" s="386">
        <f t="shared" si="200"/>
        <v>0</v>
      </c>
      <c r="CH306" s="386">
        <f t="shared" si="201"/>
        <v>2.9328000000000078</v>
      </c>
      <c r="CI306" s="386">
        <f t="shared" si="202"/>
        <v>0</v>
      </c>
      <c r="CJ306" s="386">
        <f t="shared" si="215"/>
        <v>-140.77439999999999</v>
      </c>
      <c r="CK306" s="386" t="str">
        <f t="shared" si="216"/>
        <v/>
      </c>
      <c r="CL306" s="386" t="str">
        <f t="shared" si="217"/>
        <v/>
      </c>
      <c r="CM306" s="386" t="str">
        <f t="shared" si="218"/>
        <v/>
      </c>
      <c r="CN306" s="386" t="str">
        <f t="shared" si="219"/>
        <v>0001-00</v>
      </c>
    </row>
    <row r="307" spans="1:92" ht="15.75" thickBot="1" x14ac:dyDescent="0.3">
      <c r="A307" s="375" t="s">
        <v>161</v>
      </c>
      <c r="B307" s="375" t="s">
        <v>162</v>
      </c>
      <c r="C307" s="375" t="s">
        <v>1259</v>
      </c>
      <c r="D307" s="375" t="s">
        <v>1235</v>
      </c>
      <c r="E307" s="375" t="s">
        <v>165</v>
      </c>
      <c r="F307" s="376" t="s">
        <v>166</v>
      </c>
      <c r="G307" s="375" t="s">
        <v>1069</v>
      </c>
      <c r="H307" s="377"/>
      <c r="I307" s="377"/>
      <c r="J307" s="375" t="s">
        <v>168</v>
      </c>
      <c r="K307" s="375" t="s">
        <v>1236</v>
      </c>
      <c r="L307" s="375" t="s">
        <v>166</v>
      </c>
      <c r="M307" s="375" t="s">
        <v>171</v>
      </c>
      <c r="N307" s="375" t="s">
        <v>262</v>
      </c>
      <c r="O307" s="378">
        <v>0</v>
      </c>
      <c r="P307" s="384">
        <v>1</v>
      </c>
      <c r="Q307" s="384">
        <v>0</v>
      </c>
      <c r="R307" s="379">
        <v>0</v>
      </c>
      <c r="S307" s="384">
        <v>0</v>
      </c>
      <c r="T307" s="379">
        <v>11179.06</v>
      </c>
      <c r="U307" s="379">
        <v>0</v>
      </c>
      <c r="V307" s="379">
        <v>889.12</v>
      </c>
      <c r="W307" s="379">
        <v>11179.06</v>
      </c>
      <c r="X307" s="379">
        <v>889.12</v>
      </c>
      <c r="Y307" s="379">
        <v>11179.06</v>
      </c>
      <c r="Z307" s="379">
        <v>889.12</v>
      </c>
      <c r="AA307" s="377"/>
      <c r="AB307" s="375" t="s">
        <v>45</v>
      </c>
      <c r="AC307" s="375" t="s">
        <v>45</v>
      </c>
      <c r="AD307" s="377"/>
      <c r="AE307" s="377"/>
      <c r="AF307" s="377"/>
      <c r="AG307" s="377"/>
      <c r="AH307" s="378">
        <v>0</v>
      </c>
      <c r="AI307" s="378">
        <v>0</v>
      </c>
      <c r="AJ307" s="377"/>
      <c r="AK307" s="377"/>
      <c r="AL307" s="375" t="s">
        <v>173</v>
      </c>
      <c r="AM307" s="377"/>
      <c r="AN307" s="377"/>
      <c r="AO307" s="378">
        <v>0</v>
      </c>
      <c r="AP307" s="384">
        <v>0</v>
      </c>
      <c r="AQ307" s="384">
        <v>0</v>
      </c>
      <c r="AR307" s="382"/>
      <c r="AS307" s="386">
        <f t="shared" si="203"/>
        <v>0</v>
      </c>
      <c r="AT307">
        <f t="shared" si="204"/>
        <v>0</v>
      </c>
      <c r="AU307" s="386" t="str">
        <f>IF(AT307=0,"",IF(AND(AT307=1,M307="F",SUMIF(C2:C557,C307,AS2:AS557)&lt;=1),SUMIF(C2:C557,C307,AS2:AS557),IF(AND(AT307=1,M307="F",SUMIF(C2:C557,C307,AS2:AS557)&gt;1),1,"")))</f>
        <v/>
      </c>
      <c r="AV307" s="386" t="str">
        <f>IF(AT307=0,"",IF(AND(AT307=3,M307="F",SUMIF(C2:C557,C307,AS2:AS557)&lt;=1),SUMIF(C2:C557,C307,AS2:AS557),IF(AND(AT307=3,M307="F",SUMIF(C2:C557,C307,AS2:AS557)&gt;1),1,"")))</f>
        <v/>
      </c>
      <c r="AW307" s="386">
        <f>SUMIF(C2:C557,C307,O2:O557)</f>
        <v>0</v>
      </c>
      <c r="AX307" s="386">
        <f>IF(AND(M307="F",AS307&lt;&gt;0),SUMIF(C2:C557,C307,W2:W557),0)</f>
        <v>0</v>
      </c>
      <c r="AY307" s="386" t="str">
        <f t="shared" si="205"/>
        <v/>
      </c>
      <c r="AZ307" s="386" t="str">
        <f t="shared" si="206"/>
        <v/>
      </c>
      <c r="BA307" s="386">
        <f t="shared" si="207"/>
        <v>0</v>
      </c>
      <c r="BB307" s="386">
        <f t="shared" si="176"/>
        <v>0</v>
      </c>
      <c r="BC307" s="386">
        <f t="shared" si="177"/>
        <v>0</v>
      </c>
      <c r="BD307" s="386">
        <f t="shared" si="178"/>
        <v>0</v>
      </c>
      <c r="BE307" s="386">
        <f t="shared" si="179"/>
        <v>0</v>
      </c>
      <c r="BF307" s="386">
        <f t="shared" si="180"/>
        <v>0</v>
      </c>
      <c r="BG307" s="386">
        <f t="shared" si="181"/>
        <v>0</v>
      </c>
      <c r="BH307" s="386">
        <f t="shared" si="182"/>
        <v>0</v>
      </c>
      <c r="BI307" s="386">
        <f t="shared" si="183"/>
        <v>0</v>
      </c>
      <c r="BJ307" s="386">
        <f t="shared" si="184"/>
        <v>0</v>
      </c>
      <c r="BK307" s="386">
        <f t="shared" si="185"/>
        <v>0</v>
      </c>
      <c r="BL307" s="386">
        <f t="shared" si="208"/>
        <v>0</v>
      </c>
      <c r="BM307" s="386">
        <f t="shared" si="209"/>
        <v>0</v>
      </c>
      <c r="BN307" s="386">
        <f t="shared" si="186"/>
        <v>0</v>
      </c>
      <c r="BO307" s="386">
        <f t="shared" si="187"/>
        <v>0</v>
      </c>
      <c r="BP307" s="386">
        <f t="shared" si="188"/>
        <v>0</v>
      </c>
      <c r="BQ307" s="386">
        <f t="shared" si="189"/>
        <v>0</v>
      </c>
      <c r="BR307" s="386">
        <f t="shared" si="190"/>
        <v>0</v>
      </c>
      <c r="BS307" s="386">
        <f t="shared" si="191"/>
        <v>0</v>
      </c>
      <c r="BT307" s="386">
        <f t="shared" si="192"/>
        <v>0</v>
      </c>
      <c r="BU307" s="386">
        <f t="shared" si="193"/>
        <v>0</v>
      </c>
      <c r="BV307" s="386">
        <f t="shared" si="194"/>
        <v>0</v>
      </c>
      <c r="BW307" s="386">
        <f t="shared" si="195"/>
        <v>0</v>
      </c>
      <c r="BX307" s="386">
        <f t="shared" si="210"/>
        <v>0</v>
      </c>
      <c r="BY307" s="386">
        <f t="shared" si="211"/>
        <v>0</v>
      </c>
      <c r="BZ307" s="386">
        <f t="shared" si="212"/>
        <v>0</v>
      </c>
      <c r="CA307" s="386">
        <f t="shared" si="213"/>
        <v>0</v>
      </c>
      <c r="CB307" s="386">
        <f t="shared" si="214"/>
        <v>0</v>
      </c>
      <c r="CC307" s="386">
        <f t="shared" si="196"/>
        <v>0</v>
      </c>
      <c r="CD307" s="386">
        <f t="shared" si="197"/>
        <v>0</v>
      </c>
      <c r="CE307" s="386">
        <f t="shared" si="198"/>
        <v>0</v>
      </c>
      <c r="CF307" s="386">
        <f t="shared" si="199"/>
        <v>0</v>
      </c>
      <c r="CG307" s="386">
        <f t="shared" si="200"/>
        <v>0</v>
      </c>
      <c r="CH307" s="386">
        <f t="shared" si="201"/>
        <v>0</v>
      </c>
      <c r="CI307" s="386">
        <f t="shared" si="202"/>
        <v>0</v>
      </c>
      <c r="CJ307" s="386">
        <f t="shared" si="215"/>
        <v>0</v>
      </c>
      <c r="CK307" s="386" t="str">
        <f t="shared" si="216"/>
        <v/>
      </c>
      <c r="CL307" s="386">
        <f t="shared" si="217"/>
        <v>11179.06</v>
      </c>
      <c r="CM307" s="386">
        <f t="shared" si="218"/>
        <v>889.12</v>
      </c>
      <c r="CN307" s="386" t="str">
        <f t="shared" si="219"/>
        <v>0001-00</v>
      </c>
    </row>
    <row r="308" spans="1:92" ht="15.75" thickBot="1" x14ac:dyDescent="0.3">
      <c r="A308" s="375" t="s">
        <v>161</v>
      </c>
      <c r="B308" s="375" t="s">
        <v>162</v>
      </c>
      <c r="C308" s="375" t="s">
        <v>1260</v>
      </c>
      <c r="D308" s="375" t="s">
        <v>239</v>
      </c>
      <c r="E308" s="375" t="s">
        <v>165</v>
      </c>
      <c r="F308" s="376" t="s">
        <v>166</v>
      </c>
      <c r="G308" s="375" t="s">
        <v>1069</v>
      </c>
      <c r="H308" s="377"/>
      <c r="I308" s="377"/>
      <c r="J308" s="375" t="s">
        <v>168</v>
      </c>
      <c r="K308" s="375" t="s">
        <v>240</v>
      </c>
      <c r="L308" s="375" t="s">
        <v>198</v>
      </c>
      <c r="M308" s="375" t="s">
        <v>177</v>
      </c>
      <c r="N308" s="375" t="s">
        <v>199</v>
      </c>
      <c r="O308" s="378">
        <v>1</v>
      </c>
      <c r="P308" s="384">
        <v>1</v>
      </c>
      <c r="Q308" s="384">
        <v>1</v>
      </c>
      <c r="R308" s="379">
        <v>80</v>
      </c>
      <c r="S308" s="384">
        <v>1</v>
      </c>
      <c r="T308" s="379">
        <v>50731.24</v>
      </c>
      <c r="U308" s="379">
        <v>0</v>
      </c>
      <c r="V308" s="379">
        <v>22065.93</v>
      </c>
      <c r="W308" s="379">
        <v>52561.599999999999</v>
      </c>
      <c r="X308" s="379">
        <v>22870.28</v>
      </c>
      <c r="Y308" s="379">
        <v>52561.599999999999</v>
      </c>
      <c r="Z308" s="379">
        <v>22617.99</v>
      </c>
      <c r="AA308" s="375" t="s">
        <v>1261</v>
      </c>
      <c r="AB308" s="375" t="s">
        <v>1262</v>
      </c>
      <c r="AC308" s="375" t="s">
        <v>1263</v>
      </c>
      <c r="AD308" s="375" t="s">
        <v>170</v>
      </c>
      <c r="AE308" s="375" t="s">
        <v>240</v>
      </c>
      <c r="AF308" s="375" t="s">
        <v>245</v>
      </c>
      <c r="AG308" s="375" t="s">
        <v>183</v>
      </c>
      <c r="AH308" s="380">
        <v>25.27</v>
      </c>
      <c r="AI308" s="380">
        <v>74987.899999999994</v>
      </c>
      <c r="AJ308" s="375" t="s">
        <v>184</v>
      </c>
      <c r="AK308" s="375" t="s">
        <v>185</v>
      </c>
      <c r="AL308" s="375" t="s">
        <v>173</v>
      </c>
      <c r="AM308" s="375" t="s">
        <v>186</v>
      </c>
      <c r="AN308" s="375" t="s">
        <v>68</v>
      </c>
      <c r="AO308" s="378">
        <v>80</v>
      </c>
      <c r="AP308" s="384">
        <v>1</v>
      </c>
      <c r="AQ308" s="384">
        <v>1</v>
      </c>
      <c r="AR308" s="383" t="s">
        <v>187</v>
      </c>
      <c r="AS308" s="386">
        <f t="shared" si="203"/>
        <v>1</v>
      </c>
      <c r="AT308">
        <f t="shared" si="204"/>
        <v>1</v>
      </c>
      <c r="AU308" s="386">
        <f>IF(AT308=0,"",IF(AND(AT308=1,M308="F",SUMIF(C2:C557,C308,AS2:AS557)&lt;=1),SUMIF(C2:C557,C308,AS2:AS557),IF(AND(AT308=1,M308="F",SUMIF(C2:C557,C308,AS2:AS557)&gt;1),1,"")))</f>
        <v>1</v>
      </c>
      <c r="AV308" s="386" t="str">
        <f>IF(AT308=0,"",IF(AND(AT308=3,M308="F",SUMIF(C2:C557,C308,AS2:AS557)&lt;=1),SUMIF(C2:C557,C308,AS2:AS557),IF(AND(AT308=3,M308="F",SUMIF(C2:C557,C308,AS2:AS557)&gt;1),1,"")))</f>
        <v/>
      </c>
      <c r="AW308" s="386">
        <f>SUMIF(C2:C557,C308,O2:O557)</f>
        <v>1</v>
      </c>
      <c r="AX308" s="386">
        <f>IF(AND(M308="F",AS308&lt;&gt;0),SUMIF(C2:C557,C308,W2:W557),0)</f>
        <v>52561.599999999999</v>
      </c>
      <c r="AY308" s="386">
        <f t="shared" si="205"/>
        <v>52561.599999999999</v>
      </c>
      <c r="AZ308" s="386" t="str">
        <f t="shared" si="206"/>
        <v/>
      </c>
      <c r="BA308" s="386">
        <f t="shared" si="207"/>
        <v>0</v>
      </c>
      <c r="BB308" s="386">
        <f t="shared" si="176"/>
        <v>11650</v>
      </c>
      <c r="BC308" s="386">
        <f t="shared" si="177"/>
        <v>0</v>
      </c>
      <c r="BD308" s="386">
        <f t="shared" si="178"/>
        <v>3258.8191999999999</v>
      </c>
      <c r="BE308" s="386">
        <f t="shared" si="179"/>
        <v>762.14319999999998</v>
      </c>
      <c r="BF308" s="386">
        <f t="shared" si="180"/>
        <v>6275.8550400000004</v>
      </c>
      <c r="BG308" s="386">
        <f t="shared" si="181"/>
        <v>378.96913599999999</v>
      </c>
      <c r="BH308" s="386">
        <f t="shared" si="182"/>
        <v>257.55183999999997</v>
      </c>
      <c r="BI308" s="386">
        <f t="shared" si="183"/>
        <v>160.83849599999999</v>
      </c>
      <c r="BJ308" s="386">
        <f t="shared" si="184"/>
        <v>126.14783999999999</v>
      </c>
      <c r="BK308" s="386">
        <f t="shared" si="185"/>
        <v>0</v>
      </c>
      <c r="BL308" s="386">
        <f t="shared" si="208"/>
        <v>11220.324752</v>
      </c>
      <c r="BM308" s="386">
        <f t="shared" si="209"/>
        <v>0</v>
      </c>
      <c r="BN308" s="386">
        <f t="shared" si="186"/>
        <v>11650</v>
      </c>
      <c r="BO308" s="386">
        <f t="shared" si="187"/>
        <v>0</v>
      </c>
      <c r="BP308" s="386">
        <f t="shared" si="188"/>
        <v>3258.8191999999999</v>
      </c>
      <c r="BQ308" s="386">
        <f t="shared" si="189"/>
        <v>762.14319999999998</v>
      </c>
      <c r="BR308" s="386">
        <f t="shared" si="190"/>
        <v>6275.8550400000004</v>
      </c>
      <c r="BS308" s="386">
        <f t="shared" si="191"/>
        <v>378.96913599999999</v>
      </c>
      <c r="BT308" s="386">
        <f t="shared" si="192"/>
        <v>0</v>
      </c>
      <c r="BU308" s="386">
        <f t="shared" si="193"/>
        <v>160.83849599999999</v>
      </c>
      <c r="BV308" s="386">
        <f t="shared" si="194"/>
        <v>131.404</v>
      </c>
      <c r="BW308" s="386">
        <f t="shared" si="195"/>
        <v>0</v>
      </c>
      <c r="BX308" s="386">
        <f t="shared" si="210"/>
        <v>10968.029072000001</v>
      </c>
      <c r="BY308" s="386">
        <f t="shared" si="211"/>
        <v>0</v>
      </c>
      <c r="BZ308" s="386">
        <f t="shared" si="212"/>
        <v>0</v>
      </c>
      <c r="CA308" s="386">
        <f t="shared" si="213"/>
        <v>0</v>
      </c>
      <c r="CB308" s="386">
        <f t="shared" si="214"/>
        <v>0</v>
      </c>
      <c r="CC308" s="386">
        <f t="shared" si="196"/>
        <v>0</v>
      </c>
      <c r="CD308" s="386">
        <f t="shared" si="197"/>
        <v>0</v>
      </c>
      <c r="CE308" s="386">
        <f t="shared" si="198"/>
        <v>0</v>
      </c>
      <c r="CF308" s="386">
        <f t="shared" si="199"/>
        <v>-257.55183999999997</v>
      </c>
      <c r="CG308" s="386">
        <f t="shared" si="200"/>
        <v>0</v>
      </c>
      <c r="CH308" s="386">
        <f t="shared" si="201"/>
        <v>5.2561600000000137</v>
      </c>
      <c r="CI308" s="386">
        <f t="shared" si="202"/>
        <v>0</v>
      </c>
      <c r="CJ308" s="386">
        <f t="shared" si="215"/>
        <v>-252.29567999999995</v>
      </c>
      <c r="CK308" s="386" t="str">
        <f t="shared" si="216"/>
        <v/>
      </c>
      <c r="CL308" s="386" t="str">
        <f t="shared" si="217"/>
        <v/>
      </c>
      <c r="CM308" s="386" t="str">
        <f t="shared" si="218"/>
        <v/>
      </c>
      <c r="CN308" s="386" t="str">
        <f t="shared" si="219"/>
        <v>0001-00</v>
      </c>
    </row>
    <row r="309" spans="1:92" ht="15.75" thickBot="1" x14ac:dyDescent="0.3">
      <c r="A309" s="375" t="s">
        <v>161</v>
      </c>
      <c r="B309" s="375" t="s">
        <v>162</v>
      </c>
      <c r="C309" s="375" t="s">
        <v>1264</v>
      </c>
      <c r="D309" s="375" t="s">
        <v>1108</v>
      </c>
      <c r="E309" s="375" t="s">
        <v>165</v>
      </c>
      <c r="F309" s="376" t="s">
        <v>166</v>
      </c>
      <c r="G309" s="375" t="s">
        <v>1069</v>
      </c>
      <c r="H309" s="377"/>
      <c r="I309" s="377"/>
      <c r="J309" s="375" t="s">
        <v>168</v>
      </c>
      <c r="K309" s="375" t="s">
        <v>1109</v>
      </c>
      <c r="L309" s="375" t="s">
        <v>220</v>
      </c>
      <c r="M309" s="375" t="s">
        <v>177</v>
      </c>
      <c r="N309" s="375" t="s">
        <v>199</v>
      </c>
      <c r="O309" s="378">
        <v>1</v>
      </c>
      <c r="P309" s="384">
        <v>1</v>
      </c>
      <c r="Q309" s="384">
        <v>1</v>
      </c>
      <c r="R309" s="379">
        <v>80</v>
      </c>
      <c r="S309" s="384">
        <v>1</v>
      </c>
      <c r="T309" s="379">
        <v>57321.599999999999</v>
      </c>
      <c r="U309" s="379">
        <v>0</v>
      </c>
      <c r="V309" s="379">
        <v>23483.98</v>
      </c>
      <c r="W309" s="379">
        <v>60507.199999999997</v>
      </c>
      <c r="X309" s="379">
        <v>24566.43</v>
      </c>
      <c r="Y309" s="379">
        <v>60507.199999999997</v>
      </c>
      <c r="Z309" s="379">
        <v>24276</v>
      </c>
      <c r="AA309" s="375" t="s">
        <v>1265</v>
      </c>
      <c r="AB309" s="375" t="s">
        <v>1266</v>
      </c>
      <c r="AC309" s="375" t="s">
        <v>973</v>
      </c>
      <c r="AD309" s="375" t="s">
        <v>220</v>
      </c>
      <c r="AE309" s="375" t="s">
        <v>1109</v>
      </c>
      <c r="AF309" s="375" t="s">
        <v>252</v>
      </c>
      <c r="AG309" s="375" t="s">
        <v>183</v>
      </c>
      <c r="AH309" s="380">
        <v>29.09</v>
      </c>
      <c r="AI309" s="380">
        <v>15693.2</v>
      </c>
      <c r="AJ309" s="375" t="s">
        <v>184</v>
      </c>
      <c r="AK309" s="375" t="s">
        <v>185</v>
      </c>
      <c r="AL309" s="375" t="s">
        <v>173</v>
      </c>
      <c r="AM309" s="375" t="s">
        <v>186</v>
      </c>
      <c r="AN309" s="375" t="s">
        <v>68</v>
      </c>
      <c r="AO309" s="378">
        <v>80</v>
      </c>
      <c r="AP309" s="384">
        <v>1</v>
      </c>
      <c r="AQ309" s="384">
        <v>1</v>
      </c>
      <c r="AR309" s="383" t="s">
        <v>187</v>
      </c>
      <c r="AS309" s="386">
        <f t="shared" si="203"/>
        <v>1</v>
      </c>
      <c r="AT309">
        <f t="shared" si="204"/>
        <v>1</v>
      </c>
      <c r="AU309" s="386">
        <f>IF(AT309=0,"",IF(AND(AT309=1,M309="F",SUMIF(C2:C557,C309,AS2:AS557)&lt;=1),SUMIF(C2:C557,C309,AS2:AS557),IF(AND(AT309=1,M309="F",SUMIF(C2:C557,C309,AS2:AS557)&gt;1),1,"")))</f>
        <v>1</v>
      </c>
      <c r="AV309" s="386" t="str">
        <f>IF(AT309=0,"",IF(AND(AT309=3,M309="F",SUMIF(C2:C557,C309,AS2:AS557)&lt;=1),SUMIF(C2:C557,C309,AS2:AS557),IF(AND(AT309=3,M309="F",SUMIF(C2:C557,C309,AS2:AS557)&gt;1),1,"")))</f>
        <v/>
      </c>
      <c r="AW309" s="386">
        <f>SUMIF(C2:C557,C309,O2:O557)</f>
        <v>1</v>
      </c>
      <c r="AX309" s="386">
        <f>IF(AND(M309="F",AS309&lt;&gt;0),SUMIF(C2:C557,C309,W2:W557),0)</f>
        <v>60507.199999999997</v>
      </c>
      <c r="AY309" s="386">
        <f t="shared" si="205"/>
        <v>60507.199999999997</v>
      </c>
      <c r="AZ309" s="386" t="str">
        <f t="shared" si="206"/>
        <v/>
      </c>
      <c r="BA309" s="386">
        <f t="shared" si="207"/>
        <v>0</v>
      </c>
      <c r="BB309" s="386">
        <f t="shared" si="176"/>
        <v>11650</v>
      </c>
      <c r="BC309" s="386">
        <f t="shared" si="177"/>
        <v>0</v>
      </c>
      <c r="BD309" s="386">
        <f t="shared" si="178"/>
        <v>3751.4463999999998</v>
      </c>
      <c r="BE309" s="386">
        <f t="shared" si="179"/>
        <v>877.35440000000006</v>
      </c>
      <c r="BF309" s="386">
        <f t="shared" si="180"/>
        <v>7224.5596800000003</v>
      </c>
      <c r="BG309" s="386">
        <f t="shared" si="181"/>
        <v>436.256912</v>
      </c>
      <c r="BH309" s="386">
        <f t="shared" si="182"/>
        <v>296.48527999999999</v>
      </c>
      <c r="BI309" s="386">
        <f t="shared" si="183"/>
        <v>185.15203199999999</v>
      </c>
      <c r="BJ309" s="386">
        <f t="shared" si="184"/>
        <v>145.21727999999999</v>
      </c>
      <c r="BK309" s="386">
        <f t="shared" si="185"/>
        <v>0</v>
      </c>
      <c r="BL309" s="386">
        <f t="shared" si="208"/>
        <v>12916.471984000002</v>
      </c>
      <c r="BM309" s="386">
        <f t="shared" si="209"/>
        <v>0</v>
      </c>
      <c r="BN309" s="386">
        <f t="shared" si="186"/>
        <v>11650</v>
      </c>
      <c r="BO309" s="386">
        <f t="shared" si="187"/>
        <v>0</v>
      </c>
      <c r="BP309" s="386">
        <f t="shared" si="188"/>
        <v>3751.4463999999998</v>
      </c>
      <c r="BQ309" s="386">
        <f t="shared" si="189"/>
        <v>877.35440000000006</v>
      </c>
      <c r="BR309" s="386">
        <f t="shared" si="190"/>
        <v>7224.5596800000003</v>
      </c>
      <c r="BS309" s="386">
        <f t="shared" si="191"/>
        <v>436.256912</v>
      </c>
      <c r="BT309" s="386">
        <f t="shared" si="192"/>
        <v>0</v>
      </c>
      <c r="BU309" s="386">
        <f t="shared" si="193"/>
        <v>185.15203199999999</v>
      </c>
      <c r="BV309" s="386">
        <f t="shared" si="194"/>
        <v>151.268</v>
      </c>
      <c r="BW309" s="386">
        <f t="shared" si="195"/>
        <v>0</v>
      </c>
      <c r="BX309" s="386">
        <f t="shared" si="210"/>
        <v>12626.037424</v>
      </c>
      <c r="BY309" s="386">
        <f t="shared" si="211"/>
        <v>0</v>
      </c>
      <c r="BZ309" s="386">
        <f t="shared" si="212"/>
        <v>0</v>
      </c>
      <c r="CA309" s="386">
        <f t="shared" si="213"/>
        <v>0</v>
      </c>
      <c r="CB309" s="386">
        <f t="shared" si="214"/>
        <v>0</v>
      </c>
      <c r="CC309" s="386">
        <f t="shared" si="196"/>
        <v>0</v>
      </c>
      <c r="CD309" s="386">
        <f t="shared" si="197"/>
        <v>0</v>
      </c>
      <c r="CE309" s="386">
        <f t="shared" si="198"/>
        <v>0</v>
      </c>
      <c r="CF309" s="386">
        <f t="shared" si="199"/>
        <v>-296.48527999999999</v>
      </c>
      <c r="CG309" s="386">
        <f t="shared" si="200"/>
        <v>0</v>
      </c>
      <c r="CH309" s="386">
        <f t="shared" si="201"/>
        <v>6.0507200000000152</v>
      </c>
      <c r="CI309" s="386">
        <f t="shared" si="202"/>
        <v>0</v>
      </c>
      <c r="CJ309" s="386">
        <f t="shared" si="215"/>
        <v>-290.43455999999998</v>
      </c>
      <c r="CK309" s="386" t="str">
        <f t="shared" si="216"/>
        <v/>
      </c>
      <c r="CL309" s="386" t="str">
        <f t="shared" si="217"/>
        <v/>
      </c>
      <c r="CM309" s="386" t="str">
        <f t="shared" si="218"/>
        <v/>
      </c>
      <c r="CN309" s="386" t="str">
        <f t="shared" si="219"/>
        <v>0001-00</v>
      </c>
    </row>
    <row r="310" spans="1:92" ht="15.75" thickBot="1" x14ac:dyDescent="0.3">
      <c r="A310" s="375" t="s">
        <v>161</v>
      </c>
      <c r="B310" s="375" t="s">
        <v>162</v>
      </c>
      <c r="C310" s="375" t="s">
        <v>1267</v>
      </c>
      <c r="D310" s="375" t="s">
        <v>464</v>
      </c>
      <c r="E310" s="375" t="s">
        <v>165</v>
      </c>
      <c r="F310" s="376" t="s">
        <v>166</v>
      </c>
      <c r="G310" s="375" t="s">
        <v>1069</v>
      </c>
      <c r="H310" s="377"/>
      <c r="I310" s="377"/>
      <c r="J310" s="375" t="s">
        <v>168</v>
      </c>
      <c r="K310" s="375" t="s">
        <v>465</v>
      </c>
      <c r="L310" s="375" t="s">
        <v>166</v>
      </c>
      <c r="M310" s="375" t="s">
        <v>177</v>
      </c>
      <c r="N310" s="375" t="s">
        <v>262</v>
      </c>
      <c r="O310" s="378">
        <v>0</v>
      </c>
      <c r="P310" s="384">
        <v>1</v>
      </c>
      <c r="Q310" s="384">
        <v>0</v>
      </c>
      <c r="R310" s="379">
        <v>0</v>
      </c>
      <c r="S310" s="384">
        <v>0</v>
      </c>
      <c r="T310" s="379">
        <v>67756.320000000007</v>
      </c>
      <c r="U310" s="379">
        <v>1769.63</v>
      </c>
      <c r="V310" s="379">
        <v>5558.41</v>
      </c>
      <c r="W310" s="379">
        <v>69525.95</v>
      </c>
      <c r="X310" s="379">
        <v>5558.41</v>
      </c>
      <c r="Y310" s="379">
        <v>69525.95</v>
      </c>
      <c r="Z310" s="379">
        <v>5558.41</v>
      </c>
      <c r="AA310" s="377"/>
      <c r="AB310" s="375" t="s">
        <v>45</v>
      </c>
      <c r="AC310" s="375" t="s">
        <v>45</v>
      </c>
      <c r="AD310" s="377"/>
      <c r="AE310" s="377"/>
      <c r="AF310" s="377"/>
      <c r="AG310" s="377"/>
      <c r="AH310" s="378">
        <v>0</v>
      </c>
      <c r="AI310" s="378">
        <v>0</v>
      </c>
      <c r="AJ310" s="377"/>
      <c r="AK310" s="377"/>
      <c r="AL310" s="375" t="s">
        <v>173</v>
      </c>
      <c r="AM310" s="377"/>
      <c r="AN310" s="377"/>
      <c r="AO310" s="378">
        <v>0</v>
      </c>
      <c r="AP310" s="384">
        <v>0</v>
      </c>
      <c r="AQ310" s="384">
        <v>0</v>
      </c>
      <c r="AR310" s="382"/>
      <c r="AS310" s="386">
        <f t="shared" si="203"/>
        <v>0</v>
      </c>
      <c r="AT310">
        <f t="shared" si="204"/>
        <v>0</v>
      </c>
      <c r="AU310" s="386" t="str">
        <f>IF(AT310=0,"",IF(AND(AT310=1,M310="F",SUMIF(C2:C557,C310,AS2:AS557)&lt;=1),SUMIF(C2:C557,C310,AS2:AS557),IF(AND(AT310=1,M310="F",SUMIF(C2:C557,C310,AS2:AS557)&gt;1),1,"")))</f>
        <v/>
      </c>
      <c r="AV310" s="386" t="str">
        <f>IF(AT310=0,"",IF(AND(AT310=3,M310="F",SUMIF(C2:C557,C310,AS2:AS557)&lt;=1),SUMIF(C2:C557,C310,AS2:AS557),IF(AND(AT310=3,M310="F",SUMIF(C2:C557,C310,AS2:AS557)&gt;1),1,"")))</f>
        <v/>
      </c>
      <c r="AW310" s="386">
        <f>SUMIF(C2:C557,C310,O2:O557)</f>
        <v>0</v>
      </c>
      <c r="AX310" s="386">
        <f>IF(AND(M310="F",AS310&lt;&gt;0),SUMIF(C2:C557,C310,W2:W557),0)</f>
        <v>0</v>
      </c>
      <c r="AY310" s="386" t="str">
        <f t="shared" si="205"/>
        <v/>
      </c>
      <c r="AZ310" s="386" t="str">
        <f t="shared" si="206"/>
        <v/>
      </c>
      <c r="BA310" s="386">
        <f t="shared" si="207"/>
        <v>0</v>
      </c>
      <c r="BB310" s="386">
        <f t="shared" si="176"/>
        <v>0</v>
      </c>
      <c r="BC310" s="386">
        <f t="shared" si="177"/>
        <v>0</v>
      </c>
      <c r="BD310" s="386">
        <f t="shared" si="178"/>
        <v>0</v>
      </c>
      <c r="BE310" s="386">
        <f t="shared" si="179"/>
        <v>0</v>
      </c>
      <c r="BF310" s="386">
        <f t="shared" si="180"/>
        <v>0</v>
      </c>
      <c r="BG310" s="386">
        <f t="shared" si="181"/>
        <v>0</v>
      </c>
      <c r="BH310" s="386">
        <f t="shared" si="182"/>
        <v>0</v>
      </c>
      <c r="BI310" s="386">
        <f t="shared" si="183"/>
        <v>0</v>
      </c>
      <c r="BJ310" s="386">
        <f t="shared" si="184"/>
        <v>0</v>
      </c>
      <c r="BK310" s="386">
        <f t="shared" si="185"/>
        <v>0</v>
      </c>
      <c r="BL310" s="386">
        <f t="shared" si="208"/>
        <v>0</v>
      </c>
      <c r="BM310" s="386">
        <f t="shared" si="209"/>
        <v>0</v>
      </c>
      <c r="BN310" s="386">
        <f t="shared" si="186"/>
        <v>0</v>
      </c>
      <c r="BO310" s="386">
        <f t="shared" si="187"/>
        <v>0</v>
      </c>
      <c r="BP310" s="386">
        <f t="shared" si="188"/>
        <v>0</v>
      </c>
      <c r="BQ310" s="386">
        <f t="shared" si="189"/>
        <v>0</v>
      </c>
      <c r="BR310" s="386">
        <f t="shared" si="190"/>
        <v>0</v>
      </c>
      <c r="BS310" s="386">
        <f t="shared" si="191"/>
        <v>0</v>
      </c>
      <c r="BT310" s="386">
        <f t="shared" si="192"/>
        <v>0</v>
      </c>
      <c r="BU310" s="386">
        <f t="shared" si="193"/>
        <v>0</v>
      </c>
      <c r="BV310" s="386">
        <f t="shared" si="194"/>
        <v>0</v>
      </c>
      <c r="BW310" s="386">
        <f t="shared" si="195"/>
        <v>0</v>
      </c>
      <c r="BX310" s="386">
        <f t="shared" si="210"/>
        <v>0</v>
      </c>
      <c r="BY310" s="386">
        <f t="shared" si="211"/>
        <v>0</v>
      </c>
      <c r="BZ310" s="386">
        <f t="shared" si="212"/>
        <v>0</v>
      </c>
      <c r="CA310" s="386">
        <f t="shared" si="213"/>
        <v>0</v>
      </c>
      <c r="CB310" s="386">
        <f t="shared" si="214"/>
        <v>0</v>
      </c>
      <c r="CC310" s="386">
        <f t="shared" si="196"/>
        <v>0</v>
      </c>
      <c r="CD310" s="386">
        <f t="shared" si="197"/>
        <v>0</v>
      </c>
      <c r="CE310" s="386">
        <f t="shared" si="198"/>
        <v>0</v>
      </c>
      <c r="CF310" s="386">
        <f t="shared" si="199"/>
        <v>0</v>
      </c>
      <c r="CG310" s="386">
        <f t="shared" si="200"/>
        <v>0</v>
      </c>
      <c r="CH310" s="386">
        <f t="shared" si="201"/>
        <v>0</v>
      </c>
      <c r="CI310" s="386">
        <f t="shared" si="202"/>
        <v>0</v>
      </c>
      <c r="CJ310" s="386">
        <f t="shared" si="215"/>
        <v>0</v>
      </c>
      <c r="CK310" s="386" t="str">
        <f t="shared" si="216"/>
        <v/>
      </c>
      <c r="CL310" s="386">
        <f t="shared" si="217"/>
        <v>69525.950000000012</v>
      </c>
      <c r="CM310" s="386">
        <f t="shared" si="218"/>
        <v>5558.41</v>
      </c>
      <c r="CN310" s="386" t="str">
        <f t="shared" si="219"/>
        <v>0001-00</v>
      </c>
    </row>
    <row r="311" spans="1:92" ht="15.75" thickBot="1" x14ac:dyDescent="0.3">
      <c r="A311" s="375" t="s">
        <v>161</v>
      </c>
      <c r="B311" s="375" t="s">
        <v>162</v>
      </c>
      <c r="C311" s="375" t="s">
        <v>1268</v>
      </c>
      <c r="D311" s="375" t="s">
        <v>665</v>
      </c>
      <c r="E311" s="375" t="s">
        <v>165</v>
      </c>
      <c r="F311" s="376" t="s">
        <v>166</v>
      </c>
      <c r="G311" s="375" t="s">
        <v>1069</v>
      </c>
      <c r="H311" s="377"/>
      <c r="I311" s="377"/>
      <c r="J311" s="375" t="s">
        <v>168</v>
      </c>
      <c r="K311" s="375" t="s">
        <v>666</v>
      </c>
      <c r="L311" s="375" t="s">
        <v>183</v>
      </c>
      <c r="M311" s="375" t="s">
        <v>177</v>
      </c>
      <c r="N311" s="375" t="s">
        <v>199</v>
      </c>
      <c r="O311" s="378">
        <v>1</v>
      </c>
      <c r="P311" s="384">
        <v>1</v>
      </c>
      <c r="Q311" s="384">
        <v>1</v>
      </c>
      <c r="R311" s="379">
        <v>80</v>
      </c>
      <c r="S311" s="384">
        <v>1</v>
      </c>
      <c r="T311" s="379">
        <v>35347.199999999997</v>
      </c>
      <c r="U311" s="379">
        <v>674.85</v>
      </c>
      <c r="V311" s="379">
        <v>18922.41</v>
      </c>
      <c r="W311" s="379">
        <v>36649.599999999999</v>
      </c>
      <c r="X311" s="379">
        <v>19473.55</v>
      </c>
      <c r="Y311" s="379">
        <v>36649.599999999999</v>
      </c>
      <c r="Z311" s="379">
        <v>19297.64</v>
      </c>
      <c r="AA311" s="375" t="s">
        <v>1269</v>
      </c>
      <c r="AB311" s="375" t="s">
        <v>1270</v>
      </c>
      <c r="AC311" s="375" t="s">
        <v>511</v>
      </c>
      <c r="AD311" s="375" t="s">
        <v>366</v>
      </c>
      <c r="AE311" s="375" t="s">
        <v>666</v>
      </c>
      <c r="AF311" s="375" t="s">
        <v>206</v>
      </c>
      <c r="AG311" s="375" t="s">
        <v>183</v>
      </c>
      <c r="AH311" s="380">
        <v>17.62</v>
      </c>
      <c r="AI311" s="380">
        <v>34557.699999999997</v>
      </c>
      <c r="AJ311" s="375" t="s">
        <v>184</v>
      </c>
      <c r="AK311" s="375" t="s">
        <v>185</v>
      </c>
      <c r="AL311" s="375" t="s">
        <v>173</v>
      </c>
      <c r="AM311" s="375" t="s">
        <v>186</v>
      </c>
      <c r="AN311" s="375" t="s">
        <v>68</v>
      </c>
      <c r="AO311" s="378">
        <v>80</v>
      </c>
      <c r="AP311" s="384">
        <v>1</v>
      </c>
      <c r="AQ311" s="384">
        <v>1</v>
      </c>
      <c r="AR311" s="383" t="s">
        <v>187</v>
      </c>
      <c r="AS311" s="386">
        <f t="shared" si="203"/>
        <v>1</v>
      </c>
      <c r="AT311">
        <f t="shared" si="204"/>
        <v>1</v>
      </c>
      <c r="AU311" s="386">
        <f>IF(AT311=0,"",IF(AND(AT311=1,M311="F",SUMIF(C2:C557,C311,AS2:AS557)&lt;=1),SUMIF(C2:C557,C311,AS2:AS557),IF(AND(AT311=1,M311="F",SUMIF(C2:C557,C311,AS2:AS557)&gt;1),1,"")))</f>
        <v>1</v>
      </c>
      <c r="AV311" s="386" t="str">
        <f>IF(AT311=0,"",IF(AND(AT311=3,M311="F",SUMIF(C2:C557,C311,AS2:AS557)&lt;=1),SUMIF(C2:C557,C311,AS2:AS557),IF(AND(AT311=3,M311="F",SUMIF(C2:C557,C311,AS2:AS557)&gt;1),1,"")))</f>
        <v/>
      </c>
      <c r="AW311" s="386">
        <f>SUMIF(C2:C557,C311,O2:O557)</f>
        <v>1</v>
      </c>
      <c r="AX311" s="386">
        <f>IF(AND(M311="F",AS311&lt;&gt;0),SUMIF(C2:C557,C311,W2:W557),0)</f>
        <v>36649.599999999999</v>
      </c>
      <c r="AY311" s="386">
        <f t="shared" si="205"/>
        <v>36649.599999999999</v>
      </c>
      <c r="AZ311" s="386" t="str">
        <f t="shared" si="206"/>
        <v/>
      </c>
      <c r="BA311" s="386">
        <f t="shared" si="207"/>
        <v>0</v>
      </c>
      <c r="BB311" s="386">
        <f t="shared" si="176"/>
        <v>11650</v>
      </c>
      <c r="BC311" s="386">
        <f t="shared" si="177"/>
        <v>0</v>
      </c>
      <c r="BD311" s="386">
        <f t="shared" si="178"/>
        <v>2272.2752</v>
      </c>
      <c r="BE311" s="386">
        <f t="shared" si="179"/>
        <v>531.41920000000005</v>
      </c>
      <c r="BF311" s="386">
        <f t="shared" si="180"/>
        <v>4375.9622399999998</v>
      </c>
      <c r="BG311" s="386">
        <f t="shared" si="181"/>
        <v>264.24361599999997</v>
      </c>
      <c r="BH311" s="386">
        <f t="shared" si="182"/>
        <v>179.58303999999998</v>
      </c>
      <c r="BI311" s="386">
        <f t="shared" si="183"/>
        <v>112.14777599999999</v>
      </c>
      <c r="BJ311" s="386">
        <f t="shared" si="184"/>
        <v>87.959039999999987</v>
      </c>
      <c r="BK311" s="386">
        <f t="shared" si="185"/>
        <v>0</v>
      </c>
      <c r="BL311" s="386">
        <f t="shared" si="208"/>
        <v>7823.5901119999999</v>
      </c>
      <c r="BM311" s="386">
        <f t="shared" si="209"/>
        <v>0</v>
      </c>
      <c r="BN311" s="386">
        <f t="shared" si="186"/>
        <v>11650</v>
      </c>
      <c r="BO311" s="386">
        <f t="shared" si="187"/>
        <v>0</v>
      </c>
      <c r="BP311" s="386">
        <f t="shared" si="188"/>
        <v>2272.2752</v>
      </c>
      <c r="BQ311" s="386">
        <f t="shared" si="189"/>
        <v>531.41920000000005</v>
      </c>
      <c r="BR311" s="386">
        <f t="shared" si="190"/>
        <v>4375.9622399999998</v>
      </c>
      <c r="BS311" s="386">
        <f t="shared" si="191"/>
        <v>264.24361599999997</v>
      </c>
      <c r="BT311" s="386">
        <f t="shared" si="192"/>
        <v>0</v>
      </c>
      <c r="BU311" s="386">
        <f t="shared" si="193"/>
        <v>112.14777599999999</v>
      </c>
      <c r="BV311" s="386">
        <f t="shared" si="194"/>
        <v>91.623999999999995</v>
      </c>
      <c r="BW311" s="386">
        <f t="shared" si="195"/>
        <v>0</v>
      </c>
      <c r="BX311" s="386">
        <f t="shared" si="210"/>
        <v>7647.6720319999995</v>
      </c>
      <c r="BY311" s="386">
        <f t="shared" si="211"/>
        <v>0</v>
      </c>
      <c r="BZ311" s="386">
        <f t="shared" si="212"/>
        <v>0</v>
      </c>
      <c r="CA311" s="386">
        <f t="shared" si="213"/>
        <v>0</v>
      </c>
      <c r="CB311" s="386">
        <f t="shared" si="214"/>
        <v>0</v>
      </c>
      <c r="CC311" s="386">
        <f t="shared" si="196"/>
        <v>0</v>
      </c>
      <c r="CD311" s="386">
        <f t="shared" si="197"/>
        <v>0</v>
      </c>
      <c r="CE311" s="386">
        <f t="shared" si="198"/>
        <v>0</v>
      </c>
      <c r="CF311" s="386">
        <f t="shared" si="199"/>
        <v>-179.58303999999998</v>
      </c>
      <c r="CG311" s="386">
        <f t="shared" si="200"/>
        <v>0</v>
      </c>
      <c r="CH311" s="386">
        <f t="shared" si="201"/>
        <v>3.6649600000000095</v>
      </c>
      <c r="CI311" s="386">
        <f t="shared" si="202"/>
        <v>0</v>
      </c>
      <c r="CJ311" s="386">
        <f t="shared" si="215"/>
        <v>-175.91807999999997</v>
      </c>
      <c r="CK311" s="386" t="str">
        <f t="shared" si="216"/>
        <v/>
      </c>
      <c r="CL311" s="386" t="str">
        <f t="shared" si="217"/>
        <v/>
      </c>
      <c r="CM311" s="386" t="str">
        <f t="shared" si="218"/>
        <v/>
      </c>
      <c r="CN311" s="386" t="str">
        <f t="shared" si="219"/>
        <v>0001-00</v>
      </c>
    </row>
    <row r="312" spans="1:92" ht="15.75" thickBot="1" x14ac:dyDescent="0.3">
      <c r="A312" s="375" t="s">
        <v>161</v>
      </c>
      <c r="B312" s="375" t="s">
        <v>162</v>
      </c>
      <c r="C312" s="375" t="s">
        <v>1271</v>
      </c>
      <c r="D312" s="375" t="s">
        <v>665</v>
      </c>
      <c r="E312" s="375" t="s">
        <v>165</v>
      </c>
      <c r="F312" s="376" t="s">
        <v>166</v>
      </c>
      <c r="G312" s="375" t="s">
        <v>1069</v>
      </c>
      <c r="H312" s="377"/>
      <c r="I312" s="377"/>
      <c r="J312" s="375" t="s">
        <v>168</v>
      </c>
      <c r="K312" s="375" t="s">
        <v>666</v>
      </c>
      <c r="L312" s="375" t="s">
        <v>183</v>
      </c>
      <c r="M312" s="375" t="s">
        <v>177</v>
      </c>
      <c r="N312" s="375" t="s">
        <v>199</v>
      </c>
      <c r="O312" s="378">
        <v>1</v>
      </c>
      <c r="P312" s="384">
        <v>1</v>
      </c>
      <c r="Q312" s="384">
        <v>1</v>
      </c>
      <c r="R312" s="379">
        <v>80</v>
      </c>
      <c r="S312" s="384">
        <v>1</v>
      </c>
      <c r="T312" s="379">
        <v>30755.200000000001</v>
      </c>
      <c r="U312" s="379">
        <v>791.56</v>
      </c>
      <c r="V312" s="379">
        <v>18167.88</v>
      </c>
      <c r="W312" s="379">
        <v>31969.599999999999</v>
      </c>
      <c r="X312" s="379">
        <v>18474.52</v>
      </c>
      <c r="Y312" s="379">
        <v>31969.599999999999</v>
      </c>
      <c r="Z312" s="379">
        <v>18321.07</v>
      </c>
      <c r="AA312" s="375" t="s">
        <v>1272</v>
      </c>
      <c r="AB312" s="375" t="s">
        <v>1164</v>
      </c>
      <c r="AC312" s="375" t="s">
        <v>1273</v>
      </c>
      <c r="AD312" s="375" t="s">
        <v>352</v>
      </c>
      <c r="AE312" s="375" t="s">
        <v>666</v>
      </c>
      <c r="AF312" s="375" t="s">
        <v>206</v>
      </c>
      <c r="AG312" s="375" t="s">
        <v>183</v>
      </c>
      <c r="AH312" s="380">
        <v>15.37</v>
      </c>
      <c r="AI312" s="380">
        <v>12100.1</v>
      </c>
      <c r="AJ312" s="375" t="s">
        <v>184</v>
      </c>
      <c r="AK312" s="375" t="s">
        <v>185</v>
      </c>
      <c r="AL312" s="375" t="s">
        <v>173</v>
      </c>
      <c r="AM312" s="375" t="s">
        <v>186</v>
      </c>
      <c r="AN312" s="375" t="s">
        <v>68</v>
      </c>
      <c r="AO312" s="378">
        <v>80</v>
      </c>
      <c r="AP312" s="384">
        <v>1</v>
      </c>
      <c r="AQ312" s="384">
        <v>1</v>
      </c>
      <c r="AR312" s="383" t="s">
        <v>187</v>
      </c>
      <c r="AS312" s="386">
        <f t="shared" si="203"/>
        <v>1</v>
      </c>
      <c r="AT312">
        <f t="shared" si="204"/>
        <v>1</v>
      </c>
      <c r="AU312" s="386">
        <f>IF(AT312=0,"",IF(AND(AT312=1,M312="F",SUMIF(C2:C557,C312,AS2:AS557)&lt;=1),SUMIF(C2:C557,C312,AS2:AS557),IF(AND(AT312=1,M312="F",SUMIF(C2:C557,C312,AS2:AS557)&gt;1),1,"")))</f>
        <v>1</v>
      </c>
      <c r="AV312" s="386" t="str">
        <f>IF(AT312=0,"",IF(AND(AT312=3,M312="F",SUMIF(C2:C557,C312,AS2:AS557)&lt;=1),SUMIF(C2:C557,C312,AS2:AS557),IF(AND(AT312=3,M312="F",SUMIF(C2:C557,C312,AS2:AS557)&gt;1),1,"")))</f>
        <v/>
      </c>
      <c r="AW312" s="386">
        <f>SUMIF(C2:C557,C312,O2:O557)</f>
        <v>1</v>
      </c>
      <c r="AX312" s="386">
        <f>IF(AND(M312="F",AS312&lt;&gt;0),SUMIF(C2:C557,C312,W2:W557),0)</f>
        <v>31969.599999999999</v>
      </c>
      <c r="AY312" s="386">
        <f t="shared" si="205"/>
        <v>31969.599999999999</v>
      </c>
      <c r="AZ312" s="386" t="str">
        <f t="shared" si="206"/>
        <v/>
      </c>
      <c r="BA312" s="386">
        <f t="shared" si="207"/>
        <v>0</v>
      </c>
      <c r="BB312" s="386">
        <f t="shared" si="176"/>
        <v>11650</v>
      </c>
      <c r="BC312" s="386">
        <f t="shared" si="177"/>
        <v>0</v>
      </c>
      <c r="BD312" s="386">
        <f t="shared" si="178"/>
        <v>1982.1152</v>
      </c>
      <c r="BE312" s="386">
        <f t="shared" si="179"/>
        <v>463.55919999999998</v>
      </c>
      <c r="BF312" s="386">
        <f t="shared" si="180"/>
        <v>3817.1702399999999</v>
      </c>
      <c r="BG312" s="386">
        <f t="shared" si="181"/>
        <v>230.50081599999999</v>
      </c>
      <c r="BH312" s="386">
        <f t="shared" si="182"/>
        <v>156.65103999999999</v>
      </c>
      <c r="BI312" s="386">
        <f t="shared" si="183"/>
        <v>97.826975999999988</v>
      </c>
      <c r="BJ312" s="386">
        <f t="shared" si="184"/>
        <v>76.727039999999988</v>
      </c>
      <c r="BK312" s="386">
        <f t="shared" si="185"/>
        <v>0</v>
      </c>
      <c r="BL312" s="386">
        <f t="shared" si="208"/>
        <v>6824.5505119999989</v>
      </c>
      <c r="BM312" s="386">
        <f t="shared" si="209"/>
        <v>0</v>
      </c>
      <c r="BN312" s="386">
        <f t="shared" si="186"/>
        <v>11650</v>
      </c>
      <c r="BO312" s="386">
        <f t="shared" si="187"/>
        <v>0</v>
      </c>
      <c r="BP312" s="386">
        <f t="shared" si="188"/>
        <v>1982.1152</v>
      </c>
      <c r="BQ312" s="386">
        <f t="shared" si="189"/>
        <v>463.55919999999998</v>
      </c>
      <c r="BR312" s="386">
        <f t="shared" si="190"/>
        <v>3817.1702399999999</v>
      </c>
      <c r="BS312" s="386">
        <f t="shared" si="191"/>
        <v>230.50081599999999</v>
      </c>
      <c r="BT312" s="386">
        <f t="shared" si="192"/>
        <v>0</v>
      </c>
      <c r="BU312" s="386">
        <f t="shared" si="193"/>
        <v>97.826975999999988</v>
      </c>
      <c r="BV312" s="386">
        <f t="shared" si="194"/>
        <v>79.923999999999992</v>
      </c>
      <c r="BW312" s="386">
        <f t="shared" si="195"/>
        <v>0</v>
      </c>
      <c r="BX312" s="386">
        <f t="shared" si="210"/>
        <v>6671.0964319999994</v>
      </c>
      <c r="BY312" s="386">
        <f t="shared" si="211"/>
        <v>0</v>
      </c>
      <c r="BZ312" s="386">
        <f t="shared" si="212"/>
        <v>0</v>
      </c>
      <c r="CA312" s="386">
        <f t="shared" si="213"/>
        <v>0</v>
      </c>
      <c r="CB312" s="386">
        <f t="shared" si="214"/>
        <v>0</v>
      </c>
      <c r="CC312" s="386">
        <f t="shared" si="196"/>
        <v>0</v>
      </c>
      <c r="CD312" s="386">
        <f t="shared" si="197"/>
        <v>0</v>
      </c>
      <c r="CE312" s="386">
        <f t="shared" si="198"/>
        <v>0</v>
      </c>
      <c r="CF312" s="386">
        <f t="shared" si="199"/>
        <v>-156.65103999999999</v>
      </c>
      <c r="CG312" s="386">
        <f t="shared" si="200"/>
        <v>0</v>
      </c>
      <c r="CH312" s="386">
        <f t="shared" si="201"/>
        <v>3.1969600000000082</v>
      </c>
      <c r="CI312" s="386">
        <f t="shared" si="202"/>
        <v>0</v>
      </c>
      <c r="CJ312" s="386">
        <f t="shared" si="215"/>
        <v>-153.45407999999998</v>
      </c>
      <c r="CK312" s="386" t="str">
        <f t="shared" si="216"/>
        <v/>
      </c>
      <c r="CL312" s="386" t="str">
        <f t="shared" si="217"/>
        <v/>
      </c>
      <c r="CM312" s="386" t="str">
        <f t="shared" si="218"/>
        <v/>
      </c>
      <c r="CN312" s="386" t="str">
        <f t="shared" si="219"/>
        <v>0001-00</v>
      </c>
    </row>
    <row r="313" spans="1:92" ht="15.75" thickBot="1" x14ac:dyDescent="0.3">
      <c r="A313" s="375" t="s">
        <v>161</v>
      </c>
      <c r="B313" s="375" t="s">
        <v>162</v>
      </c>
      <c r="C313" s="375" t="s">
        <v>1274</v>
      </c>
      <c r="D313" s="375" t="s">
        <v>464</v>
      </c>
      <c r="E313" s="375" t="s">
        <v>165</v>
      </c>
      <c r="F313" s="376" t="s">
        <v>166</v>
      </c>
      <c r="G313" s="375" t="s">
        <v>1069</v>
      </c>
      <c r="H313" s="377"/>
      <c r="I313" s="377"/>
      <c r="J313" s="375" t="s">
        <v>168</v>
      </c>
      <c r="K313" s="375" t="s">
        <v>465</v>
      </c>
      <c r="L313" s="375" t="s">
        <v>166</v>
      </c>
      <c r="M313" s="375" t="s">
        <v>171</v>
      </c>
      <c r="N313" s="375" t="s">
        <v>262</v>
      </c>
      <c r="O313" s="378">
        <v>0</v>
      </c>
      <c r="P313" s="384">
        <v>1</v>
      </c>
      <c r="Q313" s="384">
        <v>0</v>
      </c>
      <c r="R313" s="379">
        <v>0</v>
      </c>
      <c r="S313" s="384">
        <v>0</v>
      </c>
      <c r="T313" s="379">
        <v>51648.63</v>
      </c>
      <c r="U313" s="379">
        <v>536.85</v>
      </c>
      <c r="V313" s="379">
        <v>4231.1000000000004</v>
      </c>
      <c r="W313" s="379">
        <v>52185.48</v>
      </c>
      <c r="X313" s="379">
        <v>4231.1000000000004</v>
      </c>
      <c r="Y313" s="379">
        <v>52185.48</v>
      </c>
      <c r="Z313" s="379">
        <v>4231.1000000000004</v>
      </c>
      <c r="AA313" s="377"/>
      <c r="AB313" s="375" t="s">
        <v>45</v>
      </c>
      <c r="AC313" s="375" t="s">
        <v>45</v>
      </c>
      <c r="AD313" s="377"/>
      <c r="AE313" s="377"/>
      <c r="AF313" s="377"/>
      <c r="AG313" s="377"/>
      <c r="AH313" s="378">
        <v>0</v>
      </c>
      <c r="AI313" s="378">
        <v>0</v>
      </c>
      <c r="AJ313" s="377"/>
      <c r="AK313" s="377"/>
      <c r="AL313" s="375" t="s">
        <v>173</v>
      </c>
      <c r="AM313" s="377"/>
      <c r="AN313" s="377"/>
      <c r="AO313" s="378">
        <v>0</v>
      </c>
      <c r="AP313" s="384">
        <v>0</v>
      </c>
      <c r="AQ313" s="384">
        <v>0</v>
      </c>
      <c r="AR313" s="382"/>
      <c r="AS313" s="386">
        <f t="shared" si="203"/>
        <v>0</v>
      </c>
      <c r="AT313">
        <f t="shared" si="204"/>
        <v>0</v>
      </c>
      <c r="AU313" s="386" t="str">
        <f>IF(AT313=0,"",IF(AND(AT313=1,M313="F",SUMIF(C2:C557,C313,AS2:AS557)&lt;=1),SUMIF(C2:C557,C313,AS2:AS557),IF(AND(AT313=1,M313="F",SUMIF(C2:C557,C313,AS2:AS557)&gt;1),1,"")))</f>
        <v/>
      </c>
      <c r="AV313" s="386" t="str">
        <f>IF(AT313=0,"",IF(AND(AT313=3,M313="F",SUMIF(C2:C557,C313,AS2:AS557)&lt;=1),SUMIF(C2:C557,C313,AS2:AS557),IF(AND(AT313=3,M313="F",SUMIF(C2:C557,C313,AS2:AS557)&gt;1),1,"")))</f>
        <v/>
      </c>
      <c r="AW313" s="386">
        <f>SUMIF(C2:C557,C313,O2:O557)</f>
        <v>0</v>
      </c>
      <c r="AX313" s="386">
        <f>IF(AND(M313="F",AS313&lt;&gt;0),SUMIF(C2:C557,C313,W2:W557),0)</f>
        <v>0</v>
      </c>
      <c r="AY313" s="386" t="str">
        <f t="shared" si="205"/>
        <v/>
      </c>
      <c r="AZ313" s="386" t="str">
        <f t="shared" si="206"/>
        <v/>
      </c>
      <c r="BA313" s="386">
        <f t="shared" si="207"/>
        <v>0</v>
      </c>
      <c r="BB313" s="386">
        <f t="shared" si="176"/>
        <v>0</v>
      </c>
      <c r="BC313" s="386">
        <f t="shared" si="177"/>
        <v>0</v>
      </c>
      <c r="BD313" s="386">
        <f t="shared" si="178"/>
        <v>0</v>
      </c>
      <c r="BE313" s="386">
        <f t="shared" si="179"/>
        <v>0</v>
      </c>
      <c r="BF313" s="386">
        <f t="shared" si="180"/>
        <v>0</v>
      </c>
      <c r="BG313" s="386">
        <f t="shared" si="181"/>
        <v>0</v>
      </c>
      <c r="BH313" s="386">
        <f t="shared" si="182"/>
        <v>0</v>
      </c>
      <c r="BI313" s="386">
        <f t="shared" si="183"/>
        <v>0</v>
      </c>
      <c r="BJ313" s="386">
        <f t="shared" si="184"/>
        <v>0</v>
      </c>
      <c r="BK313" s="386">
        <f t="shared" si="185"/>
        <v>0</v>
      </c>
      <c r="BL313" s="386">
        <f t="shared" si="208"/>
        <v>0</v>
      </c>
      <c r="BM313" s="386">
        <f t="shared" si="209"/>
        <v>0</v>
      </c>
      <c r="BN313" s="386">
        <f t="shared" si="186"/>
        <v>0</v>
      </c>
      <c r="BO313" s="386">
        <f t="shared" si="187"/>
        <v>0</v>
      </c>
      <c r="BP313" s="386">
        <f t="shared" si="188"/>
        <v>0</v>
      </c>
      <c r="BQ313" s="386">
        <f t="shared" si="189"/>
        <v>0</v>
      </c>
      <c r="BR313" s="386">
        <f t="shared" si="190"/>
        <v>0</v>
      </c>
      <c r="BS313" s="386">
        <f t="shared" si="191"/>
        <v>0</v>
      </c>
      <c r="BT313" s="386">
        <f t="shared" si="192"/>
        <v>0</v>
      </c>
      <c r="BU313" s="386">
        <f t="shared" si="193"/>
        <v>0</v>
      </c>
      <c r="BV313" s="386">
        <f t="shared" si="194"/>
        <v>0</v>
      </c>
      <c r="BW313" s="386">
        <f t="shared" si="195"/>
        <v>0</v>
      </c>
      <c r="BX313" s="386">
        <f t="shared" si="210"/>
        <v>0</v>
      </c>
      <c r="BY313" s="386">
        <f t="shared" si="211"/>
        <v>0</v>
      </c>
      <c r="BZ313" s="386">
        <f t="shared" si="212"/>
        <v>0</v>
      </c>
      <c r="CA313" s="386">
        <f t="shared" si="213"/>
        <v>0</v>
      </c>
      <c r="CB313" s="386">
        <f t="shared" si="214"/>
        <v>0</v>
      </c>
      <c r="CC313" s="386">
        <f t="shared" si="196"/>
        <v>0</v>
      </c>
      <c r="CD313" s="386">
        <f t="shared" si="197"/>
        <v>0</v>
      </c>
      <c r="CE313" s="386">
        <f t="shared" si="198"/>
        <v>0</v>
      </c>
      <c r="CF313" s="386">
        <f t="shared" si="199"/>
        <v>0</v>
      </c>
      <c r="CG313" s="386">
        <f t="shared" si="200"/>
        <v>0</v>
      </c>
      <c r="CH313" s="386">
        <f t="shared" si="201"/>
        <v>0</v>
      </c>
      <c r="CI313" s="386">
        <f t="shared" si="202"/>
        <v>0</v>
      </c>
      <c r="CJ313" s="386">
        <f t="shared" si="215"/>
        <v>0</v>
      </c>
      <c r="CK313" s="386" t="str">
        <f t="shared" si="216"/>
        <v/>
      </c>
      <c r="CL313" s="386">
        <f t="shared" si="217"/>
        <v>52185.479999999996</v>
      </c>
      <c r="CM313" s="386">
        <f t="shared" si="218"/>
        <v>4231.1000000000004</v>
      </c>
      <c r="CN313" s="386" t="str">
        <f t="shared" si="219"/>
        <v>0001-00</v>
      </c>
    </row>
    <row r="314" spans="1:92" ht="15.75" thickBot="1" x14ac:dyDescent="0.3">
      <c r="A314" s="375" t="s">
        <v>161</v>
      </c>
      <c r="B314" s="375" t="s">
        <v>162</v>
      </c>
      <c r="C314" s="375" t="s">
        <v>1275</v>
      </c>
      <c r="D314" s="375" t="s">
        <v>665</v>
      </c>
      <c r="E314" s="375" t="s">
        <v>165</v>
      </c>
      <c r="F314" s="376" t="s">
        <v>166</v>
      </c>
      <c r="G314" s="375" t="s">
        <v>1069</v>
      </c>
      <c r="H314" s="377"/>
      <c r="I314" s="377"/>
      <c r="J314" s="375" t="s">
        <v>168</v>
      </c>
      <c r="K314" s="375" t="s">
        <v>666</v>
      </c>
      <c r="L314" s="375" t="s">
        <v>183</v>
      </c>
      <c r="M314" s="375" t="s">
        <v>177</v>
      </c>
      <c r="N314" s="375" t="s">
        <v>199</v>
      </c>
      <c r="O314" s="378">
        <v>1</v>
      </c>
      <c r="P314" s="384">
        <v>1</v>
      </c>
      <c r="Q314" s="384">
        <v>1</v>
      </c>
      <c r="R314" s="379">
        <v>80</v>
      </c>
      <c r="S314" s="384">
        <v>1</v>
      </c>
      <c r="T314" s="379">
        <v>29521.67</v>
      </c>
      <c r="U314" s="379">
        <v>0</v>
      </c>
      <c r="V314" s="379">
        <v>17822.34</v>
      </c>
      <c r="W314" s="379">
        <v>32531.200000000001</v>
      </c>
      <c r="X314" s="379">
        <v>18594.400000000001</v>
      </c>
      <c r="Y314" s="379">
        <v>32531.200000000001</v>
      </c>
      <c r="Z314" s="379">
        <v>18438.25</v>
      </c>
      <c r="AA314" s="375" t="s">
        <v>1276</v>
      </c>
      <c r="AB314" s="375" t="s">
        <v>1098</v>
      </c>
      <c r="AC314" s="375" t="s">
        <v>505</v>
      </c>
      <c r="AD314" s="375" t="s">
        <v>195</v>
      </c>
      <c r="AE314" s="375" t="s">
        <v>666</v>
      </c>
      <c r="AF314" s="375" t="s">
        <v>206</v>
      </c>
      <c r="AG314" s="375" t="s">
        <v>183</v>
      </c>
      <c r="AH314" s="380">
        <v>15.64</v>
      </c>
      <c r="AI314" s="380">
        <v>14717.6</v>
      </c>
      <c r="AJ314" s="375" t="s">
        <v>184</v>
      </c>
      <c r="AK314" s="375" t="s">
        <v>185</v>
      </c>
      <c r="AL314" s="375" t="s">
        <v>173</v>
      </c>
      <c r="AM314" s="375" t="s">
        <v>186</v>
      </c>
      <c r="AN314" s="375" t="s">
        <v>68</v>
      </c>
      <c r="AO314" s="378">
        <v>80</v>
      </c>
      <c r="AP314" s="384">
        <v>1</v>
      </c>
      <c r="AQ314" s="384">
        <v>1</v>
      </c>
      <c r="AR314" s="383" t="s">
        <v>187</v>
      </c>
      <c r="AS314" s="386">
        <f t="shared" si="203"/>
        <v>1</v>
      </c>
      <c r="AT314">
        <f t="shared" si="204"/>
        <v>1</v>
      </c>
      <c r="AU314" s="386">
        <f>IF(AT314=0,"",IF(AND(AT314=1,M314="F",SUMIF(C2:C557,C314,AS2:AS557)&lt;=1),SUMIF(C2:C557,C314,AS2:AS557),IF(AND(AT314=1,M314="F",SUMIF(C2:C557,C314,AS2:AS557)&gt;1),1,"")))</f>
        <v>1</v>
      </c>
      <c r="AV314" s="386" t="str">
        <f>IF(AT314=0,"",IF(AND(AT314=3,M314="F",SUMIF(C2:C557,C314,AS2:AS557)&lt;=1),SUMIF(C2:C557,C314,AS2:AS557),IF(AND(AT314=3,M314="F",SUMIF(C2:C557,C314,AS2:AS557)&gt;1),1,"")))</f>
        <v/>
      </c>
      <c r="AW314" s="386">
        <f>SUMIF(C2:C557,C314,O2:O557)</f>
        <v>1</v>
      </c>
      <c r="AX314" s="386">
        <f>IF(AND(M314="F",AS314&lt;&gt;0),SUMIF(C2:C557,C314,W2:W557),0)</f>
        <v>32531.200000000001</v>
      </c>
      <c r="AY314" s="386">
        <f t="shared" si="205"/>
        <v>32531.200000000001</v>
      </c>
      <c r="AZ314" s="386" t="str">
        <f t="shared" si="206"/>
        <v/>
      </c>
      <c r="BA314" s="386">
        <f t="shared" si="207"/>
        <v>0</v>
      </c>
      <c r="BB314" s="386">
        <f t="shared" si="176"/>
        <v>11650</v>
      </c>
      <c r="BC314" s="386">
        <f t="shared" si="177"/>
        <v>0</v>
      </c>
      <c r="BD314" s="386">
        <f t="shared" si="178"/>
        <v>2016.9344000000001</v>
      </c>
      <c r="BE314" s="386">
        <f t="shared" si="179"/>
        <v>471.70240000000001</v>
      </c>
      <c r="BF314" s="386">
        <f t="shared" si="180"/>
        <v>3884.2252800000001</v>
      </c>
      <c r="BG314" s="386">
        <f t="shared" si="181"/>
        <v>234.54995200000002</v>
      </c>
      <c r="BH314" s="386">
        <f t="shared" si="182"/>
        <v>159.40288000000001</v>
      </c>
      <c r="BI314" s="386">
        <f t="shared" si="183"/>
        <v>99.54547199999999</v>
      </c>
      <c r="BJ314" s="386">
        <f t="shared" si="184"/>
        <v>78.074879999999993</v>
      </c>
      <c r="BK314" s="386">
        <f t="shared" si="185"/>
        <v>0</v>
      </c>
      <c r="BL314" s="386">
        <f t="shared" si="208"/>
        <v>6944.4352640000006</v>
      </c>
      <c r="BM314" s="386">
        <f t="shared" si="209"/>
        <v>0</v>
      </c>
      <c r="BN314" s="386">
        <f t="shared" si="186"/>
        <v>11650</v>
      </c>
      <c r="BO314" s="386">
        <f t="shared" si="187"/>
        <v>0</v>
      </c>
      <c r="BP314" s="386">
        <f t="shared" si="188"/>
        <v>2016.9344000000001</v>
      </c>
      <c r="BQ314" s="386">
        <f t="shared" si="189"/>
        <v>471.70240000000001</v>
      </c>
      <c r="BR314" s="386">
        <f t="shared" si="190"/>
        <v>3884.2252800000001</v>
      </c>
      <c r="BS314" s="386">
        <f t="shared" si="191"/>
        <v>234.54995200000002</v>
      </c>
      <c r="BT314" s="386">
        <f t="shared" si="192"/>
        <v>0</v>
      </c>
      <c r="BU314" s="386">
        <f t="shared" si="193"/>
        <v>99.54547199999999</v>
      </c>
      <c r="BV314" s="386">
        <f t="shared" si="194"/>
        <v>81.328000000000003</v>
      </c>
      <c r="BW314" s="386">
        <f t="shared" si="195"/>
        <v>0</v>
      </c>
      <c r="BX314" s="386">
        <f t="shared" si="210"/>
        <v>6788.2855040000013</v>
      </c>
      <c r="BY314" s="386">
        <f t="shared" si="211"/>
        <v>0</v>
      </c>
      <c r="BZ314" s="386">
        <f t="shared" si="212"/>
        <v>0</v>
      </c>
      <c r="CA314" s="386">
        <f t="shared" si="213"/>
        <v>0</v>
      </c>
      <c r="CB314" s="386">
        <f t="shared" si="214"/>
        <v>0</v>
      </c>
      <c r="CC314" s="386">
        <f t="shared" si="196"/>
        <v>0</v>
      </c>
      <c r="CD314" s="386">
        <f t="shared" si="197"/>
        <v>0</v>
      </c>
      <c r="CE314" s="386">
        <f t="shared" si="198"/>
        <v>0</v>
      </c>
      <c r="CF314" s="386">
        <f t="shared" si="199"/>
        <v>-159.40288000000001</v>
      </c>
      <c r="CG314" s="386">
        <f t="shared" si="200"/>
        <v>0</v>
      </c>
      <c r="CH314" s="386">
        <f t="shared" si="201"/>
        <v>3.2531200000000084</v>
      </c>
      <c r="CI314" s="386">
        <f t="shared" si="202"/>
        <v>0</v>
      </c>
      <c r="CJ314" s="386">
        <f t="shared" si="215"/>
        <v>-156.14976000000001</v>
      </c>
      <c r="CK314" s="386" t="str">
        <f t="shared" si="216"/>
        <v/>
      </c>
      <c r="CL314" s="386" t="str">
        <f t="shared" si="217"/>
        <v/>
      </c>
      <c r="CM314" s="386" t="str">
        <f t="shared" si="218"/>
        <v/>
      </c>
      <c r="CN314" s="386" t="str">
        <f t="shared" si="219"/>
        <v>0001-00</v>
      </c>
    </row>
    <row r="315" spans="1:92" ht="15.75" thickBot="1" x14ac:dyDescent="0.3">
      <c r="A315" s="375" t="s">
        <v>161</v>
      </c>
      <c r="B315" s="375" t="s">
        <v>162</v>
      </c>
      <c r="C315" s="375" t="s">
        <v>1277</v>
      </c>
      <c r="D315" s="375" t="s">
        <v>665</v>
      </c>
      <c r="E315" s="375" t="s">
        <v>165</v>
      </c>
      <c r="F315" s="376" t="s">
        <v>166</v>
      </c>
      <c r="G315" s="375" t="s">
        <v>1069</v>
      </c>
      <c r="H315" s="377"/>
      <c r="I315" s="377"/>
      <c r="J315" s="375" t="s">
        <v>168</v>
      </c>
      <c r="K315" s="375" t="s">
        <v>666</v>
      </c>
      <c r="L315" s="375" t="s">
        <v>183</v>
      </c>
      <c r="M315" s="375" t="s">
        <v>177</v>
      </c>
      <c r="N315" s="375" t="s">
        <v>199</v>
      </c>
      <c r="O315" s="378">
        <v>1</v>
      </c>
      <c r="P315" s="384">
        <v>1</v>
      </c>
      <c r="Q315" s="384">
        <v>1</v>
      </c>
      <c r="R315" s="379">
        <v>80</v>
      </c>
      <c r="S315" s="384">
        <v>1</v>
      </c>
      <c r="T315" s="379">
        <v>25296.53</v>
      </c>
      <c r="U315" s="379">
        <v>0</v>
      </c>
      <c r="V315" s="379">
        <v>16696.21</v>
      </c>
      <c r="W315" s="379">
        <v>32531.200000000001</v>
      </c>
      <c r="X315" s="379">
        <v>18594.400000000001</v>
      </c>
      <c r="Y315" s="379">
        <v>32531.200000000001</v>
      </c>
      <c r="Z315" s="379">
        <v>18438.25</v>
      </c>
      <c r="AA315" s="375" t="s">
        <v>1278</v>
      </c>
      <c r="AB315" s="375" t="s">
        <v>1279</v>
      </c>
      <c r="AC315" s="375" t="s">
        <v>895</v>
      </c>
      <c r="AD315" s="375" t="s">
        <v>214</v>
      </c>
      <c r="AE315" s="375" t="s">
        <v>666</v>
      </c>
      <c r="AF315" s="375" t="s">
        <v>206</v>
      </c>
      <c r="AG315" s="375" t="s">
        <v>183</v>
      </c>
      <c r="AH315" s="380">
        <v>15.64</v>
      </c>
      <c r="AI315" s="380">
        <v>9201.2999999999993</v>
      </c>
      <c r="AJ315" s="375" t="s">
        <v>184</v>
      </c>
      <c r="AK315" s="375" t="s">
        <v>185</v>
      </c>
      <c r="AL315" s="375" t="s">
        <v>173</v>
      </c>
      <c r="AM315" s="375" t="s">
        <v>186</v>
      </c>
      <c r="AN315" s="375" t="s">
        <v>68</v>
      </c>
      <c r="AO315" s="378">
        <v>80</v>
      </c>
      <c r="AP315" s="384">
        <v>1</v>
      </c>
      <c r="AQ315" s="384">
        <v>1</v>
      </c>
      <c r="AR315" s="383" t="s">
        <v>187</v>
      </c>
      <c r="AS315" s="386">
        <f t="shared" si="203"/>
        <v>1</v>
      </c>
      <c r="AT315">
        <f t="shared" si="204"/>
        <v>1</v>
      </c>
      <c r="AU315" s="386">
        <f>IF(AT315=0,"",IF(AND(AT315=1,M315="F",SUMIF(C2:C557,C315,AS2:AS557)&lt;=1),SUMIF(C2:C557,C315,AS2:AS557),IF(AND(AT315=1,M315="F",SUMIF(C2:C557,C315,AS2:AS557)&gt;1),1,"")))</f>
        <v>1</v>
      </c>
      <c r="AV315" s="386" t="str">
        <f>IF(AT315=0,"",IF(AND(AT315=3,M315="F",SUMIF(C2:C557,C315,AS2:AS557)&lt;=1),SUMIF(C2:C557,C315,AS2:AS557),IF(AND(AT315=3,M315="F",SUMIF(C2:C557,C315,AS2:AS557)&gt;1),1,"")))</f>
        <v/>
      </c>
      <c r="AW315" s="386">
        <f>SUMIF(C2:C557,C315,O2:O557)</f>
        <v>1</v>
      </c>
      <c r="AX315" s="386">
        <f>IF(AND(M315="F",AS315&lt;&gt;0),SUMIF(C2:C557,C315,W2:W557),0)</f>
        <v>32531.200000000001</v>
      </c>
      <c r="AY315" s="386">
        <f t="shared" si="205"/>
        <v>32531.200000000001</v>
      </c>
      <c r="AZ315" s="386" t="str">
        <f t="shared" si="206"/>
        <v/>
      </c>
      <c r="BA315" s="386">
        <f t="shared" si="207"/>
        <v>0</v>
      </c>
      <c r="BB315" s="386">
        <f t="shared" si="176"/>
        <v>11650</v>
      </c>
      <c r="BC315" s="386">
        <f t="shared" si="177"/>
        <v>0</v>
      </c>
      <c r="BD315" s="386">
        <f t="shared" si="178"/>
        <v>2016.9344000000001</v>
      </c>
      <c r="BE315" s="386">
        <f t="shared" si="179"/>
        <v>471.70240000000001</v>
      </c>
      <c r="BF315" s="386">
        <f t="shared" si="180"/>
        <v>3884.2252800000001</v>
      </c>
      <c r="BG315" s="386">
        <f t="shared" si="181"/>
        <v>234.54995200000002</v>
      </c>
      <c r="BH315" s="386">
        <f t="shared" si="182"/>
        <v>159.40288000000001</v>
      </c>
      <c r="BI315" s="386">
        <f t="shared" si="183"/>
        <v>99.54547199999999</v>
      </c>
      <c r="BJ315" s="386">
        <f t="shared" si="184"/>
        <v>78.074879999999993</v>
      </c>
      <c r="BK315" s="386">
        <f t="shared" si="185"/>
        <v>0</v>
      </c>
      <c r="BL315" s="386">
        <f t="shared" si="208"/>
        <v>6944.4352640000006</v>
      </c>
      <c r="BM315" s="386">
        <f t="shared" si="209"/>
        <v>0</v>
      </c>
      <c r="BN315" s="386">
        <f t="shared" si="186"/>
        <v>11650</v>
      </c>
      <c r="BO315" s="386">
        <f t="shared" si="187"/>
        <v>0</v>
      </c>
      <c r="BP315" s="386">
        <f t="shared" si="188"/>
        <v>2016.9344000000001</v>
      </c>
      <c r="BQ315" s="386">
        <f t="shared" si="189"/>
        <v>471.70240000000001</v>
      </c>
      <c r="BR315" s="386">
        <f t="shared" si="190"/>
        <v>3884.2252800000001</v>
      </c>
      <c r="BS315" s="386">
        <f t="shared" si="191"/>
        <v>234.54995200000002</v>
      </c>
      <c r="BT315" s="386">
        <f t="shared" si="192"/>
        <v>0</v>
      </c>
      <c r="BU315" s="386">
        <f t="shared" si="193"/>
        <v>99.54547199999999</v>
      </c>
      <c r="BV315" s="386">
        <f t="shared" si="194"/>
        <v>81.328000000000003</v>
      </c>
      <c r="BW315" s="386">
        <f t="shared" si="195"/>
        <v>0</v>
      </c>
      <c r="BX315" s="386">
        <f t="shared" si="210"/>
        <v>6788.2855040000013</v>
      </c>
      <c r="BY315" s="386">
        <f t="shared" si="211"/>
        <v>0</v>
      </c>
      <c r="BZ315" s="386">
        <f t="shared" si="212"/>
        <v>0</v>
      </c>
      <c r="CA315" s="386">
        <f t="shared" si="213"/>
        <v>0</v>
      </c>
      <c r="CB315" s="386">
        <f t="shared" si="214"/>
        <v>0</v>
      </c>
      <c r="CC315" s="386">
        <f t="shared" si="196"/>
        <v>0</v>
      </c>
      <c r="CD315" s="386">
        <f t="shared" si="197"/>
        <v>0</v>
      </c>
      <c r="CE315" s="386">
        <f t="shared" si="198"/>
        <v>0</v>
      </c>
      <c r="CF315" s="386">
        <f t="shared" si="199"/>
        <v>-159.40288000000001</v>
      </c>
      <c r="CG315" s="386">
        <f t="shared" si="200"/>
        <v>0</v>
      </c>
      <c r="CH315" s="386">
        <f t="shared" si="201"/>
        <v>3.2531200000000084</v>
      </c>
      <c r="CI315" s="386">
        <f t="shared" si="202"/>
        <v>0</v>
      </c>
      <c r="CJ315" s="386">
        <f t="shared" si="215"/>
        <v>-156.14976000000001</v>
      </c>
      <c r="CK315" s="386" t="str">
        <f t="shared" si="216"/>
        <v/>
      </c>
      <c r="CL315" s="386" t="str">
        <f t="shared" si="217"/>
        <v/>
      </c>
      <c r="CM315" s="386" t="str">
        <f t="shared" si="218"/>
        <v/>
      </c>
      <c r="CN315" s="386" t="str">
        <f t="shared" si="219"/>
        <v>0001-00</v>
      </c>
    </row>
    <row r="316" spans="1:92" ht="15.75" thickBot="1" x14ac:dyDescent="0.3">
      <c r="A316" s="375" t="s">
        <v>161</v>
      </c>
      <c r="B316" s="375" t="s">
        <v>162</v>
      </c>
      <c r="C316" s="375" t="s">
        <v>1280</v>
      </c>
      <c r="D316" s="375" t="s">
        <v>464</v>
      </c>
      <c r="E316" s="375" t="s">
        <v>165</v>
      </c>
      <c r="F316" s="376" t="s">
        <v>166</v>
      </c>
      <c r="G316" s="375" t="s">
        <v>1069</v>
      </c>
      <c r="H316" s="377"/>
      <c r="I316" s="377"/>
      <c r="J316" s="375" t="s">
        <v>168</v>
      </c>
      <c r="K316" s="375" t="s">
        <v>465</v>
      </c>
      <c r="L316" s="375" t="s">
        <v>166</v>
      </c>
      <c r="M316" s="375" t="s">
        <v>171</v>
      </c>
      <c r="N316" s="375" t="s">
        <v>262</v>
      </c>
      <c r="O316" s="378">
        <v>0</v>
      </c>
      <c r="P316" s="384">
        <v>1</v>
      </c>
      <c r="Q316" s="384">
        <v>0</v>
      </c>
      <c r="R316" s="379">
        <v>0</v>
      </c>
      <c r="S316" s="384">
        <v>0</v>
      </c>
      <c r="T316" s="379">
        <v>19993.91</v>
      </c>
      <c r="U316" s="379">
        <v>0</v>
      </c>
      <c r="V316" s="379">
        <v>1627.79</v>
      </c>
      <c r="W316" s="379">
        <v>19993.91</v>
      </c>
      <c r="X316" s="379">
        <v>1627.79</v>
      </c>
      <c r="Y316" s="379">
        <v>19993.91</v>
      </c>
      <c r="Z316" s="379">
        <v>1627.79</v>
      </c>
      <c r="AA316" s="377"/>
      <c r="AB316" s="375" t="s">
        <v>45</v>
      </c>
      <c r="AC316" s="375" t="s">
        <v>45</v>
      </c>
      <c r="AD316" s="377"/>
      <c r="AE316" s="377"/>
      <c r="AF316" s="377"/>
      <c r="AG316" s="377"/>
      <c r="AH316" s="378">
        <v>0</v>
      </c>
      <c r="AI316" s="378">
        <v>0</v>
      </c>
      <c r="AJ316" s="377"/>
      <c r="AK316" s="377"/>
      <c r="AL316" s="375" t="s">
        <v>173</v>
      </c>
      <c r="AM316" s="377"/>
      <c r="AN316" s="377"/>
      <c r="AO316" s="378">
        <v>0</v>
      </c>
      <c r="AP316" s="384">
        <v>0</v>
      </c>
      <c r="AQ316" s="384">
        <v>0</v>
      </c>
      <c r="AR316" s="382"/>
      <c r="AS316" s="386">
        <f t="shared" si="203"/>
        <v>0</v>
      </c>
      <c r="AT316">
        <f t="shared" si="204"/>
        <v>0</v>
      </c>
      <c r="AU316" s="386" t="str">
        <f>IF(AT316=0,"",IF(AND(AT316=1,M316="F",SUMIF(C2:C557,C316,AS2:AS557)&lt;=1),SUMIF(C2:C557,C316,AS2:AS557),IF(AND(AT316=1,M316="F",SUMIF(C2:C557,C316,AS2:AS557)&gt;1),1,"")))</f>
        <v/>
      </c>
      <c r="AV316" s="386" t="str">
        <f>IF(AT316=0,"",IF(AND(AT316=3,M316="F",SUMIF(C2:C557,C316,AS2:AS557)&lt;=1),SUMIF(C2:C557,C316,AS2:AS557),IF(AND(AT316=3,M316="F",SUMIF(C2:C557,C316,AS2:AS557)&gt;1),1,"")))</f>
        <v/>
      </c>
      <c r="AW316" s="386">
        <f>SUMIF(C2:C557,C316,O2:O557)</f>
        <v>0</v>
      </c>
      <c r="AX316" s="386">
        <f>IF(AND(M316="F",AS316&lt;&gt;0),SUMIF(C2:C557,C316,W2:W557),0)</f>
        <v>0</v>
      </c>
      <c r="AY316" s="386" t="str">
        <f t="shared" si="205"/>
        <v/>
      </c>
      <c r="AZ316" s="386" t="str">
        <f t="shared" si="206"/>
        <v/>
      </c>
      <c r="BA316" s="386">
        <f t="shared" si="207"/>
        <v>0</v>
      </c>
      <c r="BB316" s="386">
        <f t="shared" si="176"/>
        <v>0</v>
      </c>
      <c r="BC316" s="386">
        <f t="shared" si="177"/>
        <v>0</v>
      </c>
      <c r="BD316" s="386">
        <f t="shared" si="178"/>
        <v>0</v>
      </c>
      <c r="BE316" s="386">
        <f t="shared" si="179"/>
        <v>0</v>
      </c>
      <c r="BF316" s="386">
        <f t="shared" si="180"/>
        <v>0</v>
      </c>
      <c r="BG316" s="386">
        <f t="shared" si="181"/>
        <v>0</v>
      </c>
      <c r="BH316" s="386">
        <f t="shared" si="182"/>
        <v>0</v>
      </c>
      <c r="BI316" s="386">
        <f t="shared" si="183"/>
        <v>0</v>
      </c>
      <c r="BJ316" s="386">
        <f t="shared" si="184"/>
        <v>0</v>
      </c>
      <c r="BK316" s="386">
        <f t="shared" si="185"/>
        <v>0</v>
      </c>
      <c r="BL316" s="386">
        <f t="shared" si="208"/>
        <v>0</v>
      </c>
      <c r="BM316" s="386">
        <f t="shared" si="209"/>
        <v>0</v>
      </c>
      <c r="BN316" s="386">
        <f t="shared" si="186"/>
        <v>0</v>
      </c>
      <c r="BO316" s="386">
        <f t="shared" si="187"/>
        <v>0</v>
      </c>
      <c r="BP316" s="386">
        <f t="shared" si="188"/>
        <v>0</v>
      </c>
      <c r="BQ316" s="386">
        <f t="shared" si="189"/>
        <v>0</v>
      </c>
      <c r="BR316" s="386">
        <f t="shared" si="190"/>
        <v>0</v>
      </c>
      <c r="BS316" s="386">
        <f t="shared" si="191"/>
        <v>0</v>
      </c>
      <c r="BT316" s="386">
        <f t="shared" si="192"/>
        <v>0</v>
      </c>
      <c r="BU316" s="386">
        <f t="shared" si="193"/>
        <v>0</v>
      </c>
      <c r="BV316" s="386">
        <f t="shared" si="194"/>
        <v>0</v>
      </c>
      <c r="BW316" s="386">
        <f t="shared" si="195"/>
        <v>0</v>
      </c>
      <c r="BX316" s="386">
        <f t="shared" si="210"/>
        <v>0</v>
      </c>
      <c r="BY316" s="386">
        <f t="shared" si="211"/>
        <v>0</v>
      </c>
      <c r="BZ316" s="386">
        <f t="shared" si="212"/>
        <v>0</v>
      </c>
      <c r="CA316" s="386">
        <f t="shared" si="213"/>
        <v>0</v>
      </c>
      <c r="CB316" s="386">
        <f t="shared" si="214"/>
        <v>0</v>
      </c>
      <c r="CC316" s="386">
        <f t="shared" si="196"/>
        <v>0</v>
      </c>
      <c r="CD316" s="386">
        <f t="shared" si="197"/>
        <v>0</v>
      </c>
      <c r="CE316" s="386">
        <f t="shared" si="198"/>
        <v>0</v>
      </c>
      <c r="CF316" s="386">
        <f t="shared" si="199"/>
        <v>0</v>
      </c>
      <c r="CG316" s="386">
        <f t="shared" si="200"/>
        <v>0</v>
      </c>
      <c r="CH316" s="386">
        <f t="shared" si="201"/>
        <v>0</v>
      </c>
      <c r="CI316" s="386">
        <f t="shared" si="202"/>
        <v>0</v>
      </c>
      <c r="CJ316" s="386">
        <f t="shared" si="215"/>
        <v>0</v>
      </c>
      <c r="CK316" s="386" t="str">
        <f t="shared" si="216"/>
        <v/>
      </c>
      <c r="CL316" s="386">
        <f t="shared" si="217"/>
        <v>19993.91</v>
      </c>
      <c r="CM316" s="386">
        <f t="shared" si="218"/>
        <v>1627.79</v>
      </c>
      <c r="CN316" s="386" t="str">
        <f t="shared" si="219"/>
        <v>0001-00</v>
      </c>
    </row>
    <row r="317" spans="1:92" ht="15.75" thickBot="1" x14ac:dyDescent="0.3">
      <c r="A317" s="375" t="s">
        <v>161</v>
      </c>
      <c r="B317" s="375" t="s">
        <v>162</v>
      </c>
      <c r="C317" s="375" t="s">
        <v>1281</v>
      </c>
      <c r="D317" s="375" t="s">
        <v>1235</v>
      </c>
      <c r="E317" s="375" t="s">
        <v>165</v>
      </c>
      <c r="F317" s="376" t="s">
        <v>166</v>
      </c>
      <c r="G317" s="375" t="s">
        <v>1069</v>
      </c>
      <c r="H317" s="377"/>
      <c r="I317" s="377"/>
      <c r="J317" s="375" t="s">
        <v>168</v>
      </c>
      <c r="K317" s="375" t="s">
        <v>1236</v>
      </c>
      <c r="L317" s="375" t="s">
        <v>166</v>
      </c>
      <c r="M317" s="375" t="s">
        <v>171</v>
      </c>
      <c r="N317" s="375" t="s">
        <v>262</v>
      </c>
      <c r="O317" s="378">
        <v>0</v>
      </c>
      <c r="P317" s="384">
        <v>1</v>
      </c>
      <c r="Q317" s="384">
        <v>0</v>
      </c>
      <c r="R317" s="379">
        <v>0</v>
      </c>
      <c r="S317" s="384">
        <v>0</v>
      </c>
      <c r="T317" s="379">
        <v>4314.96</v>
      </c>
      <c r="U317" s="379">
        <v>0</v>
      </c>
      <c r="V317" s="379">
        <v>343.81</v>
      </c>
      <c r="W317" s="379">
        <v>4314.96</v>
      </c>
      <c r="X317" s="379">
        <v>343.81</v>
      </c>
      <c r="Y317" s="379">
        <v>4314.96</v>
      </c>
      <c r="Z317" s="379">
        <v>343.81</v>
      </c>
      <c r="AA317" s="377"/>
      <c r="AB317" s="375" t="s">
        <v>45</v>
      </c>
      <c r="AC317" s="375" t="s">
        <v>45</v>
      </c>
      <c r="AD317" s="377"/>
      <c r="AE317" s="377"/>
      <c r="AF317" s="377"/>
      <c r="AG317" s="377"/>
      <c r="AH317" s="378">
        <v>0</v>
      </c>
      <c r="AI317" s="378">
        <v>0</v>
      </c>
      <c r="AJ317" s="377"/>
      <c r="AK317" s="377"/>
      <c r="AL317" s="375" t="s">
        <v>173</v>
      </c>
      <c r="AM317" s="377"/>
      <c r="AN317" s="377"/>
      <c r="AO317" s="378">
        <v>0</v>
      </c>
      <c r="AP317" s="384">
        <v>0</v>
      </c>
      <c r="AQ317" s="384">
        <v>0</v>
      </c>
      <c r="AR317" s="382"/>
      <c r="AS317" s="386">
        <f t="shared" si="203"/>
        <v>0</v>
      </c>
      <c r="AT317">
        <f t="shared" si="204"/>
        <v>0</v>
      </c>
      <c r="AU317" s="386" t="str">
        <f>IF(AT317=0,"",IF(AND(AT317=1,M317="F",SUMIF(C2:C557,C317,AS2:AS557)&lt;=1),SUMIF(C2:C557,C317,AS2:AS557),IF(AND(AT317=1,M317="F",SUMIF(C2:C557,C317,AS2:AS557)&gt;1),1,"")))</f>
        <v/>
      </c>
      <c r="AV317" s="386" t="str">
        <f>IF(AT317=0,"",IF(AND(AT317=3,M317="F",SUMIF(C2:C557,C317,AS2:AS557)&lt;=1),SUMIF(C2:C557,C317,AS2:AS557),IF(AND(AT317=3,M317="F",SUMIF(C2:C557,C317,AS2:AS557)&gt;1),1,"")))</f>
        <v/>
      </c>
      <c r="AW317" s="386">
        <f>SUMIF(C2:C557,C317,O2:O557)</f>
        <v>0</v>
      </c>
      <c r="AX317" s="386">
        <f>IF(AND(M317="F",AS317&lt;&gt;0),SUMIF(C2:C557,C317,W2:W557),0)</f>
        <v>0</v>
      </c>
      <c r="AY317" s="386" t="str">
        <f t="shared" si="205"/>
        <v/>
      </c>
      <c r="AZ317" s="386" t="str">
        <f t="shared" si="206"/>
        <v/>
      </c>
      <c r="BA317" s="386">
        <f t="shared" si="207"/>
        <v>0</v>
      </c>
      <c r="BB317" s="386">
        <f t="shared" si="176"/>
        <v>0</v>
      </c>
      <c r="BC317" s="386">
        <f t="shared" si="177"/>
        <v>0</v>
      </c>
      <c r="BD317" s="386">
        <f t="shared" si="178"/>
        <v>0</v>
      </c>
      <c r="BE317" s="386">
        <f t="shared" si="179"/>
        <v>0</v>
      </c>
      <c r="BF317" s="386">
        <f t="shared" si="180"/>
        <v>0</v>
      </c>
      <c r="BG317" s="386">
        <f t="shared" si="181"/>
        <v>0</v>
      </c>
      <c r="BH317" s="386">
        <f t="shared" si="182"/>
        <v>0</v>
      </c>
      <c r="BI317" s="386">
        <f t="shared" si="183"/>
        <v>0</v>
      </c>
      <c r="BJ317" s="386">
        <f t="shared" si="184"/>
        <v>0</v>
      </c>
      <c r="BK317" s="386">
        <f t="shared" si="185"/>
        <v>0</v>
      </c>
      <c r="BL317" s="386">
        <f t="shared" si="208"/>
        <v>0</v>
      </c>
      <c r="BM317" s="386">
        <f t="shared" si="209"/>
        <v>0</v>
      </c>
      <c r="BN317" s="386">
        <f t="shared" si="186"/>
        <v>0</v>
      </c>
      <c r="BO317" s="386">
        <f t="shared" si="187"/>
        <v>0</v>
      </c>
      <c r="BP317" s="386">
        <f t="shared" si="188"/>
        <v>0</v>
      </c>
      <c r="BQ317" s="386">
        <f t="shared" si="189"/>
        <v>0</v>
      </c>
      <c r="BR317" s="386">
        <f t="shared" si="190"/>
        <v>0</v>
      </c>
      <c r="BS317" s="386">
        <f t="shared" si="191"/>
        <v>0</v>
      </c>
      <c r="BT317" s="386">
        <f t="shared" si="192"/>
        <v>0</v>
      </c>
      <c r="BU317" s="386">
        <f t="shared" si="193"/>
        <v>0</v>
      </c>
      <c r="BV317" s="386">
        <f t="shared" si="194"/>
        <v>0</v>
      </c>
      <c r="BW317" s="386">
        <f t="shared" si="195"/>
        <v>0</v>
      </c>
      <c r="BX317" s="386">
        <f t="shared" si="210"/>
        <v>0</v>
      </c>
      <c r="BY317" s="386">
        <f t="shared" si="211"/>
        <v>0</v>
      </c>
      <c r="BZ317" s="386">
        <f t="shared" si="212"/>
        <v>0</v>
      </c>
      <c r="CA317" s="386">
        <f t="shared" si="213"/>
        <v>0</v>
      </c>
      <c r="CB317" s="386">
        <f t="shared" si="214"/>
        <v>0</v>
      </c>
      <c r="CC317" s="386">
        <f t="shared" si="196"/>
        <v>0</v>
      </c>
      <c r="CD317" s="386">
        <f t="shared" si="197"/>
        <v>0</v>
      </c>
      <c r="CE317" s="386">
        <f t="shared" si="198"/>
        <v>0</v>
      </c>
      <c r="CF317" s="386">
        <f t="shared" si="199"/>
        <v>0</v>
      </c>
      <c r="CG317" s="386">
        <f t="shared" si="200"/>
        <v>0</v>
      </c>
      <c r="CH317" s="386">
        <f t="shared" si="201"/>
        <v>0</v>
      </c>
      <c r="CI317" s="386">
        <f t="shared" si="202"/>
        <v>0</v>
      </c>
      <c r="CJ317" s="386">
        <f t="shared" si="215"/>
        <v>0</v>
      </c>
      <c r="CK317" s="386" t="str">
        <f t="shared" si="216"/>
        <v/>
      </c>
      <c r="CL317" s="386">
        <f t="shared" si="217"/>
        <v>4314.96</v>
      </c>
      <c r="CM317" s="386">
        <f t="shared" si="218"/>
        <v>343.81</v>
      </c>
      <c r="CN317" s="386" t="str">
        <f t="shared" si="219"/>
        <v>0001-00</v>
      </c>
    </row>
    <row r="318" spans="1:92" ht="15.75" thickBot="1" x14ac:dyDescent="0.3">
      <c r="A318" s="375" t="s">
        <v>161</v>
      </c>
      <c r="B318" s="375" t="s">
        <v>162</v>
      </c>
      <c r="C318" s="375" t="s">
        <v>1282</v>
      </c>
      <c r="D318" s="375" t="s">
        <v>746</v>
      </c>
      <c r="E318" s="375" t="s">
        <v>165</v>
      </c>
      <c r="F318" s="376" t="s">
        <v>166</v>
      </c>
      <c r="G318" s="375" t="s">
        <v>1069</v>
      </c>
      <c r="H318" s="377"/>
      <c r="I318" s="377"/>
      <c r="J318" s="375" t="s">
        <v>168</v>
      </c>
      <c r="K318" s="375" t="s">
        <v>747</v>
      </c>
      <c r="L318" s="375" t="s">
        <v>210</v>
      </c>
      <c r="M318" s="375" t="s">
        <v>177</v>
      </c>
      <c r="N318" s="375" t="s">
        <v>199</v>
      </c>
      <c r="O318" s="378">
        <v>1</v>
      </c>
      <c r="P318" s="384">
        <v>1</v>
      </c>
      <c r="Q318" s="384">
        <v>1</v>
      </c>
      <c r="R318" s="379">
        <v>80</v>
      </c>
      <c r="S318" s="384">
        <v>1</v>
      </c>
      <c r="T318" s="379">
        <v>32085.98</v>
      </c>
      <c r="U318" s="379">
        <v>0</v>
      </c>
      <c r="V318" s="379">
        <v>18308.72</v>
      </c>
      <c r="W318" s="379">
        <v>38916.800000000003</v>
      </c>
      <c r="X318" s="379">
        <v>19957.55</v>
      </c>
      <c r="Y318" s="379">
        <v>38916.800000000003</v>
      </c>
      <c r="Z318" s="379">
        <v>19770.75</v>
      </c>
      <c r="AA318" s="375" t="s">
        <v>1283</v>
      </c>
      <c r="AB318" s="375" t="s">
        <v>888</v>
      </c>
      <c r="AC318" s="375" t="s">
        <v>1284</v>
      </c>
      <c r="AD318" s="375" t="s">
        <v>195</v>
      </c>
      <c r="AE318" s="375" t="s">
        <v>747</v>
      </c>
      <c r="AF318" s="375" t="s">
        <v>215</v>
      </c>
      <c r="AG318" s="375" t="s">
        <v>183</v>
      </c>
      <c r="AH318" s="380">
        <v>18.71</v>
      </c>
      <c r="AI318" s="380">
        <v>14549.2</v>
      </c>
      <c r="AJ318" s="375" t="s">
        <v>184</v>
      </c>
      <c r="AK318" s="375" t="s">
        <v>185</v>
      </c>
      <c r="AL318" s="375" t="s">
        <v>173</v>
      </c>
      <c r="AM318" s="375" t="s">
        <v>186</v>
      </c>
      <c r="AN318" s="375" t="s">
        <v>68</v>
      </c>
      <c r="AO318" s="378">
        <v>80</v>
      </c>
      <c r="AP318" s="384">
        <v>1</v>
      </c>
      <c r="AQ318" s="384">
        <v>1</v>
      </c>
      <c r="AR318" s="383" t="s">
        <v>187</v>
      </c>
      <c r="AS318" s="386">
        <f t="shared" si="203"/>
        <v>1</v>
      </c>
      <c r="AT318">
        <f t="shared" si="204"/>
        <v>1</v>
      </c>
      <c r="AU318" s="386">
        <f>IF(AT318=0,"",IF(AND(AT318=1,M318="F",SUMIF(C2:C557,C318,AS2:AS557)&lt;=1),SUMIF(C2:C557,C318,AS2:AS557),IF(AND(AT318=1,M318="F",SUMIF(C2:C557,C318,AS2:AS557)&gt;1),1,"")))</f>
        <v>1</v>
      </c>
      <c r="AV318" s="386" t="str">
        <f>IF(AT318=0,"",IF(AND(AT318=3,M318="F",SUMIF(C2:C557,C318,AS2:AS557)&lt;=1),SUMIF(C2:C557,C318,AS2:AS557),IF(AND(AT318=3,M318="F",SUMIF(C2:C557,C318,AS2:AS557)&gt;1),1,"")))</f>
        <v/>
      </c>
      <c r="AW318" s="386">
        <f>SUMIF(C2:C557,C318,O2:O557)</f>
        <v>1</v>
      </c>
      <c r="AX318" s="386">
        <f>IF(AND(M318="F",AS318&lt;&gt;0),SUMIF(C2:C557,C318,W2:W557),0)</f>
        <v>38916.800000000003</v>
      </c>
      <c r="AY318" s="386">
        <f t="shared" si="205"/>
        <v>38916.800000000003</v>
      </c>
      <c r="AZ318" s="386" t="str">
        <f t="shared" si="206"/>
        <v/>
      </c>
      <c r="BA318" s="386">
        <f t="shared" si="207"/>
        <v>0</v>
      </c>
      <c r="BB318" s="386">
        <f t="shared" si="176"/>
        <v>11650</v>
      </c>
      <c r="BC318" s="386">
        <f t="shared" si="177"/>
        <v>0</v>
      </c>
      <c r="BD318" s="386">
        <f t="shared" si="178"/>
        <v>2412.8416000000002</v>
      </c>
      <c r="BE318" s="386">
        <f t="shared" si="179"/>
        <v>564.29360000000008</v>
      </c>
      <c r="BF318" s="386">
        <f t="shared" si="180"/>
        <v>4646.6659200000004</v>
      </c>
      <c r="BG318" s="386">
        <f t="shared" si="181"/>
        <v>280.59012800000005</v>
      </c>
      <c r="BH318" s="386">
        <f t="shared" si="182"/>
        <v>190.69232</v>
      </c>
      <c r="BI318" s="386">
        <f t="shared" si="183"/>
        <v>119.085408</v>
      </c>
      <c r="BJ318" s="386">
        <f t="shared" si="184"/>
        <v>93.400319999999994</v>
      </c>
      <c r="BK318" s="386">
        <f t="shared" si="185"/>
        <v>0</v>
      </c>
      <c r="BL318" s="386">
        <f t="shared" si="208"/>
        <v>8307.5692960000015</v>
      </c>
      <c r="BM318" s="386">
        <f t="shared" si="209"/>
        <v>0</v>
      </c>
      <c r="BN318" s="386">
        <f t="shared" si="186"/>
        <v>11650</v>
      </c>
      <c r="BO318" s="386">
        <f t="shared" si="187"/>
        <v>0</v>
      </c>
      <c r="BP318" s="386">
        <f t="shared" si="188"/>
        <v>2412.8416000000002</v>
      </c>
      <c r="BQ318" s="386">
        <f t="shared" si="189"/>
        <v>564.29360000000008</v>
      </c>
      <c r="BR318" s="386">
        <f t="shared" si="190"/>
        <v>4646.6659200000004</v>
      </c>
      <c r="BS318" s="386">
        <f t="shared" si="191"/>
        <v>280.59012800000005</v>
      </c>
      <c r="BT318" s="386">
        <f t="shared" si="192"/>
        <v>0</v>
      </c>
      <c r="BU318" s="386">
        <f t="shared" si="193"/>
        <v>119.085408</v>
      </c>
      <c r="BV318" s="386">
        <f t="shared" si="194"/>
        <v>97.292000000000016</v>
      </c>
      <c r="BW318" s="386">
        <f t="shared" si="195"/>
        <v>0</v>
      </c>
      <c r="BX318" s="386">
        <f t="shared" si="210"/>
        <v>8120.7686560000002</v>
      </c>
      <c r="BY318" s="386">
        <f t="shared" si="211"/>
        <v>0</v>
      </c>
      <c r="BZ318" s="386">
        <f t="shared" si="212"/>
        <v>0</v>
      </c>
      <c r="CA318" s="386">
        <f t="shared" si="213"/>
        <v>0</v>
      </c>
      <c r="CB318" s="386">
        <f t="shared" si="214"/>
        <v>0</v>
      </c>
      <c r="CC318" s="386">
        <f t="shared" si="196"/>
        <v>0</v>
      </c>
      <c r="CD318" s="386">
        <f t="shared" si="197"/>
        <v>0</v>
      </c>
      <c r="CE318" s="386">
        <f t="shared" si="198"/>
        <v>0</v>
      </c>
      <c r="CF318" s="386">
        <f t="shared" si="199"/>
        <v>-190.69232</v>
      </c>
      <c r="CG318" s="386">
        <f t="shared" si="200"/>
        <v>0</v>
      </c>
      <c r="CH318" s="386">
        <f t="shared" si="201"/>
        <v>3.8916800000000107</v>
      </c>
      <c r="CI318" s="386">
        <f t="shared" si="202"/>
        <v>0</v>
      </c>
      <c r="CJ318" s="386">
        <f t="shared" si="215"/>
        <v>-186.80063999999999</v>
      </c>
      <c r="CK318" s="386" t="str">
        <f t="shared" si="216"/>
        <v/>
      </c>
      <c r="CL318" s="386" t="str">
        <f t="shared" si="217"/>
        <v/>
      </c>
      <c r="CM318" s="386" t="str">
        <f t="shared" si="218"/>
        <v/>
      </c>
      <c r="CN318" s="386" t="str">
        <f t="shared" si="219"/>
        <v>0001-00</v>
      </c>
    </row>
    <row r="319" spans="1:92" ht="15.75" thickBot="1" x14ac:dyDescent="0.3">
      <c r="A319" s="375" t="s">
        <v>161</v>
      </c>
      <c r="B319" s="375" t="s">
        <v>162</v>
      </c>
      <c r="C319" s="375" t="s">
        <v>1285</v>
      </c>
      <c r="D319" s="375" t="s">
        <v>746</v>
      </c>
      <c r="E319" s="375" t="s">
        <v>165</v>
      </c>
      <c r="F319" s="376" t="s">
        <v>166</v>
      </c>
      <c r="G319" s="375" t="s">
        <v>1069</v>
      </c>
      <c r="H319" s="377"/>
      <c r="I319" s="377"/>
      <c r="J319" s="375" t="s">
        <v>168</v>
      </c>
      <c r="K319" s="375" t="s">
        <v>747</v>
      </c>
      <c r="L319" s="375" t="s">
        <v>210</v>
      </c>
      <c r="M319" s="375" t="s">
        <v>177</v>
      </c>
      <c r="N319" s="375" t="s">
        <v>199</v>
      </c>
      <c r="O319" s="378">
        <v>1</v>
      </c>
      <c r="P319" s="384">
        <v>1</v>
      </c>
      <c r="Q319" s="384">
        <v>1</v>
      </c>
      <c r="R319" s="379">
        <v>80</v>
      </c>
      <c r="S319" s="384">
        <v>1</v>
      </c>
      <c r="T319" s="379">
        <v>30693.919999999998</v>
      </c>
      <c r="U319" s="379">
        <v>925.86</v>
      </c>
      <c r="V319" s="379">
        <v>17187.5</v>
      </c>
      <c r="W319" s="379">
        <v>36732.800000000003</v>
      </c>
      <c r="X319" s="379">
        <v>19491.32</v>
      </c>
      <c r="Y319" s="379">
        <v>36732.800000000003</v>
      </c>
      <c r="Z319" s="379">
        <v>19315.009999999998</v>
      </c>
      <c r="AA319" s="375" t="s">
        <v>1286</v>
      </c>
      <c r="AB319" s="375" t="s">
        <v>1287</v>
      </c>
      <c r="AC319" s="375" t="s">
        <v>1288</v>
      </c>
      <c r="AD319" s="375" t="s">
        <v>183</v>
      </c>
      <c r="AE319" s="375" t="s">
        <v>747</v>
      </c>
      <c r="AF319" s="375" t="s">
        <v>215</v>
      </c>
      <c r="AG319" s="375" t="s">
        <v>183</v>
      </c>
      <c r="AH319" s="380">
        <v>17.66</v>
      </c>
      <c r="AI319" s="380">
        <v>8544.4</v>
      </c>
      <c r="AJ319" s="375" t="s">
        <v>184</v>
      </c>
      <c r="AK319" s="375" t="s">
        <v>185</v>
      </c>
      <c r="AL319" s="375" t="s">
        <v>173</v>
      </c>
      <c r="AM319" s="375" t="s">
        <v>186</v>
      </c>
      <c r="AN319" s="375" t="s">
        <v>68</v>
      </c>
      <c r="AO319" s="378">
        <v>80</v>
      </c>
      <c r="AP319" s="384">
        <v>1</v>
      </c>
      <c r="AQ319" s="384">
        <v>1</v>
      </c>
      <c r="AR319" s="383" t="s">
        <v>187</v>
      </c>
      <c r="AS319" s="386">
        <f t="shared" si="203"/>
        <v>1</v>
      </c>
      <c r="AT319">
        <f t="shared" si="204"/>
        <v>1</v>
      </c>
      <c r="AU319" s="386">
        <f>IF(AT319=0,"",IF(AND(AT319=1,M319="F",SUMIF(C2:C557,C319,AS2:AS557)&lt;=1),SUMIF(C2:C557,C319,AS2:AS557),IF(AND(AT319=1,M319="F",SUMIF(C2:C557,C319,AS2:AS557)&gt;1),1,"")))</f>
        <v>1</v>
      </c>
      <c r="AV319" s="386" t="str">
        <f>IF(AT319=0,"",IF(AND(AT319=3,M319="F",SUMIF(C2:C557,C319,AS2:AS557)&lt;=1),SUMIF(C2:C557,C319,AS2:AS557),IF(AND(AT319=3,M319="F",SUMIF(C2:C557,C319,AS2:AS557)&gt;1),1,"")))</f>
        <v/>
      </c>
      <c r="AW319" s="386">
        <f>SUMIF(C2:C557,C319,O2:O557)</f>
        <v>1</v>
      </c>
      <c r="AX319" s="386">
        <f>IF(AND(M319="F",AS319&lt;&gt;0),SUMIF(C2:C557,C319,W2:W557),0)</f>
        <v>36732.800000000003</v>
      </c>
      <c r="AY319" s="386">
        <f t="shared" si="205"/>
        <v>36732.800000000003</v>
      </c>
      <c r="AZ319" s="386" t="str">
        <f t="shared" si="206"/>
        <v/>
      </c>
      <c r="BA319" s="386">
        <f t="shared" si="207"/>
        <v>0</v>
      </c>
      <c r="BB319" s="386">
        <f t="shared" si="176"/>
        <v>11650</v>
      </c>
      <c r="BC319" s="386">
        <f t="shared" si="177"/>
        <v>0</v>
      </c>
      <c r="BD319" s="386">
        <f t="shared" si="178"/>
        <v>2277.4336000000003</v>
      </c>
      <c r="BE319" s="386">
        <f t="shared" si="179"/>
        <v>532.62560000000008</v>
      </c>
      <c r="BF319" s="386">
        <f t="shared" si="180"/>
        <v>4385.8963200000007</v>
      </c>
      <c r="BG319" s="386">
        <f t="shared" si="181"/>
        <v>264.84348800000004</v>
      </c>
      <c r="BH319" s="386">
        <f t="shared" si="182"/>
        <v>179.99072000000001</v>
      </c>
      <c r="BI319" s="386">
        <f t="shared" si="183"/>
        <v>112.402368</v>
      </c>
      <c r="BJ319" s="386">
        <f t="shared" si="184"/>
        <v>88.158720000000002</v>
      </c>
      <c r="BK319" s="386">
        <f t="shared" si="185"/>
        <v>0</v>
      </c>
      <c r="BL319" s="386">
        <f t="shared" si="208"/>
        <v>7841.3508160000019</v>
      </c>
      <c r="BM319" s="386">
        <f t="shared" si="209"/>
        <v>0</v>
      </c>
      <c r="BN319" s="386">
        <f t="shared" si="186"/>
        <v>11650</v>
      </c>
      <c r="BO319" s="386">
        <f t="shared" si="187"/>
        <v>0</v>
      </c>
      <c r="BP319" s="386">
        <f t="shared" si="188"/>
        <v>2277.4336000000003</v>
      </c>
      <c r="BQ319" s="386">
        <f t="shared" si="189"/>
        <v>532.62560000000008</v>
      </c>
      <c r="BR319" s="386">
        <f t="shared" si="190"/>
        <v>4385.8963200000007</v>
      </c>
      <c r="BS319" s="386">
        <f t="shared" si="191"/>
        <v>264.84348800000004</v>
      </c>
      <c r="BT319" s="386">
        <f t="shared" si="192"/>
        <v>0</v>
      </c>
      <c r="BU319" s="386">
        <f t="shared" si="193"/>
        <v>112.402368</v>
      </c>
      <c r="BV319" s="386">
        <f t="shared" si="194"/>
        <v>91.832000000000008</v>
      </c>
      <c r="BW319" s="386">
        <f t="shared" si="195"/>
        <v>0</v>
      </c>
      <c r="BX319" s="386">
        <f t="shared" si="210"/>
        <v>7665.0333760000021</v>
      </c>
      <c r="BY319" s="386">
        <f t="shared" si="211"/>
        <v>0</v>
      </c>
      <c r="BZ319" s="386">
        <f t="shared" si="212"/>
        <v>0</v>
      </c>
      <c r="CA319" s="386">
        <f t="shared" si="213"/>
        <v>0</v>
      </c>
      <c r="CB319" s="386">
        <f t="shared" si="214"/>
        <v>0</v>
      </c>
      <c r="CC319" s="386">
        <f t="shared" si="196"/>
        <v>0</v>
      </c>
      <c r="CD319" s="386">
        <f t="shared" si="197"/>
        <v>0</v>
      </c>
      <c r="CE319" s="386">
        <f t="shared" si="198"/>
        <v>0</v>
      </c>
      <c r="CF319" s="386">
        <f t="shared" si="199"/>
        <v>-179.99072000000001</v>
      </c>
      <c r="CG319" s="386">
        <f t="shared" si="200"/>
        <v>0</v>
      </c>
      <c r="CH319" s="386">
        <f t="shared" si="201"/>
        <v>3.6732800000000099</v>
      </c>
      <c r="CI319" s="386">
        <f t="shared" si="202"/>
        <v>0</v>
      </c>
      <c r="CJ319" s="386">
        <f t="shared" si="215"/>
        <v>-176.31744</v>
      </c>
      <c r="CK319" s="386" t="str">
        <f t="shared" si="216"/>
        <v/>
      </c>
      <c r="CL319" s="386" t="str">
        <f t="shared" si="217"/>
        <v/>
      </c>
      <c r="CM319" s="386" t="str">
        <f t="shared" si="218"/>
        <v/>
      </c>
      <c r="CN319" s="386" t="str">
        <f t="shared" si="219"/>
        <v>0001-00</v>
      </c>
    </row>
    <row r="320" spans="1:92" ht="15.75" thickBot="1" x14ac:dyDescent="0.3">
      <c r="A320" s="375" t="s">
        <v>161</v>
      </c>
      <c r="B320" s="375" t="s">
        <v>162</v>
      </c>
      <c r="C320" s="375" t="s">
        <v>1289</v>
      </c>
      <c r="D320" s="375" t="s">
        <v>464</v>
      </c>
      <c r="E320" s="375" t="s">
        <v>165</v>
      </c>
      <c r="F320" s="376" t="s">
        <v>166</v>
      </c>
      <c r="G320" s="375" t="s">
        <v>1069</v>
      </c>
      <c r="H320" s="377"/>
      <c r="I320" s="377"/>
      <c r="J320" s="375" t="s">
        <v>168</v>
      </c>
      <c r="K320" s="375" t="s">
        <v>465</v>
      </c>
      <c r="L320" s="375" t="s">
        <v>166</v>
      </c>
      <c r="M320" s="375" t="s">
        <v>171</v>
      </c>
      <c r="N320" s="375" t="s">
        <v>262</v>
      </c>
      <c r="O320" s="378">
        <v>0</v>
      </c>
      <c r="P320" s="384">
        <v>1</v>
      </c>
      <c r="Q320" s="384">
        <v>0</v>
      </c>
      <c r="R320" s="379">
        <v>0</v>
      </c>
      <c r="S320" s="384">
        <v>0</v>
      </c>
      <c r="T320" s="379">
        <v>73599.289999999994</v>
      </c>
      <c r="U320" s="379">
        <v>1510.83</v>
      </c>
      <c r="V320" s="379">
        <v>6059.96</v>
      </c>
      <c r="W320" s="379">
        <v>75110.12</v>
      </c>
      <c r="X320" s="379">
        <v>6059.96</v>
      </c>
      <c r="Y320" s="379">
        <v>75110.12</v>
      </c>
      <c r="Z320" s="379">
        <v>6059.96</v>
      </c>
      <c r="AA320" s="377"/>
      <c r="AB320" s="375" t="s">
        <v>45</v>
      </c>
      <c r="AC320" s="375" t="s">
        <v>45</v>
      </c>
      <c r="AD320" s="377"/>
      <c r="AE320" s="377"/>
      <c r="AF320" s="377"/>
      <c r="AG320" s="377"/>
      <c r="AH320" s="378">
        <v>0</v>
      </c>
      <c r="AI320" s="378">
        <v>0</v>
      </c>
      <c r="AJ320" s="377"/>
      <c r="AK320" s="377"/>
      <c r="AL320" s="375" t="s">
        <v>173</v>
      </c>
      <c r="AM320" s="377"/>
      <c r="AN320" s="377"/>
      <c r="AO320" s="378">
        <v>0</v>
      </c>
      <c r="AP320" s="384">
        <v>0</v>
      </c>
      <c r="AQ320" s="384">
        <v>0</v>
      </c>
      <c r="AR320" s="382"/>
      <c r="AS320" s="386">
        <f t="shared" si="203"/>
        <v>0</v>
      </c>
      <c r="AT320">
        <f t="shared" si="204"/>
        <v>0</v>
      </c>
      <c r="AU320" s="386" t="str">
        <f>IF(AT320=0,"",IF(AND(AT320=1,M320="F",SUMIF(C2:C557,C320,AS2:AS557)&lt;=1),SUMIF(C2:C557,C320,AS2:AS557),IF(AND(AT320=1,M320="F",SUMIF(C2:C557,C320,AS2:AS557)&gt;1),1,"")))</f>
        <v/>
      </c>
      <c r="AV320" s="386" t="str">
        <f>IF(AT320=0,"",IF(AND(AT320=3,M320="F",SUMIF(C2:C557,C320,AS2:AS557)&lt;=1),SUMIF(C2:C557,C320,AS2:AS557),IF(AND(AT320=3,M320="F",SUMIF(C2:C557,C320,AS2:AS557)&gt;1),1,"")))</f>
        <v/>
      </c>
      <c r="AW320" s="386">
        <f>SUMIF(C2:C557,C320,O2:O557)</f>
        <v>0</v>
      </c>
      <c r="AX320" s="386">
        <f>IF(AND(M320="F",AS320&lt;&gt;0),SUMIF(C2:C557,C320,W2:W557),0)</f>
        <v>0</v>
      </c>
      <c r="AY320" s="386" t="str">
        <f t="shared" si="205"/>
        <v/>
      </c>
      <c r="AZ320" s="386" t="str">
        <f t="shared" si="206"/>
        <v/>
      </c>
      <c r="BA320" s="386">
        <f t="shared" si="207"/>
        <v>0</v>
      </c>
      <c r="BB320" s="386">
        <f t="shared" si="176"/>
        <v>0</v>
      </c>
      <c r="BC320" s="386">
        <f t="shared" si="177"/>
        <v>0</v>
      </c>
      <c r="BD320" s="386">
        <f t="shared" si="178"/>
        <v>0</v>
      </c>
      <c r="BE320" s="386">
        <f t="shared" si="179"/>
        <v>0</v>
      </c>
      <c r="BF320" s="386">
        <f t="shared" si="180"/>
        <v>0</v>
      </c>
      <c r="BG320" s="386">
        <f t="shared" si="181"/>
        <v>0</v>
      </c>
      <c r="BH320" s="386">
        <f t="shared" si="182"/>
        <v>0</v>
      </c>
      <c r="BI320" s="386">
        <f t="shared" si="183"/>
        <v>0</v>
      </c>
      <c r="BJ320" s="386">
        <f t="shared" si="184"/>
        <v>0</v>
      </c>
      <c r="BK320" s="386">
        <f t="shared" si="185"/>
        <v>0</v>
      </c>
      <c r="BL320" s="386">
        <f t="shared" si="208"/>
        <v>0</v>
      </c>
      <c r="BM320" s="386">
        <f t="shared" si="209"/>
        <v>0</v>
      </c>
      <c r="BN320" s="386">
        <f t="shared" si="186"/>
        <v>0</v>
      </c>
      <c r="BO320" s="386">
        <f t="shared" si="187"/>
        <v>0</v>
      </c>
      <c r="BP320" s="386">
        <f t="shared" si="188"/>
        <v>0</v>
      </c>
      <c r="BQ320" s="386">
        <f t="shared" si="189"/>
        <v>0</v>
      </c>
      <c r="BR320" s="386">
        <f t="shared" si="190"/>
        <v>0</v>
      </c>
      <c r="BS320" s="386">
        <f t="shared" si="191"/>
        <v>0</v>
      </c>
      <c r="BT320" s="386">
        <f t="shared" si="192"/>
        <v>0</v>
      </c>
      <c r="BU320" s="386">
        <f t="shared" si="193"/>
        <v>0</v>
      </c>
      <c r="BV320" s="386">
        <f t="shared" si="194"/>
        <v>0</v>
      </c>
      <c r="BW320" s="386">
        <f t="shared" si="195"/>
        <v>0</v>
      </c>
      <c r="BX320" s="386">
        <f t="shared" si="210"/>
        <v>0</v>
      </c>
      <c r="BY320" s="386">
        <f t="shared" si="211"/>
        <v>0</v>
      </c>
      <c r="BZ320" s="386">
        <f t="shared" si="212"/>
        <v>0</v>
      </c>
      <c r="CA320" s="386">
        <f t="shared" si="213"/>
        <v>0</v>
      </c>
      <c r="CB320" s="386">
        <f t="shared" si="214"/>
        <v>0</v>
      </c>
      <c r="CC320" s="386">
        <f t="shared" si="196"/>
        <v>0</v>
      </c>
      <c r="CD320" s="386">
        <f t="shared" si="197"/>
        <v>0</v>
      </c>
      <c r="CE320" s="386">
        <f t="shared" si="198"/>
        <v>0</v>
      </c>
      <c r="CF320" s="386">
        <f t="shared" si="199"/>
        <v>0</v>
      </c>
      <c r="CG320" s="386">
        <f t="shared" si="200"/>
        <v>0</v>
      </c>
      <c r="CH320" s="386">
        <f t="shared" si="201"/>
        <v>0</v>
      </c>
      <c r="CI320" s="386">
        <f t="shared" si="202"/>
        <v>0</v>
      </c>
      <c r="CJ320" s="386">
        <f t="shared" si="215"/>
        <v>0</v>
      </c>
      <c r="CK320" s="386" t="str">
        <f t="shared" si="216"/>
        <v/>
      </c>
      <c r="CL320" s="386">
        <f t="shared" si="217"/>
        <v>75110.12</v>
      </c>
      <c r="CM320" s="386">
        <f t="shared" si="218"/>
        <v>6059.96</v>
      </c>
      <c r="CN320" s="386" t="str">
        <f t="shared" si="219"/>
        <v>0001-00</v>
      </c>
    </row>
    <row r="321" spans="1:92" ht="15.75" thickBot="1" x14ac:dyDescent="0.3">
      <c r="A321" s="375" t="s">
        <v>161</v>
      </c>
      <c r="B321" s="375" t="s">
        <v>162</v>
      </c>
      <c r="C321" s="375" t="s">
        <v>1290</v>
      </c>
      <c r="D321" s="375" t="s">
        <v>746</v>
      </c>
      <c r="E321" s="375" t="s">
        <v>165</v>
      </c>
      <c r="F321" s="376" t="s">
        <v>166</v>
      </c>
      <c r="G321" s="375" t="s">
        <v>1069</v>
      </c>
      <c r="H321" s="377"/>
      <c r="I321" s="377"/>
      <c r="J321" s="375" t="s">
        <v>168</v>
      </c>
      <c r="K321" s="375" t="s">
        <v>747</v>
      </c>
      <c r="L321" s="375" t="s">
        <v>210</v>
      </c>
      <c r="M321" s="375" t="s">
        <v>177</v>
      </c>
      <c r="N321" s="375" t="s">
        <v>199</v>
      </c>
      <c r="O321" s="378">
        <v>1</v>
      </c>
      <c r="P321" s="384">
        <v>1</v>
      </c>
      <c r="Q321" s="384">
        <v>1</v>
      </c>
      <c r="R321" s="379">
        <v>80</v>
      </c>
      <c r="S321" s="384">
        <v>1</v>
      </c>
      <c r="T321" s="379">
        <v>34475.230000000003</v>
      </c>
      <c r="U321" s="379">
        <v>441.36</v>
      </c>
      <c r="V321" s="379">
        <v>18930.3</v>
      </c>
      <c r="W321" s="379">
        <v>36462.400000000001</v>
      </c>
      <c r="X321" s="379">
        <v>19433.59</v>
      </c>
      <c r="Y321" s="379">
        <v>36462.400000000001</v>
      </c>
      <c r="Z321" s="379">
        <v>19258.580000000002</v>
      </c>
      <c r="AA321" s="375" t="s">
        <v>1291</v>
      </c>
      <c r="AB321" s="375" t="s">
        <v>1292</v>
      </c>
      <c r="AC321" s="375" t="s">
        <v>1293</v>
      </c>
      <c r="AD321" s="375" t="s">
        <v>170</v>
      </c>
      <c r="AE321" s="375" t="s">
        <v>747</v>
      </c>
      <c r="AF321" s="375" t="s">
        <v>215</v>
      </c>
      <c r="AG321" s="375" t="s">
        <v>183</v>
      </c>
      <c r="AH321" s="380">
        <v>17.53</v>
      </c>
      <c r="AI321" s="380">
        <v>21730.9</v>
      </c>
      <c r="AJ321" s="375" t="s">
        <v>184</v>
      </c>
      <c r="AK321" s="375" t="s">
        <v>185</v>
      </c>
      <c r="AL321" s="375" t="s">
        <v>173</v>
      </c>
      <c r="AM321" s="375" t="s">
        <v>186</v>
      </c>
      <c r="AN321" s="375" t="s">
        <v>68</v>
      </c>
      <c r="AO321" s="378">
        <v>80</v>
      </c>
      <c r="AP321" s="384">
        <v>1</v>
      </c>
      <c r="AQ321" s="384">
        <v>1</v>
      </c>
      <c r="AR321" s="383" t="s">
        <v>187</v>
      </c>
      <c r="AS321" s="386">
        <f t="shared" si="203"/>
        <v>1</v>
      </c>
      <c r="AT321">
        <f t="shared" si="204"/>
        <v>1</v>
      </c>
      <c r="AU321" s="386">
        <f>IF(AT321=0,"",IF(AND(AT321=1,M321="F",SUMIF(C2:C557,C321,AS2:AS557)&lt;=1),SUMIF(C2:C557,C321,AS2:AS557),IF(AND(AT321=1,M321="F",SUMIF(C2:C557,C321,AS2:AS557)&gt;1),1,"")))</f>
        <v>1</v>
      </c>
      <c r="AV321" s="386" t="str">
        <f>IF(AT321=0,"",IF(AND(AT321=3,M321="F",SUMIF(C2:C557,C321,AS2:AS557)&lt;=1),SUMIF(C2:C557,C321,AS2:AS557),IF(AND(AT321=3,M321="F",SUMIF(C2:C557,C321,AS2:AS557)&gt;1),1,"")))</f>
        <v/>
      </c>
      <c r="AW321" s="386">
        <f>SUMIF(C2:C557,C321,O2:O557)</f>
        <v>1</v>
      </c>
      <c r="AX321" s="386">
        <f>IF(AND(M321="F",AS321&lt;&gt;0),SUMIF(C2:C557,C321,W2:W557),0)</f>
        <v>36462.400000000001</v>
      </c>
      <c r="AY321" s="386">
        <f t="shared" si="205"/>
        <v>36462.400000000001</v>
      </c>
      <c r="AZ321" s="386" t="str">
        <f t="shared" si="206"/>
        <v/>
      </c>
      <c r="BA321" s="386">
        <f t="shared" si="207"/>
        <v>0</v>
      </c>
      <c r="BB321" s="386">
        <f t="shared" si="176"/>
        <v>11650</v>
      </c>
      <c r="BC321" s="386">
        <f t="shared" si="177"/>
        <v>0</v>
      </c>
      <c r="BD321" s="386">
        <f t="shared" si="178"/>
        <v>2260.6687999999999</v>
      </c>
      <c r="BE321" s="386">
        <f t="shared" si="179"/>
        <v>528.70480000000009</v>
      </c>
      <c r="BF321" s="386">
        <f t="shared" si="180"/>
        <v>4353.6105600000001</v>
      </c>
      <c r="BG321" s="386">
        <f t="shared" si="181"/>
        <v>262.89390400000002</v>
      </c>
      <c r="BH321" s="386">
        <f t="shared" si="182"/>
        <v>178.66576000000001</v>
      </c>
      <c r="BI321" s="386">
        <f t="shared" si="183"/>
        <v>111.574944</v>
      </c>
      <c r="BJ321" s="386">
        <f t="shared" si="184"/>
        <v>87.50976</v>
      </c>
      <c r="BK321" s="386">
        <f t="shared" si="185"/>
        <v>0</v>
      </c>
      <c r="BL321" s="386">
        <f t="shared" si="208"/>
        <v>7783.6285280000002</v>
      </c>
      <c r="BM321" s="386">
        <f t="shared" si="209"/>
        <v>0</v>
      </c>
      <c r="BN321" s="386">
        <f t="shared" si="186"/>
        <v>11650</v>
      </c>
      <c r="BO321" s="386">
        <f t="shared" si="187"/>
        <v>0</v>
      </c>
      <c r="BP321" s="386">
        <f t="shared" si="188"/>
        <v>2260.6687999999999</v>
      </c>
      <c r="BQ321" s="386">
        <f t="shared" si="189"/>
        <v>528.70480000000009</v>
      </c>
      <c r="BR321" s="386">
        <f t="shared" si="190"/>
        <v>4353.6105600000001</v>
      </c>
      <c r="BS321" s="386">
        <f t="shared" si="191"/>
        <v>262.89390400000002</v>
      </c>
      <c r="BT321" s="386">
        <f t="shared" si="192"/>
        <v>0</v>
      </c>
      <c r="BU321" s="386">
        <f t="shared" si="193"/>
        <v>111.574944</v>
      </c>
      <c r="BV321" s="386">
        <f t="shared" si="194"/>
        <v>91.156000000000006</v>
      </c>
      <c r="BW321" s="386">
        <f t="shared" si="195"/>
        <v>0</v>
      </c>
      <c r="BX321" s="386">
        <f t="shared" si="210"/>
        <v>7608.6090080000004</v>
      </c>
      <c r="BY321" s="386">
        <f t="shared" si="211"/>
        <v>0</v>
      </c>
      <c r="BZ321" s="386">
        <f t="shared" si="212"/>
        <v>0</v>
      </c>
      <c r="CA321" s="386">
        <f t="shared" si="213"/>
        <v>0</v>
      </c>
      <c r="CB321" s="386">
        <f t="shared" si="214"/>
        <v>0</v>
      </c>
      <c r="CC321" s="386">
        <f t="shared" si="196"/>
        <v>0</v>
      </c>
      <c r="CD321" s="386">
        <f t="shared" si="197"/>
        <v>0</v>
      </c>
      <c r="CE321" s="386">
        <f t="shared" si="198"/>
        <v>0</v>
      </c>
      <c r="CF321" s="386">
        <f t="shared" si="199"/>
        <v>-178.66576000000001</v>
      </c>
      <c r="CG321" s="386">
        <f t="shared" si="200"/>
        <v>0</v>
      </c>
      <c r="CH321" s="386">
        <f t="shared" si="201"/>
        <v>3.6462400000000099</v>
      </c>
      <c r="CI321" s="386">
        <f t="shared" si="202"/>
        <v>0</v>
      </c>
      <c r="CJ321" s="386">
        <f t="shared" si="215"/>
        <v>-175.01952</v>
      </c>
      <c r="CK321" s="386" t="str">
        <f t="shared" si="216"/>
        <v/>
      </c>
      <c r="CL321" s="386" t="str">
        <f t="shared" si="217"/>
        <v/>
      </c>
      <c r="CM321" s="386" t="str">
        <f t="shared" si="218"/>
        <v/>
      </c>
      <c r="CN321" s="386" t="str">
        <f t="shared" si="219"/>
        <v>0001-00</v>
      </c>
    </row>
    <row r="322" spans="1:92" ht="15.75" thickBot="1" x14ac:dyDescent="0.3">
      <c r="A322" s="375" t="s">
        <v>161</v>
      </c>
      <c r="B322" s="375" t="s">
        <v>162</v>
      </c>
      <c r="C322" s="375" t="s">
        <v>1294</v>
      </c>
      <c r="D322" s="375" t="s">
        <v>665</v>
      </c>
      <c r="E322" s="375" t="s">
        <v>165</v>
      </c>
      <c r="F322" s="376" t="s">
        <v>166</v>
      </c>
      <c r="G322" s="375" t="s">
        <v>1069</v>
      </c>
      <c r="H322" s="377"/>
      <c r="I322" s="377"/>
      <c r="J322" s="375" t="s">
        <v>168</v>
      </c>
      <c r="K322" s="375" t="s">
        <v>666</v>
      </c>
      <c r="L322" s="375" t="s">
        <v>183</v>
      </c>
      <c r="M322" s="375" t="s">
        <v>177</v>
      </c>
      <c r="N322" s="375" t="s">
        <v>199</v>
      </c>
      <c r="O322" s="378">
        <v>1</v>
      </c>
      <c r="P322" s="384">
        <v>1</v>
      </c>
      <c r="Q322" s="384">
        <v>1</v>
      </c>
      <c r="R322" s="379">
        <v>80</v>
      </c>
      <c r="S322" s="384">
        <v>1</v>
      </c>
      <c r="T322" s="379">
        <v>27871.43</v>
      </c>
      <c r="U322" s="379">
        <v>0</v>
      </c>
      <c r="V322" s="379">
        <v>17484.41</v>
      </c>
      <c r="W322" s="379">
        <v>31678.400000000001</v>
      </c>
      <c r="X322" s="379">
        <v>18412.36</v>
      </c>
      <c r="Y322" s="379">
        <v>31678.400000000001</v>
      </c>
      <c r="Z322" s="379">
        <v>18260.310000000001</v>
      </c>
      <c r="AA322" s="375" t="s">
        <v>1295</v>
      </c>
      <c r="AB322" s="375" t="s">
        <v>1296</v>
      </c>
      <c r="AC322" s="375" t="s">
        <v>1297</v>
      </c>
      <c r="AD322" s="375" t="s">
        <v>198</v>
      </c>
      <c r="AE322" s="375" t="s">
        <v>666</v>
      </c>
      <c r="AF322" s="375" t="s">
        <v>206</v>
      </c>
      <c r="AG322" s="375" t="s">
        <v>183</v>
      </c>
      <c r="AH322" s="380">
        <v>15.23</v>
      </c>
      <c r="AI322" s="380">
        <v>7297.4</v>
      </c>
      <c r="AJ322" s="375" t="s">
        <v>184</v>
      </c>
      <c r="AK322" s="375" t="s">
        <v>185</v>
      </c>
      <c r="AL322" s="375" t="s">
        <v>173</v>
      </c>
      <c r="AM322" s="375" t="s">
        <v>186</v>
      </c>
      <c r="AN322" s="375" t="s">
        <v>68</v>
      </c>
      <c r="AO322" s="378">
        <v>80</v>
      </c>
      <c r="AP322" s="384">
        <v>1</v>
      </c>
      <c r="AQ322" s="384">
        <v>1</v>
      </c>
      <c r="AR322" s="383" t="s">
        <v>187</v>
      </c>
      <c r="AS322" s="386">
        <f t="shared" si="203"/>
        <v>1</v>
      </c>
      <c r="AT322">
        <f t="shared" si="204"/>
        <v>1</v>
      </c>
      <c r="AU322" s="386">
        <f>IF(AT322=0,"",IF(AND(AT322=1,M322="F",SUMIF(C2:C557,C322,AS2:AS557)&lt;=1),SUMIF(C2:C557,C322,AS2:AS557),IF(AND(AT322=1,M322="F",SUMIF(C2:C557,C322,AS2:AS557)&gt;1),1,"")))</f>
        <v>1</v>
      </c>
      <c r="AV322" s="386" t="str">
        <f>IF(AT322=0,"",IF(AND(AT322=3,M322="F",SUMIF(C2:C557,C322,AS2:AS557)&lt;=1),SUMIF(C2:C557,C322,AS2:AS557),IF(AND(AT322=3,M322="F",SUMIF(C2:C557,C322,AS2:AS557)&gt;1),1,"")))</f>
        <v/>
      </c>
      <c r="AW322" s="386">
        <f>SUMIF(C2:C557,C322,O2:O557)</f>
        <v>1</v>
      </c>
      <c r="AX322" s="386">
        <f>IF(AND(M322="F",AS322&lt;&gt;0),SUMIF(C2:C557,C322,W2:W557),0)</f>
        <v>31678.400000000001</v>
      </c>
      <c r="AY322" s="386">
        <f t="shared" si="205"/>
        <v>31678.400000000001</v>
      </c>
      <c r="AZ322" s="386" t="str">
        <f t="shared" si="206"/>
        <v/>
      </c>
      <c r="BA322" s="386">
        <f t="shared" si="207"/>
        <v>0</v>
      </c>
      <c r="BB322" s="386">
        <f t="shared" ref="BB322:BB385" si="220">IF(AND(AT322=1,AK322="E",AU322&gt;=0.75,AW322=1),Health,IF(AND(AT322=1,AK322="E",AU322&gt;=0.75),Health*P322,IF(AND(AT322=1,AK322="E",AU322&gt;=0.5,AW322=1),PTHealth,IF(AND(AT322=1,AK322="E",AU322&gt;=0.5),PTHealth*P322,0))))</f>
        <v>11650</v>
      </c>
      <c r="BC322" s="386">
        <f t="shared" ref="BC322:BC385" si="221">IF(AND(AT322=3,AK322="E",AV322&gt;=0.75,AW322=1),Health,IF(AND(AT322=3,AK322="E",AV322&gt;=0.75),Health*P322,IF(AND(AT322=3,AK322="E",AV322&gt;=0.5,AW322=1),PTHealth,IF(AND(AT322=3,AK322="E",AV322&gt;=0.5),PTHealth*P322,0))))</f>
        <v>0</v>
      </c>
      <c r="BD322" s="386">
        <f t="shared" ref="BD322:BD385" si="222">IF(AND(AT322&lt;&gt;0,AX322&gt;=MAXSSDI),SSDI*MAXSSDI*P322,IF(AT322&lt;&gt;0,SSDI*W322,0))</f>
        <v>1964.0608</v>
      </c>
      <c r="BE322" s="386">
        <f t="shared" ref="BE322:BE385" si="223">IF(AT322&lt;&gt;0,SSHI*W322,0)</f>
        <v>459.33680000000004</v>
      </c>
      <c r="BF322" s="386">
        <f t="shared" ref="BF322:BF385" si="224">IF(AND(AT322&lt;&gt;0,AN322&lt;&gt;"NE"),VLOOKUP(AN322,Retirement_Rates,3,FALSE)*W322,0)</f>
        <v>3782.4009600000004</v>
      </c>
      <c r="BG322" s="386">
        <f t="shared" ref="BG322:BG385" si="225">IF(AND(AT322&lt;&gt;0,AJ322&lt;&gt;"PF"),Life*W322,0)</f>
        <v>228.40126400000003</v>
      </c>
      <c r="BH322" s="386">
        <f t="shared" ref="BH322:BH385" si="226">IF(AND(AT322&lt;&gt;0,AM322="Y"),UI*W322,0)</f>
        <v>155.22416000000001</v>
      </c>
      <c r="BI322" s="386">
        <f t="shared" ref="BI322:BI385" si="227">IF(AND(AT322&lt;&gt;0,N322&lt;&gt;"NR"),DHR*W322,0)</f>
        <v>96.935903999999994</v>
      </c>
      <c r="BJ322" s="386">
        <f t="shared" ref="BJ322:BJ385" si="228">IF(AT322&lt;&gt;0,WC*W322,0)</f>
        <v>76.02816</v>
      </c>
      <c r="BK322" s="386">
        <f t="shared" ref="BK322:BK385" si="229">IF(OR(AND(AT322&lt;&gt;0,AJ322&lt;&gt;"PF",AN322&lt;&gt;"NE",AG322&lt;&gt;"A"),AND(AL322="E",OR(AT322=1,AT322=3))),Sick*W322,0)</f>
        <v>0</v>
      </c>
      <c r="BL322" s="386">
        <f t="shared" si="208"/>
        <v>6762.3880480000007</v>
      </c>
      <c r="BM322" s="386">
        <f t="shared" si="209"/>
        <v>0</v>
      </c>
      <c r="BN322" s="386">
        <f t="shared" ref="BN322:BN385" si="230">IF(AND(AT322=1,AK322="E",AU322&gt;=0.75,AW322=1),HealthBY,IF(AND(AT322=1,AK322="E",AU322&gt;=0.75),HealthBY*P322,IF(AND(AT322=1,AK322="E",AU322&gt;=0.5,AW322=1),PTHealthBY,IF(AND(AT322=1,AK322="E",AU322&gt;=0.5),PTHealthBY*P322,0))))</f>
        <v>11650</v>
      </c>
      <c r="BO322" s="386">
        <f t="shared" ref="BO322:BO385" si="231">IF(AND(AT322=3,AK322="E",AV322&gt;=0.75,AW322=1),HealthBY,IF(AND(AT322=3,AK322="E",AV322&gt;=0.75),HealthBY*P322,IF(AND(AT322=3,AK322="E",AV322&gt;=0.5,AW322=1),PTHealthBY,IF(AND(AT322=3,AK322="E",AV322&gt;=0.5),PTHealthBY*P322,0))))</f>
        <v>0</v>
      </c>
      <c r="BP322" s="386">
        <f t="shared" ref="BP322:BP385" si="232">IF(AND(AT322&lt;&gt;0,(AX322+BA322)&gt;=MAXSSDIBY),SSDIBY*MAXSSDIBY*P322,IF(AT322&lt;&gt;0,SSDIBY*W322,0))</f>
        <v>1964.0608</v>
      </c>
      <c r="BQ322" s="386">
        <f t="shared" ref="BQ322:BQ385" si="233">IF(AT322&lt;&gt;0,SSHIBY*W322,0)</f>
        <v>459.33680000000004</v>
      </c>
      <c r="BR322" s="386">
        <f t="shared" ref="BR322:BR385" si="234">IF(AND(AT322&lt;&gt;0,AN322&lt;&gt;"NE"),VLOOKUP(AN322,Retirement_Rates,4,FALSE)*W322,0)</f>
        <v>3782.4009600000004</v>
      </c>
      <c r="BS322" s="386">
        <f t="shared" ref="BS322:BS385" si="235">IF(AND(AT322&lt;&gt;0,AJ322&lt;&gt;"PF"),LifeBY*W322,0)</f>
        <v>228.40126400000003</v>
      </c>
      <c r="BT322" s="386">
        <f t="shared" ref="BT322:BT385" si="236">IF(AND(AT322&lt;&gt;0,AM322="Y"),UIBY*W322,0)</f>
        <v>0</v>
      </c>
      <c r="BU322" s="386">
        <f t="shared" ref="BU322:BU385" si="237">IF(AND(AT322&lt;&gt;0,N322&lt;&gt;"NR"),DHRBY*W322,0)</f>
        <v>96.935903999999994</v>
      </c>
      <c r="BV322" s="386">
        <f t="shared" ref="BV322:BV385" si="238">IF(AT322&lt;&gt;0,WCBY*W322,0)</f>
        <v>79.196000000000012</v>
      </c>
      <c r="BW322" s="386">
        <f t="shared" ref="BW322:BW385" si="239">IF(OR(AND(AT322&lt;&gt;0,AJ322&lt;&gt;"PF",AN322&lt;&gt;"NE",AG322&lt;&gt;"A"),AND(AL322="E",OR(AT322=1,AT322=3))),SickBY*W322,0)</f>
        <v>0</v>
      </c>
      <c r="BX322" s="386">
        <f t="shared" si="210"/>
        <v>6610.331728000001</v>
      </c>
      <c r="BY322" s="386">
        <f t="shared" si="211"/>
        <v>0</v>
      </c>
      <c r="BZ322" s="386">
        <f t="shared" si="212"/>
        <v>0</v>
      </c>
      <c r="CA322" s="386">
        <f t="shared" si="213"/>
        <v>0</v>
      </c>
      <c r="CB322" s="386">
        <f t="shared" si="214"/>
        <v>0</v>
      </c>
      <c r="CC322" s="386">
        <f t="shared" ref="CC322:CC385" si="240">IF(AT322&lt;&gt;0,SSHICHG*Y322,0)</f>
        <v>0</v>
      </c>
      <c r="CD322" s="386">
        <f t="shared" ref="CD322:CD385" si="241">IF(AND(AT322&lt;&gt;0,AN322&lt;&gt;"NE"),VLOOKUP(AN322,Retirement_Rates,5,FALSE)*Y322,0)</f>
        <v>0</v>
      </c>
      <c r="CE322" s="386">
        <f t="shared" ref="CE322:CE385" si="242">IF(AND(AT322&lt;&gt;0,AJ322&lt;&gt;"PF"),LifeCHG*Y322,0)</f>
        <v>0</v>
      </c>
      <c r="CF322" s="386">
        <f t="shared" ref="CF322:CF385" si="243">IF(AND(AT322&lt;&gt;0,AM322="Y"),UICHG*Y322,0)</f>
        <v>-155.22416000000001</v>
      </c>
      <c r="CG322" s="386">
        <f t="shared" ref="CG322:CG385" si="244">IF(AND(AT322&lt;&gt;0,N322&lt;&gt;"NR"),DHRCHG*Y322,0)</f>
        <v>0</v>
      </c>
      <c r="CH322" s="386">
        <f t="shared" ref="CH322:CH385" si="245">IF(AT322&lt;&gt;0,WCCHG*Y322,0)</f>
        <v>3.1678400000000084</v>
      </c>
      <c r="CI322" s="386">
        <f t="shared" ref="CI322:CI385" si="246">IF(OR(AND(AT322&lt;&gt;0,AJ322&lt;&gt;"PF",AN322&lt;&gt;"NE",AG322&lt;&gt;"A"),AND(AL322="E",OR(AT322=1,AT322=3))),SickCHG*Y322,0)</f>
        <v>0</v>
      </c>
      <c r="CJ322" s="386">
        <f t="shared" si="215"/>
        <v>-152.05632</v>
      </c>
      <c r="CK322" s="386" t="str">
        <f t="shared" si="216"/>
        <v/>
      </c>
      <c r="CL322" s="386" t="str">
        <f t="shared" si="217"/>
        <v/>
      </c>
      <c r="CM322" s="386" t="str">
        <f t="shared" si="218"/>
        <v/>
      </c>
      <c r="CN322" s="386" t="str">
        <f t="shared" si="219"/>
        <v>0001-00</v>
      </c>
    </row>
    <row r="323" spans="1:92" ht="15.75" thickBot="1" x14ac:dyDescent="0.3">
      <c r="A323" s="375" t="s">
        <v>161</v>
      </c>
      <c r="B323" s="375" t="s">
        <v>162</v>
      </c>
      <c r="C323" s="375" t="s">
        <v>1298</v>
      </c>
      <c r="D323" s="375" t="s">
        <v>464</v>
      </c>
      <c r="E323" s="375" t="s">
        <v>165</v>
      </c>
      <c r="F323" s="376" t="s">
        <v>166</v>
      </c>
      <c r="G323" s="375" t="s">
        <v>1069</v>
      </c>
      <c r="H323" s="377"/>
      <c r="I323" s="377"/>
      <c r="J323" s="375" t="s">
        <v>168</v>
      </c>
      <c r="K323" s="375" t="s">
        <v>465</v>
      </c>
      <c r="L323" s="375" t="s">
        <v>166</v>
      </c>
      <c r="M323" s="375" t="s">
        <v>171</v>
      </c>
      <c r="N323" s="375" t="s">
        <v>262</v>
      </c>
      <c r="O323" s="378">
        <v>0</v>
      </c>
      <c r="P323" s="384">
        <v>1</v>
      </c>
      <c r="Q323" s="384">
        <v>0</v>
      </c>
      <c r="R323" s="379">
        <v>0</v>
      </c>
      <c r="S323" s="384">
        <v>0</v>
      </c>
      <c r="T323" s="379">
        <v>66552.98</v>
      </c>
      <c r="U323" s="379">
        <v>2343.23</v>
      </c>
      <c r="V323" s="379">
        <v>5560.88</v>
      </c>
      <c r="W323" s="379">
        <v>68896.210000000006</v>
      </c>
      <c r="X323" s="379">
        <v>5560.88</v>
      </c>
      <c r="Y323" s="379">
        <v>68896.210000000006</v>
      </c>
      <c r="Z323" s="379">
        <v>5560.88</v>
      </c>
      <c r="AA323" s="377"/>
      <c r="AB323" s="375" t="s">
        <v>45</v>
      </c>
      <c r="AC323" s="375" t="s">
        <v>45</v>
      </c>
      <c r="AD323" s="377"/>
      <c r="AE323" s="377"/>
      <c r="AF323" s="377"/>
      <c r="AG323" s="377"/>
      <c r="AH323" s="378">
        <v>0</v>
      </c>
      <c r="AI323" s="378">
        <v>0</v>
      </c>
      <c r="AJ323" s="377"/>
      <c r="AK323" s="377"/>
      <c r="AL323" s="375" t="s">
        <v>173</v>
      </c>
      <c r="AM323" s="377"/>
      <c r="AN323" s="377"/>
      <c r="AO323" s="378">
        <v>0</v>
      </c>
      <c r="AP323" s="384">
        <v>0</v>
      </c>
      <c r="AQ323" s="384">
        <v>0</v>
      </c>
      <c r="AR323" s="382"/>
      <c r="AS323" s="386">
        <f t="shared" ref="AS323:AS386" si="247">IF(((AO323/80)*AP323*P323)&gt;1,AQ323,((AO323/80)*AP323*P323))</f>
        <v>0</v>
      </c>
      <c r="AT323">
        <f t="shared" ref="AT323:AT386" si="248">IF(AND(M323="F",N323&lt;&gt;"NG",AS323&lt;&gt;0,AND(AR323&lt;&gt;6,AR323&lt;&gt;36,AR323&lt;&gt;56),AG323&lt;&gt;"A",OR(AG323="H",AJ323="FS")),1,IF(AND(M323="F",N323&lt;&gt;"NG",AS323&lt;&gt;0,AG323="A"),3,0))</f>
        <v>0</v>
      </c>
      <c r="AU323" s="386" t="str">
        <f>IF(AT323=0,"",IF(AND(AT323=1,M323="F",SUMIF(C2:C557,C323,AS2:AS557)&lt;=1),SUMIF(C2:C557,C323,AS2:AS557),IF(AND(AT323=1,M323="F",SUMIF(C2:C557,C323,AS2:AS557)&gt;1),1,"")))</f>
        <v/>
      </c>
      <c r="AV323" s="386" t="str">
        <f>IF(AT323=0,"",IF(AND(AT323=3,M323="F",SUMIF(C2:C557,C323,AS2:AS557)&lt;=1),SUMIF(C2:C557,C323,AS2:AS557),IF(AND(AT323=3,M323="F",SUMIF(C2:C557,C323,AS2:AS557)&gt;1),1,"")))</f>
        <v/>
      </c>
      <c r="AW323" s="386">
        <f>SUMIF(C2:C557,C323,O2:O557)</f>
        <v>0</v>
      </c>
      <c r="AX323" s="386">
        <f>IF(AND(M323="F",AS323&lt;&gt;0),SUMIF(C2:C557,C323,W2:W557),0)</f>
        <v>0</v>
      </c>
      <c r="AY323" s="386" t="str">
        <f t="shared" ref="AY323:AY386" si="249">IF(AT323=1,W323,"")</f>
        <v/>
      </c>
      <c r="AZ323" s="386" t="str">
        <f t="shared" ref="AZ323:AZ386" si="250">IF(AT323=3,W323,"")</f>
        <v/>
      </c>
      <c r="BA323" s="386">
        <f t="shared" ref="BA323:BA386" si="251">IF(AT323=1,Y323-W323,0)</f>
        <v>0</v>
      </c>
      <c r="BB323" s="386">
        <f t="shared" si="220"/>
        <v>0</v>
      </c>
      <c r="BC323" s="386">
        <f t="shared" si="221"/>
        <v>0</v>
      </c>
      <c r="BD323" s="386">
        <f t="shared" si="222"/>
        <v>0</v>
      </c>
      <c r="BE323" s="386">
        <f t="shared" si="223"/>
        <v>0</v>
      </c>
      <c r="BF323" s="386">
        <f t="shared" si="224"/>
        <v>0</v>
      </c>
      <c r="BG323" s="386">
        <f t="shared" si="225"/>
        <v>0</v>
      </c>
      <c r="BH323" s="386">
        <f t="shared" si="226"/>
        <v>0</v>
      </c>
      <c r="BI323" s="386">
        <f t="shared" si="227"/>
        <v>0</v>
      </c>
      <c r="BJ323" s="386">
        <f t="shared" si="228"/>
        <v>0</v>
      </c>
      <c r="BK323" s="386">
        <f t="shared" si="229"/>
        <v>0</v>
      </c>
      <c r="BL323" s="386">
        <f t="shared" ref="BL323:BL386" si="252">IF(AT323=1,SUM(BD323:BK323),0)</f>
        <v>0</v>
      </c>
      <c r="BM323" s="386">
        <f t="shared" ref="BM323:BM386" si="253">IF(AT323=3,SUM(BD323:BK323),0)</f>
        <v>0</v>
      </c>
      <c r="BN323" s="386">
        <f t="shared" si="230"/>
        <v>0</v>
      </c>
      <c r="BO323" s="386">
        <f t="shared" si="231"/>
        <v>0</v>
      </c>
      <c r="BP323" s="386">
        <f t="shared" si="232"/>
        <v>0</v>
      </c>
      <c r="BQ323" s="386">
        <f t="shared" si="233"/>
        <v>0</v>
      </c>
      <c r="BR323" s="386">
        <f t="shared" si="234"/>
        <v>0</v>
      </c>
      <c r="BS323" s="386">
        <f t="shared" si="235"/>
        <v>0</v>
      </c>
      <c r="BT323" s="386">
        <f t="shared" si="236"/>
        <v>0</v>
      </c>
      <c r="BU323" s="386">
        <f t="shared" si="237"/>
        <v>0</v>
      </c>
      <c r="BV323" s="386">
        <f t="shared" si="238"/>
        <v>0</v>
      </c>
      <c r="BW323" s="386">
        <f t="shared" si="239"/>
        <v>0</v>
      </c>
      <c r="BX323" s="386">
        <f t="shared" ref="BX323:BX386" si="254">IF(AT323=1,SUM(BP323:BW323),0)</f>
        <v>0</v>
      </c>
      <c r="BY323" s="386">
        <f t="shared" ref="BY323:BY386" si="255">IF(AT323=3,SUM(BP323:BW323),0)</f>
        <v>0</v>
      </c>
      <c r="BZ323" s="386">
        <f t="shared" ref="BZ323:BZ386" si="256">IF(AT323=1,BN323-BB323,0)</f>
        <v>0</v>
      </c>
      <c r="CA323" s="386">
        <f t="shared" ref="CA323:CA386" si="257">IF(AT323=3,BO323-BC323,0)</f>
        <v>0</v>
      </c>
      <c r="CB323" s="386">
        <f t="shared" ref="CB323:CB386" si="258">BP323-BD323</f>
        <v>0</v>
      </c>
      <c r="CC323" s="386">
        <f t="shared" si="240"/>
        <v>0</v>
      </c>
      <c r="CD323" s="386">
        <f t="shared" si="241"/>
        <v>0</v>
      </c>
      <c r="CE323" s="386">
        <f t="shared" si="242"/>
        <v>0</v>
      </c>
      <c r="CF323" s="386">
        <f t="shared" si="243"/>
        <v>0</v>
      </c>
      <c r="CG323" s="386">
        <f t="shared" si="244"/>
        <v>0</v>
      </c>
      <c r="CH323" s="386">
        <f t="shared" si="245"/>
        <v>0</v>
      </c>
      <c r="CI323" s="386">
        <f t="shared" si="246"/>
        <v>0</v>
      </c>
      <c r="CJ323" s="386">
        <f t="shared" ref="CJ323:CJ386" si="259">IF(AT323=1,SUM(CB323:CI323),0)</f>
        <v>0</v>
      </c>
      <c r="CK323" s="386" t="str">
        <f t="shared" ref="CK323:CK386" si="260">IF(AT323=3,SUM(CB323:CI323),"")</f>
        <v/>
      </c>
      <c r="CL323" s="386">
        <f t="shared" ref="CL323:CL386" si="261">IF(OR(N323="NG",AG323="D"),(T323+U323),"")</f>
        <v>68896.209999999992</v>
      </c>
      <c r="CM323" s="386">
        <f t="shared" ref="CM323:CM386" si="262">IF(OR(N323="NG",AG323="D"),V323,"")</f>
        <v>5560.88</v>
      </c>
      <c r="CN323" s="386" t="str">
        <f t="shared" ref="CN323:CN386" si="263">E323 &amp; "-" &amp; F323</f>
        <v>0001-00</v>
      </c>
    </row>
    <row r="324" spans="1:92" ht="15.75" thickBot="1" x14ac:dyDescent="0.3">
      <c r="A324" s="375" t="s">
        <v>161</v>
      </c>
      <c r="B324" s="375" t="s">
        <v>162</v>
      </c>
      <c r="C324" s="375" t="s">
        <v>1299</v>
      </c>
      <c r="D324" s="375" t="s">
        <v>768</v>
      </c>
      <c r="E324" s="375" t="s">
        <v>165</v>
      </c>
      <c r="F324" s="376" t="s">
        <v>166</v>
      </c>
      <c r="G324" s="375" t="s">
        <v>1069</v>
      </c>
      <c r="H324" s="377"/>
      <c r="I324" s="377"/>
      <c r="J324" s="375" t="s">
        <v>168</v>
      </c>
      <c r="K324" s="375" t="s">
        <v>769</v>
      </c>
      <c r="L324" s="375" t="s">
        <v>233</v>
      </c>
      <c r="M324" s="375" t="s">
        <v>177</v>
      </c>
      <c r="N324" s="375" t="s">
        <v>199</v>
      </c>
      <c r="O324" s="378">
        <v>1</v>
      </c>
      <c r="P324" s="384">
        <v>1</v>
      </c>
      <c r="Q324" s="384">
        <v>1</v>
      </c>
      <c r="R324" s="379">
        <v>80</v>
      </c>
      <c r="S324" s="384">
        <v>1</v>
      </c>
      <c r="T324" s="379">
        <v>45690.41</v>
      </c>
      <c r="U324" s="379">
        <v>0</v>
      </c>
      <c r="V324" s="379">
        <v>21081.81</v>
      </c>
      <c r="W324" s="379">
        <v>49628.800000000003</v>
      </c>
      <c r="X324" s="379">
        <v>22244.22</v>
      </c>
      <c r="Y324" s="379">
        <v>49628.800000000003</v>
      </c>
      <c r="Z324" s="379">
        <v>22006.01</v>
      </c>
      <c r="AA324" s="375" t="s">
        <v>1300</v>
      </c>
      <c r="AB324" s="375" t="s">
        <v>1301</v>
      </c>
      <c r="AC324" s="375" t="s">
        <v>1302</v>
      </c>
      <c r="AD324" s="375" t="s">
        <v>267</v>
      </c>
      <c r="AE324" s="375" t="s">
        <v>769</v>
      </c>
      <c r="AF324" s="375" t="s">
        <v>237</v>
      </c>
      <c r="AG324" s="375" t="s">
        <v>183</v>
      </c>
      <c r="AH324" s="380">
        <v>23.86</v>
      </c>
      <c r="AI324" s="380">
        <v>34615.1</v>
      </c>
      <c r="AJ324" s="375" t="s">
        <v>184</v>
      </c>
      <c r="AK324" s="375" t="s">
        <v>185</v>
      </c>
      <c r="AL324" s="375" t="s">
        <v>173</v>
      </c>
      <c r="AM324" s="375" t="s">
        <v>186</v>
      </c>
      <c r="AN324" s="375" t="s">
        <v>68</v>
      </c>
      <c r="AO324" s="378">
        <v>80</v>
      </c>
      <c r="AP324" s="384">
        <v>1</v>
      </c>
      <c r="AQ324" s="384">
        <v>1</v>
      </c>
      <c r="AR324" s="383" t="s">
        <v>187</v>
      </c>
      <c r="AS324" s="386">
        <f t="shared" si="247"/>
        <v>1</v>
      </c>
      <c r="AT324">
        <f t="shared" si="248"/>
        <v>1</v>
      </c>
      <c r="AU324" s="386">
        <f>IF(AT324=0,"",IF(AND(AT324=1,M324="F",SUMIF(C2:C557,C324,AS2:AS557)&lt;=1),SUMIF(C2:C557,C324,AS2:AS557),IF(AND(AT324=1,M324="F",SUMIF(C2:C557,C324,AS2:AS557)&gt;1),1,"")))</f>
        <v>1</v>
      </c>
      <c r="AV324" s="386" t="str">
        <f>IF(AT324=0,"",IF(AND(AT324=3,M324="F",SUMIF(C2:C557,C324,AS2:AS557)&lt;=1),SUMIF(C2:C557,C324,AS2:AS557),IF(AND(AT324=3,M324="F",SUMIF(C2:C557,C324,AS2:AS557)&gt;1),1,"")))</f>
        <v/>
      </c>
      <c r="AW324" s="386">
        <f>SUMIF(C2:C557,C324,O2:O557)</f>
        <v>1</v>
      </c>
      <c r="AX324" s="386">
        <f>IF(AND(M324="F",AS324&lt;&gt;0),SUMIF(C2:C557,C324,W2:W557),0)</f>
        <v>49628.800000000003</v>
      </c>
      <c r="AY324" s="386">
        <f t="shared" si="249"/>
        <v>49628.800000000003</v>
      </c>
      <c r="AZ324" s="386" t="str">
        <f t="shared" si="250"/>
        <v/>
      </c>
      <c r="BA324" s="386">
        <f t="shared" si="251"/>
        <v>0</v>
      </c>
      <c r="BB324" s="386">
        <f t="shared" si="220"/>
        <v>11650</v>
      </c>
      <c r="BC324" s="386">
        <f t="shared" si="221"/>
        <v>0</v>
      </c>
      <c r="BD324" s="386">
        <f t="shared" si="222"/>
        <v>3076.9856</v>
      </c>
      <c r="BE324" s="386">
        <f t="shared" si="223"/>
        <v>719.61760000000004</v>
      </c>
      <c r="BF324" s="386">
        <f t="shared" si="224"/>
        <v>5925.6787200000008</v>
      </c>
      <c r="BG324" s="386">
        <f t="shared" si="225"/>
        <v>357.82364800000005</v>
      </c>
      <c r="BH324" s="386">
        <f t="shared" si="226"/>
        <v>243.18111999999999</v>
      </c>
      <c r="BI324" s="386">
        <f t="shared" si="227"/>
        <v>151.86412799999999</v>
      </c>
      <c r="BJ324" s="386">
        <f t="shared" si="228"/>
        <v>119.10911999999999</v>
      </c>
      <c r="BK324" s="386">
        <f t="shared" si="229"/>
        <v>0</v>
      </c>
      <c r="BL324" s="386">
        <f t="shared" si="252"/>
        <v>10594.259935999999</v>
      </c>
      <c r="BM324" s="386">
        <f t="shared" si="253"/>
        <v>0</v>
      </c>
      <c r="BN324" s="386">
        <f t="shared" si="230"/>
        <v>11650</v>
      </c>
      <c r="BO324" s="386">
        <f t="shared" si="231"/>
        <v>0</v>
      </c>
      <c r="BP324" s="386">
        <f t="shared" si="232"/>
        <v>3076.9856</v>
      </c>
      <c r="BQ324" s="386">
        <f t="shared" si="233"/>
        <v>719.61760000000004</v>
      </c>
      <c r="BR324" s="386">
        <f t="shared" si="234"/>
        <v>5925.6787200000008</v>
      </c>
      <c r="BS324" s="386">
        <f t="shared" si="235"/>
        <v>357.82364800000005</v>
      </c>
      <c r="BT324" s="386">
        <f t="shared" si="236"/>
        <v>0</v>
      </c>
      <c r="BU324" s="386">
        <f t="shared" si="237"/>
        <v>151.86412799999999</v>
      </c>
      <c r="BV324" s="386">
        <f t="shared" si="238"/>
        <v>124.07200000000002</v>
      </c>
      <c r="BW324" s="386">
        <f t="shared" si="239"/>
        <v>0</v>
      </c>
      <c r="BX324" s="386">
        <f t="shared" si="254"/>
        <v>10356.041696</v>
      </c>
      <c r="BY324" s="386">
        <f t="shared" si="255"/>
        <v>0</v>
      </c>
      <c r="BZ324" s="386">
        <f t="shared" si="256"/>
        <v>0</v>
      </c>
      <c r="CA324" s="386">
        <f t="shared" si="257"/>
        <v>0</v>
      </c>
      <c r="CB324" s="386">
        <f t="shared" si="258"/>
        <v>0</v>
      </c>
      <c r="CC324" s="386">
        <f t="shared" si="240"/>
        <v>0</v>
      </c>
      <c r="CD324" s="386">
        <f t="shared" si="241"/>
        <v>0</v>
      </c>
      <c r="CE324" s="386">
        <f t="shared" si="242"/>
        <v>0</v>
      </c>
      <c r="CF324" s="386">
        <f t="shared" si="243"/>
        <v>-243.18111999999999</v>
      </c>
      <c r="CG324" s="386">
        <f t="shared" si="244"/>
        <v>0</v>
      </c>
      <c r="CH324" s="386">
        <f t="shared" si="245"/>
        <v>4.9628800000000135</v>
      </c>
      <c r="CI324" s="386">
        <f t="shared" si="246"/>
        <v>0</v>
      </c>
      <c r="CJ324" s="386">
        <f t="shared" si="259"/>
        <v>-238.21823999999998</v>
      </c>
      <c r="CK324" s="386" t="str">
        <f t="shared" si="260"/>
        <v/>
      </c>
      <c r="CL324" s="386" t="str">
        <f t="shared" si="261"/>
        <v/>
      </c>
      <c r="CM324" s="386" t="str">
        <f t="shared" si="262"/>
        <v/>
      </c>
      <c r="CN324" s="386" t="str">
        <f t="shared" si="263"/>
        <v>0001-00</v>
      </c>
    </row>
    <row r="325" spans="1:92" ht="15.75" thickBot="1" x14ac:dyDescent="0.3">
      <c r="A325" s="375" t="s">
        <v>161</v>
      </c>
      <c r="B325" s="375" t="s">
        <v>162</v>
      </c>
      <c r="C325" s="375" t="s">
        <v>1303</v>
      </c>
      <c r="D325" s="375" t="s">
        <v>665</v>
      </c>
      <c r="E325" s="375" t="s">
        <v>165</v>
      </c>
      <c r="F325" s="376" t="s">
        <v>166</v>
      </c>
      <c r="G325" s="375" t="s">
        <v>1069</v>
      </c>
      <c r="H325" s="377"/>
      <c r="I325" s="377"/>
      <c r="J325" s="375" t="s">
        <v>168</v>
      </c>
      <c r="K325" s="375" t="s">
        <v>666</v>
      </c>
      <c r="L325" s="375" t="s">
        <v>183</v>
      </c>
      <c r="M325" s="375" t="s">
        <v>177</v>
      </c>
      <c r="N325" s="375" t="s">
        <v>199</v>
      </c>
      <c r="O325" s="378">
        <v>1</v>
      </c>
      <c r="P325" s="384">
        <v>1</v>
      </c>
      <c r="Q325" s="384">
        <v>1</v>
      </c>
      <c r="R325" s="379">
        <v>80</v>
      </c>
      <c r="S325" s="384">
        <v>1</v>
      </c>
      <c r="T325" s="379">
        <v>32734.44</v>
      </c>
      <c r="U325" s="379">
        <v>0</v>
      </c>
      <c r="V325" s="379">
        <v>18421.2</v>
      </c>
      <c r="W325" s="379">
        <v>33966.400000000001</v>
      </c>
      <c r="X325" s="379">
        <v>18900.759999999998</v>
      </c>
      <c r="Y325" s="379">
        <v>33966.400000000001</v>
      </c>
      <c r="Z325" s="379">
        <v>18737.73</v>
      </c>
      <c r="AA325" s="375" t="s">
        <v>1304</v>
      </c>
      <c r="AB325" s="375" t="s">
        <v>1305</v>
      </c>
      <c r="AC325" s="375" t="s">
        <v>1306</v>
      </c>
      <c r="AD325" s="375" t="s">
        <v>195</v>
      </c>
      <c r="AE325" s="375" t="s">
        <v>666</v>
      </c>
      <c r="AF325" s="375" t="s">
        <v>206</v>
      </c>
      <c r="AG325" s="375" t="s">
        <v>183</v>
      </c>
      <c r="AH325" s="380">
        <v>16.329999999999998</v>
      </c>
      <c r="AI325" s="380">
        <v>19089.400000000001</v>
      </c>
      <c r="AJ325" s="375" t="s">
        <v>184</v>
      </c>
      <c r="AK325" s="375" t="s">
        <v>185</v>
      </c>
      <c r="AL325" s="375" t="s">
        <v>173</v>
      </c>
      <c r="AM325" s="375" t="s">
        <v>186</v>
      </c>
      <c r="AN325" s="375" t="s">
        <v>68</v>
      </c>
      <c r="AO325" s="378">
        <v>80</v>
      </c>
      <c r="AP325" s="384">
        <v>1</v>
      </c>
      <c r="AQ325" s="384">
        <v>1</v>
      </c>
      <c r="AR325" s="383" t="s">
        <v>187</v>
      </c>
      <c r="AS325" s="386">
        <f t="shared" si="247"/>
        <v>1</v>
      </c>
      <c r="AT325">
        <f t="shared" si="248"/>
        <v>1</v>
      </c>
      <c r="AU325" s="386">
        <f>IF(AT325=0,"",IF(AND(AT325=1,M325="F",SUMIF(C2:C557,C325,AS2:AS557)&lt;=1),SUMIF(C2:C557,C325,AS2:AS557),IF(AND(AT325=1,M325="F",SUMIF(C2:C557,C325,AS2:AS557)&gt;1),1,"")))</f>
        <v>1</v>
      </c>
      <c r="AV325" s="386" t="str">
        <f>IF(AT325=0,"",IF(AND(AT325=3,M325="F",SUMIF(C2:C557,C325,AS2:AS557)&lt;=1),SUMIF(C2:C557,C325,AS2:AS557),IF(AND(AT325=3,M325="F",SUMIF(C2:C557,C325,AS2:AS557)&gt;1),1,"")))</f>
        <v/>
      </c>
      <c r="AW325" s="386">
        <f>SUMIF(C2:C557,C325,O2:O557)</f>
        <v>1</v>
      </c>
      <c r="AX325" s="386">
        <f>IF(AND(M325="F",AS325&lt;&gt;0),SUMIF(C2:C557,C325,W2:W557),0)</f>
        <v>33966.400000000001</v>
      </c>
      <c r="AY325" s="386">
        <f t="shared" si="249"/>
        <v>33966.400000000001</v>
      </c>
      <c r="AZ325" s="386" t="str">
        <f t="shared" si="250"/>
        <v/>
      </c>
      <c r="BA325" s="386">
        <f t="shared" si="251"/>
        <v>0</v>
      </c>
      <c r="BB325" s="386">
        <f t="shared" si="220"/>
        <v>11650</v>
      </c>
      <c r="BC325" s="386">
        <f t="shared" si="221"/>
        <v>0</v>
      </c>
      <c r="BD325" s="386">
        <f t="shared" si="222"/>
        <v>2105.9168</v>
      </c>
      <c r="BE325" s="386">
        <f t="shared" si="223"/>
        <v>492.51280000000003</v>
      </c>
      <c r="BF325" s="386">
        <f t="shared" si="224"/>
        <v>4055.5881600000002</v>
      </c>
      <c r="BG325" s="386">
        <f t="shared" si="225"/>
        <v>244.89774400000002</v>
      </c>
      <c r="BH325" s="386">
        <f t="shared" si="226"/>
        <v>166.43536</v>
      </c>
      <c r="BI325" s="386">
        <f t="shared" si="227"/>
        <v>103.937184</v>
      </c>
      <c r="BJ325" s="386">
        <f t="shared" si="228"/>
        <v>81.519359999999992</v>
      </c>
      <c r="BK325" s="386">
        <f t="shared" si="229"/>
        <v>0</v>
      </c>
      <c r="BL325" s="386">
        <f t="shared" si="252"/>
        <v>7250.8074080000015</v>
      </c>
      <c r="BM325" s="386">
        <f t="shared" si="253"/>
        <v>0</v>
      </c>
      <c r="BN325" s="386">
        <f t="shared" si="230"/>
        <v>11650</v>
      </c>
      <c r="BO325" s="386">
        <f t="shared" si="231"/>
        <v>0</v>
      </c>
      <c r="BP325" s="386">
        <f t="shared" si="232"/>
        <v>2105.9168</v>
      </c>
      <c r="BQ325" s="386">
        <f t="shared" si="233"/>
        <v>492.51280000000003</v>
      </c>
      <c r="BR325" s="386">
        <f t="shared" si="234"/>
        <v>4055.5881600000002</v>
      </c>
      <c r="BS325" s="386">
        <f t="shared" si="235"/>
        <v>244.89774400000002</v>
      </c>
      <c r="BT325" s="386">
        <f t="shared" si="236"/>
        <v>0</v>
      </c>
      <c r="BU325" s="386">
        <f t="shared" si="237"/>
        <v>103.937184</v>
      </c>
      <c r="BV325" s="386">
        <f t="shared" si="238"/>
        <v>84.916000000000011</v>
      </c>
      <c r="BW325" s="386">
        <f t="shared" si="239"/>
        <v>0</v>
      </c>
      <c r="BX325" s="386">
        <f t="shared" si="254"/>
        <v>7087.768688000001</v>
      </c>
      <c r="BY325" s="386">
        <f t="shared" si="255"/>
        <v>0</v>
      </c>
      <c r="BZ325" s="386">
        <f t="shared" si="256"/>
        <v>0</v>
      </c>
      <c r="CA325" s="386">
        <f t="shared" si="257"/>
        <v>0</v>
      </c>
      <c r="CB325" s="386">
        <f t="shared" si="258"/>
        <v>0</v>
      </c>
      <c r="CC325" s="386">
        <f t="shared" si="240"/>
        <v>0</v>
      </c>
      <c r="CD325" s="386">
        <f t="shared" si="241"/>
        <v>0</v>
      </c>
      <c r="CE325" s="386">
        <f t="shared" si="242"/>
        <v>0</v>
      </c>
      <c r="CF325" s="386">
        <f t="shared" si="243"/>
        <v>-166.43536</v>
      </c>
      <c r="CG325" s="386">
        <f t="shared" si="244"/>
        <v>0</v>
      </c>
      <c r="CH325" s="386">
        <f t="shared" si="245"/>
        <v>3.396640000000009</v>
      </c>
      <c r="CI325" s="386">
        <f t="shared" si="246"/>
        <v>0</v>
      </c>
      <c r="CJ325" s="386">
        <f t="shared" si="259"/>
        <v>-163.03871999999998</v>
      </c>
      <c r="CK325" s="386" t="str">
        <f t="shared" si="260"/>
        <v/>
      </c>
      <c r="CL325" s="386" t="str">
        <f t="shared" si="261"/>
        <v/>
      </c>
      <c r="CM325" s="386" t="str">
        <f t="shared" si="262"/>
        <v/>
      </c>
      <c r="CN325" s="386" t="str">
        <f t="shared" si="263"/>
        <v>0001-00</v>
      </c>
    </row>
    <row r="326" spans="1:92" ht="15.75" thickBot="1" x14ac:dyDescent="0.3">
      <c r="A326" s="375" t="s">
        <v>161</v>
      </c>
      <c r="B326" s="375" t="s">
        <v>162</v>
      </c>
      <c r="C326" s="375" t="s">
        <v>1307</v>
      </c>
      <c r="D326" s="375" t="s">
        <v>464</v>
      </c>
      <c r="E326" s="375" t="s">
        <v>165</v>
      </c>
      <c r="F326" s="376" t="s">
        <v>166</v>
      </c>
      <c r="G326" s="375" t="s">
        <v>1069</v>
      </c>
      <c r="H326" s="377"/>
      <c r="I326" s="377"/>
      <c r="J326" s="375" t="s">
        <v>168</v>
      </c>
      <c r="K326" s="375" t="s">
        <v>465</v>
      </c>
      <c r="L326" s="375" t="s">
        <v>166</v>
      </c>
      <c r="M326" s="375" t="s">
        <v>171</v>
      </c>
      <c r="N326" s="375" t="s">
        <v>262</v>
      </c>
      <c r="O326" s="378">
        <v>0</v>
      </c>
      <c r="P326" s="384">
        <v>1</v>
      </c>
      <c r="Q326" s="384">
        <v>0</v>
      </c>
      <c r="R326" s="379">
        <v>0</v>
      </c>
      <c r="S326" s="384">
        <v>0</v>
      </c>
      <c r="T326" s="379">
        <v>84502.06</v>
      </c>
      <c r="U326" s="379">
        <v>3814.5</v>
      </c>
      <c r="V326" s="379">
        <v>7117.19</v>
      </c>
      <c r="W326" s="379">
        <v>88316.56</v>
      </c>
      <c r="X326" s="379">
        <v>7117.19</v>
      </c>
      <c r="Y326" s="379">
        <v>88316.56</v>
      </c>
      <c r="Z326" s="379">
        <v>7117.19</v>
      </c>
      <c r="AA326" s="377"/>
      <c r="AB326" s="375" t="s">
        <v>45</v>
      </c>
      <c r="AC326" s="375" t="s">
        <v>45</v>
      </c>
      <c r="AD326" s="377"/>
      <c r="AE326" s="377"/>
      <c r="AF326" s="377"/>
      <c r="AG326" s="377"/>
      <c r="AH326" s="378">
        <v>0</v>
      </c>
      <c r="AI326" s="378">
        <v>0</v>
      </c>
      <c r="AJ326" s="377"/>
      <c r="AK326" s="377"/>
      <c r="AL326" s="375" t="s">
        <v>173</v>
      </c>
      <c r="AM326" s="377"/>
      <c r="AN326" s="377"/>
      <c r="AO326" s="378">
        <v>0</v>
      </c>
      <c r="AP326" s="384">
        <v>0</v>
      </c>
      <c r="AQ326" s="384">
        <v>0</v>
      </c>
      <c r="AR326" s="382"/>
      <c r="AS326" s="386">
        <f t="shared" si="247"/>
        <v>0</v>
      </c>
      <c r="AT326">
        <f t="shared" si="248"/>
        <v>0</v>
      </c>
      <c r="AU326" s="386" t="str">
        <f>IF(AT326=0,"",IF(AND(AT326=1,M326="F",SUMIF(C2:C557,C326,AS2:AS557)&lt;=1),SUMIF(C2:C557,C326,AS2:AS557),IF(AND(AT326=1,M326="F",SUMIF(C2:C557,C326,AS2:AS557)&gt;1),1,"")))</f>
        <v/>
      </c>
      <c r="AV326" s="386" t="str">
        <f>IF(AT326=0,"",IF(AND(AT326=3,M326="F",SUMIF(C2:C557,C326,AS2:AS557)&lt;=1),SUMIF(C2:C557,C326,AS2:AS557),IF(AND(AT326=3,M326="F",SUMIF(C2:C557,C326,AS2:AS557)&gt;1),1,"")))</f>
        <v/>
      </c>
      <c r="AW326" s="386">
        <f>SUMIF(C2:C557,C326,O2:O557)</f>
        <v>0</v>
      </c>
      <c r="AX326" s="386">
        <f>IF(AND(M326="F",AS326&lt;&gt;0),SUMIF(C2:C557,C326,W2:W557),0)</f>
        <v>0</v>
      </c>
      <c r="AY326" s="386" t="str">
        <f t="shared" si="249"/>
        <v/>
      </c>
      <c r="AZ326" s="386" t="str">
        <f t="shared" si="250"/>
        <v/>
      </c>
      <c r="BA326" s="386">
        <f t="shared" si="251"/>
        <v>0</v>
      </c>
      <c r="BB326" s="386">
        <f t="shared" si="220"/>
        <v>0</v>
      </c>
      <c r="BC326" s="386">
        <f t="shared" si="221"/>
        <v>0</v>
      </c>
      <c r="BD326" s="386">
        <f t="shared" si="222"/>
        <v>0</v>
      </c>
      <c r="BE326" s="386">
        <f t="shared" si="223"/>
        <v>0</v>
      </c>
      <c r="BF326" s="386">
        <f t="shared" si="224"/>
        <v>0</v>
      </c>
      <c r="BG326" s="386">
        <f t="shared" si="225"/>
        <v>0</v>
      </c>
      <c r="BH326" s="386">
        <f t="shared" si="226"/>
        <v>0</v>
      </c>
      <c r="BI326" s="386">
        <f t="shared" si="227"/>
        <v>0</v>
      </c>
      <c r="BJ326" s="386">
        <f t="shared" si="228"/>
        <v>0</v>
      </c>
      <c r="BK326" s="386">
        <f t="shared" si="229"/>
        <v>0</v>
      </c>
      <c r="BL326" s="386">
        <f t="shared" si="252"/>
        <v>0</v>
      </c>
      <c r="BM326" s="386">
        <f t="shared" si="253"/>
        <v>0</v>
      </c>
      <c r="BN326" s="386">
        <f t="shared" si="230"/>
        <v>0</v>
      </c>
      <c r="BO326" s="386">
        <f t="shared" si="231"/>
        <v>0</v>
      </c>
      <c r="BP326" s="386">
        <f t="shared" si="232"/>
        <v>0</v>
      </c>
      <c r="BQ326" s="386">
        <f t="shared" si="233"/>
        <v>0</v>
      </c>
      <c r="BR326" s="386">
        <f t="shared" si="234"/>
        <v>0</v>
      </c>
      <c r="BS326" s="386">
        <f t="shared" si="235"/>
        <v>0</v>
      </c>
      <c r="BT326" s="386">
        <f t="shared" si="236"/>
        <v>0</v>
      </c>
      <c r="BU326" s="386">
        <f t="shared" si="237"/>
        <v>0</v>
      </c>
      <c r="BV326" s="386">
        <f t="shared" si="238"/>
        <v>0</v>
      </c>
      <c r="BW326" s="386">
        <f t="shared" si="239"/>
        <v>0</v>
      </c>
      <c r="BX326" s="386">
        <f t="shared" si="254"/>
        <v>0</v>
      </c>
      <c r="BY326" s="386">
        <f t="shared" si="255"/>
        <v>0</v>
      </c>
      <c r="BZ326" s="386">
        <f t="shared" si="256"/>
        <v>0</v>
      </c>
      <c r="CA326" s="386">
        <f t="shared" si="257"/>
        <v>0</v>
      </c>
      <c r="CB326" s="386">
        <f t="shared" si="258"/>
        <v>0</v>
      </c>
      <c r="CC326" s="386">
        <f t="shared" si="240"/>
        <v>0</v>
      </c>
      <c r="CD326" s="386">
        <f t="shared" si="241"/>
        <v>0</v>
      </c>
      <c r="CE326" s="386">
        <f t="shared" si="242"/>
        <v>0</v>
      </c>
      <c r="CF326" s="386">
        <f t="shared" si="243"/>
        <v>0</v>
      </c>
      <c r="CG326" s="386">
        <f t="shared" si="244"/>
        <v>0</v>
      </c>
      <c r="CH326" s="386">
        <f t="shared" si="245"/>
        <v>0</v>
      </c>
      <c r="CI326" s="386">
        <f t="shared" si="246"/>
        <v>0</v>
      </c>
      <c r="CJ326" s="386">
        <f t="shared" si="259"/>
        <v>0</v>
      </c>
      <c r="CK326" s="386" t="str">
        <f t="shared" si="260"/>
        <v/>
      </c>
      <c r="CL326" s="386">
        <f t="shared" si="261"/>
        <v>88316.56</v>
      </c>
      <c r="CM326" s="386">
        <f t="shared" si="262"/>
        <v>7117.19</v>
      </c>
      <c r="CN326" s="386" t="str">
        <f t="shared" si="263"/>
        <v>0001-00</v>
      </c>
    </row>
    <row r="327" spans="1:92" ht="15.75" thickBot="1" x14ac:dyDescent="0.3">
      <c r="A327" s="375" t="s">
        <v>161</v>
      </c>
      <c r="B327" s="375" t="s">
        <v>162</v>
      </c>
      <c r="C327" s="375" t="s">
        <v>1308</v>
      </c>
      <c r="D327" s="375" t="s">
        <v>768</v>
      </c>
      <c r="E327" s="375" t="s">
        <v>165</v>
      </c>
      <c r="F327" s="376" t="s">
        <v>166</v>
      </c>
      <c r="G327" s="375" t="s">
        <v>1069</v>
      </c>
      <c r="H327" s="377"/>
      <c r="I327" s="377"/>
      <c r="J327" s="375" t="s">
        <v>168</v>
      </c>
      <c r="K327" s="375" t="s">
        <v>769</v>
      </c>
      <c r="L327" s="375" t="s">
        <v>233</v>
      </c>
      <c r="M327" s="375" t="s">
        <v>177</v>
      </c>
      <c r="N327" s="375" t="s">
        <v>199</v>
      </c>
      <c r="O327" s="378">
        <v>1</v>
      </c>
      <c r="P327" s="384">
        <v>1</v>
      </c>
      <c r="Q327" s="384">
        <v>1</v>
      </c>
      <c r="R327" s="379">
        <v>80</v>
      </c>
      <c r="S327" s="384">
        <v>1</v>
      </c>
      <c r="T327" s="379">
        <v>37249.699999999997</v>
      </c>
      <c r="U327" s="379">
        <v>0</v>
      </c>
      <c r="V327" s="379">
        <v>19352.68</v>
      </c>
      <c r="W327" s="379">
        <v>43638.400000000001</v>
      </c>
      <c r="X327" s="379">
        <v>20965.46</v>
      </c>
      <c r="Y327" s="379">
        <v>43638.400000000001</v>
      </c>
      <c r="Z327" s="379">
        <v>20756</v>
      </c>
      <c r="AA327" s="375" t="s">
        <v>1309</v>
      </c>
      <c r="AB327" s="375" t="s">
        <v>1310</v>
      </c>
      <c r="AC327" s="375" t="s">
        <v>1311</v>
      </c>
      <c r="AD327" s="375" t="s">
        <v>220</v>
      </c>
      <c r="AE327" s="375" t="s">
        <v>769</v>
      </c>
      <c r="AF327" s="375" t="s">
        <v>237</v>
      </c>
      <c r="AG327" s="375" t="s">
        <v>183</v>
      </c>
      <c r="AH327" s="380">
        <v>20.98</v>
      </c>
      <c r="AI327" s="380">
        <v>10964.4</v>
      </c>
      <c r="AJ327" s="375" t="s">
        <v>184</v>
      </c>
      <c r="AK327" s="375" t="s">
        <v>185</v>
      </c>
      <c r="AL327" s="375" t="s">
        <v>173</v>
      </c>
      <c r="AM327" s="375" t="s">
        <v>186</v>
      </c>
      <c r="AN327" s="375" t="s">
        <v>68</v>
      </c>
      <c r="AO327" s="378">
        <v>80</v>
      </c>
      <c r="AP327" s="384">
        <v>1</v>
      </c>
      <c r="AQ327" s="384">
        <v>1</v>
      </c>
      <c r="AR327" s="383" t="s">
        <v>187</v>
      </c>
      <c r="AS327" s="386">
        <f t="shared" si="247"/>
        <v>1</v>
      </c>
      <c r="AT327">
        <f t="shared" si="248"/>
        <v>1</v>
      </c>
      <c r="AU327" s="386">
        <f>IF(AT327=0,"",IF(AND(AT327=1,M327="F",SUMIF(C2:C557,C327,AS2:AS557)&lt;=1),SUMIF(C2:C557,C327,AS2:AS557),IF(AND(AT327=1,M327="F",SUMIF(C2:C557,C327,AS2:AS557)&gt;1),1,"")))</f>
        <v>1</v>
      </c>
      <c r="AV327" s="386" t="str">
        <f>IF(AT327=0,"",IF(AND(AT327=3,M327="F",SUMIF(C2:C557,C327,AS2:AS557)&lt;=1),SUMIF(C2:C557,C327,AS2:AS557),IF(AND(AT327=3,M327="F",SUMIF(C2:C557,C327,AS2:AS557)&gt;1),1,"")))</f>
        <v/>
      </c>
      <c r="AW327" s="386">
        <f>SUMIF(C2:C557,C327,O2:O557)</f>
        <v>1</v>
      </c>
      <c r="AX327" s="386">
        <f>IF(AND(M327="F",AS327&lt;&gt;0),SUMIF(C2:C557,C327,W2:W557),0)</f>
        <v>43638.400000000001</v>
      </c>
      <c r="AY327" s="386">
        <f t="shared" si="249"/>
        <v>43638.400000000001</v>
      </c>
      <c r="AZ327" s="386" t="str">
        <f t="shared" si="250"/>
        <v/>
      </c>
      <c r="BA327" s="386">
        <f t="shared" si="251"/>
        <v>0</v>
      </c>
      <c r="BB327" s="386">
        <f t="shared" si="220"/>
        <v>11650</v>
      </c>
      <c r="BC327" s="386">
        <f t="shared" si="221"/>
        <v>0</v>
      </c>
      <c r="BD327" s="386">
        <f t="shared" si="222"/>
        <v>2705.5808000000002</v>
      </c>
      <c r="BE327" s="386">
        <f t="shared" si="223"/>
        <v>632.7568</v>
      </c>
      <c r="BF327" s="386">
        <f t="shared" si="224"/>
        <v>5210.4249600000003</v>
      </c>
      <c r="BG327" s="386">
        <f t="shared" si="225"/>
        <v>314.63286400000004</v>
      </c>
      <c r="BH327" s="386">
        <f t="shared" si="226"/>
        <v>213.82816</v>
      </c>
      <c r="BI327" s="386">
        <f t="shared" si="227"/>
        <v>133.53350399999999</v>
      </c>
      <c r="BJ327" s="386">
        <f t="shared" si="228"/>
        <v>104.73215999999999</v>
      </c>
      <c r="BK327" s="386">
        <f t="shared" si="229"/>
        <v>0</v>
      </c>
      <c r="BL327" s="386">
        <f t="shared" si="252"/>
        <v>9315.489247999998</v>
      </c>
      <c r="BM327" s="386">
        <f t="shared" si="253"/>
        <v>0</v>
      </c>
      <c r="BN327" s="386">
        <f t="shared" si="230"/>
        <v>11650</v>
      </c>
      <c r="BO327" s="386">
        <f t="shared" si="231"/>
        <v>0</v>
      </c>
      <c r="BP327" s="386">
        <f t="shared" si="232"/>
        <v>2705.5808000000002</v>
      </c>
      <c r="BQ327" s="386">
        <f t="shared" si="233"/>
        <v>632.7568</v>
      </c>
      <c r="BR327" s="386">
        <f t="shared" si="234"/>
        <v>5210.4249600000003</v>
      </c>
      <c r="BS327" s="386">
        <f t="shared" si="235"/>
        <v>314.63286400000004</v>
      </c>
      <c r="BT327" s="386">
        <f t="shared" si="236"/>
        <v>0</v>
      </c>
      <c r="BU327" s="386">
        <f t="shared" si="237"/>
        <v>133.53350399999999</v>
      </c>
      <c r="BV327" s="386">
        <f t="shared" si="238"/>
        <v>109.096</v>
      </c>
      <c r="BW327" s="386">
        <f t="shared" si="239"/>
        <v>0</v>
      </c>
      <c r="BX327" s="386">
        <f t="shared" si="254"/>
        <v>9106.0249280000007</v>
      </c>
      <c r="BY327" s="386">
        <f t="shared" si="255"/>
        <v>0</v>
      </c>
      <c r="BZ327" s="386">
        <f t="shared" si="256"/>
        <v>0</v>
      </c>
      <c r="CA327" s="386">
        <f t="shared" si="257"/>
        <v>0</v>
      </c>
      <c r="CB327" s="386">
        <f t="shared" si="258"/>
        <v>0</v>
      </c>
      <c r="CC327" s="386">
        <f t="shared" si="240"/>
        <v>0</v>
      </c>
      <c r="CD327" s="386">
        <f t="shared" si="241"/>
        <v>0</v>
      </c>
      <c r="CE327" s="386">
        <f t="shared" si="242"/>
        <v>0</v>
      </c>
      <c r="CF327" s="386">
        <f t="shared" si="243"/>
        <v>-213.82816</v>
      </c>
      <c r="CG327" s="386">
        <f t="shared" si="244"/>
        <v>0</v>
      </c>
      <c r="CH327" s="386">
        <f t="shared" si="245"/>
        <v>4.3638400000000113</v>
      </c>
      <c r="CI327" s="386">
        <f t="shared" si="246"/>
        <v>0</v>
      </c>
      <c r="CJ327" s="386">
        <f t="shared" si="259"/>
        <v>-209.46431999999999</v>
      </c>
      <c r="CK327" s="386" t="str">
        <f t="shared" si="260"/>
        <v/>
      </c>
      <c r="CL327" s="386" t="str">
        <f t="shared" si="261"/>
        <v/>
      </c>
      <c r="CM327" s="386" t="str">
        <f t="shared" si="262"/>
        <v/>
      </c>
      <c r="CN327" s="386" t="str">
        <f t="shared" si="263"/>
        <v>0001-00</v>
      </c>
    </row>
    <row r="328" spans="1:92" ht="15.75" thickBot="1" x14ac:dyDescent="0.3">
      <c r="A328" s="375" t="s">
        <v>161</v>
      </c>
      <c r="B328" s="375" t="s">
        <v>162</v>
      </c>
      <c r="C328" s="375" t="s">
        <v>1312</v>
      </c>
      <c r="D328" s="375" t="s">
        <v>324</v>
      </c>
      <c r="E328" s="375" t="s">
        <v>165</v>
      </c>
      <c r="F328" s="376" t="s">
        <v>166</v>
      </c>
      <c r="G328" s="375" t="s">
        <v>1069</v>
      </c>
      <c r="H328" s="377"/>
      <c r="I328" s="377"/>
      <c r="J328" s="375" t="s">
        <v>168</v>
      </c>
      <c r="K328" s="375" t="s">
        <v>325</v>
      </c>
      <c r="L328" s="375" t="s">
        <v>170</v>
      </c>
      <c r="M328" s="375" t="s">
        <v>177</v>
      </c>
      <c r="N328" s="375" t="s">
        <v>199</v>
      </c>
      <c r="O328" s="378">
        <v>1</v>
      </c>
      <c r="P328" s="384">
        <v>1</v>
      </c>
      <c r="Q328" s="384">
        <v>1</v>
      </c>
      <c r="R328" s="379">
        <v>80</v>
      </c>
      <c r="S328" s="384">
        <v>1</v>
      </c>
      <c r="T328" s="379">
        <v>57261.63</v>
      </c>
      <c r="U328" s="379">
        <v>0</v>
      </c>
      <c r="V328" s="379">
        <v>22343.040000000001</v>
      </c>
      <c r="W328" s="379">
        <v>64188.800000000003</v>
      </c>
      <c r="X328" s="379">
        <v>25352.35</v>
      </c>
      <c r="Y328" s="379">
        <v>64188.800000000003</v>
      </c>
      <c r="Z328" s="379">
        <v>25044.25</v>
      </c>
      <c r="AA328" s="375" t="s">
        <v>1313</v>
      </c>
      <c r="AB328" s="375" t="s">
        <v>1314</v>
      </c>
      <c r="AC328" s="375" t="s">
        <v>1315</v>
      </c>
      <c r="AD328" s="375" t="s">
        <v>647</v>
      </c>
      <c r="AE328" s="375" t="s">
        <v>325</v>
      </c>
      <c r="AF328" s="375" t="s">
        <v>269</v>
      </c>
      <c r="AG328" s="375" t="s">
        <v>183</v>
      </c>
      <c r="AH328" s="380">
        <v>30.86</v>
      </c>
      <c r="AI328" s="380">
        <v>41657.9</v>
      </c>
      <c r="AJ328" s="375" t="s">
        <v>184</v>
      </c>
      <c r="AK328" s="375" t="s">
        <v>185</v>
      </c>
      <c r="AL328" s="375" t="s">
        <v>173</v>
      </c>
      <c r="AM328" s="375" t="s">
        <v>186</v>
      </c>
      <c r="AN328" s="375" t="s">
        <v>68</v>
      </c>
      <c r="AO328" s="378">
        <v>80</v>
      </c>
      <c r="AP328" s="384">
        <v>1</v>
      </c>
      <c r="AQ328" s="384">
        <v>1</v>
      </c>
      <c r="AR328" s="383" t="s">
        <v>187</v>
      </c>
      <c r="AS328" s="386">
        <f t="shared" si="247"/>
        <v>1</v>
      </c>
      <c r="AT328">
        <f t="shared" si="248"/>
        <v>1</v>
      </c>
      <c r="AU328" s="386">
        <f>IF(AT328=0,"",IF(AND(AT328=1,M328="F",SUMIF(C2:C557,C328,AS2:AS557)&lt;=1),SUMIF(C2:C557,C328,AS2:AS557),IF(AND(AT328=1,M328="F",SUMIF(C2:C557,C328,AS2:AS557)&gt;1),1,"")))</f>
        <v>1</v>
      </c>
      <c r="AV328" s="386" t="str">
        <f>IF(AT328=0,"",IF(AND(AT328=3,M328="F",SUMIF(C2:C557,C328,AS2:AS557)&lt;=1),SUMIF(C2:C557,C328,AS2:AS557),IF(AND(AT328=3,M328="F",SUMIF(C2:C557,C328,AS2:AS557)&gt;1),1,"")))</f>
        <v/>
      </c>
      <c r="AW328" s="386">
        <f>SUMIF(C2:C557,C328,O2:O557)</f>
        <v>1</v>
      </c>
      <c r="AX328" s="386">
        <f>IF(AND(M328="F",AS328&lt;&gt;0),SUMIF(C2:C557,C328,W2:W557),0)</f>
        <v>64188.800000000003</v>
      </c>
      <c r="AY328" s="386">
        <f t="shared" si="249"/>
        <v>64188.800000000003</v>
      </c>
      <c r="AZ328" s="386" t="str">
        <f t="shared" si="250"/>
        <v/>
      </c>
      <c r="BA328" s="386">
        <f t="shared" si="251"/>
        <v>0</v>
      </c>
      <c r="BB328" s="386">
        <f t="shared" si="220"/>
        <v>11650</v>
      </c>
      <c r="BC328" s="386">
        <f t="shared" si="221"/>
        <v>0</v>
      </c>
      <c r="BD328" s="386">
        <f t="shared" si="222"/>
        <v>3979.7056000000002</v>
      </c>
      <c r="BE328" s="386">
        <f t="shared" si="223"/>
        <v>930.73760000000004</v>
      </c>
      <c r="BF328" s="386">
        <f t="shared" si="224"/>
        <v>7664.1427200000007</v>
      </c>
      <c r="BG328" s="386">
        <f t="shared" si="225"/>
        <v>462.80124800000004</v>
      </c>
      <c r="BH328" s="386">
        <f t="shared" si="226"/>
        <v>314.52512000000002</v>
      </c>
      <c r="BI328" s="386">
        <f t="shared" si="227"/>
        <v>196.41772799999998</v>
      </c>
      <c r="BJ328" s="386">
        <f t="shared" si="228"/>
        <v>154.05312000000001</v>
      </c>
      <c r="BK328" s="386">
        <f t="shared" si="229"/>
        <v>0</v>
      </c>
      <c r="BL328" s="386">
        <f t="shared" si="252"/>
        <v>13702.383136000002</v>
      </c>
      <c r="BM328" s="386">
        <f t="shared" si="253"/>
        <v>0</v>
      </c>
      <c r="BN328" s="386">
        <f t="shared" si="230"/>
        <v>11650</v>
      </c>
      <c r="BO328" s="386">
        <f t="shared" si="231"/>
        <v>0</v>
      </c>
      <c r="BP328" s="386">
        <f t="shared" si="232"/>
        <v>3979.7056000000002</v>
      </c>
      <c r="BQ328" s="386">
        <f t="shared" si="233"/>
        <v>930.73760000000004</v>
      </c>
      <c r="BR328" s="386">
        <f t="shared" si="234"/>
        <v>7664.1427200000007</v>
      </c>
      <c r="BS328" s="386">
        <f t="shared" si="235"/>
        <v>462.80124800000004</v>
      </c>
      <c r="BT328" s="386">
        <f t="shared" si="236"/>
        <v>0</v>
      </c>
      <c r="BU328" s="386">
        <f t="shared" si="237"/>
        <v>196.41772799999998</v>
      </c>
      <c r="BV328" s="386">
        <f t="shared" si="238"/>
        <v>160.47200000000001</v>
      </c>
      <c r="BW328" s="386">
        <f t="shared" si="239"/>
        <v>0</v>
      </c>
      <c r="BX328" s="386">
        <f t="shared" si="254"/>
        <v>13394.276896000001</v>
      </c>
      <c r="BY328" s="386">
        <f t="shared" si="255"/>
        <v>0</v>
      </c>
      <c r="BZ328" s="386">
        <f t="shared" si="256"/>
        <v>0</v>
      </c>
      <c r="CA328" s="386">
        <f t="shared" si="257"/>
        <v>0</v>
      </c>
      <c r="CB328" s="386">
        <f t="shared" si="258"/>
        <v>0</v>
      </c>
      <c r="CC328" s="386">
        <f t="shared" si="240"/>
        <v>0</v>
      </c>
      <c r="CD328" s="386">
        <f t="shared" si="241"/>
        <v>0</v>
      </c>
      <c r="CE328" s="386">
        <f t="shared" si="242"/>
        <v>0</v>
      </c>
      <c r="CF328" s="386">
        <f t="shared" si="243"/>
        <v>-314.52512000000002</v>
      </c>
      <c r="CG328" s="386">
        <f t="shared" si="244"/>
        <v>0</v>
      </c>
      <c r="CH328" s="386">
        <f t="shared" si="245"/>
        <v>6.4188800000000175</v>
      </c>
      <c r="CI328" s="386">
        <f t="shared" si="246"/>
        <v>0</v>
      </c>
      <c r="CJ328" s="386">
        <f t="shared" si="259"/>
        <v>-308.10624000000001</v>
      </c>
      <c r="CK328" s="386" t="str">
        <f t="shared" si="260"/>
        <v/>
      </c>
      <c r="CL328" s="386" t="str">
        <f t="shared" si="261"/>
        <v/>
      </c>
      <c r="CM328" s="386" t="str">
        <f t="shared" si="262"/>
        <v/>
      </c>
      <c r="CN328" s="386" t="str">
        <f t="shared" si="263"/>
        <v>0001-00</v>
      </c>
    </row>
    <row r="329" spans="1:92" ht="15.75" thickBot="1" x14ac:dyDescent="0.3">
      <c r="A329" s="375" t="s">
        <v>161</v>
      </c>
      <c r="B329" s="375" t="s">
        <v>162</v>
      </c>
      <c r="C329" s="375" t="s">
        <v>1316</v>
      </c>
      <c r="D329" s="375" t="s">
        <v>768</v>
      </c>
      <c r="E329" s="375" t="s">
        <v>165</v>
      </c>
      <c r="F329" s="376" t="s">
        <v>166</v>
      </c>
      <c r="G329" s="375" t="s">
        <v>1069</v>
      </c>
      <c r="H329" s="377"/>
      <c r="I329" s="377"/>
      <c r="J329" s="375" t="s">
        <v>168</v>
      </c>
      <c r="K329" s="375" t="s">
        <v>769</v>
      </c>
      <c r="L329" s="375" t="s">
        <v>233</v>
      </c>
      <c r="M329" s="375" t="s">
        <v>177</v>
      </c>
      <c r="N329" s="375" t="s">
        <v>199</v>
      </c>
      <c r="O329" s="378">
        <v>1</v>
      </c>
      <c r="P329" s="384">
        <v>1</v>
      </c>
      <c r="Q329" s="384">
        <v>1</v>
      </c>
      <c r="R329" s="379">
        <v>80</v>
      </c>
      <c r="S329" s="384">
        <v>1</v>
      </c>
      <c r="T329" s="379">
        <v>27158.36</v>
      </c>
      <c r="U329" s="379">
        <v>0</v>
      </c>
      <c r="V329" s="379">
        <v>17769.310000000001</v>
      </c>
      <c r="W329" s="379">
        <v>42785.599999999999</v>
      </c>
      <c r="X329" s="379">
        <v>20783.41</v>
      </c>
      <c r="Y329" s="379">
        <v>42785.599999999999</v>
      </c>
      <c r="Z329" s="379">
        <v>20578.05</v>
      </c>
      <c r="AA329" s="375" t="s">
        <v>1317</v>
      </c>
      <c r="AB329" s="375" t="s">
        <v>585</v>
      </c>
      <c r="AC329" s="375" t="s">
        <v>1318</v>
      </c>
      <c r="AD329" s="375" t="s">
        <v>1319</v>
      </c>
      <c r="AE329" s="375" t="s">
        <v>769</v>
      </c>
      <c r="AF329" s="375" t="s">
        <v>237</v>
      </c>
      <c r="AG329" s="375" t="s">
        <v>183</v>
      </c>
      <c r="AH329" s="380">
        <v>20.57</v>
      </c>
      <c r="AI329" s="380">
        <v>52995.1</v>
      </c>
      <c r="AJ329" s="375" t="s">
        <v>184</v>
      </c>
      <c r="AK329" s="375" t="s">
        <v>185</v>
      </c>
      <c r="AL329" s="375" t="s">
        <v>173</v>
      </c>
      <c r="AM329" s="375" t="s">
        <v>186</v>
      </c>
      <c r="AN329" s="375" t="s">
        <v>68</v>
      </c>
      <c r="AO329" s="378">
        <v>80</v>
      </c>
      <c r="AP329" s="384">
        <v>1</v>
      </c>
      <c r="AQ329" s="384">
        <v>1</v>
      </c>
      <c r="AR329" s="383" t="s">
        <v>187</v>
      </c>
      <c r="AS329" s="386">
        <f t="shared" si="247"/>
        <v>1</v>
      </c>
      <c r="AT329">
        <f t="shared" si="248"/>
        <v>1</v>
      </c>
      <c r="AU329" s="386">
        <f>IF(AT329=0,"",IF(AND(AT329=1,M329="F",SUMIF(C2:C557,C329,AS2:AS557)&lt;=1),SUMIF(C2:C557,C329,AS2:AS557),IF(AND(AT329=1,M329="F",SUMIF(C2:C557,C329,AS2:AS557)&gt;1),1,"")))</f>
        <v>1</v>
      </c>
      <c r="AV329" s="386" t="str">
        <f>IF(AT329=0,"",IF(AND(AT329=3,M329="F",SUMIF(C2:C557,C329,AS2:AS557)&lt;=1),SUMIF(C2:C557,C329,AS2:AS557),IF(AND(AT329=3,M329="F",SUMIF(C2:C557,C329,AS2:AS557)&gt;1),1,"")))</f>
        <v/>
      </c>
      <c r="AW329" s="386">
        <f>SUMIF(C2:C557,C329,O2:O557)</f>
        <v>1</v>
      </c>
      <c r="AX329" s="386">
        <f>IF(AND(M329="F",AS329&lt;&gt;0),SUMIF(C2:C557,C329,W2:W557),0)</f>
        <v>42785.599999999999</v>
      </c>
      <c r="AY329" s="386">
        <f t="shared" si="249"/>
        <v>42785.599999999999</v>
      </c>
      <c r="AZ329" s="386" t="str">
        <f t="shared" si="250"/>
        <v/>
      </c>
      <c r="BA329" s="386">
        <f t="shared" si="251"/>
        <v>0</v>
      </c>
      <c r="BB329" s="386">
        <f t="shared" si="220"/>
        <v>11650</v>
      </c>
      <c r="BC329" s="386">
        <f t="shared" si="221"/>
        <v>0</v>
      </c>
      <c r="BD329" s="386">
        <f t="shared" si="222"/>
        <v>2652.7071999999998</v>
      </c>
      <c r="BE329" s="386">
        <f t="shared" si="223"/>
        <v>620.39120000000003</v>
      </c>
      <c r="BF329" s="386">
        <f t="shared" si="224"/>
        <v>5108.6006399999997</v>
      </c>
      <c r="BG329" s="386">
        <f t="shared" si="225"/>
        <v>308.48417599999999</v>
      </c>
      <c r="BH329" s="386">
        <f t="shared" si="226"/>
        <v>209.64944</v>
      </c>
      <c r="BI329" s="386">
        <f t="shared" si="227"/>
        <v>130.923936</v>
      </c>
      <c r="BJ329" s="386">
        <f t="shared" si="228"/>
        <v>102.68543999999999</v>
      </c>
      <c r="BK329" s="386">
        <f t="shared" si="229"/>
        <v>0</v>
      </c>
      <c r="BL329" s="386">
        <f t="shared" si="252"/>
        <v>9133.4420319999972</v>
      </c>
      <c r="BM329" s="386">
        <f t="shared" si="253"/>
        <v>0</v>
      </c>
      <c r="BN329" s="386">
        <f t="shared" si="230"/>
        <v>11650</v>
      </c>
      <c r="BO329" s="386">
        <f t="shared" si="231"/>
        <v>0</v>
      </c>
      <c r="BP329" s="386">
        <f t="shared" si="232"/>
        <v>2652.7071999999998</v>
      </c>
      <c r="BQ329" s="386">
        <f t="shared" si="233"/>
        <v>620.39120000000003</v>
      </c>
      <c r="BR329" s="386">
        <f t="shared" si="234"/>
        <v>5108.6006399999997</v>
      </c>
      <c r="BS329" s="386">
        <f t="shared" si="235"/>
        <v>308.48417599999999</v>
      </c>
      <c r="BT329" s="386">
        <f t="shared" si="236"/>
        <v>0</v>
      </c>
      <c r="BU329" s="386">
        <f t="shared" si="237"/>
        <v>130.923936</v>
      </c>
      <c r="BV329" s="386">
        <f t="shared" si="238"/>
        <v>106.964</v>
      </c>
      <c r="BW329" s="386">
        <f t="shared" si="239"/>
        <v>0</v>
      </c>
      <c r="BX329" s="386">
        <f t="shared" si="254"/>
        <v>8928.0711519999986</v>
      </c>
      <c r="BY329" s="386">
        <f t="shared" si="255"/>
        <v>0</v>
      </c>
      <c r="BZ329" s="386">
        <f t="shared" si="256"/>
        <v>0</v>
      </c>
      <c r="CA329" s="386">
        <f t="shared" si="257"/>
        <v>0</v>
      </c>
      <c r="CB329" s="386">
        <f t="shared" si="258"/>
        <v>0</v>
      </c>
      <c r="CC329" s="386">
        <f t="shared" si="240"/>
        <v>0</v>
      </c>
      <c r="CD329" s="386">
        <f t="shared" si="241"/>
        <v>0</v>
      </c>
      <c r="CE329" s="386">
        <f t="shared" si="242"/>
        <v>0</v>
      </c>
      <c r="CF329" s="386">
        <f t="shared" si="243"/>
        <v>-209.64944</v>
      </c>
      <c r="CG329" s="386">
        <f t="shared" si="244"/>
        <v>0</v>
      </c>
      <c r="CH329" s="386">
        <f t="shared" si="245"/>
        <v>4.2785600000000112</v>
      </c>
      <c r="CI329" s="386">
        <f t="shared" si="246"/>
        <v>0</v>
      </c>
      <c r="CJ329" s="386">
        <f t="shared" si="259"/>
        <v>-205.37088</v>
      </c>
      <c r="CK329" s="386" t="str">
        <f t="shared" si="260"/>
        <v/>
      </c>
      <c r="CL329" s="386" t="str">
        <f t="shared" si="261"/>
        <v/>
      </c>
      <c r="CM329" s="386" t="str">
        <f t="shared" si="262"/>
        <v/>
      </c>
      <c r="CN329" s="386" t="str">
        <f t="shared" si="263"/>
        <v>0001-00</v>
      </c>
    </row>
    <row r="330" spans="1:92" ht="15.75" thickBot="1" x14ac:dyDescent="0.3">
      <c r="A330" s="375" t="s">
        <v>161</v>
      </c>
      <c r="B330" s="375" t="s">
        <v>162</v>
      </c>
      <c r="C330" s="375" t="s">
        <v>1320</v>
      </c>
      <c r="D330" s="375" t="s">
        <v>1321</v>
      </c>
      <c r="E330" s="375" t="s">
        <v>165</v>
      </c>
      <c r="F330" s="376" t="s">
        <v>166</v>
      </c>
      <c r="G330" s="375" t="s">
        <v>1069</v>
      </c>
      <c r="H330" s="377"/>
      <c r="I330" s="377"/>
      <c r="J330" s="375" t="s">
        <v>168</v>
      </c>
      <c r="K330" s="375" t="s">
        <v>1322</v>
      </c>
      <c r="L330" s="375" t="s">
        <v>170</v>
      </c>
      <c r="M330" s="375" t="s">
        <v>177</v>
      </c>
      <c r="N330" s="375" t="s">
        <v>199</v>
      </c>
      <c r="O330" s="378">
        <v>1</v>
      </c>
      <c r="P330" s="384">
        <v>1</v>
      </c>
      <c r="Q330" s="384">
        <v>1</v>
      </c>
      <c r="R330" s="379">
        <v>80</v>
      </c>
      <c r="S330" s="384">
        <v>1</v>
      </c>
      <c r="T330" s="379">
        <v>28499.200000000001</v>
      </c>
      <c r="U330" s="379">
        <v>70.38</v>
      </c>
      <c r="V330" s="379">
        <v>16565.34</v>
      </c>
      <c r="W330" s="379">
        <v>60507.199999999997</v>
      </c>
      <c r="X330" s="379">
        <v>24566.43</v>
      </c>
      <c r="Y330" s="379">
        <v>60507.199999999997</v>
      </c>
      <c r="Z330" s="379">
        <v>24276</v>
      </c>
      <c r="AA330" s="375" t="s">
        <v>1323</v>
      </c>
      <c r="AB330" s="375" t="s">
        <v>577</v>
      </c>
      <c r="AC330" s="375" t="s">
        <v>179</v>
      </c>
      <c r="AD330" s="375" t="s">
        <v>1324</v>
      </c>
      <c r="AE330" s="375" t="s">
        <v>1322</v>
      </c>
      <c r="AF330" s="375" t="s">
        <v>269</v>
      </c>
      <c r="AG330" s="375" t="s">
        <v>183</v>
      </c>
      <c r="AH330" s="380">
        <v>29.09</v>
      </c>
      <c r="AI330" s="380">
        <v>56088.9</v>
      </c>
      <c r="AJ330" s="375" t="s">
        <v>184</v>
      </c>
      <c r="AK330" s="375" t="s">
        <v>185</v>
      </c>
      <c r="AL330" s="375" t="s">
        <v>173</v>
      </c>
      <c r="AM330" s="375" t="s">
        <v>186</v>
      </c>
      <c r="AN330" s="375" t="s">
        <v>68</v>
      </c>
      <c r="AO330" s="378">
        <v>80</v>
      </c>
      <c r="AP330" s="384">
        <v>1</v>
      </c>
      <c r="AQ330" s="384">
        <v>1</v>
      </c>
      <c r="AR330" s="383" t="s">
        <v>187</v>
      </c>
      <c r="AS330" s="386">
        <f t="shared" si="247"/>
        <v>1</v>
      </c>
      <c r="AT330">
        <f t="shared" si="248"/>
        <v>1</v>
      </c>
      <c r="AU330" s="386">
        <f>IF(AT330=0,"",IF(AND(AT330=1,M330="F",SUMIF(C2:C557,C330,AS2:AS557)&lt;=1),SUMIF(C2:C557,C330,AS2:AS557),IF(AND(AT330=1,M330="F",SUMIF(C2:C557,C330,AS2:AS557)&gt;1),1,"")))</f>
        <v>1</v>
      </c>
      <c r="AV330" s="386" t="str">
        <f>IF(AT330=0,"",IF(AND(AT330=3,M330="F",SUMIF(C2:C557,C330,AS2:AS557)&lt;=1),SUMIF(C2:C557,C330,AS2:AS557),IF(AND(AT330=3,M330="F",SUMIF(C2:C557,C330,AS2:AS557)&gt;1),1,"")))</f>
        <v/>
      </c>
      <c r="AW330" s="386">
        <f>SUMIF(C2:C557,C330,O2:O557)</f>
        <v>1</v>
      </c>
      <c r="AX330" s="386">
        <f>IF(AND(M330="F",AS330&lt;&gt;0),SUMIF(C2:C557,C330,W2:W557),0)</f>
        <v>60507.199999999997</v>
      </c>
      <c r="AY330" s="386">
        <f t="shared" si="249"/>
        <v>60507.199999999997</v>
      </c>
      <c r="AZ330" s="386" t="str">
        <f t="shared" si="250"/>
        <v/>
      </c>
      <c r="BA330" s="386">
        <f t="shared" si="251"/>
        <v>0</v>
      </c>
      <c r="BB330" s="386">
        <f t="shared" si="220"/>
        <v>11650</v>
      </c>
      <c r="BC330" s="386">
        <f t="shared" si="221"/>
        <v>0</v>
      </c>
      <c r="BD330" s="386">
        <f t="shared" si="222"/>
        <v>3751.4463999999998</v>
      </c>
      <c r="BE330" s="386">
        <f t="shared" si="223"/>
        <v>877.35440000000006</v>
      </c>
      <c r="BF330" s="386">
        <f t="shared" si="224"/>
        <v>7224.5596800000003</v>
      </c>
      <c r="BG330" s="386">
        <f t="shared" si="225"/>
        <v>436.256912</v>
      </c>
      <c r="BH330" s="386">
        <f t="shared" si="226"/>
        <v>296.48527999999999</v>
      </c>
      <c r="BI330" s="386">
        <f t="shared" si="227"/>
        <v>185.15203199999999</v>
      </c>
      <c r="BJ330" s="386">
        <f t="shared" si="228"/>
        <v>145.21727999999999</v>
      </c>
      <c r="BK330" s="386">
        <f t="shared" si="229"/>
        <v>0</v>
      </c>
      <c r="BL330" s="386">
        <f t="shared" si="252"/>
        <v>12916.471984000002</v>
      </c>
      <c r="BM330" s="386">
        <f t="shared" si="253"/>
        <v>0</v>
      </c>
      <c r="BN330" s="386">
        <f t="shared" si="230"/>
        <v>11650</v>
      </c>
      <c r="BO330" s="386">
        <f t="shared" si="231"/>
        <v>0</v>
      </c>
      <c r="BP330" s="386">
        <f t="shared" si="232"/>
        <v>3751.4463999999998</v>
      </c>
      <c r="BQ330" s="386">
        <f t="shared" si="233"/>
        <v>877.35440000000006</v>
      </c>
      <c r="BR330" s="386">
        <f t="shared" si="234"/>
        <v>7224.5596800000003</v>
      </c>
      <c r="BS330" s="386">
        <f t="shared" si="235"/>
        <v>436.256912</v>
      </c>
      <c r="BT330" s="386">
        <f t="shared" si="236"/>
        <v>0</v>
      </c>
      <c r="BU330" s="386">
        <f t="shared" si="237"/>
        <v>185.15203199999999</v>
      </c>
      <c r="BV330" s="386">
        <f t="shared" si="238"/>
        <v>151.268</v>
      </c>
      <c r="BW330" s="386">
        <f t="shared" si="239"/>
        <v>0</v>
      </c>
      <c r="BX330" s="386">
        <f t="shared" si="254"/>
        <v>12626.037424</v>
      </c>
      <c r="BY330" s="386">
        <f t="shared" si="255"/>
        <v>0</v>
      </c>
      <c r="BZ330" s="386">
        <f t="shared" si="256"/>
        <v>0</v>
      </c>
      <c r="CA330" s="386">
        <f t="shared" si="257"/>
        <v>0</v>
      </c>
      <c r="CB330" s="386">
        <f t="shared" si="258"/>
        <v>0</v>
      </c>
      <c r="CC330" s="386">
        <f t="shared" si="240"/>
        <v>0</v>
      </c>
      <c r="CD330" s="386">
        <f t="shared" si="241"/>
        <v>0</v>
      </c>
      <c r="CE330" s="386">
        <f t="shared" si="242"/>
        <v>0</v>
      </c>
      <c r="CF330" s="386">
        <f t="shared" si="243"/>
        <v>-296.48527999999999</v>
      </c>
      <c r="CG330" s="386">
        <f t="shared" si="244"/>
        <v>0</v>
      </c>
      <c r="CH330" s="386">
        <f t="shared" si="245"/>
        <v>6.0507200000000152</v>
      </c>
      <c r="CI330" s="386">
        <f t="shared" si="246"/>
        <v>0</v>
      </c>
      <c r="CJ330" s="386">
        <f t="shared" si="259"/>
        <v>-290.43455999999998</v>
      </c>
      <c r="CK330" s="386" t="str">
        <f t="shared" si="260"/>
        <v/>
      </c>
      <c r="CL330" s="386" t="str">
        <f t="shared" si="261"/>
        <v/>
      </c>
      <c r="CM330" s="386" t="str">
        <f t="shared" si="262"/>
        <v/>
      </c>
      <c r="CN330" s="386" t="str">
        <f t="shared" si="263"/>
        <v>0001-00</v>
      </c>
    </row>
    <row r="331" spans="1:92" ht="15.75" thickBot="1" x14ac:dyDescent="0.3">
      <c r="A331" s="375" t="s">
        <v>161</v>
      </c>
      <c r="B331" s="375" t="s">
        <v>162</v>
      </c>
      <c r="C331" s="375" t="s">
        <v>1325</v>
      </c>
      <c r="D331" s="375" t="s">
        <v>239</v>
      </c>
      <c r="E331" s="375" t="s">
        <v>165</v>
      </c>
      <c r="F331" s="376" t="s">
        <v>166</v>
      </c>
      <c r="G331" s="375" t="s">
        <v>1069</v>
      </c>
      <c r="H331" s="377"/>
      <c r="I331" s="377"/>
      <c r="J331" s="375" t="s">
        <v>168</v>
      </c>
      <c r="K331" s="375" t="s">
        <v>240</v>
      </c>
      <c r="L331" s="375" t="s">
        <v>198</v>
      </c>
      <c r="M331" s="375" t="s">
        <v>177</v>
      </c>
      <c r="N331" s="375" t="s">
        <v>199</v>
      </c>
      <c r="O331" s="378">
        <v>1</v>
      </c>
      <c r="P331" s="384">
        <v>1</v>
      </c>
      <c r="Q331" s="384">
        <v>1</v>
      </c>
      <c r="R331" s="379">
        <v>80</v>
      </c>
      <c r="S331" s="384">
        <v>1</v>
      </c>
      <c r="T331" s="379">
        <v>43751.25</v>
      </c>
      <c r="U331" s="379">
        <v>0</v>
      </c>
      <c r="V331" s="379">
        <v>20681.990000000002</v>
      </c>
      <c r="W331" s="379">
        <v>47320</v>
      </c>
      <c r="X331" s="379">
        <v>21751.360000000001</v>
      </c>
      <c r="Y331" s="379">
        <v>47320</v>
      </c>
      <c r="Z331" s="379">
        <v>21524.240000000002</v>
      </c>
      <c r="AA331" s="375" t="s">
        <v>1326</v>
      </c>
      <c r="AB331" s="375" t="s">
        <v>1327</v>
      </c>
      <c r="AC331" s="375" t="s">
        <v>1311</v>
      </c>
      <c r="AD331" s="375" t="s">
        <v>244</v>
      </c>
      <c r="AE331" s="375" t="s">
        <v>240</v>
      </c>
      <c r="AF331" s="375" t="s">
        <v>245</v>
      </c>
      <c r="AG331" s="375" t="s">
        <v>183</v>
      </c>
      <c r="AH331" s="380">
        <v>22.75</v>
      </c>
      <c r="AI331" s="380">
        <v>13356.5</v>
      </c>
      <c r="AJ331" s="375" t="s">
        <v>184</v>
      </c>
      <c r="AK331" s="375" t="s">
        <v>185</v>
      </c>
      <c r="AL331" s="375" t="s">
        <v>173</v>
      </c>
      <c r="AM331" s="375" t="s">
        <v>186</v>
      </c>
      <c r="AN331" s="375" t="s">
        <v>68</v>
      </c>
      <c r="AO331" s="378">
        <v>80</v>
      </c>
      <c r="AP331" s="384">
        <v>1</v>
      </c>
      <c r="AQ331" s="384">
        <v>1</v>
      </c>
      <c r="AR331" s="383" t="s">
        <v>187</v>
      </c>
      <c r="AS331" s="386">
        <f t="shared" si="247"/>
        <v>1</v>
      </c>
      <c r="AT331">
        <f t="shared" si="248"/>
        <v>1</v>
      </c>
      <c r="AU331" s="386">
        <f>IF(AT331=0,"",IF(AND(AT331=1,M331="F",SUMIF(C2:C557,C331,AS2:AS557)&lt;=1),SUMIF(C2:C557,C331,AS2:AS557),IF(AND(AT331=1,M331="F",SUMIF(C2:C557,C331,AS2:AS557)&gt;1),1,"")))</f>
        <v>1</v>
      </c>
      <c r="AV331" s="386" t="str">
        <f>IF(AT331=0,"",IF(AND(AT331=3,M331="F",SUMIF(C2:C557,C331,AS2:AS557)&lt;=1),SUMIF(C2:C557,C331,AS2:AS557),IF(AND(AT331=3,M331="F",SUMIF(C2:C557,C331,AS2:AS557)&gt;1),1,"")))</f>
        <v/>
      </c>
      <c r="AW331" s="386">
        <f>SUMIF(C2:C557,C331,O2:O557)</f>
        <v>1</v>
      </c>
      <c r="AX331" s="386">
        <f>IF(AND(M331="F",AS331&lt;&gt;0),SUMIF(C2:C557,C331,W2:W557),0)</f>
        <v>47320</v>
      </c>
      <c r="AY331" s="386">
        <f t="shared" si="249"/>
        <v>47320</v>
      </c>
      <c r="AZ331" s="386" t="str">
        <f t="shared" si="250"/>
        <v/>
      </c>
      <c r="BA331" s="386">
        <f t="shared" si="251"/>
        <v>0</v>
      </c>
      <c r="BB331" s="386">
        <f t="shared" si="220"/>
        <v>11650</v>
      </c>
      <c r="BC331" s="386">
        <f t="shared" si="221"/>
        <v>0</v>
      </c>
      <c r="BD331" s="386">
        <f t="shared" si="222"/>
        <v>2933.84</v>
      </c>
      <c r="BE331" s="386">
        <f t="shared" si="223"/>
        <v>686.14</v>
      </c>
      <c r="BF331" s="386">
        <f t="shared" si="224"/>
        <v>5650.0080000000007</v>
      </c>
      <c r="BG331" s="386">
        <f t="shared" si="225"/>
        <v>341.17720000000003</v>
      </c>
      <c r="BH331" s="386">
        <f t="shared" si="226"/>
        <v>231.86799999999999</v>
      </c>
      <c r="BI331" s="386">
        <f t="shared" si="227"/>
        <v>144.79919999999998</v>
      </c>
      <c r="BJ331" s="386">
        <f t="shared" si="228"/>
        <v>113.56799999999998</v>
      </c>
      <c r="BK331" s="386">
        <f t="shared" si="229"/>
        <v>0</v>
      </c>
      <c r="BL331" s="386">
        <f t="shared" si="252"/>
        <v>10101.4004</v>
      </c>
      <c r="BM331" s="386">
        <f t="shared" si="253"/>
        <v>0</v>
      </c>
      <c r="BN331" s="386">
        <f t="shared" si="230"/>
        <v>11650</v>
      </c>
      <c r="BO331" s="386">
        <f t="shared" si="231"/>
        <v>0</v>
      </c>
      <c r="BP331" s="386">
        <f t="shared" si="232"/>
        <v>2933.84</v>
      </c>
      <c r="BQ331" s="386">
        <f t="shared" si="233"/>
        <v>686.14</v>
      </c>
      <c r="BR331" s="386">
        <f t="shared" si="234"/>
        <v>5650.0080000000007</v>
      </c>
      <c r="BS331" s="386">
        <f t="shared" si="235"/>
        <v>341.17720000000003</v>
      </c>
      <c r="BT331" s="386">
        <f t="shared" si="236"/>
        <v>0</v>
      </c>
      <c r="BU331" s="386">
        <f t="shared" si="237"/>
        <v>144.79919999999998</v>
      </c>
      <c r="BV331" s="386">
        <f t="shared" si="238"/>
        <v>118.3</v>
      </c>
      <c r="BW331" s="386">
        <f t="shared" si="239"/>
        <v>0</v>
      </c>
      <c r="BX331" s="386">
        <f t="shared" si="254"/>
        <v>9874.2644</v>
      </c>
      <c r="BY331" s="386">
        <f t="shared" si="255"/>
        <v>0</v>
      </c>
      <c r="BZ331" s="386">
        <f t="shared" si="256"/>
        <v>0</v>
      </c>
      <c r="CA331" s="386">
        <f t="shared" si="257"/>
        <v>0</v>
      </c>
      <c r="CB331" s="386">
        <f t="shared" si="258"/>
        <v>0</v>
      </c>
      <c r="CC331" s="386">
        <f t="shared" si="240"/>
        <v>0</v>
      </c>
      <c r="CD331" s="386">
        <f t="shared" si="241"/>
        <v>0</v>
      </c>
      <c r="CE331" s="386">
        <f t="shared" si="242"/>
        <v>0</v>
      </c>
      <c r="CF331" s="386">
        <f t="shared" si="243"/>
        <v>-231.86799999999999</v>
      </c>
      <c r="CG331" s="386">
        <f t="shared" si="244"/>
        <v>0</v>
      </c>
      <c r="CH331" s="386">
        <f t="shared" si="245"/>
        <v>4.7320000000000126</v>
      </c>
      <c r="CI331" s="386">
        <f t="shared" si="246"/>
        <v>0</v>
      </c>
      <c r="CJ331" s="386">
        <f t="shared" si="259"/>
        <v>-227.136</v>
      </c>
      <c r="CK331" s="386" t="str">
        <f t="shared" si="260"/>
        <v/>
      </c>
      <c r="CL331" s="386" t="str">
        <f t="shared" si="261"/>
        <v/>
      </c>
      <c r="CM331" s="386" t="str">
        <f t="shared" si="262"/>
        <v/>
      </c>
      <c r="CN331" s="386" t="str">
        <f t="shared" si="263"/>
        <v>0001-00</v>
      </c>
    </row>
    <row r="332" spans="1:92" ht="15.75" thickBot="1" x14ac:dyDescent="0.3">
      <c r="A332" s="375" t="s">
        <v>161</v>
      </c>
      <c r="B332" s="375" t="s">
        <v>162</v>
      </c>
      <c r="C332" s="375" t="s">
        <v>1328</v>
      </c>
      <c r="D332" s="375" t="s">
        <v>665</v>
      </c>
      <c r="E332" s="375" t="s">
        <v>165</v>
      </c>
      <c r="F332" s="376" t="s">
        <v>166</v>
      </c>
      <c r="G332" s="375" t="s">
        <v>1069</v>
      </c>
      <c r="H332" s="377"/>
      <c r="I332" s="377"/>
      <c r="J332" s="375" t="s">
        <v>168</v>
      </c>
      <c r="K332" s="375" t="s">
        <v>666</v>
      </c>
      <c r="L332" s="375" t="s">
        <v>183</v>
      </c>
      <c r="M332" s="375" t="s">
        <v>177</v>
      </c>
      <c r="N332" s="375" t="s">
        <v>199</v>
      </c>
      <c r="O332" s="378">
        <v>1</v>
      </c>
      <c r="P332" s="384">
        <v>1</v>
      </c>
      <c r="Q332" s="384">
        <v>1</v>
      </c>
      <c r="R332" s="379">
        <v>80</v>
      </c>
      <c r="S332" s="384">
        <v>1</v>
      </c>
      <c r="T332" s="379">
        <v>33688.089999999997</v>
      </c>
      <c r="U332" s="379">
        <v>0</v>
      </c>
      <c r="V332" s="379">
        <v>18627.87</v>
      </c>
      <c r="W332" s="379">
        <v>34902.400000000001</v>
      </c>
      <c r="X332" s="379">
        <v>19100.580000000002</v>
      </c>
      <c r="Y332" s="379">
        <v>34902.400000000001</v>
      </c>
      <c r="Z332" s="379">
        <v>18933.05</v>
      </c>
      <c r="AA332" s="375" t="s">
        <v>1329</v>
      </c>
      <c r="AB332" s="375" t="s">
        <v>577</v>
      </c>
      <c r="AC332" s="375" t="s">
        <v>1330</v>
      </c>
      <c r="AD332" s="375" t="s">
        <v>195</v>
      </c>
      <c r="AE332" s="375" t="s">
        <v>666</v>
      </c>
      <c r="AF332" s="375" t="s">
        <v>206</v>
      </c>
      <c r="AG332" s="375" t="s">
        <v>183</v>
      </c>
      <c r="AH332" s="380">
        <v>16.78</v>
      </c>
      <c r="AI332" s="380">
        <v>18757.099999999999</v>
      </c>
      <c r="AJ332" s="375" t="s">
        <v>184</v>
      </c>
      <c r="AK332" s="375" t="s">
        <v>185</v>
      </c>
      <c r="AL332" s="375" t="s">
        <v>173</v>
      </c>
      <c r="AM332" s="375" t="s">
        <v>186</v>
      </c>
      <c r="AN332" s="375" t="s">
        <v>68</v>
      </c>
      <c r="AO332" s="378">
        <v>80</v>
      </c>
      <c r="AP332" s="384">
        <v>1</v>
      </c>
      <c r="AQ332" s="384">
        <v>1</v>
      </c>
      <c r="AR332" s="383" t="s">
        <v>187</v>
      </c>
      <c r="AS332" s="386">
        <f t="shared" si="247"/>
        <v>1</v>
      </c>
      <c r="AT332">
        <f t="shared" si="248"/>
        <v>1</v>
      </c>
      <c r="AU332" s="386">
        <f>IF(AT332=0,"",IF(AND(AT332=1,M332="F",SUMIF(C2:C557,C332,AS2:AS557)&lt;=1),SUMIF(C2:C557,C332,AS2:AS557),IF(AND(AT332=1,M332="F",SUMIF(C2:C557,C332,AS2:AS557)&gt;1),1,"")))</f>
        <v>1</v>
      </c>
      <c r="AV332" s="386" t="str">
        <f>IF(AT332=0,"",IF(AND(AT332=3,M332="F",SUMIF(C2:C557,C332,AS2:AS557)&lt;=1),SUMIF(C2:C557,C332,AS2:AS557),IF(AND(AT332=3,M332="F",SUMIF(C2:C557,C332,AS2:AS557)&gt;1),1,"")))</f>
        <v/>
      </c>
      <c r="AW332" s="386">
        <f>SUMIF(C2:C557,C332,O2:O557)</f>
        <v>1</v>
      </c>
      <c r="AX332" s="386">
        <f>IF(AND(M332="F",AS332&lt;&gt;0),SUMIF(C2:C557,C332,W2:W557),0)</f>
        <v>34902.400000000001</v>
      </c>
      <c r="AY332" s="386">
        <f t="shared" si="249"/>
        <v>34902.400000000001</v>
      </c>
      <c r="AZ332" s="386" t="str">
        <f t="shared" si="250"/>
        <v/>
      </c>
      <c r="BA332" s="386">
        <f t="shared" si="251"/>
        <v>0</v>
      </c>
      <c r="BB332" s="386">
        <f t="shared" si="220"/>
        <v>11650</v>
      </c>
      <c r="BC332" s="386">
        <f t="shared" si="221"/>
        <v>0</v>
      </c>
      <c r="BD332" s="386">
        <f t="shared" si="222"/>
        <v>2163.9488000000001</v>
      </c>
      <c r="BE332" s="386">
        <f t="shared" si="223"/>
        <v>506.08480000000003</v>
      </c>
      <c r="BF332" s="386">
        <f t="shared" si="224"/>
        <v>4167.34656</v>
      </c>
      <c r="BG332" s="386">
        <f t="shared" si="225"/>
        <v>251.64630400000001</v>
      </c>
      <c r="BH332" s="386">
        <f t="shared" si="226"/>
        <v>171.02176</v>
      </c>
      <c r="BI332" s="386">
        <f t="shared" si="227"/>
        <v>106.801344</v>
      </c>
      <c r="BJ332" s="386">
        <f t="shared" si="228"/>
        <v>83.76576</v>
      </c>
      <c r="BK332" s="386">
        <f t="shared" si="229"/>
        <v>0</v>
      </c>
      <c r="BL332" s="386">
        <f t="shared" si="252"/>
        <v>7450.6153280000008</v>
      </c>
      <c r="BM332" s="386">
        <f t="shared" si="253"/>
        <v>0</v>
      </c>
      <c r="BN332" s="386">
        <f t="shared" si="230"/>
        <v>11650</v>
      </c>
      <c r="BO332" s="386">
        <f t="shared" si="231"/>
        <v>0</v>
      </c>
      <c r="BP332" s="386">
        <f t="shared" si="232"/>
        <v>2163.9488000000001</v>
      </c>
      <c r="BQ332" s="386">
        <f t="shared" si="233"/>
        <v>506.08480000000003</v>
      </c>
      <c r="BR332" s="386">
        <f t="shared" si="234"/>
        <v>4167.34656</v>
      </c>
      <c r="BS332" s="386">
        <f t="shared" si="235"/>
        <v>251.64630400000001</v>
      </c>
      <c r="BT332" s="386">
        <f t="shared" si="236"/>
        <v>0</v>
      </c>
      <c r="BU332" s="386">
        <f t="shared" si="237"/>
        <v>106.801344</v>
      </c>
      <c r="BV332" s="386">
        <f t="shared" si="238"/>
        <v>87.256</v>
      </c>
      <c r="BW332" s="386">
        <f t="shared" si="239"/>
        <v>0</v>
      </c>
      <c r="BX332" s="386">
        <f t="shared" si="254"/>
        <v>7283.0838080000012</v>
      </c>
      <c r="BY332" s="386">
        <f t="shared" si="255"/>
        <v>0</v>
      </c>
      <c r="BZ332" s="386">
        <f t="shared" si="256"/>
        <v>0</v>
      </c>
      <c r="CA332" s="386">
        <f t="shared" si="257"/>
        <v>0</v>
      </c>
      <c r="CB332" s="386">
        <f t="shared" si="258"/>
        <v>0</v>
      </c>
      <c r="CC332" s="386">
        <f t="shared" si="240"/>
        <v>0</v>
      </c>
      <c r="CD332" s="386">
        <f t="shared" si="241"/>
        <v>0</v>
      </c>
      <c r="CE332" s="386">
        <f t="shared" si="242"/>
        <v>0</v>
      </c>
      <c r="CF332" s="386">
        <f t="shared" si="243"/>
        <v>-171.02176</v>
      </c>
      <c r="CG332" s="386">
        <f t="shared" si="244"/>
        <v>0</v>
      </c>
      <c r="CH332" s="386">
        <f t="shared" si="245"/>
        <v>3.4902400000000093</v>
      </c>
      <c r="CI332" s="386">
        <f t="shared" si="246"/>
        <v>0</v>
      </c>
      <c r="CJ332" s="386">
        <f t="shared" si="259"/>
        <v>-167.53152</v>
      </c>
      <c r="CK332" s="386" t="str">
        <f t="shared" si="260"/>
        <v/>
      </c>
      <c r="CL332" s="386" t="str">
        <f t="shared" si="261"/>
        <v/>
      </c>
      <c r="CM332" s="386" t="str">
        <f t="shared" si="262"/>
        <v/>
      </c>
      <c r="CN332" s="386" t="str">
        <f t="shared" si="263"/>
        <v>0001-00</v>
      </c>
    </row>
    <row r="333" spans="1:92" ht="15.75" thickBot="1" x14ac:dyDescent="0.3">
      <c r="A333" s="375" t="s">
        <v>161</v>
      </c>
      <c r="B333" s="375" t="s">
        <v>162</v>
      </c>
      <c r="C333" s="375" t="s">
        <v>1331</v>
      </c>
      <c r="D333" s="375" t="s">
        <v>768</v>
      </c>
      <c r="E333" s="375" t="s">
        <v>165</v>
      </c>
      <c r="F333" s="376" t="s">
        <v>166</v>
      </c>
      <c r="G333" s="375" t="s">
        <v>1069</v>
      </c>
      <c r="H333" s="377"/>
      <c r="I333" s="377"/>
      <c r="J333" s="375" t="s">
        <v>168</v>
      </c>
      <c r="K333" s="375" t="s">
        <v>769</v>
      </c>
      <c r="L333" s="375" t="s">
        <v>233</v>
      </c>
      <c r="M333" s="375" t="s">
        <v>177</v>
      </c>
      <c r="N333" s="375" t="s">
        <v>199</v>
      </c>
      <c r="O333" s="378">
        <v>1</v>
      </c>
      <c r="P333" s="384">
        <v>1</v>
      </c>
      <c r="Q333" s="384">
        <v>1</v>
      </c>
      <c r="R333" s="379">
        <v>80</v>
      </c>
      <c r="S333" s="384">
        <v>1</v>
      </c>
      <c r="T333" s="379">
        <v>33372.06</v>
      </c>
      <c r="U333" s="379">
        <v>0</v>
      </c>
      <c r="V333" s="379">
        <v>16014.53</v>
      </c>
      <c r="W333" s="379">
        <v>43222.400000000001</v>
      </c>
      <c r="X333" s="379">
        <v>20876.650000000001</v>
      </c>
      <c r="Y333" s="379">
        <v>43222.400000000001</v>
      </c>
      <c r="Z333" s="379">
        <v>20669.189999999999</v>
      </c>
      <c r="AA333" s="375" t="s">
        <v>1332</v>
      </c>
      <c r="AB333" s="375" t="s">
        <v>1333</v>
      </c>
      <c r="AC333" s="375" t="s">
        <v>720</v>
      </c>
      <c r="AD333" s="375" t="s">
        <v>214</v>
      </c>
      <c r="AE333" s="375" t="s">
        <v>769</v>
      </c>
      <c r="AF333" s="375" t="s">
        <v>237</v>
      </c>
      <c r="AG333" s="375" t="s">
        <v>183</v>
      </c>
      <c r="AH333" s="380">
        <v>20.78</v>
      </c>
      <c r="AI333" s="380">
        <v>10602.5</v>
      </c>
      <c r="AJ333" s="375" t="s">
        <v>184</v>
      </c>
      <c r="AK333" s="375" t="s">
        <v>185</v>
      </c>
      <c r="AL333" s="375" t="s">
        <v>173</v>
      </c>
      <c r="AM333" s="375" t="s">
        <v>186</v>
      </c>
      <c r="AN333" s="375" t="s">
        <v>68</v>
      </c>
      <c r="AO333" s="378">
        <v>80</v>
      </c>
      <c r="AP333" s="384">
        <v>1</v>
      </c>
      <c r="AQ333" s="384">
        <v>1</v>
      </c>
      <c r="AR333" s="383" t="s">
        <v>187</v>
      </c>
      <c r="AS333" s="386">
        <f t="shared" si="247"/>
        <v>1</v>
      </c>
      <c r="AT333">
        <f t="shared" si="248"/>
        <v>1</v>
      </c>
      <c r="AU333" s="386">
        <f>IF(AT333=0,"",IF(AND(AT333=1,M333="F",SUMIF(C2:C557,C333,AS2:AS557)&lt;=1),SUMIF(C2:C557,C333,AS2:AS557),IF(AND(AT333=1,M333="F",SUMIF(C2:C557,C333,AS2:AS557)&gt;1),1,"")))</f>
        <v>1</v>
      </c>
      <c r="AV333" s="386" t="str">
        <f>IF(AT333=0,"",IF(AND(AT333=3,M333="F",SUMIF(C2:C557,C333,AS2:AS557)&lt;=1),SUMIF(C2:C557,C333,AS2:AS557),IF(AND(AT333=3,M333="F",SUMIF(C2:C557,C333,AS2:AS557)&gt;1),1,"")))</f>
        <v/>
      </c>
      <c r="AW333" s="386">
        <f>SUMIF(C2:C557,C333,O2:O557)</f>
        <v>1</v>
      </c>
      <c r="AX333" s="386">
        <f>IF(AND(M333="F",AS333&lt;&gt;0),SUMIF(C2:C557,C333,W2:W557),0)</f>
        <v>43222.400000000001</v>
      </c>
      <c r="AY333" s="386">
        <f t="shared" si="249"/>
        <v>43222.400000000001</v>
      </c>
      <c r="AZ333" s="386" t="str">
        <f t="shared" si="250"/>
        <v/>
      </c>
      <c r="BA333" s="386">
        <f t="shared" si="251"/>
        <v>0</v>
      </c>
      <c r="BB333" s="386">
        <f t="shared" si="220"/>
        <v>11650</v>
      </c>
      <c r="BC333" s="386">
        <f t="shared" si="221"/>
        <v>0</v>
      </c>
      <c r="BD333" s="386">
        <f t="shared" si="222"/>
        <v>2679.7888000000003</v>
      </c>
      <c r="BE333" s="386">
        <f t="shared" si="223"/>
        <v>626.72480000000007</v>
      </c>
      <c r="BF333" s="386">
        <f t="shared" si="224"/>
        <v>5160.7545600000003</v>
      </c>
      <c r="BG333" s="386">
        <f t="shared" si="225"/>
        <v>311.63350400000002</v>
      </c>
      <c r="BH333" s="386">
        <f t="shared" si="226"/>
        <v>211.78976</v>
      </c>
      <c r="BI333" s="386">
        <f t="shared" si="227"/>
        <v>132.26054399999998</v>
      </c>
      <c r="BJ333" s="386">
        <f t="shared" si="228"/>
        <v>103.73375999999999</v>
      </c>
      <c r="BK333" s="386">
        <f t="shared" si="229"/>
        <v>0</v>
      </c>
      <c r="BL333" s="386">
        <f t="shared" si="252"/>
        <v>9226.6857279999986</v>
      </c>
      <c r="BM333" s="386">
        <f t="shared" si="253"/>
        <v>0</v>
      </c>
      <c r="BN333" s="386">
        <f t="shared" si="230"/>
        <v>11650</v>
      </c>
      <c r="BO333" s="386">
        <f t="shared" si="231"/>
        <v>0</v>
      </c>
      <c r="BP333" s="386">
        <f t="shared" si="232"/>
        <v>2679.7888000000003</v>
      </c>
      <c r="BQ333" s="386">
        <f t="shared" si="233"/>
        <v>626.72480000000007</v>
      </c>
      <c r="BR333" s="386">
        <f t="shared" si="234"/>
        <v>5160.7545600000003</v>
      </c>
      <c r="BS333" s="386">
        <f t="shared" si="235"/>
        <v>311.63350400000002</v>
      </c>
      <c r="BT333" s="386">
        <f t="shared" si="236"/>
        <v>0</v>
      </c>
      <c r="BU333" s="386">
        <f t="shared" si="237"/>
        <v>132.26054399999998</v>
      </c>
      <c r="BV333" s="386">
        <f t="shared" si="238"/>
        <v>108.05600000000001</v>
      </c>
      <c r="BW333" s="386">
        <f t="shared" si="239"/>
        <v>0</v>
      </c>
      <c r="BX333" s="386">
        <f t="shared" si="254"/>
        <v>9019.2182080000002</v>
      </c>
      <c r="BY333" s="386">
        <f t="shared" si="255"/>
        <v>0</v>
      </c>
      <c r="BZ333" s="386">
        <f t="shared" si="256"/>
        <v>0</v>
      </c>
      <c r="CA333" s="386">
        <f t="shared" si="257"/>
        <v>0</v>
      </c>
      <c r="CB333" s="386">
        <f t="shared" si="258"/>
        <v>0</v>
      </c>
      <c r="CC333" s="386">
        <f t="shared" si="240"/>
        <v>0</v>
      </c>
      <c r="CD333" s="386">
        <f t="shared" si="241"/>
        <v>0</v>
      </c>
      <c r="CE333" s="386">
        <f t="shared" si="242"/>
        <v>0</v>
      </c>
      <c r="CF333" s="386">
        <f t="shared" si="243"/>
        <v>-211.78976</v>
      </c>
      <c r="CG333" s="386">
        <f t="shared" si="244"/>
        <v>0</v>
      </c>
      <c r="CH333" s="386">
        <f t="shared" si="245"/>
        <v>4.3222400000000114</v>
      </c>
      <c r="CI333" s="386">
        <f t="shared" si="246"/>
        <v>0</v>
      </c>
      <c r="CJ333" s="386">
        <f t="shared" si="259"/>
        <v>-207.46751999999998</v>
      </c>
      <c r="CK333" s="386" t="str">
        <f t="shared" si="260"/>
        <v/>
      </c>
      <c r="CL333" s="386" t="str">
        <f t="shared" si="261"/>
        <v/>
      </c>
      <c r="CM333" s="386" t="str">
        <f t="shared" si="262"/>
        <v/>
      </c>
      <c r="CN333" s="386" t="str">
        <f t="shared" si="263"/>
        <v>0001-00</v>
      </c>
    </row>
    <row r="334" spans="1:92" ht="15.75" thickBot="1" x14ac:dyDescent="0.3">
      <c r="A334" s="375" t="s">
        <v>161</v>
      </c>
      <c r="B334" s="375" t="s">
        <v>162</v>
      </c>
      <c r="C334" s="375" t="s">
        <v>1334</v>
      </c>
      <c r="D334" s="375" t="s">
        <v>665</v>
      </c>
      <c r="E334" s="375" t="s">
        <v>165</v>
      </c>
      <c r="F334" s="376" t="s">
        <v>166</v>
      </c>
      <c r="G334" s="375" t="s">
        <v>1069</v>
      </c>
      <c r="H334" s="377"/>
      <c r="I334" s="377"/>
      <c r="J334" s="375" t="s">
        <v>168</v>
      </c>
      <c r="K334" s="375" t="s">
        <v>666</v>
      </c>
      <c r="L334" s="375" t="s">
        <v>183</v>
      </c>
      <c r="M334" s="375" t="s">
        <v>177</v>
      </c>
      <c r="N334" s="375" t="s">
        <v>199</v>
      </c>
      <c r="O334" s="378">
        <v>1</v>
      </c>
      <c r="P334" s="384">
        <v>1</v>
      </c>
      <c r="Q334" s="384">
        <v>1</v>
      </c>
      <c r="R334" s="379">
        <v>80</v>
      </c>
      <c r="S334" s="384">
        <v>1</v>
      </c>
      <c r="T334" s="379">
        <v>29809.64</v>
      </c>
      <c r="U334" s="379">
        <v>0</v>
      </c>
      <c r="V334" s="379">
        <v>17881.650000000001</v>
      </c>
      <c r="W334" s="379">
        <v>32115.200000000001</v>
      </c>
      <c r="X334" s="379">
        <v>18505.61</v>
      </c>
      <c r="Y334" s="379">
        <v>32115.200000000001</v>
      </c>
      <c r="Z334" s="379">
        <v>18351.46</v>
      </c>
      <c r="AA334" s="375" t="s">
        <v>1335</v>
      </c>
      <c r="AB334" s="375" t="s">
        <v>1336</v>
      </c>
      <c r="AC334" s="375" t="s">
        <v>1337</v>
      </c>
      <c r="AD334" s="375" t="s">
        <v>195</v>
      </c>
      <c r="AE334" s="375" t="s">
        <v>666</v>
      </c>
      <c r="AF334" s="375" t="s">
        <v>206</v>
      </c>
      <c r="AG334" s="375" t="s">
        <v>183</v>
      </c>
      <c r="AH334" s="380">
        <v>15.44</v>
      </c>
      <c r="AI334" s="380">
        <v>12099.3</v>
      </c>
      <c r="AJ334" s="375" t="s">
        <v>184</v>
      </c>
      <c r="AK334" s="375" t="s">
        <v>185</v>
      </c>
      <c r="AL334" s="375" t="s">
        <v>173</v>
      </c>
      <c r="AM334" s="375" t="s">
        <v>186</v>
      </c>
      <c r="AN334" s="375" t="s">
        <v>68</v>
      </c>
      <c r="AO334" s="378">
        <v>80</v>
      </c>
      <c r="AP334" s="384">
        <v>1</v>
      </c>
      <c r="AQ334" s="384">
        <v>1</v>
      </c>
      <c r="AR334" s="383" t="s">
        <v>187</v>
      </c>
      <c r="AS334" s="386">
        <f t="shared" si="247"/>
        <v>1</v>
      </c>
      <c r="AT334">
        <f t="shared" si="248"/>
        <v>1</v>
      </c>
      <c r="AU334" s="386">
        <f>IF(AT334=0,"",IF(AND(AT334=1,M334="F",SUMIF(C2:C557,C334,AS2:AS557)&lt;=1),SUMIF(C2:C557,C334,AS2:AS557),IF(AND(AT334=1,M334="F",SUMIF(C2:C557,C334,AS2:AS557)&gt;1),1,"")))</f>
        <v>1</v>
      </c>
      <c r="AV334" s="386" t="str">
        <f>IF(AT334=0,"",IF(AND(AT334=3,M334="F",SUMIF(C2:C557,C334,AS2:AS557)&lt;=1),SUMIF(C2:C557,C334,AS2:AS557),IF(AND(AT334=3,M334="F",SUMIF(C2:C557,C334,AS2:AS557)&gt;1),1,"")))</f>
        <v/>
      </c>
      <c r="AW334" s="386">
        <f>SUMIF(C2:C557,C334,O2:O557)</f>
        <v>1</v>
      </c>
      <c r="AX334" s="386">
        <f>IF(AND(M334="F",AS334&lt;&gt;0),SUMIF(C2:C557,C334,W2:W557),0)</f>
        <v>32115.200000000001</v>
      </c>
      <c r="AY334" s="386">
        <f t="shared" si="249"/>
        <v>32115.200000000001</v>
      </c>
      <c r="AZ334" s="386" t="str">
        <f t="shared" si="250"/>
        <v/>
      </c>
      <c r="BA334" s="386">
        <f t="shared" si="251"/>
        <v>0</v>
      </c>
      <c r="BB334" s="386">
        <f t="shared" si="220"/>
        <v>11650</v>
      </c>
      <c r="BC334" s="386">
        <f t="shared" si="221"/>
        <v>0</v>
      </c>
      <c r="BD334" s="386">
        <f t="shared" si="222"/>
        <v>1991.1424</v>
      </c>
      <c r="BE334" s="386">
        <f t="shared" si="223"/>
        <v>465.67040000000003</v>
      </c>
      <c r="BF334" s="386">
        <f t="shared" si="224"/>
        <v>3834.5548800000001</v>
      </c>
      <c r="BG334" s="386">
        <f t="shared" si="225"/>
        <v>231.55059200000002</v>
      </c>
      <c r="BH334" s="386">
        <f t="shared" si="226"/>
        <v>157.36447999999999</v>
      </c>
      <c r="BI334" s="386">
        <f t="shared" si="227"/>
        <v>98.272511999999992</v>
      </c>
      <c r="BJ334" s="386">
        <f t="shared" si="228"/>
        <v>77.076479999999989</v>
      </c>
      <c r="BK334" s="386">
        <f t="shared" si="229"/>
        <v>0</v>
      </c>
      <c r="BL334" s="386">
        <f t="shared" si="252"/>
        <v>6855.6317439999993</v>
      </c>
      <c r="BM334" s="386">
        <f t="shared" si="253"/>
        <v>0</v>
      </c>
      <c r="BN334" s="386">
        <f t="shared" si="230"/>
        <v>11650</v>
      </c>
      <c r="BO334" s="386">
        <f t="shared" si="231"/>
        <v>0</v>
      </c>
      <c r="BP334" s="386">
        <f t="shared" si="232"/>
        <v>1991.1424</v>
      </c>
      <c r="BQ334" s="386">
        <f t="shared" si="233"/>
        <v>465.67040000000003</v>
      </c>
      <c r="BR334" s="386">
        <f t="shared" si="234"/>
        <v>3834.5548800000001</v>
      </c>
      <c r="BS334" s="386">
        <f t="shared" si="235"/>
        <v>231.55059200000002</v>
      </c>
      <c r="BT334" s="386">
        <f t="shared" si="236"/>
        <v>0</v>
      </c>
      <c r="BU334" s="386">
        <f t="shared" si="237"/>
        <v>98.272511999999992</v>
      </c>
      <c r="BV334" s="386">
        <f t="shared" si="238"/>
        <v>80.287999999999997</v>
      </c>
      <c r="BW334" s="386">
        <f t="shared" si="239"/>
        <v>0</v>
      </c>
      <c r="BX334" s="386">
        <f t="shared" si="254"/>
        <v>6701.478783999999</v>
      </c>
      <c r="BY334" s="386">
        <f t="shared" si="255"/>
        <v>0</v>
      </c>
      <c r="BZ334" s="386">
        <f t="shared" si="256"/>
        <v>0</v>
      </c>
      <c r="CA334" s="386">
        <f t="shared" si="257"/>
        <v>0</v>
      </c>
      <c r="CB334" s="386">
        <f t="shared" si="258"/>
        <v>0</v>
      </c>
      <c r="CC334" s="386">
        <f t="shared" si="240"/>
        <v>0</v>
      </c>
      <c r="CD334" s="386">
        <f t="shared" si="241"/>
        <v>0</v>
      </c>
      <c r="CE334" s="386">
        <f t="shared" si="242"/>
        <v>0</v>
      </c>
      <c r="CF334" s="386">
        <f t="shared" si="243"/>
        <v>-157.36447999999999</v>
      </c>
      <c r="CG334" s="386">
        <f t="shared" si="244"/>
        <v>0</v>
      </c>
      <c r="CH334" s="386">
        <f t="shared" si="245"/>
        <v>3.2115200000000086</v>
      </c>
      <c r="CI334" s="386">
        <f t="shared" si="246"/>
        <v>0</v>
      </c>
      <c r="CJ334" s="386">
        <f t="shared" si="259"/>
        <v>-154.15295999999998</v>
      </c>
      <c r="CK334" s="386" t="str">
        <f t="shared" si="260"/>
        <v/>
      </c>
      <c r="CL334" s="386" t="str">
        <f t="shared" si="261"/>
        <v/>
      </c>
      <c r="CM334" s="386" t="str">
        <f t="shared" si="262"/>
        <v/>
      </c>
      <c r="CN334" s="386" t="str">
        <f t="shared" si="263"/>
        <v>0001-00</v>
      </c>
    </row>
    <row r="335" spans="1:92" ht="15.75" thickBot="1" x14ac:dyDescent="0.3">
      <c r="A335" s="375" t="s">
        <v>161</v>
      </c>
      <c r="B335" s="375" t="s">
        <v>162</v>
      </c>
      <c r="C335" s="375" t="s">
        <v>400</v>
      </c>
      <c r="D335" s="375" t="s">
        <v>318</v>
      </c>
      <c r="E335" s="375" t="s">
        <v>526</v>
      </c>
      <c r="F335" s="381" t="s">
        <v>527</v>
      </c>
      <c r="G335" s="375" t="s">
        <v>1069</v>
      </c>
      <c r="H335" s="377"/>
      <c r="I335" s="377"/>
      <c r="J335" s="375" t="s">
        <v>168</v>
      </c>
      <c r="K335" s="375" t="s">
        <v>319</v>
      </c>
      <c r="L335" s="375" t="s">
        <v>220</v>
      </c>
      <c r="M335" s="375" t="s">
        <v>177</v>
      </c>
      <c r="N335" s="375" t="s">
        <v>199</v>
      </c>
      <c r="O335" s="378">
        <v>1</v>
      </c>
      <c r="P335" s="384">
        <v>0</v>
      </c>
      <c r="Q335" s="384">
        <v>0</v>
      </c>
      <c r="R335" s="379">
        <v>80</v>
      </c>
      <c r="S335" s="384">
        <v>0</v>
      </c>
      <c r="T335" s="379">
        <v>35700.800000000003</v>
      </c>
      <c r="U335" s="379">
        <v>0</v>
      </c>
      <c r="V335" s="379">
        <v>15172.84</v>
      </c>
      <c r="W335" s="379">
        <v>0</v>
      </c>
      <c r="X335" s="379">
        <v>0</v>
      </c>
      <c r="Y335" s="379">
        <v>0</v>
      </c>
      <c r="Z335" s="379">
        <v>0</v>
      </c>
      <c r="AA335" s="375" t="s">
        <v>401</v>
      </c>
      <c r="AB335" s="375" t="s">
        <v>402</v>
      </c>
      <c r="AC335" s="375" t="s">
        <v>403</v>
      </c>
      <c r="AD335" s="375" t="s">
        <v>267</v>
      </c>
      <c r="AE335" s="375" t="s">
        <v>319</v>
      </c>
      <c r="AF335" s="375" t="s">
        <v>252</v>
      </c>
      <c r="AG335" s="375" t="s">
        <v>183</v>
      </c>
      <c r="AH335" s="380">
        <v>28.35</v>
      </c>
      <c r="AI335" s="380">
        <v>14119.7</v>
      </c>
      <c r="AJ335" s="375" t="s">
        <v>184</v>
      </c>
      <c r="AK335" s="375" t="s">
        <v>185</v>
      </c>
      <c r="AL335" s="375" t="s">
        <v>173</v>
      </c>
      <c r="AM335" s="375" t="s">
        <v>186</v>
      </c>
      <c r="AN335" s="375" t="s">
        <v>68</v>
      </c>
      <c r="AO335" s="378">
        <v>80</v>
      </c>
      <c r="AP335" s="384">
        <v>1</v>
      </c>
      <c r="AQ335" s="384">
        <v>0</v>
      </c>
      <c r="AR335" s="383" t="s">
        <v>187</v>
      </c>
      <c r="AS335" s="386">
        <f t="shared" si="247"/>
        <v>0</v>
      </c>
      <c r="AT335">
        <f t="shared" si="248"/>
        <v>0</v>
      </c>
      <c r="AU335" s="386" t="str">
        <f>IF(AT335=0,"",IF(AND(AT335=1,M335="F",SUMIF(C2:C557,C335,AS2:AS557)&lt;=1),SUMIF(C2:C557,C335,AS2:AS557),IF(AND(AT335=1,M335="F",SUMIF(C2:C557,C335,AS2:AS557)&gt;1),1,"")))</f>
        <v/>
      </c>
      <c r="AV335" s="386" t="str">
        <f>IF(AT335=0,"",IF(AND(AT335=3,M335="F",SUMIF(C2:C557,C335,AS2:AS557)&lt;=1),SUMIF(C2:C557,C335,AS2:AS557),IF(AND(AT335=3,M335="F",SUMIF(C2:C557,C335,AS2:AS557)&gt;1),1,"")))</f>
        <v/>
      </c>
      <c r="AW335" s="386">
        <f>SUMIF(C2:C557,C335,O2:O557)</f>
        <v>4</v>
      </c>
      <c r="AX335" s="386">
        <f>IF(AND(M335="F",AS335&lt;&gt;0),SUMIF(C2:C557,C335,W2:W557),0)</f>
        <v>0</v>
      </c>
      <c r="AY335" s="386" t="str">
        <f t="shared" si="249"/>
        <v/>
      </c>
      <c r="AZ335" s="386" t="str">
        <f t="shared" si="250"/>
        <v/>
      </c>
      <c r="BA335" s="386">
        <f t="shared" si="251"/>
        <v>0</v>
      </c>
      <c r="BB335" s="386">
        <f t="shared" si="220"/>
        <v>0</v>
      </c>
      <c r="BC335" s="386">
        <f t="shared" si="221"/>
        <v>0</v>
      </c>
      <c r="BD335" s="386">
        <f t="shared" si="222"/>
        <v>0</v>
      </c>
      <c r="BE335" s="386">
        <f t="shared" si="223"/>
        <v>0</v>
      </c>
      <c r="BF335" s="386">
        <f t="shared" si="224"/>
        <v>0</v>
      </c>
      <c r="BG335" s="386">
        <f t="shared" si="225"/>
        <v>0</v>
      </c>
      <c r="BH335" s="386">
        <f t="shared" si="226"/>
        <v>0</v>
      </c>
      <c r="BI335" s="386">
        <f t="shared" si="227"/>
        <v>0</v>
      </c>
      <c r="BJ335" s="386">
        <f t="shared" si="228"/>
        <v>0</v>
      </c>
      <c r="BK335" s="386">
        <f t="shared" si="229"/>
        <v>0</v>
      </c>
      <c r="BL335" s="386">
        <f t="shared" si="252"/>
        <v>0</v>
      </c>
      <c r="BM335" s="386">
        <f t="shared" si="253"/>
        <v>0</v>
      </c>
      <c r="BN335" s="386">
        <f t="shared" si="230"/>
        <v>0</v>
      </c>
      <c r="BO335" s="386">
        <f t="shared" si="231"/>
        <v>0</v>
      </c>
      <c r="BP335" s="386">
        <f t="shared" si="232"/>
        <v>0</v>
      </c>
      <c r="BQ335" s="386">
        <f t="shared" si="233"/>
        <v>0</v>
      </c>
      <c r="BR335" s="386">
        <f t="shared" si="234"/>
        <v>0</v>
      </c>
      <c r="BS335" s="386">
        <f t="shared" si="235"/>
        <v>0</v>
      </c>
      <c r="BT335" s="386">
        <f t="shared" si="236"/>
        <v>0</v>
      </c>
      <c r="BU335" s="386">
        <f t="shared" si="237"/>
        <v>0</v>
      </c>
      <c r="BV335" s="386">
        <f t="shared" si="238"/>
        <v>0</v>
      </c>
      <c r="BW335" s="386">
        <f t="shared" si="239"/>
        <v>0</v>
      </c>
      <c r="BX335" s="386">
        <f t="shared" si="254"/>
        <v>0</v>
      </c>
      <c r="BY335" s="386">
        <f t="shared" si="255"/>
        <v>0</v>
      </c>
      <c r="BZ335" s="386">
        <f t="shared" si="256"/>
        <v>0</v>
      </c>
      <c r="CA335" s="386">
        <f t="shared" si="257"/>
        <v>0</v>
      </c>
      <c r="CB335" s="386">
        <f t="shared" si="258"/>
        <v>0</v>
      </c>
      <c r="CC335" s="386">
        <f t="shared" si="240"/>
        <v>0</v>
      </c>
      <c r="CD335" s="386">
        <f t="shared" si="241"/>
        <v>0</v>
      </c>
      <c r="CE335" s="386">
        <f t="shared" si="242"/>
        <v>0</v>
      </c>
      <c r="CF335" s="386">
        <f t="shared" si="243"/>
        <v>0</v>
      </c>
      <c r="CG335" s="386">
        <f t="shared" si="244"/>
        <v>0</v>
      </c>
      <c r="CH335" s="386">
        <f t="shared" si="245"/>
        <v>0</v>
      </c>
      <c r="CI335" s="386">
        <f t="shared" si="246"/>
        <v>0</v>
      </c>
      <c r="CJ335" s="386">
        <f t="shared" si="259"/>
        <v>0</v>
      </c>
      <c r="CK335" s="386" t="str">
        <f t="shared" si="260"/>
        <v/>
      </c>
      <c r="CL335" s="386" t="str">
        <f t="shared" si="261"/>
        <v/>
      </c>
      <c r="CM335" s="386" t="str">
        <f t="shared" si="262"/>
        <v/>
      </c>
      <c r="CN335" s="386" t="str">
        <f t="shared" si="263"/>
        <v>0338-01</v>
      </c>
    </row>
    <row r="336" spans="1:92" ht="15.75" thickBot="1" x14ac:dyDescent="0.3">
      <c r="A336" s="375" t="s">
        <v>161</v>
      </c>
      <c r="B336" s="375" t="s">
        <v>162</v>
      </c>
      <c r="C336" s="375" t="s">
        <v>1151</v>
      </c>
      <c r="D336" s="375" t="s">
        <v>665</v>
      </c>
      <c r="E336" s="375" t="s">
        <v>526</v>
      </c>
      <c r="F336" s="381" t="s">
        <v>527</v>
      </c>
      <c r="G336" s="375" t="s">
        <v>1069</v>
      </c>
      <c r="H336" s="377"/>
      <c r="I336" s="377"/>
      <c r="J336" s="375" t="s">
        <v>218</v>
      </c>
      <c r="K336" s="375" t="s">
        <v>666</v>
      </c>
      <c r="L336" s="375" t="s">
        <v>183</v>
      </c>
      <c r="M336" s="375" t="s">
        <v>177</v>
      </c>
      <c r="N336" s="375" t="s">
        <v>199</v>
      </c>
      <c r="O336" s="378">
        <v>1</v>
      </c>
      <c r="P336" s="384">
        <v>0.28999999999999998</v>
      </c>
      <c r="Q336" s="384">
        <v>0.28999999999999998</v>
      </c>
      <c r="R336" s="379">
        <v>80</v>
      </c>
      <c r="S336" s="384">
        <v>0.28999999999999998</v>
      </c>
      <c r="T336" s="379">
        <v>7744.85</v>
      </c>
      <c r="U336" s="379">
        <v>0</v>
      </c>
      <c r="V336" s="379">
        <v>4936.28</v>
      </c>
      <c r="W336" s="379">
        <v>8716.24</v>
      </c>
      <c r="X336" s="379">
        <v>5239.1400000000003</v>
      </c>
      <c r="Y336" s="379">
        <v>8716.24</v>
      </c>
      <c r="Z336" s="379">
        <v>5197.3100000000004</v>
      </c>
      <c r="AA336" s="375" t="s">
        <v>1152</v>
      </c>
      <c r="AB336" s="375" t="s">
        <v>520</v>
      </c>
      <c r="AC336" s="375" t="s">
        <v>1153</v>
      </c>
      <c r="AD336" s="375" t="s">
        <v>170</v>
      </c>
      <c r="AE336" s="375" t="s">
        <v>666</v>
      </c>
      <c r="AF336" s="375" t="s">
        <v>206</v>
      </c>
      <c r="AG336" s="375" t="s">
        <v>183</v>
      </c>
      <c r="AH336" s="380">
        <v>14.45</v>
      </c>
      <c r="AI336" s="380">
        <v>3295.5</v>
      </c>
      <c r="AJ336" s="375" t="s">
        <v>184</v>
      </c>
      <c r="AK336" s="375" t="s">
        <v>185</v>
      </c>
      <c r="AL336" s="375" t="s">
        <v>173</v>
      </c>
      <c r="AM336" s="375" t="s">
        <v>186</v>
      </c>
      <c r="AN336" s="375" t="s">
        <v>68</v>
      </c>
      <c r="AO336" s="378">
        <v>80</v>
      </c>
      <c r="AP336" s="384">
        <v>1</v>
      </c>
      <c r="AQ336" s="384">
        <v>0.28999999999999998</v>
      </c>
      <c r="AR336" s="383" t="s">
        <v>187</v>
      </c>
      <c r="AS336" s="386">
        <f t="shared" si="247"/>
        <v>0.28999999999999998</v>
      </c>
      <c r="AT336">
        <f t="shared" si="248"/>
        <v>1</v>
      </c>
      <c r="AU336" s="386">
        <f>IF(AT336=0,"",IF(AND(AT336=1,M336="F",SUMIF(C2:C557,C336,AS2:AS557)&lt;=1),SUMIF(C2:C557,C336,AS2:AS557),IF(AND(AT336=1,M336="F",SUMIF(C2:C557,C336,AS2:AS557)&gt;1),1,"")))</f>
        <v>1</v>
      </c>
      <c r="AV336" s="386" t="str">
        <f>IF(AT336=0,"",IF(AND(AT336=3,M336="F",SUMIF(C2:C557,C336,AS2:AS557)&lt;=1),SUMIF(C2:C557,C336,AS2:AS557),IF(AND(AT336=3,M336="F",SUMIF(C2:C557,C336,AS2:AS557)&gt;1),1,"")))</f>
        <v/>
      </c>
      <c r="AW336" s="386">
        <f>SUMIF(C2:C557,C336,O2:O557)</f>
        <v>2</v>
      </c>
      <c r="AX336" s="386">
        <f>IF(AND(M336="F",AS336&lt;&gt;0),SUMIF(C2:C557,C336,W2:W557),0)</f>
        <v>30056</v>
      </c>
      <c r="AY336" s="386">
        <f t="shared" si="249"/>
        <v>8716.24</v>
      </c>
      <c r="AZ336" s="386" t="str">
        <f t="shared" si="250"/>
        <v/>
      </c>
      <c r="BA336" s="386">
        <f t="shared" si="251"/>
        <v>0</v>
      </c>
      <c r="BB336" s="386">
        <f t="shared" si="220"/>
        <v>3378.4999999999995</v>
      </c>
      <c r="BC336" s="386">
        <f t="shared" si="221"/>
        <v>0</v>
      </c>
      <c r="BD336" s="386">
        <f t="shared" si="222"/>
        <v>540.40688</v>
      </c>
      <c r="BE336" s="386">
        <f t="shared" si="223"/>
        <v>126.38548</v>
      </c>
      <c r="BF336" s="386">
        <f t="shared" si="224"/>
        <v>1040.7190560000001</v>
      </c>
      <c r="BG336" s="386">
        <f t="shared" si="225"/>
        <v>62.844090399999999</v>
      </c>
      <c r="BH336" s="386">
        <f t="shared" si="226"/>
        <v>42.709575999999998</v>
      </c>
      <c r="BI336" s="386">
        <f t="shared" si="227"/>
        <v>26.671694399999996</v>
      </c>
      <c r="BJ336" s="386">
        <f t="shared" si="228"/>
        <v>20.918975999999997</v>
      </c>
      <c r="BK336" s="386">
        <f t="shared" si="229"/>
        <v>0</v>
      </c>
      <c r="BL336" s="386">
        <f t="shared" si="252"/>
        <v>1860.6557528000001</v>
      </c>
      <c r="BM336" s="386">
        <f t="shared" si="253"/>
        <v>0</v>
      </c>
      <c r="BN336" s="386">
        <f t="shared" si="230"/>
        <v>3378.4999999999995</v>
      </c>
      <c r="BO336" s="386">
        <f t="shared" si="231"/>
        <v>0</v>
      </c>
      <c r="BP336" s="386">
        <f t="shared" si="232"/>
        <v>540.40688</v>
      </c>
      <c r="BQ336" s="386">
        <f t="shared" si="233"/>
        <v>126.38548</v>
      </c>
      <c r="BR336" s="386">
        <f t="shared" si="234"/>
        <v>1040.7190560000001</v>
      </c>
      <c r="BS336" s="386">
        <f t="shared" si="235"/>
        <v>62.844090399999999</v>
      </c>
      <c r="BT336" s="386">
        <f t="shared" si="236"/>
        <v>0</v>
      </c>
      <c r="BU336" s="386">
        <f t="shared" si="237"/>
        <v>26.671694399999996</v>
      </c>
      <c r="BV336" s="386">
        <f t="shared" si="238"/>
        <v>21.790600000000001</v>
      </c>
      <c r="BW336" s="386">
        <f t="shared" si="239"/>
        <v>0</v>
      </c>
      <c r="BX336" s="386">
        <f t="shared" si="254"/>
        <v>1818.8178008000002</v>
      </c>
      <c r="BY336" s="386">
        <f t="shared" si="255"/>
        <v>0</v>
      </c>
      <c r="BZ336" s="386">
        <f t="shared" si="256"/>
        <v>0</v>
      </c>
      <c r="CA336" s="386">
        <f t="shared" si="257"/>
        <v>0</v>
      </c>
      <c r="CB336" s="386">
        <f t="shared" si="258"/>
        <v>0</v>
      </c>
      <c r="CC336" s="386">
        <f t="shared" si="240"/>
        <v>0</v>
      </c>
      <c r="CD336" s="386">
        <f t="shared" si="241"/>
        <v>0</v>
      </c>
      <c r="CE336" s="386">
        <f t="shared" si="242"/>
        <v>0</v>
      </c>
      <c r="CF336" s="386">
        <f t="shared" si="243"/>
        <v>-42.709575999999998</v>
      </c>
      <c r="CG336" s="386">
        <f t="shared" si="244"/>
        <v>0</v>
      </c>
      <c r="CH336" s="386">
        <f t="shared" si="245"/>
        <v>0.87162400000000229</v>
      </c>
      <c r="CI336" s="386">
        <f t="shared" si="246"/>
        <v>0</v>
      </c>
      <c r="CJ336" s="386">
        <f t="shared" si="259"/>
        <v>-41.837951999999994</v>
      </c>
      <c r="CK336" s="386" t="str">
        <f t="shared" si="260"/>
        <v/>
      </c>
      <c r="CL336" s="386" t="str">
        <f t="shared" si="261"/>
        <v/>
      </c>
      <c r="CM336" s="386" t="str">
        <f t="shared" si="262"/>
        <v/>
      </c>
      <c r="CN336" s="386" t="str">
        <f t="shared" si="263"/>
        <v>0338-01</v>
      </c>
    </row>
    <row r="337" spans="1:92" ht="15.75" thickBot="1" x14ac:dyDescent="0.3">
      <c r="A337" s="375" t="s">
        <v>161</v>
      </c>
      <c r="B337" s="375" t="s">
        <v>162</v>
      </c>
      <c r="C337" s="375" t="s">
        <v>1338</v>
      </c>
      <c r="D337" s="375" t="s">
        <v>665</v>
      </c>
      <c r="E337" s="375" t="s">
        <v>526</v>
      </c>
      <c r="F337" s="381" t="s">
        <v>529</v>
      </c>
      <c r="G337" s="375" t="s">
        <v>1069</v>
      </c>
      <c r="H337" s="377"/>
      <c r="I337" s="377"/>
      <c r="J337" s="375" t="s">
        <v>168</v>
      </c>
      <c r="K337" s="375" t="s">
        <v>666</v>
      </c>
      <c r="L337" s="375" t="s">
        <v>183</v>
      </c>
      <c r="M337" s="375" t="s">
        <v>177</v>
      </c>
      <c r="N337" s="375" t="s">
        <v>199</v>
      </c>
      <c r="O337" s="378">
        <v>1</v>
      </c>
      <c r="P337" s="384">
        <v>1</v>
      </c>
      <c r="Q337" s="384">
        <v>1</v>
      </c>
      <c r="R337" s="379">
        <v>80</v>
      </c>
      <c r="S337" s="384">
        <v>1</v>
      </c>
      <c r="T337" s="379">
        <v>27206.74</v>
      </c>
      <c r="U337" s="379">
        <v>54.91</v>
      </c>
      <c r="V337" s="379">
        <v>16038.62</v>
      </c>
      <c r="W337" s="379">
        <v>30056</v>
      </c>
      <c r="X337" s="379">
        <v>18066.03</v>
      </c>
      <c r="Y337" s="379">
        <v>30056</v>
      </c>
      <c r="Z337" s="379">
        <v>17921.77</v>
      </c>
      <c r="AA337" s="375" t="s">
        <v>1339</v>
      </c>
      <c r="AB337" s="375" t="s">
        <v>1340</v>
      </c>
      <c r="AC337" s="375" t="s">
        <v>1341</v>
      </c>
      <c r="AD337" s="375" t="s">
        <v>244</v>
      </c>
      <c r="AE337" s="375" t="s">
        <v>666</v>
      </c>
      <c r="AF337" s="375" t="s">
        <v>206</v>
      </c>
      <c r="AG337" s="375" t="s">
        <v>183</v>
      </c>
      <c r="AH337" s="380">
        <v>14.45</v>
      </c>
      <c r="AI337" s="378">
        <v>5377</v>
      </c>
      <c r="AJ337" s="375" t="s">
        <v>184</v>
      </c>
      <c r="AK337" s="375" t="s">
        <v>185</v>
      </c>
      <c r="AL337" s="375" t="s">
        <v>173</v>
      </c>
      <c r="AM337" s="375" t="s">
        <v>186</v>
      </c>
      <c r="AN337" s="375" t="s">
        <v>68</v>
      </c>
      <c r="AO337" s="378">
        <v>80</v>
      </c>
      <c r="AP337" s="384">
        <v>1</v>
      </c>
      <c r="AQ337" s="384">
        <v>1</v>
      </c>
      <c r="AR337" s="383" t="s">
        <v>187</v>
      </c>
      <c r="AS337" s="386">
        <f t="shared" si="247"/>
        <v>1</v>
      </c>
      <c r="AT337">
        <f t="shared" si="248"/>
        <v>1</v>
      </c>
      <c r="AU337" s="386">
        <f>IF(AT337=0,"",IF(AND(AT337=1,M337="F",SUMIF(C2:C557,C337,AS2:AS557)&lt;=1),SUMIF(C2:C557,C337,AS2:AS557),IF(AND(AT337=1,M337="F",SUMIF(C2:C557,C337,AS2:AS557)&gt;1),1,"")))</f>
        <v>1</v>
      </c>
      <c r="AV337" s="386" t="str">
        <f>IF(AT337=0,"",IF(AND(AT337=3,M337="F",SUMIF(C2:C557,C337,AS2:AS557)&lt;=1),SUMIF(C2:C557,C337,AS2:AS557),IF(AND(AT337=3,M337="F",SUMIF(C2:C557,C337,AS2:AS557)&gt;1),1,"")))</f>
        <v/>
      </c>
      <c r="AW337" s="386">
        <f>SUMIF(C2:C557,C337,O2:O557)</f>
        <v>1</v>
      </c>
      <c r="AX337" s="386">
        <f>IF(AND(M337="F",AS337&lt;&gt;0),SUMIF(C2:C557,C337,W2:W557),0)</f>
        <v>30056</v>
      </c>
      <c r="AY337" s="386">
        <f t="shared" si="249"/>
        <v>30056</v>
      </c>
      <c r="AZ337" s="386" t="str">
        <f t="shared" si="250"/>
        <v/>
      </c>
      <c r="BA337" s="386">
        <f t="shared" si="251"/>
        <v>0</v>
      </c>
      <c r="BB337" s="386">
        <f t="shared" si="220"/>
        <v>11650</v>
      </c>
      <c r="BC337" s="386">
        <f t="shared" si="221"/>
        <v>0</v>
      </c>
      <c r="BD337" s="386">
        <f t="shared" si="222"/>
        <v>1863.472</v>
      </c>
      <c r="BE337" s="386">
        <f t="shared" si="223"/>
        <v>435.81200000000001</v>
      </c>
      <c r="BF337" s="386">
        <f t="shared" si="224"/>
        <v>3588.6864</v>
      </c>
      <c r="BG337" s="386">
        <f t="shared" si="225"/>
        <v>216.70376000000002</v>
      </c>
      <c r="BH337" s="386">
        <f t="shared" si="226"/>
        <v>147.27439999999999</v>
      </c>
      <c r="BI337" s="386">
        <f t="shared" si="227"/>
        <v>91.97135999999999</v>
      </c>
      <c r="BJ337" s="386">
        <f t="shared" si="228"/>
        <v>72.134399999999999</v>
      </c>
      <c r="BK337" s="386">
        <f t="shared" si="229"/>
        <v>0</v>
      </c>
      <c r="BL337" s="386">
        <f t="shared" si="252"/>
        <v>6416.0543200000002</v>
      </c>
      <c r="BM337" s="386">
        <f t="shared" si="253"/>
        <v>0</v>
      </c>
      <c r="BN337" s="386">
        <f t="shared" si="230"/>
        <v>11650</v>
      </c>
      <c r="BO337" s="386">
        <f t="shared" si="231"/>
        <v>0</v>
      </c>
      <c r="BP337" s="386">
        <f t="shared" si="232"/>
        <v>1863.472</v>
      </c>
      <c r="BQ337" s="386">
        <f t="shared" si="233"/>
        <v>435.81200000000001</v>
      </c>
      <c r="BR337" s="386">
        <f t="shared" si="234"/>
        <v>3588.6864</v>
      </c>
      <c r="BS337" s="386">
        <f t="shared" si="235"/>
        <v>216.70376000000002</v>
      </c>
      <c r="BT337" s="386">
        <f t="shared" si="236"/>
        <v>0</v>
      </c>
      <c r="BU337" s="386">
        <f t="shared" si="237"/>
        <v>91.97135999999999</v>
      </c>
      <c r="BV337" s="386">
        <f t="shared" si="238"/>
        <v>75.14</v>
      </c>
      <c r="BW337" s="386">
        <f t="shared" si="239"/>
        <v>0</v>
      </c>
      <c r="BX337" s="386">
        <f t="shared" si="254"/>
        <v>6271.7855200000004</v>
      </c>
      <c r="BY337" s="386">
        <f t="shared" si="255"/>
        <v>0</v>
      </c>
      <c r="BZ337" s="386">
        <f t="shared" si="256"/>
        <v>0</v>
      </c>
      <c r="CA337" s="386">
        <f t="shared" si="257"/>
        <v>0</v>
      </c>
      <c r="CB337" s="386">
        <f t="shared" si="258"/>
        <v>0</v>
      </c>
      <c r="CC337" s="386">
        <f t="shared" si="240"/>
        <v>0</v>
      </c>
      <c r="CD337" s="386">
        <f t="shared" si="241"/>
        <v>0</v>
      </c>
      <c r="CE337" s="386">
        <f t="shared" si="242"/>
        <v>0</v>
      </c>
      <c r="CF337" s="386">
        <f t="shared" si="243"/>
        <v>-147.27439999999999</v>
      </c>
      <c r="CG337" s="386">
        <f t="shared" si="244"/>
        <v>0</v>
      </c>
      <c r="CH337" s="386">
        <f t="shared" si="245"/>
        <v>3.0056000000000078</v>
      </c>
      <c r="CI337" s="386">
        <f t="shared" si="246"/>
        <v>0</v>
      </c>
      <c r="CJ337" s="386">
        <f t="shared" si="259"/>
        <v>-144.26879999999997</v>
      </c>
      <c r="CK337" s="386" t="str">
        <f t="shared" si="260"/>
        <v/>
      </c>
      <c r="CL337" s="386" t="str">
        <f t="shared" si="261"/>
        <v/>
      </c>
      <c r="CM337" s="386" t="str">
        <f t="shared" si="262"/>
        <v/>
      </c>
      <c r="CN337" s="386" t="str">
        <f t="shared" si="263"/>
        <v>0338-02</v>
      </c>
    </row>
    <row r="338" spans="1:92" ht="15.75" thickBot="1" x14ac:dyDescent="0.3">
      <c r="A338" s="375" t="s">
        <v>161</v>
      </c>
      <c r="B338" s="375" t="s">
        <v>162</v>
      </c>
      <c r="C338" s="375" t="s">
        <v>1342</v>
      </c>
      <c r="D338" s="375" t="s">
        <v>665</v>
      </c>
      <c r="E338" s="375" t="s">
        <v>526</v>
      </c>
      <c r="F338" s="381" t="s">
        <v>529</v>
      </c>
      <c r="G338" s="375" t="s">
        <v>1069</v>
      </c>
      <c r="H338" s="377"/>
      <c r="I338" s="377"/>
      <c r="J338" s="375" t="s">
        <v>168</v>
      </c>
      <c r="K338" s="375" t="s">
        <v>666</v>
      </c>
      <c r="L338" s="375" t="s">
        <v>183</v>
      </c>
      <c r="M338" s="375" t="s">
        <v>177</v>
      </c>
      <c r="N338" s="375" t="s">
        <v>199</v>
      </c>
      <c r="O338" s="378">
        <v>1</v>
      </c>
      <c r="P338" s="384">
        <v>1</v>
      </c>
      <c r="Q338" s="384">
        <v>1</v>
      </c>
      <c r="R338" s="379">
        <v>80</v>
      </c>
      <c r="S338" s="384">
        <v>1</v>
      </c>
      <c r="T338" s="379">
        <v>25864.84</v>
      </c>
      <c r="U338" s="379">
        <v>0</v>
      </c>
      <c r="V338" s="379">
        <v>16802.18</v>
      </c>
      <c r="W338" s="379">
        <v>30056</v>
      </c>
      <c r="X338" s="379">
        <v>18066.03</v>
      </c>
      <c r="Y338" s="379">
        <v>30056</v>
      </c>
      <c r="Z338" s="379">
        <v>17921.77</v>
      </c>
      <c r="AA338" s="375" t="s">
        <v>1343</v>
      </c>
      <c r="AB338" s="375" t="s">
        <v>1344</v>
      </c>
      <c r="AC338" s="375" t="s">
        <v>1345</v>
      </c>
      <c r="AD338" s="375" t="s">
        <v>181</v>
      </c>
      <c r="AE338" s="375" t="s">
        <v>666</v>
      </c>
      <c r="AF338" s="375" t="s">
        <v>206</v>
      </c>
      <c r="AG338" s="375" t="s">
        <v>183</v>
      </c>
      <c r="AH338" s="380">
        <v>14.45</v>
      </c>
      <c r="AI338" s="378">
        <v>1120</v>
      </c>
      <c r="AJ338" s="375" t="s">
        <v>184</v>
      </c>
      <c r="AK338" s="375" t="s">
        <v>185</v>
      </c>
      <c r="AL338" s="375" t="s">
        <v>173</v>
      </c>
      <c r="AM338" s="375" t="s">
        <v>186</v>
      </c>
      <c r="AN338" s="375" t="s">
        <v>68</v>
      </c>
      <c r="AO338" s="378">
        <v>80</v>
      </c>
      <c r="AP338" s="384">
        <v>1</v>
      </c>
      <c r="AQ338" s="384">
        <v>1</v>
      </c>
      <c r="AR338" s="383" t="s">
        <v>187</v>
      </c>
      <c r="AS338" s="386">
        <f t="shared" si="247"/>
        <v>1</v>
      </c>
      <c r="AT338">
        <f t="shared" si="248"/>
        <v>1</v>
      </c>
      <c r="AU338" s="386">
        <f>IF(AT338=0,"",IF(AND(AT338=1,M338="F",SUMIF(C2:C557,C338,AS2:AS557)&lt;=1),SUMIF(C2:C557,C338,AS2:AS557),IF(AND(AT338=1,M338="F",SUMIF(C2:C557,C338,AS2:AS557)&gt;1),1,"")))</f>
        <v>1</v>
      </c>
      <c r="AV338" s="386" t="str">
        <f>IF(AT338=0,"",IF(AND(AT338=3,M338="F",SUMIF(C2:C557,C338,AS2:AS557)&lt;=1),SUMIF(C2:C557,C338,AS2:AS557),IF(AND(AT338=3,M338="F",SUMIF(C2:C557,C338,AS2:AS557)&gt;1),1,"")))</f>
        <v/>
      </c>
      <c r="AW338" s="386">
        <f>SUMIF(C2:C557,C338,O2:O557)</f>
        <v>1</v>
      </c>
      <c r="AX338" s="386">
        <f>IF(AND(M338="F",AS338&lt;&gt;0),SUMIF(C2:C557,C338,W2:W557),0)</f>
        <v>30056</v>
      </c>
      <c r="AY338" s="386">
        <f t="shared" si="249"/>
        <v>30056</v>
      </c>
      <c r="AZ338" s="386" t="str">
        <f t="shared" si="250"/>
        <v/>
      </c>
      <c r="BA338" s="386">
        <f t="shared" si="251"/>
        <v>0</v>
      </c>
      <c r="BB338" s="386">
        <f t="shared" si="220"/>
        <v>11650</v>
      </c>
      <c r="BC338" s="386">
        <f t="shared" si="221"/>
        <v>0</v>
      </c>
      <c r="BD338" s="386">
        <f t="shared" si="222"/>
        <v>1863.472</v>
      </c>
      <c r="BE338" s="386">
        <f t="shared" si="223"/>
        <v>435.81200000000001</v>
      </c>
      <c r="BF338" s="386">
        <f t="shared" si="224"/>
        <v>3588.6864</v>
      </c>
      <c r="BG338" s="386">
        <f t="shared" si="225"/>
        <v>216.70376000000002</v>
      </c>
      <c r="BH338" s="386">
        <f t="shared" si="226"/>
        <v>147.27439999999999</v>
      </c>
      <c r="BI338" s="386">
        <f t="shared" si="227"/>
        <v>91.97135999999999</v>
      </c>
      <c r="BJ338" s="386">
        <f t="shared" si="228"/>
        <v>72.134399999999999</v>
      </c>
      <c r="BK338" s="386">
        <f t="shared" si="229"/>
        <v>0</v>
      </c>
      <c r="BL338" s="386">
        <f t="shared" si="252"/>
        <v>6416.0543200000002</v>
      </c>
      <c r="BM338" s="386">
        <f t="shared" si="253"/>
        <v>0</v>
      </c>
      <c r="BN338" s="386">
        <f t="shared" si="230"/>
        <v>11650</v>
      </c>
      <c r="BO338" s="386">
        <f t="shared" si="231"/>
        <v>0</v>
      </c>
      <c r="BP338" s="386">
        <f t="shared" si="232"/>
        <v>1863.472</v>
      </c>
      <c r="BQ338" s="386">
        <f t="shared" si="233"/>
        <v>435.81200000000001</v>
      </c>
      <c r="BR338" s="386">
        <f t="shared" si="234"/>
        <v>3588.6864</v>
      </c>
      <c r="BS338" s="386">
        <f t="shared" si="235"/>
        <v>216.70376000000002</v>
      </c>
      <c r="BT338" s="386">
        <f t="shared" si="236"/>
        <v>0</v>
      </c>
      <c r="BU338" s="386">
        <f t="shared" si="237"/>
        <v>91.97135999999999</v>
      </c>
      <c r="BV338" s="386">
        <f t="shared" si="238"/>
        <v>75.14</v>
      </c>
      <c r="BW338" s="386">
        <f t="shared" si="239"/>
        <v>0</v>
      </c>
      <c r="BX338" s="386">
        <f t="shared" si="254"/>
        <v>6271.7855200000004</v>
      </c>
      <c r="BY338" s="386">
        <f t="shared" si="255"/>
        <v>0</v>
      </c>
      <c r="BZ338" s="386">
        <f t="shared" si="256"/>
        <v>0</v>
      </c>
      <c r="CA338" s="386">
        <f t="shared" si="257"/>
        <v>0</v>
      </c>
      <c r="CB338" s="386">
        <f t="shared" si="258"/>
        <v>0</v>
      </c>
      <c r="CC338" s="386">
        <f t="shared" si="240"/>
        <v>0</v>
      </c>
      <c r="CD338" s="386">
        <f t="shared" si="241"/>
        <v>0</v>
      </c>
      <c r="CE338" s="386">
        <f t="shared" si="242"/>
        <v>0</v>
      </c>
      <c r="CF338" s="386">
        <f t="shared" si="243"/>
        <v>-147.27439999999999</v>
      </c>
      <c r="CG338" s="386">
        <f t="shared" si="244"/>
        <v>0</v>
      </c>
      <c r="CH338" s="386">
        <f t="shared" si="245"/>
        <v>3.0056000000000078</v>
      </c>
      <c r="CI338" s="386">
        <f t="shared" si="246"/>
        <v>0</v>
      </c>
      <c r="CJ338" s="386">
        <f t="shared" si="259"/>
        <v>-144.26879999999997</v>
      </c>
      <c r="CK338" s="386" t="str">
        <f t="shared" si="260"/>
        <v/>
      </c>
      <c r="CL338" s="386" t="str">
        <f t="shared" si="261"/>
        <v/>
      </c>
      <c r="CM338" s="386" t="str">
        <f t="shared" si="262"/>
        <v/>
      </c>
      <c r="CN338" s="386" t="str">
        <f t="shared" si="263"/>
        <v>0338-02</v>
      </c>
    </row>
    <row r="339" spans="1:92" ht="15.75" thickBot="1" x14ac:dyDescent="0.3">
      <c r="A339" s="375" t="s">
        <v>161</v>
      </c>
      <c r="B339" s="375" t="s">
        <v>162</v>
      </c>
      <c r="C339" s="375" t="s">
        <v>1090</v>
      </c>
      <c r="D339" s="375" t="s">
        <v>1091</v>
      </c>
      <c r="E339" s="375" t="s">
        <v>526</v>
      </c>
      <c r="F339" s="381" t="s">
        <v>529</v>
      </c>
      <c r="G339" s="375" t="s">
        <v>1069</v>
      </c>
      <c r="H339" s="377"/>
      <c r="I339" s="377"/>
      <c r="J339" s="375" t="s">
        <v>218</v>
      </c>
      <c r="K339" s="375" t="s">
        <v>1092</v>
      </c>
      <c r="L339" s="375" t="s">
        <v>233</v>
      </c>
      <c r="M339" s="375" t="s">
        <v>214</v>
      </c>
      <c r="N339" s="375" t="s">
        <v>199</v>
      </c>
      <c r="O339" s="378">
        <v>0</v>
      </c>
      <c r="P339" s="384">
        <v>0</v>
      </c>
      <c r="Q339" s="384">
        <v>0</v>
      </c>
      <c r="R339" s="379">
        <v>80</v>
      </c>
      <c r="S339" s="384">
        <v>0</v>
      </c>
      <c r="T339" s="379">
        <v>4313.51</v>
      </c>
      <c r="U339" s="379">
        <v>0</v>
      </c>
      <c r="V339" s="379">
        <v>2049.7199999999998</v>
      </c>
      <c r="W339" s="379">
        <v>0</v>
      </c>
      <c r="X339" s="379">
        <v>0</v>
      </c>
      <c r="Y339" s="379">
        <v>0</v>
      </c>
      <c r="Z339" s="379">
        <v>0</v>
      </c>
      <c r="AA339" s="377"/>
      <c r="AB339" s="375" t="s">
        <v>45</v>
      </c>
      <c r="AC339" s="375" t="s">
        <v>45</v>
      </c>
      <c r="AD339" s="377"/>
      <c r="AE339" s="377"/>
      <c r="AF339" s="377"/>
      <c r="AG339" s="377"/>
      <c r="AH339" s="378">
        <v>0</v>
      </c>
      <c r="AI339" s="378">
        <v>0</v>
      </c>
      <c r="AJ339" s="377"/>
      <c r="AK339" s="377"/>
      <c r="AL339" s="375" t="s">
        <v>173</v>
      </c>
      <c r="AM339" s="377"/>
      <c r="AN339" s="377"/>
      <c r="AO339" s="378">
        <v>0</v>
      </c>
      <c r="AP339" s="384">
        <v>0</v>
      </c>
      <c r="AQ339" s="384">
        <v>0</v>
      </c>
      <c r="AR339" s="382"/>
      <c r="AS339" s="386">
        <f t="shared" si="247"/>
        <v>0</v>
      </c>
      <c r="AT339">
        <f t="shared" si="248"/>
        <v>0</v>
      </c>
      <c r="AU339" s="386" t="str">
        <f>IF(AT339=0,"",IF(AND(AT339=1,M339="F",SUMIF(C2:C557,C339,AS2:AS557)&lt;=1),SUMIF(C2:C557,C339,AS2:AS557),IF(AND(AT339=1,M339="F",SUMIF(C2:C557,C339,AS2:AS557)&gt;1),1,"")))</f>
        <v/>
      </c>
      <c r="AV339" s="386" t="str">
        <f>IF(AT339=0,"",IF(AND(AT339=3,M339="F",SUMIF(C2:C557,C339,AS2:AS557)&lt;=1),SUMIF(C2:C557,C339,AS2:AS557),IF(AND(AT339=3,M339="F",SUMIF(C2:C557,C339,AS2:AS557)&gt;1),1,"")))</f>
        <v/>
      </c>
      <c r="AW339" s="386">
        <f>SUMIF(C2:C557,C339,O2:O557)</f>
        <v>0</v>
      </c>
      <c r="AX339" s="386">
        <f>IF(AND(M339="F",AS339&lt;&gt;0),SUMIF(C2:C557,C339,W2:W557),0)</f>
        <v>0</v>
      </c>
      <c r="AY339" s="386" t="str">
        <f t="shared" si="249"/>
        <v/>
      </c>
      <c r="AZ339" s="386" t="str">
        <f t="shared" si="250"/>
        <v/>
      </c>
      <c r="BA339" s="386">
        <f t="shared" si="251"/>
        <v>0</v>
      </c>
      <c r="BB339" s="386">
        <f t="shared" si="220"/>
        <v>0</v>
      </c>
      <c r="BC339" s="386">
        <f t="shared" si="221"/>
        <v>0</v>
      </c>
      <c r="BD339" s="386">
        <f t="shared" si="222"/>
        <v>0</v>
      </c>
      <c r="BE339" s="386">
        <f t="shared" si="223"/>
        <v>0</v>
      </c>
      <c r="BF339" s="386">
        <f t="shared" si="224"/>
        <v>0</v>
      </c>
      <c r="BG339" s="386">
        <f t="shared" si="225"/>
        <v>0</v>
      </c>
      <c r="BH339" s="386">
        <f t="shared" si="226"/>
        <v>0</v>
      </c>
      <c r="BI339" s="386">
        <f t="shared" si="227"/>
        <v>0</v>
      </c>
      <c r="BJ339" s="386">
        <f t="shared" si="228"/>
        <v>0</v>
      </c>
      <c r="BK339" s="386">
        <f t="shared" si="229"/>
        <v>0</v>
      </c>
      <c r="BL339" s="386">
        <f t="shared" si="252"/>
        <v>0</v>
      </c>
      <c r="BM339" s="386">
        <f t="shared" si="253"/>
        <v>0</v>
      </c>
      <c r="BN339" s="386">
        <f t="shared" si="230"/>
        <v>0</v>
      </c>
      <c r="BO339" s="386">
        <f t="shared" si="231"/>
        <v>0</v>
      </c>
      <c r="BP339" s="386">
        <f t="shared" si="232"/>
        <v>0</v>
      </c>
      <c r="BQ339" s="386">
        <f t="shared" si="233"/>
        <v>0</v>
      </c>
      <c r="BR339" s="386">
        <f t="shared" si="234"/>
        <v>0</v>
      </c>
      <c r="BS339" s="386">
        <f t="shared" si="235"/>
        <v>0</v>
      </c>
      <c r="BT339" s="386">
        <f t="shared" si="236"/>
        <v>0</v>
      </c>
      <c r="BU339" s="386">
        <f t="shared" si="237"/>
        <v>0</v>
      </c>
      <c r="BV339" s="386">
        <f t="shared" si="238"/>
        <v>0</v>
      </c>
      <c r="BW339" s="386">
        <f t="shared" si="239"/>
        <v>0</v>
      </c>
      <c r="BX339" s="386">
        <f t="shared" si="254"/>
        <v>0</v>
      </c>
      <c r="BY339" s="386">
        <f t="shared" si="255"/>
        <v>0</v>
      </c>
      <c r="BZ339" s="386">
        <f t="shared" si="256"/>
        <v>0</v>
      </c>
      <c r="CA339" s="386">
        <f t="shared" si="257"/>
        <v>0</v>
      </c>
      <c r="CB339" s="386">
        <f t="shared" si="258"/>
        <v>0</v>
      </c>
      <c r="CC339" s="386">
        <f t="shared" si="240"/>
        <v>0</v>
      </c>
      <c r="CD339" s="386">
        <f t="shared" si="241"/>
        <v>0</v>
      </c>
      <c r="CE339" s="386">
        <f t="shared" si="242"/>
        <v>0</v>
      </c>
      <c r="CF339" s="386">
        <f t="shared" si="243"/>
        <v>0</v>
      </c>
      <c r="CG339" s="386">
        <f t="shared" si="244"/>
        <v>0</v>
      </c>
      <c r="CH339" s="386">
        <f t="shared" si="245"/>
        <v>0</v>
      </c>
      <c r="CI339" s="386">
        <f t="shared" si="246"/>
        <v>0</v>
      </c>
      <c r="CJ339" s="386">
        <f t="shared" si="259"/>
        <v>0</v>
      </c>
      <c r="CK339" s="386" t="str">
        <f t="shared" si="260"/>
        <v/>
      </c>
      <c r="CL339" s="386" t="str">
        <f t="shared" si="261"/>
        <v/>
      </c>
      <c r="CM339" s="386" t="str">
        <f t="shared" si="262"/>
        <v/>
      </c>
      <c r="CN339" s="386" t="str">
        <f t="shared" si="263"/>
        <v>0338-02</v>
      </c>
    </row>
    <row r="340" spans="1:92" ht="15.75" thickBot="1" x14ac:dyDescent="0.3">
      <c r="A340" s="375" t="s">
        <v>161</v>
      </c>
      <c r="B340" s="375" t="s">
        <v>162</v>
      </c>
      <c r="C340" s="375" t="s">
        <v>1346</v>
      </c>
      <c r="D340" s="375" t="s">
        <v>665</v>
      </c>
      <c r="E340" s="375" t="s">
        <v>526</v>
      </c>
      <c r="F340" s="381" t="s">
        <v>529</v>
      </c>
      <c r="G340" s="375" t="s">
        <v>1069</v>
      </c>
      <c r="H340" s="377"/>
      <c r="I340" s="377"/>
      <c r="J340" s="375" t="s">
        <v>168</v>
      </c>
      <c r="K340" s="375" t="s">
        <v>666</v>
      </c>
      <c r="L340" s="375" t="s">
        <v>183</v>
      </c>
      <c r="M340" s="375" t="s">
        <v>177</v>
      </c>
      <c r="N340" s="375" t="s">
        <v>199</v>
      </c>
      <c r="O340" s="378">
        <v>1</v>
      </c>
      <c r="P340" s="384">
        <v>1</v>
      </c>
      <c r="Q340" s="384">
        <v>1</v>
      </c>
      <c r="R340" s="379">
        <v>80</v>
      </c>
      <c r="S340" s="384">
        <v>1</v>
      </c>
      <c r="T340" s="379">
        <v>30326.43</v>
      </c>
      <c r="U340" s="379">
        <v>144.06</v>
      </c>
      <c r="V340" s="379">
        <v>17953.07</v>
      </c>
      <c r="W340" s="379">
        <v>32531.200000000001</v>
      </c>
      <c r="X340" s="379">
        <v>18594.400000000001</v>
      </c>
      <c r="Y340" s="379">
        <v>32531.200000000001</v>
      </c>
      <c r="Z340" s="379">
        <v>18438.25</v>
      </c>
      <c r="AA340" s="375" t="s">
        <v>1347</v>
      </c>
      <c r="AB340" s="375" t="s">
        <v>577</v>
      </c>
      <c r="AC340" s="375" t="s">
        <v>1348</v>
      </c>
      <c r="AD340" s="375" t="s">
        <v>170</v>
      </c>
      <c r="AE340" s="375" t="s">
        <v>666</v>
      </c>
      <c r="AF340" s="375" t="s">
        <v>206</v>
      </c>
      <c r="AG340" s="375" t="s">
        <v>183</v>
      </c>
      <c r="AH340" s="380">
        <v>15.64</v>
      </c>
      <c r="AI340" s="380">
        <v>13479.8</v>
      </c>
      <c r="AJ340" s="375" t="s">
        <v>184</v>
      </c>
      <c r="AK340" s="375" t="s">
        <v>185</v>
      </c>
      <c r="AL340" s="375" t="s">
        <v>173</v>
      </c>
      <c r="AM340" s="375" t="s">
        <v>186</v>
      </c>
      <c r="AN340" s="375" t="s">
        <v>68</v>
      </c>
      <c r="AO340" s="378">
        <v>80</v>
      </c>
      <c r="AP340" s="384">
        <v>1</v>
      </c>
      <c r="AQ340" s="384">
        <v>1</v>
      </c>
      <c r="AR340" s="383" t="s">
        <v>187</v>
      </c>
      <c r="AS340" s="386">
        <f t="shared" si="247"/>
        <v>1</v>
      </c>
      <c r="AT340">
        <f t="shared" si="248"/>
        <v>1</v>
      </c>
      <c r="AU340" s="386">
        <f>IF(AT340=0,"",IF(AND(AT340=1,M340="F",SUMIF(C2:C557,C340,AS2:AS557)&lt;=1),SUMIF(C2:C557,C340,AS2:AS557),IF(AND(AT340=1,M340="F",SUMIF(C2:C557,C340,AS2:AS557)&gt;1),1,"")))</f>
        <v>1</v>
      </c>
      <c r="AV340" s="386" t="str">
        <f>IF(AT340=0,"",IF(AND(AT340=3,M340="F",SUMIF(C2:C557,C340,AS2:AS557)&lt;=1),SUMIF(C2:C557,C340,AS2:AS557),IF(AND(AT340=3,M340="F",SUMIF(C2:C557,C340,AS2:AS557)&gt;1),1,"")))</f>
        <v/>
      </c>
      <c r="AW340" s="386">
        <f>SUMIF(C2:C557,C340,O2:O557)</f>
        <v>1</v>
      </c>
      <c r="AX340" s="386">
        <f>IF(AND(M340="F",AS340&lt;&gt;0),SUMIF(C2:C557,C340,W2:W557),0)</f>
        <v>32531.200000000001</v>
      </c>
      <c r="AY340" s="386">
        <f t="shared" si="249"/>
        <v>32531.200000000001</v>
      </c>
      <c r="AZ340" s="386" t="str">
        <f t="shared" si="250"/>
        <v/>
      </c>
      <c r="BA340" s="386">
        <f t="shared" si="251"/>
        <v>0</v>
      </c>
      <c r="BB340" s="386">
        <f t="shared" si="220"/>
        <v>11650</v>
      </c>
      <c r="BC340" s="386">
        <f t="shared" si="221"/>
        <v>0</v>
      </c>
      <c r="BD340" s="386">
        <f t="shared" si="222"/>
        <v>2016.9344000000001</v>
      </c>
      <c r="BE340" s="386">
        <f t="shared" si="223"/>
        <v>471.70240000000001</v>
      </c>
      <c r="BF340" s="386">
        <f t="shared" si="224"/>
        <v>3884.2252800000001</v>
      </c>
      <c r="BG340" s="386">
        <f t="shared" si="225"/>
        <v>234.54995200000002</v>
      </c>
      <c r="BH340" s="386">
        <f t="shared" si="226"/>
        <v>159.40288000000001</v>
      </c>
      <c r="BI340" s="386">
        <f t="shared" si="227"/>
        <v>99.54547199999999</v>
      </c>
      <c r="BJ340" s="386">
        <f t="shared" si="228"/>
        <v>78.074879999999993</v>
      </c>
      <c r="BK340" s="386">
        <f t="shared" si="229"/>
        <v>0</v>
      </c>
      <c r="BL340" s="386">
        <f t="shared" si="252"/>
        <v>6944.4352640000006</v>
      </c>
      <c r="BM340" s="386">
        <f t="shared" si="253"/>
        <v>0</v>
      </c>
      <c r="BN340" s="386">
        <f t="shared" si="230"/>
        <v>11650</v>
      </c>
      <c r="BO340" s="386">
        <f t="shared" si="231"/>
        <v>0</v>
      </c>
      <c r="BP340" s="386">
        <f t="shared" si="232"/>
        <v>2016.9344000000001</v>
      </c>
      <c r="BQ340" s="386">
        <f t="shared" si="233"/>
        <v>471.70240000000001</v>
      </c>
      <c r="BR340" s="386">
        <f t="shared" si="234"/>
        <v>3884.2252800000001</v>
      </c>
      <c r="BS340" s="386">
        <f t="shared" si="235"/>
        <v>234.54995200000002</v>
      </c>
      <c r="BT340" s="386">
        <f t="shared" si="236"/>
        <v>0</v>
      </c>
      <c r="BU340" s="386">
        <f t="shared" si="237"/>
        <v>99.54547199999999</v>
      </c>
      <c r="BV340" s="386">
        <f t="shared" si="238"/>
        <v>81.328000000000003</v>
      </c>
      <c r="BW340" s="386">
        <f t="shared" si="239"/>
        <v>0</v>
      </c>
      <c r="BX340" s="386">
        <f t="shared" si="254"/>
        <v>6788.2855040000013</v>
      </c>
      <c r="BY340" s="386">
        <f t="shared" si="255"/>
        <v>0</v>
      </c>
      <c r="BZ340" s="386">
        <f t="shared" si="256"/>
        <v>0</v>
      </c>
      <c r="CA340" s="386">
        <f t="shared" si="257"/>
        <v>0</v>
      </c>
      <c r="CB340" s="386">
        <f t="shared" si="258"/>
        <v>0</v>
      </c>
      <c r="CC340" s="386">
        <f t="shared" si="240"/>
        <v>0</v>
      </c>
      <c r="CD340" s="386">
        <f t="shared" si="241"/>
        <v>0</v>
      </c>
      <c r="CE340" s="386">
        <f t="shared" si="242"/>
        <v>0</v>
      </c>
      <c r="CF340" s="386">
        <f t="shared" si="243"/>
        <v>-159.40288000000001</v>
      </c>
      <c r="CG340" s="386">
        <f t="shared" si="244"/>
        <v>0</v>
      </c>
      <c r="CH340" s="386">
        <f t="shared" si="245"/>
        <v>3.2531200000000084</v>
      </c>
      <c r="CI340" s="386">
        <f t="shared" si="246"/>
        <v>0</v>
      </c>
      <c r="CJ340" s="386">
        <f t="shared" si="259"/>
        <v>-156.14976000000001</v>
      </c>
      <c r="CK340" s="386" t="str">
        <f t="shared" si="260"/>
        <v/>
      </c>
      <c r="CL340" s="386" t="str">
        <f t="shared" si="261"/>
        <v/>
      </c>
      <c r="CM340" s="386" t="str">
        <f t="shared" si="262"/>
        <v/>
      </c>
      <c r="CN340" s="386" t="str">
        <f t="shared" si="263"/>
        <v>0338-02</v>
      </c>
    </row>
    <row r="341" spans="1:92" ht="15.75" thickBot="1" x14ac:dyDescent="0.3">
      <c r="A341" s="375" t="s">
        <v>161</v>
      </c>
      <c r="B341" s="375" t="s">
        <v>162</v>
      </c>
      <c r="C341" s="375" t="s">
        <v>1349</v>
      </c>
      <c r="D341" s="375" t="s">
        <v>324</v>
      </c>
      <c r="E341" s="375" t="s">
        <v>526</v>
      </c>
      <c r="F341" s="381" t="s">
        <v>529</v>
      </c>
      <c r="G341" s="375" t="s">
        <v>1069</v>
      </c>
      <c r="H341" s="377"/>
      <c r="I341" s="377"/>
      <c r="J341" s="375" t="s">
        <v>168</v>
      </c>
      <c r="K341" s="375" t="s">
        <v>325</v>
      </c>
      <c r="L341" s="375" t="s">
        <v>170</v>
      </c>
      <c r="M341" s="375" t="s">
        <v>177</v>
      </c>
      <c r="N341" s="375" t="s">
        <v>199</v>
      </c>
      <c r="O341" s="378">
        <v>1</v>
      </c>
      <c r="P341" s="384">
        <v>1</v>
      </c>
      <c r="Q341" s="384">
        <v>1</v>
      </c>
      <c r="R341" s="379">
        <v>80</v>
      </c>
      <c r="S341" s="384">
        <v>1</v>
      </c>
      <c r="T341" s="379">
        <v>47013.45</v>
      </c>
      <c r="U341" s="379">
        <v>0</v>
      </c>
      <c r="V341" s="379">
        <v>20716.54</v>
      </c>
      <c r="W341" s="379">
        <v>54849.599999999999</v>
      </c>
      <c r="X341" s="379">
        <v>23358.7</v>
      </c>
      <c r="Y341" s="379">
        <v>54849.599999999999</v>
      </c>
      <c r="Z341" s="379">
        <v>23095.43</v>
      </c>
      <c r="AA341" s="375" t="s">
        <v>1350</v>
      </c>
      <c r="AB341" s="375" t="s">
        <v>1351</v>
      </c>
      <c r="AC341" s="375" t="s">
        <v>1352</v>
      </c>
      <c r="AD341" s="375" t="s">
        <v>739</v>
      </c>
      <c r="AE341" s="375" t="s">
        <v>325</v>
      </c>
      <c r="AF341" s="375" t="s">
        <v>269</v>
      </c>
      <c r="AG341" s="375" t="s">
        <v>183</v>
      </c>
      <c r="AH341" s="380">
        <v>26.37</v>
      </c>
      <c r="AI341" s="380">
        <v>40198.699999999997</v>
      </c>
      <c r="AJ341" s="375" t="s">
        <v>184</v>
      </c>
      <c r="AK341" s="375" t="s">
        <v>185</v>
      </c>
      <c r="AL341" s="375" t="s">
        <v>173</v>
      </c>
      <c r="AM341" s="375" t="s">
        <v>186</v>
      </c>
      <c r="AN341" s="375" t="s">
        <v>68</v>
      </c>
      <c r="AO341" s="378">
        <v>80</v>
      </c>
      <c r="AP341" s="384">
        <v>1</v>
      </c>
      <c r="AQ341" s="384">
        <v>1</v>
      </c>
      <c r="AR341" s="383" t="s">
        <v>187</v>
      </c>
      <c r="AS341" s="386">
        <f t="shared" si="247"/>
        <v>1</v>
      </c>
      <c r="AT341">
        <f t="shared" si="248"/>
        <v>1</v>
      </c>
      <c r="AU341" s="386">
        <f>IF(AT341=0,"",IF(AND(AT341=1,M341="F",SUMIF(C2:C557,C341,AS2:AS557)&lt;=1),SUMIF(C2:C557,C341,AS2:AS557),IF(AND(AT341=1,M341="F",SUMIF(C2:C557,C341,AS2:AS557)&gt;1),1,"")))</f>
        <v>1</v>
      </c>
      <c r="AV341" s="386" t="str">
        <f>IF(AT341=0,"",IF(AND(AT341=3,M341="F",SUMIF(C2:C557,C341,AS2:AS557)&lt;=1),SUMIF(C2:C557,C341,AS2:AS557),IF(AND(AT341=3,M341="F",SUMIF(C2:C557,C341,AS2:AS557)&gt;1),1,"")))</f>
        <v/>
      </c>
      <c r="AW341" s="386">
        <f>SUMIF(C2:C557,C341,O2:O557)</f>
        <v>1</v>
      </c>
      <c r="AX341" s="386">
        <f>IF(AND(M341="F",AS341&lt;&gt;0),SUMIF(C2:C557,C341,W2:W557),0)</f>
        <v>54849.599999999999</v>
      </c>
      <c r="AY341" s="386">
        <f t="shared" si="249"/>
        <v>54849.599999999999</v>
      </c>
      <c r="AZ341" s="386" t="str">
        <f t="shared" si="250"/>
        <v/>
      </c>
      <c r="BA341" s="386">
        <f t="shared" si="251"/>
        <v>0</v>
      </c>
      <c r="BB341" s="386">
        <f t="shared" si="220"/>
        <v>11650</v>
      </c>
      <c r="BC341" s="386">
        <f t="shared" si="221"/>
        <v>0</v>
      </c>
      <c r="BD341" s="386">
        <f t="shared" si="222"/>
        <v>3400.6751999999997</v>
      </c>
      <c r="BE341" s="386">
        <f t="shared" si="223"/>
        <v>795.31920000000002</v>
      </c>
      <c r="BF341" s="386">
        <f t="shared" si="224"/>
        <v>6549.0422399999998</v>
      </c>
      <c r="BG341" s="386">
        <f t="shared" si="225"/>
        <v>395.46561600000001</v>
      </c>
      <c r="BH341" s="386">
        <f t="shared" si="226"/>
        <v>268.76303999999999</v>
      </c>
      <c r="BI341" s="386">
        <f t="shared" si="227"/>
        <v>167.83977599999997</v>
      </c>
      <c r="BJ341" s="386">
        <f t="shared" si="228"/>
        <v>131.63903999999999</v>
      </c>
      <c r="BK341" s="386">
        <f t="shared" si="229"/>
        <v>0</v>
      </c>
      <c r="BL341" s="386">
        <f t="shared" si="252"/>
        <v>11708.744111999998</v>
      </c>
      <c r="BM341" s="386">
        <f t="shared" si="253"/>
        <v>0</v>
      </c>
      <c r="BN341" s="386">
        <f t="shared" si="230"/>
        <v>11650</v>
      </c>
      <c r="BO341" s="386">
        <f t="shared" si="231"/>
        <v>0</v>
      </c>
      <c r="BP341" s="386">
        <f t="shared" si="232"/>
        <v>3400.6751999999997</v>
      </c>
      <c r="BQ341" s="386">
        <f t="shared" si="233"/>
        <v>795.31920000000002</v>
      </c>
      <c r="BR341" s="386">
        <f t="shared" si="234"/>
        <v>6549.0422399999998</v>
      </c>
      <c r="BS341" s="386">
        <f t="shared" si="235"/>
        <v>395.46561600000001</v>
      </c>
      <c r="BT341" s="386">
        <f t="shared" si="236"/>
        <v>0</v>
      </c>
      <c r="BU341" s="386">
        <f t="shared" si="237"/>
        <v>167.83977599999997</v>
      </c>
      <c r="BV341" s="386">
        <f t="shared" si="238"/>
        <v>137.124</v>
      </c>
      <c r="BW341" s="386">
        <f t="shared" si="239"/>
        <v>0</v>
      </c>
      <c r="BX341" s="386">
        <f t="shared" si="254"/>
        <v>11445.466031999998</v>
      </c>
      <c r="BY341" s="386">
        <f t="shared" si="255"/>
        <v>0</v>
      </c>
      <c r="BZ341" s="386">
        <f t="shared" si="256"/>
        <v>0</v>
      </c>
      <c r="CA341" s="386">
        <f t="shared" si="257"/>
        <v>0</v>
      </c>
      <c r="CB341" s="386">
        <f t="shared" si="258"/>
        <v>0</v>
      </c>
      <c r="CC341" s="386">
        <f t="shared" si="240"/>
        <v>0</v>
      </c>
      <c r="CD341" s="386">
        <f t="shared" si="241"/>
        <v>0</v>
      </c>
      <c r="CE341" s="386">
        <f t="shared" si="242"/>
        <v>0</v>
      </c>
      <c r="CF341" s="386">
        <f t="shared" si="243"/>
        <v>-268.76303999999999</v>
      </c>
      <c r="CG341" s="386">
        <f t="shared" si="244"/>
        <v>0</v>
      </c>
      <c r="CH341" s="386">
        <f t="shared" si="245"/>
        <v>5.4849600000000143</v>
      </c>
      <c r="CI341" s="386">
        <f t="shared" si="246"/>
        <v>0</v>
      </c>
      <c r="CJ341" s="386">
        <f t="shared" si="259"/>
        <v>-263.27807999999999</v>
      </c>
      <c r="CK341" s="386" t="str">
        <f t="shared" si="260"/>
        <v/>
      </c>
      <c r="CL341" s="386" t="str">
        <f t="shared" si="261"/>
        <v/>
      </c>
      <c r="CM341" s="386" t="str">
        <f t="shared" si="262"/>
        <v/>
      </c>
      <c r="CN341" s="386" t="str">
        <f t="shared" si="263"/>
        <v>0338-02</v>
      </c>
    </row>
    <row r="342" spans="1:92" ht="15.75" thickBot="1" x14ac:dyDescent="0.3">
      <c r="A342" s="375" t="s">
        <v>161</v>
      </c>
      <c r="B342" s="375" t="s">
        <v>162</v>
      </c>
      <c r="C342" s="375" t="s">
        <v>1353</v>
      </c>
      <c r="D342" s="375" t="s">
        <v>1235</v>
      </c>
      <c r="E342" s="375" t="s">
        <v>526</v>
      </c>
      <c r="F342" s="381" t="s">
        <v>529</v>
      </c>
      <c r="G342" s="375" t="s">
        <v>1069</v>
      </c>
      <c r="H342" s="377"/>
      <c r="I342" s="377"/>
      <c r="J342" s="375" t="s">
        <v>168</v>
      </c>
      <c r="K342" s="375" t="s">
        <v>1236</v>
      </c>
      <c r="L342" s="375" t="s">
        <v>166</v>
      </c>
      <c r="M342" s="375" t="s">
        <v>171</v>
      </c>
      <c r="N342" s="375" t="s">
        <v>262</v>
      </c>
      <c r="O342" s="378">
        <v>0</v>
      </c>
      <c r="P342" s="384">
        <v>1</v>
      </c>
      <c r="Q342" s="384">
        <v>0</v>
      </c>
      <c r="R342" s="379">
        <v>0</v>
      </c>
      <c r="S342" s="384">
        <v>0</v>
      </c>
      <c r="T342" s="379">
        <v>0</v>
      </c>
      <c r="U342" s="379">
        <v>0</v>
      </c>
      <c r="V342" s="379">
        <v>0</v>
      </c>
      <c r="W342" s="379">
        <v>0</v>
      </c>
      <c r="X342" s="379">
        <v>0</v>
      </c>
      <c r="Y342" s="379">
        <v>0</v>
      </c>
      <c r="Z342" s="379">
        <v>0</v>
      </c>
      <c r="AA342" s="377"/>
      <c r="AB342" s="375" t="s">
        <v>45</v>
      </c>
      <c r="AC342" s="375" t="s">
        <v>45</v>
      </c>
      <c r="AD342" s="377"/>
      <c r="AE342" s="377"/>
      <c r="AF342" s="377"/>
      <c r="AG342" s="377"/>
      <c r="AH342" s="378">
        <v>0</v>
      </c>
      <c r="AI342" s="378">
        <v>0</v>
      </c>
      <c r="AJ342" s="377"/>
      <c r="AK342" s="377"/>
      <c r="AL342" s="375" t="s">
        <v>173</v>
      </c>
      <c r="AM342" s="377"/>
      <c r="AN342" s="377"/>
      <c r="AO342" s="378">
        <v>0</v>
      </c>
      <c r="AP342" s="384">
        <v>0</v>
      </c>
      <c r="AQ342" s="384">
        <v>0</v>
      </c>
      <c r="AR342" s="382"/>
      <c r="AS342" s="386">
        <f t="shared" si="247"/>
        <v>0</v>
      </c>
      <c r="AT342">
        <f t="shared" si="248"/>
        <v>0</v>
      </c>
      <c r="AU342" s="386" t="str">
        <f>IF(AT342=0,"",IF(AND(AT342=1,M342="F",SUMIF(C2:C557,C342,AS2:AS557)&lt;=1),SUMIF(C2:C557,C342,AS2:AS557),IF(AND(AT342=1,M342="F",SUMIF(C2:C557,C342,AS2:AS557)&gt;1),1,"")))</f>
        <v/>
      </c>
      <c r="AV342" s="386" t="str">
        <f>IF(AT342=0,"",IF(AND(AT342=3,M342="F",SUMIF(C2:C557,C342,AS2:AS557)&lt;=1),SUMIF(C2:C557,C342,AS2:AS557),IF(AND(AT342=3,M342="F",SUMIF(C2:C557,C342,AS2:AS557)&gt;1),1,"")))</f>
        <v/>
      </c>
      <c r="AW342" s="386">
        <f>SUMIF(C2:C557,C342,O2:O557)</f>
        <v>0</v>
      </c>
      <c r="AX342" s="386">
        <f>IF(AND(M342="F",AS342&lt;&gt;0),SUMIF(C2:C557,C342,W2:W557),0)</f>
        <v>0</v>
      </c>
      <c r="AY342" s="386" t="str">
        <f t="shared" si="249"/>
        <v/>
      </c>
      <c r="AZ342" s="386" t="str">
        <f t="shared" si="250"/>
        <v/>
      </c>
      <c r="BA342" s="386">
        <f t="shared" si="251"/>
        <v>0</v>
      </c>
      <c r="BB342" s="386">
        <f t="shared" si="220"/>
        <v>0</v>
      </c>
      <c r="BC342" s="386">
        <f t="shared" si="221"/>
        <v>0</v>
      </c>
      <c r="BD342" s="386">
        <f t="shared" si="222"/>
        <v>0</v>
      </c>
      <c r="BE342" s="386">
        <f t="shared" si="223"/>
        <v>0</v>
      </c>
      <c r="BF342" s="386">
        <f t="shared" si="224"/>
        <v>0</v>
      </c>
      <c r="BG342" s="386">
        <f t="shared" si="225"/>
        <v>0</v>
      </c>
      <c r="BH342" s="386">
        <f t="shared" si="226"/>
        <v>0</v>
      </c>
      <c r="BI342" s="386">
        <f t="shared" si="227"/>
        <v>0</v>
      </c>
      <c r="BJ342" s="386">
        <f t="shared" si="228"/>
        <v>0</v>
      </c>
      <c r="BK342" s="386">
        <f t="shared" si="229"/>
        <v>0</v>
      </c>
      <c r="BL342" s="386">
        <f t="shared" si="252"/>
        <v>0</v>
      </c>
      <c r="BM342" s="386">
        <f t="shared" si="253"/>
        <v>0</v>
      </c>
      <c r="BN342" s="386">
        <f t="shared" si="230"/>
        <v>0</v>
      </c>
      <c r="BO342" s="386">
        <f t="shared" si="231"/>
        <v>0</v>
      </c>
      <c r="BP342" s="386">
        <f t="shared" si="232"/>
        <v>0</v>
      </c>
      <c r="BQ342" s="386">
        <f t="shared" si="233"/>
        <v>0</v>
      </c>
      <c r="BR342" s="386">
        <f t="shared" si="234"/>
        <v>0</v>
      </c>
      <c r="BS342" s="386">
        <f t="shared" si="235"/>
        <v>0</v>
      </c>
      <c r="BT342" s="386">
        <f t="shared" si="236"/>
        <v>0</v>
      </c>
      <c r="BU342" s="386">
        <f t="shared" si="237"/>
        <v>0</v>
      </c>
      <c r="BV342" s="386">
        <f t="shared" si="238"/>
        <v>0</v>
      </c>
      <c r="BW342" s="386">
        <f t="shared" si="239"/>
        <v>0</v>
      </c>
      <c r="BX342" s="386">
        <f t="shared" si="254"/>
        <v>0</v>
      </c>
      <c r="BY342" s="386">
        <f t="shared" si="255"/>
        <v>0</v>
      </c>
      <c r="BZ342" s="386">
        <f t="shared" si="256"/>
        <v>0</v>
      </c>
      <c r="CA342" s="386">
        <f t="shared" si="257"/>
        <v>0</v>
      </c>
      <c r="CB342" s="386">
        <f t="shared" si="258"/>
        <v>0</v>
      </c>
      <c r="CC342" s="386">
        <f t="shared" si="240"/>
        <v>0</v>
      </c>
      <c r="CD342" s="386">
        <f t="shared" si="241"/>
        <v>0</v>
      </c>
      <c r="CE342" s="386">
        <f t="shared" si="242"/>
        <v>0</v>
      </c>
      <c r="CF342" s="386">
        <f t="shared" si="243"/>
        <v>0</v>
      </c>
      <c r="CG342" s="386">
        <f t="shared" si="244"/>
        <v>0</v>
      </c>
      <c r="CH342" s="386">
        <f t="shared" si="245"/>
        <v>0</v>
      </c>
      <c r="CI342" s="386">
        <f t="shared" si="246"/>
        <v>0</v>
      </c>
      <c r="CJ342" s="386">
        <f t="shared" si="259"/>
        <v>0</v>
      </c>
      <c r="CK342" s="386" t="str">
        <f t="shared" si="260"/>
        <v/>
      </c>
      <c r="CL342" s="386">
        <f t="shared" si="261"/>
        <v>0</v>
      </c>
      <c r="CM342" s="386">
        <f t="shared" si="262"/>
        <v>0</v>
      </c>
      <c r="CN342" s="386" t="str">
        <f t="shared" si="263"/>
        <v>0338-02</v>
      </c>
    </row>
    <row r="343" spans="1:92" ht="15.75" thickBot="1" x14ac:dyDescent="0.3">
      <c r="A343" s="375" t="s">
        <v>161</v>
      </c>
      <c r="B343" s="375" t="s">
        <v>162</v>
      </c>
      <c r="C343" s="375" t="s">
        <v>1354</v>
      </c>
      <c r="D343" s="375" t="s">
        <v>324</v>
      </c>
      <c r="E343" s="375" t="s">
        <v>526</v>
      </c>
      <c r="F343" s="381" t="s">
        <v>529</v>
      </c>
      <c r="G343" s="375" t="s">
        <v>1069</v>
      </c>
      <c r="H343" s="377"/>
      <c r="I343" s="377"/>
      <c r="J343" s="375" t="s">
        <v>168</v>
      </c>
      <c r="K343" s="375" t="s">
        <v>325</v>
      </c>
      <c r="L343" s="375" t="s">
        <v>170</v>
      </c>
      <c r="M343" s="375" t="s">
        <v>177</v>
      </c>
      <c r="N343" s="375" t="s">
        <v>199</v>
      </c>
      <c r="O343" s="378">
        <v>1</v>
      </c>
      <c r="P343" s="384">
        <v>1</v>
      </c>
      <c r="Q343" s="384">
        <v>1</v>
      </c>
      <c r="R343" s="379">
        <v>80</v>
      </c>
      <c r="S343" s="384">
        <v>1</v>
      </c>
      <c r="T343" s="379">
        <v>32953.629999999997</v>
      </c>
      <c r="U343" s="379">
        <v>0</v>
      </c>
      <c r="V343" s="379">
        <v>16508.669999999998</v>
      </c>
      <c r="W343" s="379">
        <v>48505.599999999999</v>
      </c>
      <c r="X343" s="379">
        <v>22004.45</v>
      </c>
      <c r="Y343" s="379">
        <v>48505.599999999999</v>
      </c>
      <c r="Z343" s="379">
        <v>21771.63</v>
      </c>
      <c r="AA343" s="375" t="s">
        <v>1355</v>
      </c>
      <c r="AB343" s="375" t="s">
        <v>1356</v>
      </c>
      <c r="AC343" s="375" t="s">
        <v>1357</v>
      </c>
      <c r="AD343" s="375" t="s">
        <v>233</v>
      </c>
      <c r="AE343" s="375" t="s">
        <v>325</v>
      </c>
      <c r="AF343" s="375" t="s">
        <v>269</v>
      </c>
      <c r="AG343" s="375" t="s">
        <v>183</v>
      </c>
      <c r="AH343" s="380">
        <v>23.32</v>
      </c>
      <c r="AI343" s="380">
        <v>15465.3</v>
      </c>
      <c r="AJ343" s="375" t="s">
        <v>184</v>
      </c>
      <c r="AK343" s="375" t="s">
        <v>185</v>
      </c>
      <c r="AL343" s="375" t="s">
        <v>173</v>
      </c>
      <c r="AM343" s="375" t="s">
        <v>186</v>
      </c>
      <c r="AN343" s="375" t="s">
        <v>68</v>
      </c>
      <c r="AO343" s="378">
        <v>80</v>
      </c>
      <c r="AP343" s="384">
        <v>1</v>
      </c>
      <c r="AQ343" s="384">
        <v>1</v>
      </c>
      <c r="AR343" s="383" t="s">
        <v>187</v>
      </c>
      <c r="AS343" s="386">
        <f t="shared" si="247"/>
        <v>1</v>
      </c>
      <c r="AT343">
        <f t="shared" si="248"/>
        <v>1</v>
      </c>
      <c r="AU343" s="386">
        <f>IF(AT343=0,"",IF(AND(AT343=1,M343="F",SUMIF(C2:C557,C343,AS2:AS557)&lt;=1),SUMIF(C2:C557,C343,AS2:AS557),IF(AND(AT343=1,M343="F",SUMIF(C2:C557,C343,AS2:AS557)&gt;1),1,"")))</f>
        <v>1</v>
      </c>
      <c r="AV343" s="386" t="str">
        <f>IF(AT343=0,"",IF(AND(AT343=3,M343="F",SUMIF(C2:C557,C343,AS2:AS557)&lt;=1),SUMIF(C2:C557,C343,AS2:AS557),IF(AND(AT343=3,M343="F",SUMIF(C2:C557,C343,AS2:AS557)&gt;1),1,"")))</f>
        <v/>
      </c>
      <c r="AW343" s="386">
        <f>SUMIF(C2:C557,C343,O2:O557)</f>
        <v>1</v>
      </c>
      <c r="AX343" s="386">
        <f>IF(AND(M343="F",AS343&lt;&gt;0),SUMIF(C2:C557,C343,W2:W557),0)</f>
        <v>48505.599999999999</v>
      </c>
      <c r="AY343" s="386">
        <f t="shared" si="249"/>
        <v>48505.599999999999</v>
      </c>
      <c r="AZ343" s="386" t="str">
        <f t="shared" si="250"/>
        <v/>
      </c>
      <c r="BA343" s="386">
        <f t="shared" si="251"/>
        <v>0</v>
      </c>
      <c r="BB343" s="386">
        <f t="shared" si="220"/>
        <v>11650</v>
      </c>
      <c r="BC343" s="386">
        <f t="shared" si="221"/>
        <v>0</v>
      </c>
      <c r="BD343" s="386">
        <f t="shared" si="222"/>
        <v>3007.3471999999997</v>
      </c>
      <c r="BE343" s="386">
        <f t="shared" si="223"/>
        <v>703.33119999999997</v>
      </c>
      <c r="BF343" s="386">
        <f t="shared" si="224"/>
        <v>5791.5686400000004</v>
      </c>
      <c r="BG343" s="386">
        <f t="shared" si="225"/>
        <v>349.72537599999998</v>
      </c>
      <c r="BH343" s="386">
        <f t="shared" si="226"/>
        <v>237.67743999999999</v>
      </c>
      <c r="BI343" s="386">
        <f t="shared" si="227"/>
        <v>148.42713599999999</v>
      </c>
      <c r="BJ343" s="386">
        <f t="shared" si="228"/>
        <v>116.41343999999998</v>
      </c>
      <c r="BK343" s="386">
        <f t="shared" si="229"/>
        <v>0</v>
      </c>
      <c r="BL343" s="386">
        <f t="shared" si="252"/>
        <v>10354.490432000001</v>
      </c>
      <c r="BM343" s="386">
        <f t="shared" si="253"/>
        <v>0</v>
      </c>
      <c r="BN343" s="386">
        <f t="shared" si="230"/>
        <v>11650</v>
      </c>
      <c r="BO343" s="386">
        <f t="shared" si="231"/>
        <v>0</v>
      </c>
      <c r="BP343" s="386">
        <f t="shared" si="232"/>
        <v>3007.3471999999997</v>
      </c>
      <c r="BQ343" s="386">
        <f t="shared" si="233"/>
        <v>703.33119999999997</v>
      </c>
      <c r="BR343" s="386">
        <f t="shared" si="234"/>
        <v>5791.5686400000004</v>
      </c>
      <c r="BS343" s="386">
        <f t="shared" si="235"/>
        <v>349.72537599999998</v>
      </c>
      <c r="BT343" s="386">
        <f t="shared" si="236"/>
        <v>0</v>
      </c>
      <c r="BU343" s="386">
        <f t="shared" si="237"/>
        <v>148.42713599999999</v>
      </c>
      <c r="BV343" s="386">
        <f t="shared" si="238"/>
        <v>121.264</v>
      </c>
      <c r="BW343" s="386">
        <f t="shared" si="239"/>
        <v>0</v>
      </c>
      <c r="BX343" s="386">
        <f t="shared" si="254"/>
        <v>10121.663552</v>
      </c>
      <c r="BY343" s="386">
        <f t="shared" si="255"/>
        <v>0</v>
      </c>
      <c r="BZ343" s="386">
        <f t="shared" si="256"/>
        <v>0</v>
      </c>
      <c r="CA343" s="386">
        <f t="shared" si="257"/>
        <v>0</v>
      </c>
      <c r="CB343" s="386">
        <f t="shared" si="258"/>
        <v>0</v>
      </c>
      <c r="CC343" s="386">
        <f t="shared" si="240"/>
        <v>0</v>
      </c>
      <c r="CD343" s="386">
        <f t="shared" si="241"/>
        <v>0</v>
      </c>
      <c r="CE343" s="386">
        <f t="shared" si="242"/>
        <v>0</v>
      </c>
      <c r="CF343" s="386">
        <f t="shared" si="243"/>
        <v>-237.67743999999999</v>
      </c>
      <c r="CG343" s="386">
        <f t="shared" si="244"/>
        <v>0</v>
      </c>
      <c r="CH343" s="386">
        <f t="shared" si="245"/>
        <v>4.8505600000000122</v>
      </c>
      <c r="CI343" s="386">
        <f t="shared" si="246"/>
        <v>0</v>
      </c>
      <c r="CJ343" s="386">
        <f t="shared" si="259"/>
        <v>-232.82687999999999</v>
      </c>
      <c r="CK343" s="386" t="str">
        <f t="shared" si="260"/>
        <v/>
      </c>
      <c r="CL343" s="386" t="str">
        <f t="shared" si="261"/>
        <v/>
      </c>
      <c r="CM343" s="386" t="str">
        <f t="shared" si="262"/>
        <v/>
      </c>
      <c r="CN343" s="386" t="str">
        <f t="shared" si="263"/>
        <v>0338-02</v>
      </c>
    </row>
    <row r="344" spans="1:92" ht="15.75" thickBot="1" x14ac:dyDescent="0.3">
      <c r="A344" s="375" t="s">
        <v>161</v>
      </c>
      <c r="B344" s="375" t="s">
        <v>162</v>
      </c>
      <c r="C344" s="375" t="s">
        <v>1127</v>
      </c>
      <c r="D344" s="375" t="s">
        <v>324</v>
      </c>
      <c r="E344" s="375" t="s">
        <v>526</v>
      </c>
      <c r="F344" s="381" t="s">
        <v>529</v>
      </c>
      <c r="G344" s="375" t="s">
        <v>1069</v>
      </c>
      <c r="H344" s="377"/>
      <c r="I344" s="377"/>
      <c r="J344" s="375" t="s">
        <v>218</v>
      </c>
      <c r="K344" s="375" t="s">
        <v>325</v>
      </c>
      <c r="L344" s="375" t="s">
        <v>170</v>
      </c>
      <c r="M344" s="375" t="s">
        <v>177</v>
      </c>
      <c r="N344" s="375" t="s">
        <v>199</v>
      </c>
      <c r="O344" s="378">
        <v>1</v>
      </c>
      <c r="P344" s="384">
        <v>0.35</v>
      </c>
      <c r="Q344" s="384">
        <v>0.35</v>
      </c>
      <c r="R344" s="379">
        <v>80</v>
      </c>
      <c r="S344" s="384">
        <v>0.35</v>
      </c>
      <c r="T344" s="379">
        <v>16724.55</v>
      </c>
      <c r="U344" s="379">
        <v>0</v>
      </c>
      <c r="V344" s="379">
        <v>6767.35</v>
      </c>
      <c r="W344" s="379">
        <v>17734.080000000002</v>
      </c>
      <c r="X344" s="379">
        <v>7863.18</v>
      </c>
      <c r="Y344" s="379">
        <v>17734.080000000002</v>
      </c>
      <c r="Z344" s="379">
        <v>7778.06</v>
      </c>
      <c r="AA344" s="375" t="s">
        <v>1128</v>
      </c>
      <c r="AB344" s="375" t="s">
        <v>1129</v>
      </c>
      <c r="AC344" s="375" t="s">
        <v>1130</v>
      </c>
      <c r="AD344" s="375" t="s">
        <v>233</v>
      </c>
      <c r="AE344" s="375" t="s">
        <v>325</v>
      </c>
      <c r="AF344" s="375" t="s">
        <v>269</v>
      </c>
      <c r="AG344" s="375" t="s">
        <v>183</v>
      </c>
      <c r="AH344" s="380">
        <v>24.36</v>
      </c>
      <c r="AI344" s="378">
        <v>3119</v>
      </c>
      <c r="AJ344" s="375" t="s">
        <v>184</v>
      </c>
      <c r="AK344" s="375" t="s">
        <v>185</v>
      </c>
      <c r="AL344" s="375" t="s">
        <v>173</v>
      </c>
      <c r="AM344" s="375" t="s">
        <v>186</v>
      </c>
      <c r="AN344" s="375" t="s">
        <v>68</v>
      </c>
      <c r="AO344" s="378">
        <v>80</v>
      </c>
      <c r="AP344" s="384">
        <v>1</v>
      </c>
      <c r="AQ344" s="384">
        <v>0.35</v>
      </c>
      <c r="AR344" s="383" t="s">
        <v>187</v>
      </c>
      <c r="AS344" s="386">
        <f t="shared" si="247"/>
        <v>0.35</v>
      </c>
      <c r="AT344">
        <f t="shared" si="248"/>
        <v>1</v>
      </c>
      <c r="AU344" s="386">
        <f>IF(AT344=0,"",IF(AND(AT344=1,M344="F",SUMIF(C2:C557,C344,AS2:AS557)&lt;=1),SUMIF(C2:C557,C344,AS2:AS557),IF(AND(AT344=1,M344="F",SUMIF(C2:C557,C344,AS2:AS557)&gt;1),1,"")))</f>
        <v>1</v>
      </c>
      <c r="AV344" s="386" t="str">
        <f>IF(AT344=0,"",IF(AND(AT344=3,M344="F",SUMIF(C2:C557,C344,AS2:AS557)&lt;=1),SUMIF(C2:C557,C344,AS2:AS557),IF(AND(AT344=3,M344="F",SUMIF(C2:C557,C344,AS2:AS557)&gt;1),1,"")))</f>
        <v/>
      </c>
      <c r="AW344" s="386">
        <f>SUMIF(C2:C557,C344,O2:O557)</f>
        <v>2</v>
      </c>
      <c r="AX344" s="386">
        <f>IF(AND(M344="F",AS344&lt;&gt;0),SUMIF(C2:C557,C344,W2:W557),0)</f>
        <v>50668.800000000003</v>
      </c>
      <c r="AY344" s="386">
        <f t="shared" si="249"/>
        <v>17734.080000000002</v>
      </c>
      <c r="AZ344" s="386" t="str">
        <f t="shared" si="250"/>
        <v/>
      </c>
      <c r="BA344" s="386">
        <f t="shared" si="251"/>
        <v>0</v>
      </c>
      <c r="BB344" s="386">
        <f t="shared" si="220"/>
        <v>4077.4999999999995</v>
      </c>
      <c r="BC344" s="386">
        <f t="shared" si="221"/>
        <v>0</v>
      </c>
      <c r="BD344" s="386">
        <f t="shared" si="222"/>
        <v>1099.51296</v>
      </c>
      <c r="BE344" s="386">
        <f t="shared" si="223"/>
        <v>257.14416000000006</v>
      </c>
      <c r="BF344" s="386">
        <f t="shared" si="224"/>
        <v>2117.4491520000001</v>
      </c>
      <c r="BG344" s="386">
        <f t="shared" si="225"/>
        <v>127.86271680000002</v>
      </c>
      <c r="BH344" s="386">
        <f t="shared" si="226"/>
        <v>86.896992000000012</v>
      </c>
      <c r="BI344" s="386">
        <f t="shared" si="227"/>
        <v>54.266284800000001</v>
      </c>
      <c r="BJ344" s="386">
        <f t="shared" si="228"/>
        <v>42.561791999999997</v>
      </c>
      <c r="BK344" s="386">
        <f t="shared" si="229"/>
        <v>0</v>
      </c>
      <c r="BL344" s="386">
        <f t="shared" si="252"/>
        <v>3785.6940575999997</v>
      </c>
      <c r="BM344" s="386">
        <f t="shared" si="253"/>
        <v>0</v>
      </c>
      <c r="BN344" s="386">
        <f t="shared" si="230"/>
        <v>4077.4999999999995</v>
      </c>
      <c r="BO344" s="386">
        <f t="shared" si="231"/>
        <v>0</v>
      </c>
      <c r="BP344" s="386">
        <f t="shared" si="232"/>
        <v>1099.51296</v>
      </c>
      <c r="BQ344" s="386">
        <f t="shared" si="233"/>
        <v>257.14416000000006</v>
      </c>
      <c r="BR344" s="386">
        <f t="shared" si="234"/>
        <v>2117.4491520000001</v>
      </c>
      <c r="BS344" s="386">
        <f t="shared" si="235"/>
        <v>127.86271680000002</v>
      </c>
      <c r="BT344" s="386">
        <f t="shared" si="236"/>
        <v>0</v>
      </c>
      <c r="BU344" s="386">
        <f t="shared" si="237"/>
        <v>54.266284800000001</v>
      </c>
      <c r="BV344" s="386">
        <f t="shared" si="238"/>
        <v>44.335200000000007</v>
      </c>
      <c r="BW344" s="386">
        <f t="shared" si="239"/>
        <v>0</v>
      </c>
      <c r="BX344" s="386">
        <f t="shared" si="254"/>
        <v>3700.5704735999998</v>
      </c>
      <c r="BY344" s="386">
        <f t="shared" si="255"/>
        <v>0</v>
      </c>
      <c r="BZ344" s="386">
        <f t="shared" si="256"/>
        <v>0</v>
      </c>
      <c r="CA344" s="386">
        <f t="shared" si="257"/>
        <v>0</v>
      </c>
      <c r="CB344" s="386">
        <f t="shared" si="258"/>
        <v>0</v>
      </c>
      <c r="CC344" s="386">
        <f t="shared" si="240"/>
        <v>0</v>
      </c>
      <c r="CD344" s="386">
        <f t="shared" si="241"/>
        <v>0</v>
      </c>
      <c r="CE344" s="386">
        <f t="shared" si="242"/>
        <v>0</v>
      </c>
      <c r="CF344" s="386">
        <f t="shared" si="243"/>
        <v>-86.896992000000012</v>
      </c>
      <c r="CG344" s="386">
        <f t="shared" si="244"/>
        <v>0</v>
      </c>
      <c r="CH344" s="386">
        <f t="shared" si="245"/>
        <v>1.7734080000000048</v>
      </c>
      <c r="CI344" s="386">
        <f t="shared" si="246"/>
        <v>0</v>
      </c>
      <c r="CJ344" s="386">
        <f t="shared" si="259"/>
        <v>-85.123584000000008</v>
      </c>
      <c r="CK344" s="386" t="str">
        <f t="shared" si="260"/>
        <v/>
      </c>
      <c r="CL344" s="386" t="str">
        <f t="shared" si="261"/>
        <v/>
      </c>
      <c r="CM344" s="386" t="str">
        <f t="shared" si="262"/>
        <v/>
      </c>
      <c r="CN344" s="386" t="str">
        <f t="shared" si="263"/>
        <v>0338-02</v>
      </c>
    </row>
    <row r="345" spans="1:92" ht="15.75" thickBot="1" x14ac:dyDescent="0.3">
      <c r="A345" s="375" t="s">
        <v>161</v>
      </c>
      <c r="B345" s="375" t="s">
        <v>162</v>
      </c>
      <c r="C345" s="375" t="s">
        <v>1147</v>
      </c>
      <c r="D345" s="375" t="s">
        <v>1091</v>
      </c>
      <c r="E345" s="375" t="s">
        <v>526</v>
      </c>
      <c r="F345" s="381" t="s">
        <v>529</v>
      </c>
      <c r="G345" s="375" t="s">
        <v>1069</v>
      </c>
      <c r="H345" s="377"/>
      <c r="I345" s="377"/>
      <c r="J345" s="375" t="s">
        <v>218</v>
      </c>
      <c r="K345" s="375" t="s">
        <v>1092</v>
      </c>
      <c r="L345" s="375" t="s">
        <v>233</v>
      </c>
      <c r="M345" s="375" t="s">
        <v>177</v>
      </c>
      <c r="N345" s="375" t="s">
        <v>199</v>
      </c>
      <c r="O345" s="378">
        <v>1</v>
      </c>
      <c r="P345" s="384">
        <v>0.3</v>
      </c>
      <c r="Q345" s="384">
        <v>0.3</v>
      </c>
      <c r="R345" s="379">
        <v>80</v>
      </c>
      <c r="S345" s="384">
        <v>0.3</v>
      </c>
      <c r="T345" s="379">
        <v>11083.97</v>
      </c>
      <c r="U345" s="379">
        <v>0</v>
      </c>
      <c r="V345" s="379">
        <v>5798.27</v>
      </c>
      <c r="W345" s="379">
        <v>12985.44</v>
      </c>
      <c r="X345" s="379">
        <v>6266.99</v>
      </c>
      <c r="Y345" s="379">
        <v>12985.44</v>
      </c>
      <c r="Z345" s="379">
        <v>6204.66</v>
      </c>
      <c r="AA345" s="375" t="s">
        <v>1148</v>
      </c>
      <c r="AB345" s="375" t="s">
        <v>1149</v>
      </c>
      <c r="AC345" s="375" t="s">
        <v>1150</v>
      </c>
      <c r="AD345" s="375" t="s">
        <v>214</v>
      </c>
      <c r="AE345" s="375" t="s">
        <v>1092</v>
      </c>
      <c r="AF345" s="375" t="s">
        <v>237</v>
      </c>
      <c r="AG345" s="375" t="s">
        <v>183</v>
      </c>
      <c r="AH345" s="380">
        <v>20.81</v>
      </c>
      <c r="AI345" s="380">
        <v>33857.199999999997</v>
      </c>
      <c r="AJ345" s="375" t="s">
        <v>184</v>
      </c>
      <c r="AK345" s="375" t="s">
        <v>185</v>
      </c>
      <c r="AL345" s="375" t="s">
        <v>173</v>
      </c>
      <c r="AM345" s="375" t="s">
        <v>186</v>
      </c>
      <c r="AN345" s="375" t="s">
        <v>68</v>
      </c>
      <c r="AO345" s="378">
        <v>80</v>
      </c>
      <c r="AP345" s="384">
        <v>1</v>
      </c>
      <c r="AQ345" s="384">
        <v>0.3</v>
      </c>
      <c r="AR345" s="383" t="s">
        <v>187</v>
      </c>
      <c r="AS345" s="386">
        <f t="shared" si="247"/>
        <v>0.3</v>
      </c>
      <c r="AT345">
        <f t="shared" si="248"/>
        <v>1</v>
      </c>
      <c r="AU345" s="386">
        <f>IF(AT345=0,"",IF(AND(AT345=1,M345="F",SUMIF(C2:C557,C345,AS2:AS557)&lt;=1),SUMIF(C2:C557,C345,AS2:AS557),IF(AND(AT345=1,M345="F",SUMIF(C2:C557,C345,AS2:AS557)&gt;1),1,"")))</f>
        <v>1</v>
      </c>
      <c r="AV345" s="386" t="str">
        <f>IF(AT345=0,"",IF(AND(AT345=3,M345="F",SUMIF(C2:C557,C345,AS2:AS557)&lt;=1),SUMIF(C2:C557,C345,AS2:AS557),IF(AND(AT345=3,M345="F",SUMIF(C2:C557,C345,AS2:AS557)&gt;1),1,"")))</f>
        <v/>
      </c>
      <c r="AW345" s="386">
        <f>SUMIF(C2:C557,C345,O2:O557)</f>
        <v>2</v>
      </c>
      <c r="AX345" s="386">
        <f>IF(AND(M345="F",AS345&lt;&gt;0),SUMIF(C2:C557,C345,W2:W557),0)</f>
        <v>43284.800000000003</v>
      </c>
      <c r="AY345" s="386">
        <f t="shared" si="249"/>
        <v>12985.44</v>
      </c>
      <c r="AZ345" s="386" t="str">
        <f t="shared" si="250"/>
        <v/>
      </c>
      <c r="BA345" s="386">
        <f t="shared" si="251"/>
        <v>0</v>
      </c>
      <c r="BB345" s="386">
        <f t="shared" si="220"/>
        <v>3495</v>
      </c>
      <c r="BC345" s="386">
        <f t="shared" si="221"/>
        <v>0</v>
      </c>
      <c r="BD345" s="386">
        <f t="shared" si="222"/>
        <v>805.09728000000007</v>
      </c>
      <c r="BE345" s="386">
        <f t="shared" si="223"/>
        <v>188.28888000000001</v>
      </c>
      <c r="BF345" s="386">
        <f t="shared" si="224"/>
        <v>1550.4615360000003</v>
      </c>
      <c r="BG345" s="386">
        <f t="shared" si="225"/>
        <v>93.625022400000006</v>
      </c>
      <c r="BH345" s="386">
        <f t="shared" si="226"/>
        <v>63.628655999999999</v>
      </c>
      <c r="BI345" s="386">
        <f t="shared" si="227"/>
        <v>39.735446400000001</v>
      </c>
      <c r="BJ345" s="386">
        <f t="shared" si="228"/>
        <v>31.165056</v>
      </c>
      <c r="BK345" s="386">
        <f t="shared" si="229"/>
        <v>0</v>
      </c>
      <c r="BL345" s="386">
        <f t="shared" si="252"/>
        <v>2772.0018768</v>
      </c>
      <c r="BM345" s="386">
        <f t="shared" si="253"/>
        <v>0</v>
      </c>
      <c r="BN345" s="386">
        <f t="shared" si="230"/>
        <v>3495</v>
      </c>
      <c r="BO345" s="386">
        <f t="shared" si="231"/>
        <v>0</v>
      </c>
      <c r="BP345" s="386">
        <f t="shared" si="232"/>
        <v>805.09728000000007</v>
      </c>
      <c r="BQ345" s="386">
        <f t="shared" si="233"/>
        <v>188.28888000000001</v>
      </c>
      <c r="BR345" s="386">
        <f t="shared" si="234"/>
        <v>1550.4615360000003</v>
      </c>
      <c r="BS345" s="386">
        <f t="shared" si="235"/>
        <v>93.625022400000006</v>
      </c>
      <c r="BT345" s="386">
        <f t="shared" si="236"/>
        <v>0</v>
      </c>
      <c r="BU345" s="386">
        <f t="shared" si="237"/>
        <v>39.735446400000001</v>
      </c>
      <c r="BV345" s="386">
        <f t="shared" si="238"/>
        <v>32.4636</v>
      </c>
      <c r="BW345" s="386">
        <f t="shared" si="239"/>
        <v>0</v>
      </c>
      <c r="BX345" s="386">
        <f t="shared" si="254"/>
        <v>2709.6717648000003</v>
      </c>
      <c r="BY345" s="386">
        <f t="shared" si="255"/>
        <v>0</v>
      </c>
      <c r="BZ345" s="386">
        <f t="shared" si="256"/>
        <v>0</v>
      </c>
      <c r="CA345" s="386">
        <f t="shared" si="257"/>
        <v>0</v>
      </c>
      <c r="CB345" s="386">
        <f t="shared" si="258"/>
        <v>0</v>
      </c>
      <c r="CC345" s="386">
        <f t="shared" si="240"/>
        <v>0</v>
      </c>
      <c r="CD345" s="386">
        <f t="shared" si="241"/>
        <v>0</v>
      </c>
      <c r="CE345" s="386">
        <f t="shared" si="242"/>
        <v>0</v>
      </c>
      <c r="CF345" s="386">
        <f t="shared" si="243"/>
        <v>-63.628655999999999</v>
      </c>
      <c r="CG345" s="386">
        <f t="shared" si="244"/>
        <v>0</v>
      </c>
      <c r="CH345" s="386">
        <f t="shared" si="245"/>
        <v>1.2985440000000035</v>
      </c>
      <c r="CI345" s="386">
        <f t="shared" si="246"/>
        <v>0</v>
      </c>
      <c r="CJ345" s="386">
        <f t="shared" si="259"/>
        <v>-62.330111999999993</v>
      </c>
      <c r="CK345" s="386" t="str">
        <f t="shared" si="260"/>
        <v/>
      </c>
      <c r="CL345" s="386" t="str">
        <f t="shared" si="261"/>
        <v/>
      </c>
      <c r="CM345" s="386" t="str">
        <f t="shared" si="262"/>
        <v/>
      </c>
      <c r="CN345" s="386" t="str">
        <f t="shared" si="263"/>
        <v>0338-02</v>
      </c>
    </row>
    <row r="346" spans="1:92" ht="15.75" thickBot="1" x14ac:dyDescent="0.3">
      <c r="A346" s="375" t="s">
        <v>161</v>
      </c>
      <c r="B346" s="375" t="s">
        <v>162</v>
      </c>
      <c r="C346" s="375" t="s">
        <v>1143</v>
      </c>
      <c r="D346" s="375" t="s">
        <v>247</v>
      </c>
      <c r="E346" s="375" t="s">
        <v>526</v>
      </c>
      <c r="F346" s="381" t="s">
        <v>529</v>
      </c>
      <c r="G346" s="375" t="s">
        <v>1069</v>
      </c>
      <c r="H346" s="377"/>
      <c r="I346" s="377"/>
      <c r="J346" s="375" t="s">
        <v>218</v>
      </c>
      <c r="K346" s="375" t="s">
        <v>248</v>
      </c>
      <c r="L346" s="375" t="s">
        <v>220</v>
      </c>
      <c r="M346" s="375" t="s">
        <v>177</v>
      </c>
      <c r="N346" s="375" t="s">
        <v>199</v>
      </c>
      <c r="O346" s="378">
        <v>1</v>
      </c>
      <c r="P346" s="384">
        <v>0.5</v>
      </c>
      <c r="Q346" s="384">
        <v>0.5</v>
      </c>
      <c r="R346" s="379">
        <v>80</v>
      </c>
      <c r="S346" s="384">
        <v>0.5</v>
      </c>
      <c r="T346" s="379">
        <v>34013.120000000003</v>
      </c>
      <c r="U346" s="379">
        <v>0</v>
      </c>
      <c r="V346" s="379">
        <v>12096.76</v>
      </c>
      <c r="W346" s="379">
        <v>41048.800000000003</v>
      </c>
      <c r="X346" s="379">
        <v>14587.67</v>
      </c>
      <c r="Y346" s="379">
        <v>41048.800000000003</v>
      </c>
      <c r="Z346" s="379">
        <v>14390.64</v>
      </c>
      <c r="AA346" s="375" t="s">
        <v>1144</v>
      </c>
      <c r="AB346" s="375" t="s">
        <v>1145</v>
      </c>
      <c r="AC346" s="375" t="s">
        <v>1146</v>
      </c>
      <c r="AD346" s="375" t="s">
        <v>195</v>
      </c>
      <c r="AE346" s="375" t="s">
        <v>248</v>
      </c>
      <c r="AF346" s="375" t="s">
        <v>252</v>
      </c>
      <c r="AG346" s="375" t="s">
        <v>183</v>
      </c>
      <c r="AH346" s="380">
        <v>39.47</v>
      </c>
      <c r="AI346" s="380">
        <v>69377.399999999994</v>
      </c>
      <c r="AJ346" s="375" t="s">
        <v>184</v>
      </c>
      <c r="AK346" s="375" t="s">
        <v>185</v>
      </c>
      <c r="AL346" s="375" t="s">
        <v>173</v>
      </c>
      <c r="AM346" s="375" t="s">
        <v>186</v>
      </c>
      <c r="AN346" s="375" t="s">
        <v>68</v>
      </c>
      <c r="AO346" s="378">
        <v>80</v>
      </c>
      <c r="AP346" s="384">
        <v>1</v>
      </c>
      <c r="AQ346" s="384">
        <v>0.5</v>
      </c>
      <c r="AR346" s="383" t="s">
        <v>187</v>
      </c>
      <c r="AS346" s="386">
        <f t="shared" si="247"/>
        <v>0.5</v>
      </c>
      <c r="AT346">
        <f t="shared" si="248"/>
        <v>1</v>
      </c>
      <c r="AU346" s="386">
        <f>IF(AT346=0,"",IF(AND(AT346=1,M346="F",SUMIF(C2:C557,C346,AS2:AS557)&lt;=1),SUMIF(C2:C557,C346,AS2:AS557),IF(AND(AT346=1,M346="F",SUMIF(C2:C557,C346,AS2:AS557)&gt;1),1,"")))</f>
        <v>1</v>
      </c>
      <c r="AV346" s="386" t="str">
        <f>IF(AT346=0,"",IF(AND(AT346=3,M346="F",SUMIF(C2:C557,C346,AS2:AS557)&lt;=1),SUMIF(C2:C557,C346,AS2:AS557),IF(AND(AT346=3,M346="F",SUMIF(C2:C557,C346,AS2:AS557)&gt;1),1,"")))</f>
        <v/>
      </c>
      <c r="AW346" s="386">
        <f>SUMIF(C2:C557,C346,O2:O557)</f>
        <v>2</v>
      </c>
      <c r="AX346" s="386">
        <f>IF(AND(M346="F",AS346&lt;&gt;0),SUMIF(C2:C557,C346,W2:W557),0)</f>
        <v>82097.600000000006</v>
      </c>
      <c r="AY346" s="386">
        <f t="shared" si="249"/>
        <v>41048.800000000003</v>
      </c>
      <c r="AZ346" s="386" t="str">
        <f t="shared" si="250"/>
        <v/>
      </c>
      <c r="BA346" s="386">
        <f t="shared" si="251"/>
        <v>0</v>
      </c>
      <c r="BB346" s="386">
        <f t="shared" si="220"/>
        <v>5825</v>
      </c>
      <c r="BC346" s="386">
        <f t="shared" si="221"/>
        <v>0</v>
      </c>
      <c r="BD346" s="386">
        <f t="shared" si="222"/>
        <v>2545.0255999999999</v>
      </c>
      <c r="BE346" s="386">
        <f t="shared" si="223"/>
        <v>595.20760000000007</v>
      </c>
      <c r="BF346" s="386">
        <f t="shared" si="224"/>
        <v>4901.2267200000006</v>
      </c>
      <c r="BG346" s="386">
        <f t="shared" si="225"/>
        <v>295.96184800000003</v>
      </c>
      <c r="BH346" s="386">
        <f t="shared" si="226"/>
        <v>201.13912000000002</v>
      </c>
      <c r="BI346" s="386">
        <f t="shared" si="227"/>
        <v>125.609328</v>
      </c>
      <c r="BJ346" s="386">
        <f t="shared" si="228"/>
        <v>98.517119999999991</v>
      </c>
      <c r="BK346" s="386">
        <f t="shared" si="229"/>
        <v>0</v>
      </c>
      <c r="BL346" s="386">
        <f t="shared" si="252"/>
        <v>8762.6873360000027</v>
      </c>
      <c r="BM346" s="386">
        <f t="shared" si="253"/>
        <v>0</v>
      </c>
      <c r="BN346" s="386">
        <f t="shared" si="230"/>
        <v>5825</v>
      </c>
      <c r="BO346" s="386">
        <f t="shared" si="231"/>
        <v>0</v>
      </c>
      <c r="BP346" s="386">
        <f t="shared" si="232"/>
        <v>2545.0255999999999</v>
      </c>
      <c r="BQ346" s="386">
        <f t="shared" si="233"/>
        <v>595.20760000000007</v>
      </c>
      <c r="BR346" s="386">
        <f t="shared" si="234"/>
        <v>4901.2267200000006</v>
      </c>
      <c r="BS346" s="386">
        <f t="shared" si="235"/>
        <v>295.96184800000003</v>
      </c>
      <c r="BT346" s="386">
        <f t="shared" si="236"/>
        <v>0</v>
      </c>
      <c r="BU346" s="386">
        <f t="shared" si="237"/>
        <v>125.609328</v>
      </c>
      <c r="BV346" s="386">
        <f t="shared" si="238"/>
        <v>102.62200000000001</v>
      </c>
      <c r="BW346" s="386">
        <f t="shared" si="239"/>
        <v>0</v>
      </c>
      <c r="BX346" s="386">
        <f t="shared" si="254"/>
        <v>8565.6530960000018</v>
      </c>
      <c r="BY346" s="386">
        <f t="shared" si="255"/>
        <v>0</v>
      </c>
      <c r="BZ346" s="386">
        <f t="shared" si="256"/>
        <v>0</v>
      </c>
      <c r="CA346" s="386">
        <f t="shared" si="257"/>
        <v>0</v>
      </c>
      <c r="CB346" s="386">
        <f t="shared" si="258"/>
        <v>0</v>
      </c>
      <c r="CC346" s="386">
        <f t="shared" si="240"/>
        <v>0</v>
      </c>
      <c r="CD346" s="386">
        <f t="shared" si="241"/>
        <v>0</v>
      </c>
      <c r="CE346" s="386">
        <f t="shared" si="242"/>
        <v>0</v>
      </c>
      <c r="CF346" s="386">
        <f t="shared" si="243"/>
        <v>-201.13912000000002</v>
      </c>
      <c r="CG346" s="386">
        <f t="shared" si="244"/>
        <v>0</v>
      </c>
      <c r="CH346" s="386">
        <f t="shared" si="245"/>
        <v>4.1048800000000112</v>
      </c>
      <c r="CI346" s="386">
        <f t="shared" si="246"/>
        <v>0</v>
      </c>
      <c r="CJ346" s="386">
        <f t="shared" si="259"/>
        <v>-197.03424000000001</v>
      </c>
      <c r="CK346" s="386" t="str">
        <f t="shared" si="260"/>
        <v/>
      </c>
      <c r="CL346" s="386" t="str">
        <f t="shared" si="261"/>
        <v/>
      </c>
      <c r="CM346" s="386" t="str">
        <f t="shared" si="262"/>
        <v/>
      </c>
      <c r="CN346" s="386" t="str">
        <f t="shared" si="263"/>
        <v>0338-02</v>
      </c>
    </row>
    <row r="347" spans="1:92" ht="15.75" thickBot="1" x14ac:dyDescent="0.3">
      <c r="A347" s="375" t="s">
        <v>161</v>
      </c>
      <c r="B347" s="375" t="s">
        <v>162</v>
      </c>
      <c r="C347" s="375" t="s">
        <v>1358</v>
      </c>
      <c r="D347" s="375" t="s">
        <v>665</v>
      </c>
      <c r="E347" s="375" t="s">
        <v>526</v>
      </c>
      <c r="F347" s="381" t="s">
        <v>529</v>
      </c>
      <c r="G347" s="375" t="s">
        <v>1069</v>
      </c>
      <c r="H347" s="377"/>
      <c r="I347" s="377"/>
      <c r="J347" s="375" t="s">
        <v>168</v>
      </c>
      <c r="K347" s="375" t="s">
        <v>666</v>
      </c>
      <c r="L347" s="375" t="s">
        <v>183</v>
      </c>
      <c r="M347" s="375" t="s">
        <v>177</v>
      </c>
      <c r="N347" s="375" t="s">
        <v>199</v>
      </c>
      <c r="O347" s="378">
        <v>1</v>
      </c>
      <c r="P347" s="384">
        <v>1</v>
      </c>
      <c r="Q347" s="384">
        <v>1</v>
      </c>
      <c r="R347" s="379">
        <v>80</v>
      </c>
      <c r="S347" s="384">
        <v>1</v>
      </c>
      <c r="T347" s="379">
        <v>31108.23</v>
      </c>
      <c r="U347" s="379">
        <v>0</v>
      </c>
      <c r="V347" s="379">
        <v>19088.12</v>
      </c>
      <c r="W347" s="379">
        <v>32926.400000000001</v>
      </c>
      <c r="X347" s="379">
        <v>18678.759999999998</v>
      </c>
      <c r="Y347" s="379">
        <v>32926.400000000001</v>
      </c>
      <c r="Z347" s="379">
        <v>18520.72</v>
      </c>
      <c r="AA347" s="375" t="s">
        <v>1359</v>
      </c>
      <c r="AB347" s="375" t="s">
        <v>1212</v>
      </c>
      <c r="AC347" s="375" t="s">
        <v>251</v>
      </c>
      <c r="AD347" s="375" t="s">
        <v>1360</v>
      </c>
      <c r="AE347" s="375" t="s">
        <v>666</v>
      </c>
      <c r="AF347" s="375" t="s">
        <v>206</v>
      </c>
      <c r="AG347" s="375" t="s">
        <v>183</v>
      </c>
      <c r="AH347" s="380">
        <v>15.83</v>
      </c>
      <c r="AI347" s="380">
        <v>13380.7</v>
      </c>
      <c r="AJ347" s="375" t="s">
        <v>184</v>
      </c>
      <c r="AK347" s="375" t="s">
        <v>185</v>
      </c>
      <c r="AL347" s="375" t="s">
        <v>173</v>
      </c>
      <c r="AM347" s="375" t="s">
        <v>186</v>
      </c>
      <c r="AN347" s="375" t="s">
        <v>68</v>
      </c>
      <c r="AO347" s="378">
        <v>80</v>
      </c>
      <c r="AP347" s="384">
        <v>1</v>
      </c>
      <c r="AQ347" s="384">
        <v>1</v>
      </c>
      <c r="AR347" s="383" t="s">
        <v>187</v>
      </c>
      <c r="AS347" s="386">
        <f t="shared" si="247"/>
        <v>1</v>
      </c>
      <c r="AT347">
        <f t="shared" si="248"/>
        <v>1</v>
      </c>
      <c r="AU347" s="386">
        <f>IF(AT347=0,"",IF(AND(AT347=1,M347="F",SUMIF(C2:C557,C347,AS2:AS557)&lt;=1),SUMIF(C2:C557,C347,AS2:AS557),IF(AND(AT347=1,M347="F",SUMIF(C2:C557,C347,AS2:AS557)&gt;1),1,"")))</f>
        <v>1</v>
      </c>
      <c r="AV347" s="386" t="str">
        <f>IF(AT347=0,"",IF(AND(AT347=3,M347="F",SUMIF(C2:C557,C347,AS2:AS557)&lt;=1),SUMIF(C2:C557,C347,AS2:AS557),IF(AND(AT347=3,M347="F",SUMIF(C2:C557,C347,AS2:AS557)&gt;1),1,"")))</f>
        <v/>
      </c>
      <c r="AW347" s="386">
        <f>SUMIF(C2:C557,C347,O2:O557)</f>
        <v>1</v>
      </c>
      <c r="AX347" s="386">
        <f>IF(AND(M347="F",AS347&lt;&gt;0),SUMIF(C2:C557,C347,W2:W557),0)</f>
        <v>32926.400000000001</v>
      </c>
      <c r="AY347" s="386">
        <f t="shared" si="249"/>
        <v>32926.400000000001</v>
      </c>
      <c r="AZ347" s="386" t="str">
        <f t="shared" si="250"/>
        <v/>
      </c>
      <c r="BA347" s="386">
        <f t="shared" si="251"/>
        <v>0</v>
      </c>
      <c r="BB347" s="386">
        <f t="shared" si="220"/>
        <v>11650</v>
      </c>
      <c r="BC347" s="386">
        <f t="shared" si="221"/>
        <v>0</v>
      </c>
      <c r="BD347" s="386">
        <f t="shared" si="222"/>
        <v>2041.4368000000002</v>
      </c>
      <c r="BE347" s="386">
        <f t="shared" si="223"/>
        <v>477.43280000000004</v>
      </c>
      <c r="BF347" s="386">
        <f t="shared" si="224"/>
        <v>3931.4121600000003</v>
      </c>
      <c r="BG347" s="386">
        <f t="shared" si="225"/>
        <v>237.39934400000001</v>
      </c>
      <c r="BH347" s="386">
        <f t="shared" si="226"/>
        <v>161.33936</v>
      </c>
      <c r="BI347" s="386">
        <f t="shared" si="227"/>
        <v>100.754784</v>
      </c>
      <c r="BJ347" s="386">
        <f t="shared" si="228"/>
        <v>79.023359999999997</v>
      </c>
      <c r="BK347" s="386">
        <f t="shared" si="229"/>
        <v>0</v>
      </c>
      <c r="BL347" s="386">
        <f t="shared" si="252"/>
        <v>7028.7986080000001</v>
      </c>
      <c r="BM347" s="386">
        <f t="shared" si="253"/>
        <v>0</v>
      </c>
      <c r="BN347" s="386">
        <f t="shared" si="230"/>
        <v>11650</v>
      </c>
      <c r="BO347" s="386">
        <f t="shared" si="231"/>
        <v>0</v>
      </c>
      <c r="BP347" s="386">
        <f t="shared" si="232"/>
        <v>2041.4368000000002</v>
      </c>
      <c r="BQ347" s="386">
        <f t="shared" si="233"/>
        <v>477.43280000000004</v>
      </c>
      <c r="BR347" s="386">
        <f t="shared" si="234"/>
        <v>3931.4121600000003</v>
      </c>
      <c r="BS347" s="386">
        <f t="shared" si="235"/>
        <v>237.39934400000001</v>
      </c>
      <c r="BT347" s="386">
        <f t="shared" si="236"/>
        <v>0</v>
      </c>
      <c r="BU347" s="386">
        <f t="shared" si="237"/>
        <v>100.754784</v>
      </c>
      <c r="BV347" s="386">
        <f t="shared" si="238"/>
        <v>82.316000000000003</v>
      </c>
      <c r="BW347" s="386">
        <f t="shared" si="239"/>
        <v>0</v>
      </c>
      <c r="BX347" s="386">
        <f t="shared" si="254"/>
        <v>6870.7518879999998</v>
      </c>
      <c r="BY347" s="386">
        <f t="shared" si="255"/>
        <v>0</v>
      </c>
      <c r="BZ347" s="386">
        <f t="shared" si="256"/>
        <v>0</v>
      </c>
      <c r="CA347" s="386">
        <f t="shared" si="257"/>
        <v>0</v>
      </c>
      <c r="CB347" s="386">
        <f t="shared" si="258"/>
        <v>0</v>
      </c>
      <c r="CC347" s="386">
        <f t="shared" si="240"/>
        <v>0</v>
      </c>
      <c r="CD347" s="386">
        <f t="shared" si="241"/>
        <v>0</v>
      </c>
      <c r="CE347" s="386">
        <f t="shared" si="242"/>
        <v>0</v>
      </c>
      <c r="CF347" s="386">
        <f t="shared" si="243"/>
        <v>-161.33936</v>
      </c>
      <c r="CG347" s="386">
        <f t="shared" si="244"/>
        <v>0</v>
      </c>
      <c r="CH347" s="386">
        <f t="shared" si="245"/>
        <v>3.2926400000000089</v>
      </c>
      <c r="CI347" s="386">
        <f t="shared" si="246"/>
        <v>0</v>
      </c>
      <c r="CJ347" s="386">
        <f t="shared" si="259"/>
        <v>-158.04671999999999</v>
      </c>
      <c r="CK347" s="386" t="str">
        <f t="shared" si="260"/>
        <v/>
      </c>
      <c r="CL347" s="386" t="str">
        <f t="shared" si="261"/>
        <v/>
      </c>
      <c r="CM347" s="386" t="str">
        <f t="shared" si="262"/>
        <v/>
      </c>
      <c r="CN347" s="386" t="str">
        <f t="shared" si="263"/>
        <v>0338-02</v>
      </c>
    </row>
    <row r="348" spans="1:92" ht="15.75" thickBot="1" x14ac:dyDescent="0.3">
      <c r="A348" s="375" t="s">
        <v>161</v>
      </c>
      <c r="B348" s="375" t="s">
        <v>162</v>
      </c>
      <c r="C348" s="375" t="s">
        <v>380</v>
      </c>
      <c r="D348" s="375" t="s">
        <v>247</v>
      </c>
      <c r="E348" s="375" t="s">
        <v>526</v>
      </c>
      <c r="F348" s="381" t="s">
        <v>529</v>
      </c>
      <c r="G348" s="375" t="s">
        <v>1069</v>
      </c>
      <c r="H348" s="377"/>
      <c r="I348" s="377"/>
      <c r="J348" s="375" t="s">
        <v>218</v>
      </c>
      <c r="K348" s="375" t="s">
        <v>268</v>
      </c>
      <c r="L348" s="375" t="s">
        <v>170</v>
      </c>
      <c r="M348" s="375" t="s">
        <v>177</v>
      </c>
      <c r="N348" s="375" t="s">
        <v>199</v>
      </c>
      <c r="O348" s="378">
        <v>1</v>
      </c>
      <c r="P348" s="384">
        <v>0</v>
      </c>
      <c r="Q348" s="384">
        <v>0</v>
      </c>
      <c r="R348" s="379">
        <v>80</v>
      </c>
      <c r="S348" s="384">
        <v>0</v>
      </c>
      <c r="T348" s="379">
        <v>20821.29</v>
      </c>
      <c r="U348" s="379">
        <v>0</v>
      </c>
      <c r="V348" s="379">
        <v>7415.11</v>
      </c>
      <c r="W348" s="379">
        <v>0</v>
      </c>
      <c r="X348" s="379">
        <v>0</v>
      </c>
      <c r="Y348" s="379">
        <v>0</v>
      </c>
      <c r="Z348" s="379">
        <v>0</v>
      </c>
      <c r="AA348" s="375" t="s">
        <v>381</v>
      </c>
      <c r="AB348" s="375" t="s">
        <v>382</v>
      </c>
      <c r="AC348" s="375" t="s">
        <v>383</v>
      </c>
      <c r="AD348" s="375" t="s">
        <v>181</v>
      </c>
      <c r="AE348" s="375" t="s">
        <v>284</v>
      </c>
      <c r="AF348" s="375" t="s">
        <v>245</v>
      </c>
      <c r="AG348" s="375" t="s">
        <v>183</v>
      </c>
      <c r="AH348" s="380">
        <v>21.58</v>
      </c>
      <c r="AI348" s="378">
        <v>1600</v>
      </c>
      <c r="AJ348" s="375" t="s">
        <v>184</v>
      </c>
      <c r="AK348" s="375" t="s">
        <v>185</v>
      </c>
      <c r="AL348" s="375" t="s">
        <v>173</v>
      </c>
      <c r="AM348" s="375" t="s">
        <v>186</v>
      </c>
      <c r="AN348" s="375" t="s">
        <v>68</v>
      </c>
      <c r="AO348" s="378">
        <v>80</v>
      </c>
      <c r="AP348" s="384">
        <v>1</v>
      </c>
      <c r="AQ348" s="384">
        <v>0</v>
      </c>
      <c r="AR348" s="383">
        <v>3</v>
      </c>
      <c r="AS348" s="386">
        <f t="shared" si="247"/>
        <v>0</v>
      </c>
      <c r="AT348">
        <f t="shared" si="248"/>
        <v>0</v>
      </c>
      <c r="AU348" s="386" t="str">
        <f>IF(AT348=0,"",IF(AND(AT348=1,M348="F",SUMIF(C2:C557,C348,AS2:AS557)&lt;=1),SUMIF(C2:C557,C348,AS2:AS557),IF(AND(AT348=1,M348="F",SUMIF(C2:C557,C348,AS2:AS557)&gt;1),1,"")))</f>
        <v/>
      </c>
      <c r="AV348" s="386" t="str">
        <f>IF(AT348=0,"",IF(AND(AT348=3,M348="F",SUMIF(C2:C557,C348,AS2:AS557)&lt;=1),SUMIF(C2:C557,C348,AS2:AS557),IF(AND(AT348=3,M348="F",SUMIF(C2:C557,C348,AS2:AS557)&gt;1),1,"")))</f>
        <v/>
      </c>
      <c r="AW348" s="386">
        <f>SUMIF(C2:C557,C348,O2:O557)</f>
        <v>4</v>
      </c>
      <c r="AX348" s="386">
        <f>IF(AND(M348="F",AS348&lt;&gt;0),SUMIF(C2:C557,C348,W2:W557),0)</f>
        <v>0</v>
      </c>
      <c r="AY348" s="386" t="str">
        <f t="shared" si="249"/>
        <v/>
      </c>
      <c r="AZ348" s="386" t="str">
        <f t="shared" si="250"/>
        <v/>
      </c>
      <c r="BA348" s="386">
        <f t="shared" si="251"/>
        <v>0</v>
      </c>
      <c r="BB348" s="386">
        <f t="shared" si="220"/>
        <v>0</v>
      </c>
      <c r="BC348" s="386">
        <f t="shared" si="221"/>
        <v>0</v>
      </c>
      <c r="BD348" s="386">
        <f t="shared" si="222"/>
        <v>0</v>
      </c>
      <c r="BE348" s="386">
        <f t="shared" si="223"/>
        <v>0</v>
      </c>
      <c r="BF348" s="386">
        <f t="shared" si="224"/>
        <v>0</v>
      </c>
      <c r="BG348" s="386">
        <f t="shared" si="225"/>
        <v>0</v>
      </c>
      <c r="BH348" s="386">
        <f t="shared" si="226"/>
        <v>0</v>
      </c>
      <c r="BI348" s="386">
        <f t="shared" si="227"/>
        <v>0</v>
      </c>
      <c r="BJ348" s="386">
        <f t="shared" si="228"/>
        <v>0</v>
      </c>
      <c r="BK348" s="386">
        <f t="shared" si="229"/>
        <v>0</v>
      </c>
      <c r="BL348" s="386">
        <f t="shared" si="252"/>
        <v>0</v>
      </c>
      <c r="BM348" s="386">
        <f t="shared" si="253"/>
        <v>0</v>
      </c>
      <c r="BN348" s="386">
        <f t="shared" si="230"/>
        <v>0</v>
      </c>
      <c r="BO348" s="386">
        <f t="shared" si="231"/>
        <v>0</v>
      </c>
      <c r="BP348" s="386">
        <f t="shared" si="232"/>
        <v>0</v>
      </c>
      <c r="BQ348" s="386">
        <f t="shared" si="233"/>
        <v>0</v>
      </c>
      <c r="BR348" s="386">
        <f t="shared" si="234"/>
        <v>0</v>
      </c>
      <c r="BS348" s="386">
        <f t="shared" si="235"/>
        <v>0</v>
      </c>
      <c r="BT348" s="386">
        <f t="shared" si="236"/>
        <v>0</v>
      </c>
      <c r="BU348" s="386">
        <f t="shared" si="237"/>
        <v>0</v>
      </c>
      <c r="BV348" s="386">
        <f t="shared" si="238"/>
        <v>0</v>
      </c>
      <c r="BW348" s="386">
        <f t="shared" si="239"/>
        <v>0</v>
      </c>
      <c r="BX348" s="386">
        <f t="shared" si="254"/>
        <v>0</v>
      </c>
      <c r="BY348" s="386">
        <f t="shared" si="255"/>
        <v>0</v>
      </c>
      <c r="BZ348" s="386">
        <f t="shared" si="256"/>
        <v>0</v>
      </c>
      <c r="CA348" s="386">
        <f t="shared" si="257"/>
        <v>0</v>
      </c>
      <c r="CB348" s="386">
        <f t="shared" si="258"/>
        <v>0</v>
      </c>
      <c r="CC348" s="386">
        <f t="shared" si="240"/>
        <v>0</v>
      </c>
      <c r="CD348" s="386">
        <f t="shared" si="241"/>
        <v>0</v>
      </c>
      <c r="CE348" s="386">
        <f t="shared" si="242"/>
        <v>0</v>
      </c>
      <c r="CF348" s="386">
        <f t="shared" si="243"/>
        <v>0</v>
      </c>
      <c r="CG348" s="386">
        <f t="shared" si="244"/>
        <v>0</v>
      </c>
      <c r="CH348" s="386">
        <f t="shared" si="245"/>
        <v>0</v>
      </c>
      <c r="CI348" s="386">
        <f t="shared" si="246"/>
        <v>0</v>
      </c>
      <c r="CJ348" s="386">
        <f t="shared" si="259"/>
        <v>0</v>
      </c>
      <c r="CK348" s="386" t="str">
        <f t="shared" si="260"/>
        <v/>
      </c>
      <c r="CL348" s="386" t="str">
        <f t="shared" si="261"/>
        <v/>
      </c>
      <c r="CM348" s="386" t="str">
        <f t="shared" si="262"/>
        <v/>
      </c>
      <c r="CN348" s="386" t="str">
        <f t="shared" si="263"/>
        <v>0338-02</v>
      </c>
    </row>
    <row r="349" spans="1:92" ht="15.75" thickBot="1" x14ac:dyDescent="0.3">
      <c r="A349" s="375" t="s">
        <v>161</v>
      </c>
      <c r="B349" s="375" t="s">
        <v>162</v>
      </c>
      <c r="C349" s="375" t="s">
        <v>389</v>
      </c>
      <c r="D349" s="375" t="s">
        <v>390</v>
      </c>
      <c r="E349" s="375" t="s">
        <v>526</v>
      </c>
      <c r="F349" s="381" t="s">
        <v>529</v>
      </c>
      <c r="G349" s="375" t="s">
        <v>1069</v>
      </c>
      <c r="H349" s="377"/>
      <c r="I349" s="377"/>
      <c r="J349" s="375" t="s">
        <v>218</v>
      </c>
      <c r="K349" s="375" t="s">
        <v>391</v>
      </c>
      <c r="L349" s="375" t="s">
        <v>173</v>
      </c>
      <c r="M349" s="375" t="s">
        <v>177</v>
      </c>
      <c r="N349" s="375" t="s">
        <v>199</v>
      </c>
      <c r="O349" s="378">
        <v>1</v>
      </c>
      <c r="P349" s="384">
        <v>0</v>
      </c>
      <c r="Q349" s="384">
        <v>0</v>
      </c>
      <c r="R349" s="379">
        <v>80</v>
      </c>
      <c r="S349" s="384">
        <v>0</v>
      </c>
      <c r="T349" s="379">
        <v>11895.86</v>
      </c>
      <c r="U349" s="379">
        <v>0</v>
      </c>
      <c r="V349" s="379">
        <v>4170.6099999999997</v>
      </c>
      <c r="W349" s="379">
        <v>0</v>
      </c>
      <c r="X349" s="379">
        <v>0</v>
      </c>
      <c r="Y349" s="379">
        <v>0</v>
      </c>
      <c r="Z349" s="379">
        <v>0</v>
      </c>
      <c r="AA349" s="375" t="s">
        <v>392</v>
      </c>
      <c r="AB349" s="375" t="s">
        <v>393</v>
      </c>
      <c r="AC349" s="375" t="s">
        <v>394</v>
      </c>
      <c r="AD349" s="375" t="s">
        <v>194</v>
      </c>
      <c r="AE349" s="375" t="s">
        <v>391</v>
      </c>
      <c r="AF349" s="375" t="s">
        <v>305</v>
      </c>
      <c r="AG349" s="375" t="s">
        <v>183</v>
      </c>
      <c r="AH349" s="380">
        <v>39.49</v>
      </c>
      <c r="AI349" s="380">
        <v>55690.3</v>
      </c>
      <c r="AJ349" s="375" t="s">
        <v>184</v>
      </c>
      <c r="AK349" s="375" t="s">
        <v>185</v>
      </c>
      <c r="AL349" s="375" t="s">
        <v>173</v>
      </c>
      <c r="AM349" s="375" t="s">
        <v>186</v>
      </c>
      <c r="AN349" s="375" t="s">
        <v>68</v>
      </c>
      <c r="AO349" s="378">
        <v>80</v>
      </c>
      <c r="AP349" s="384">
        <v>1</v>
      </c>
      <c r="AQ349" s="384">
        <v>0</v>
      </c>
      <c r="AR349" s="383" t="s">
        <v>187</v>
      </c>
      <c r="AS349" s="386">
        <f t="shared" si="247"/>
        <v>0</v>
      </c>
      <c r="AT349">
        <f t="shared" si="248"/>
        <v>0</v>
      </c>
      <c r="AU349" s="386" t="str">
        <f>IF(AT349=0,"",IF(AND(AT349=1,M349="F",SUMIF(C2:C557,C349,AS2:AS557)&lt;=1),SUMIF(C2:C557,C349,AS2:AS557),IF(AND(AT349=1,M349="F",SUMIF(C2:C557,C349,AS2:AS557)&gt;1),1,"")))</f>
        <v/>
      </c>
      <c r="AV349" s="386" t="str">
        <f>IF(AT349=0,"",IF(AND(AT349=3,M349="F",SUMIF(C2:C557,C349,AS2:AS557)&lt;=1),SUMIF(C2:C557,C349,AS2:AS557),IF(AND(AT349=3,M349="F",SUMIF(C2:C557,C349,AS2:AS557)&gt;1),1,"")))</f>
        <v/>
      </c>
      <c r="AW349" s="386">
        <f>SUMIF(C2:C557,C349,O2:O557)</f>
        <v>4</v>
      </c>
      <c r="AX349" s="386">
        <f>IF(AND(M349="F",AS349&lt;&gt;0),SUMIF(C2:C557,C349,W2:W557),0)</f>
        <v>0</v>
      </c>
      <c r="AY349" s="386" t="str">
        <f t="shared" si="249"/>
        <v/>
      </c>
      <c r="AZ349" s="386" t="str">
        <f t="shared" si="250"/>
        <v/>
      </c>
      <c r="BA349" s="386">
        <f t="shared" si="251"/>
        <v>0</v>
      </c>
      <c r="BB349" s="386">
        <f t="shared" si="220"/>
        <v>0</v>
      </c>
      <c r="BC349" s="386">
        <f t="shared" si="221"/>
        <v>0</v>
      </c>
      <c r="BD349" s="386">
        <f t="shared" si="222"/>
        <v>0</v>
      </c>
      <c r="BE349" s="386">
        <f t="shared" si="223"/>
        <v>0</v>
      </c>
      <c r="BF349" s="386">
        <f t="shared" si="224"/>
        <v>0</v>
      </c>
      <c r="BG349" s="386">
        <f t="shared" si="225"/>
        <v>0</v>
      </c>
      <c r="BH349" s="386">
        <f t="shared" si="226"/>
        <v>0</v>
      </c>
      <c r="BI349" s="386">
        <f t="shared" si="227"/>
        <v>0</v>
      </c>
      <c r="BJ349" s="386">
        <f t="shared" si="228"/>
        <v>0</v>
      </c>
      <c r="BK349" s="386">
        <f t="shared" si="229"/>
        <v>0</v>
      </c>
      <c r="BL349" s="386">
        <f t="shared" si="252"/>
        <v>0</v>
      </c>
      <c r="BM349" s="386">
        <f t="shared" si="253"/>
        <v>0</v>
      </c>
      <c r="BN349" s="386">
        <f t="shared" si="230"/>
        <v>0</v>
      </c>
      <c r="BO349" s="386">
        <f t="shared" si="231"/>
        <v>0</v>
      </c>
      <c r="BP349" s="386">
        <f t="shared" si="232"/>
        <v>0</v>
      </c>
      <c r="BQ349" s="386">
        <f t="shared" si="233"/>
        <v>0</v>
      </c>
      <c r="BR349" s="386">
        <f t="shared" si="234"/>
        <v>0</v>
      </c>
      <c r="BS349" s="386">
        <f t="shared" si="235"/>
        <v>0</v>
      </c>
      <c r="BT349" s="386">
        <f t="shared" si="236"/>
        <v>0</v>
      </c>
      <c r="BU349" s="386">
        <f t="shared" si="237"/>
        <v>0</v>
      </c>
      <c r="BV349" s="386">
        <f t="shared" si="238"/>
        <v>0</v>
      </c>
      <c r="BW349" s="386">
        <f t="shared" si="239"/>
        <v>0</v>
      </c>
      <c r="BX349" s="386">
        <f t="shared" si="254"/>
        <v>0</v>
      </c>
      <c r="BY349" s="386">
        <f t="shared" si="255"/>
        <v>0</v>
      </c>
      <c r="BZ349" s="386">
        <f t="shared" si="256"/>
        <v>0</v>
      </c>
      <c r="CA349" s="386">
        <f t="shared" si="257"/>
        <v>0</v>
      </c>
      <c r="CB349" s="386">
        <f t="shared" si="258"/>
        <v>0</v>
      </c>
      <c r="CC349" s="386">
        <f t="shared" si="240"/>
        <v>0</v>
      </c>
      <c r="CD349" s="386">
        <f t="shared" si="241"/>
        <v>0</v>
      </c>
      <c r="CE349" s="386">
        <f t="shared" si="242"/>
        <v>0</v>
      </c>
      <c r="CF349" s="386">
        <f t="shared" si="243"/>
        <v>0</v>
      </c>
      <c r="CG349" s="386">
        <f t="shared" si="244"/>
        <v>0</v>
      </c>
      <c r="CH349" s="386">
        <f t="shared" si="245"/>
        <v>0</v>
      </c>
      <c r="CI349" s="386">
        <f t="shared" si="246"/>
        <v>0</v>
      </c>
      <c r="CJ349" s="386">
        <f t="shared" si="259"/>
        <v>0</v>
      </c>
      <c r="CK349" s="386" t="str">
        <f t="shared" si="260"/>
        <v/>
      </c>
      <c r="CL349" s="386" t="str">
        <f t="shared" si="261"/>
        <v/>
      </c>
      <c r="CM349" s="386" t="str">
        <f t="shared" si="262"/>
        <v/>
      </c>
      <c r="CN349" s="386" t="str">
        <f t="shared" si="263"/>
        <v>0338-02</v>
      </c>
    </row>
    <row r="350" spans="1:92" ht="15.75" thickBot="1" x14ac:dyDescent="0.3">
      <c r="A350" s="375" t="s">
        <v>161</v>
      </c>
      <c r="B350" s="375" t="s">
        <v>162</v>
      </c>
      <c r="C350" s="375" t="s">
        <v>400</v>
      </c>
      <c r="D350" s="375" t="s">
        <v>318</v>
      </c>
      <c r="E350" s="375" t="s">
        <v>526</v>
      </c>
      <c r="F350" s="381" t="s">
        <v>529</v>
      </c>
      <c r="G350" s="375" t="s">
        <v>1069</v>
      </c>
      <c r="H350" s="377"/>
      <c r="I350" s="377"/>
      <c r="J350" s="375" t="s">
        <v>168</v>
      </c>
      <c r="K350" s="375" t="s">
        <v>319</v>
      </c>
      <c r="L350" s="375" t="s">
        <v>220</v>
      </c>
      <c r="M350" s="375" t="s">
        <v>177</v>
      </c>
      <c r="N350" s="375" t="s">
        <v>199</v>
      </c>
      <c r="O350" s="378">
        <v>1</v>
      </c>
      <c r="P350" s="384">
        <v>0</v>
      </c>
      <c r="Q350" s="384">
        <v>0</v>
      </c>
      <c r="R350" s="379">
        <v>80</v>
      </c>
      <c r="S350" s="384">
        <v>0</v>
      </c>
      <c r="T350" s="379">
        <v>6904.59</v>
      </c>
      <c r="U350" s="379">
        <v>0</v>
      </c>
      <c r="V350" s="379">
        <v>1951.8</v>
      </c>
      <c r="W350" s="379">
        <v>0</v>
      </c>
      <c r="X350" s="379">
        <v>0</v>
      </c>
      <c r="Y350" s="379">
        <v>0</v>
      </c>
      <c r="Z350" s="379">
        <v>0</v>
      </c>
      <c r="AA350" s="375" t="s">
        <v>401</v>
      </c>
      <c r="AB350" s="375" t="s">
        <v>402</v>
      </c>
      <c r="AC350" s="375" t="s">
        <v>403</v>
      </c>
      <c r="AD350" s="375" t="s">
        <v>267</v>
      </c>
      <c r="AE350" s="375" t="s">
        <v>319</v>
      </c>
      <c r="AF350" s="375" t="s">
        <v>252</v>
      </c>
      <c r="AG350" s="375" t="s">
        <v>183</v>
      </c>
      <c r="AH350" s="380">
        <v>28.35</v>
      </c>
      <c r="AI350" s="380">
        <v>14119.7</v>
      </c>
      <c r="AJ350" s="375" t="s">
        <v>184</v>
      </c>
      <c r="AK350" s="375" t="s">
        <v>185</v>
      </c>
      <c r="AL350" s="375" t="s">
        <v>173</v>
      </c>
      <c r="AM350" s="375" t="s">
        <v>186</v>
      </c>
      <c r="AN350" s="375" t="s">
        <v>68</v>
      </c>
      <c r="AO350" s="378">
        <v>80</v>
      </c>
      <c r="AP350" s="384">
        <v>1</v>
      </c>
      <c r="AQ350" s="384">
        <v>0</v>
      </c>
      <c r="AR350" s="383" t="s">
        <v>187</v>
      </c>
      <c r="AS350" s="386">
        <f t="shared" si="247"/>
        <v>0</v>
      </c>
      <c r="AT350">
        <f t="shared" si="248"/>
        <v>0</v>
      </c>
      <c r="AU350" s="386" t="str">
        <f>IF(AT350=0,"",IF(AND(AT350=1,M350="F",SUMIF(C2:C557,C350,AS2:AS557)&lt;=1),SUMIF(C2:C557,C350,AS2:AS557),IF(AND(AT350=1,M350="F",SUMIF(C2:C557,C350,AS2:AS557)&gt;1),1,"")))</f>
        <v/>
      </c>
      <c r="AV350" s="386" t="str">
        <f>IF(AT350=0,"",IF(AND(AT350=3,M350="F",SUMIF(C2:C557,C350,AS2:AS557)&lt;=1),SUMIF(C2:C557,C350,AS2:AS557),IF(AND(AT350=3,M350="F",SUMIF(C2:C557,C350,AS2:AS557)&gt;1),1,"")))</f>
        <v/>
      </c>
      <c r="AW350" s="386">
        <f>SUMIF(C2:C557,C350,O2:O557)</f>
        <v>4</v>
      </c>
      <c r="AX350" s="386">
        <f>IF(AND(M350="F",AS350&lt;&gt;0),SUMIF(C2:C557,C350,W2:W557),0)</f>
        <v>0</v>
      </c>
      <c r="AY350" s="386" t="str">
        <f t="shared" si="249"/>
        <v/>
      </c>
      <c r="AZ350" s="386" t="str">
        <f t="shared" si="250"/>
        <v/>
      </c>
      <c r="BA350" s="386">
        <f t="shared" si="251"/>
        <v>0</v>
      </c>
      <c r="BB350" s="386">
        <f t="shared" si="220"/>
        <v>0</v>
      </c>
      <c r="BC350" s="386">
        <f t="shared" si="221"/>
        <v>0</v>
      </c>
      <c r="BD350" s="386">
        <f t="shared" si="222"/>
        <v>0</v>
      </c>
      <c r="BE350" s="386">
        <f t="shared" si="223"/>
        <v>0</v>
      </c>
      <c r="BF350" s="386">
        <f t="shared" si="224"/>
        <v>0</v>
      </c>
      <c r="BG350" s="386">
        <f t="shared" si="225"/>
        <v>0</v>
      </c>
      <c r="BH350" s="386">
        <f t="shared" si="226"/>
        <v>0</v>
      </c>
      <c r="BI350" s="386">
        <f t="shared" si="227"/>
        <v>0</v>
      </c>
      <c r="BJ350" s="386">
        <f t="shared" si="228"/>
        <v>0</v>
      </c>
      <c r="BK350" s="386">
        <f t="shared" si="229"/>
        <v>0</v>
      </c>
      <c r="BL350" s="386">
        <f t="shared" si="252"/>
        <v>0</v>
      </c>
      <c r="BM350" s="386">
        <f t="shared" si="253"/>
        <v>0</v>
      </c>
      <c r="BN350" s="386">
        <f t="shared" si="230"/>
        <v>0</v>
      </c>
      <c r="BO350" s="386">
        <f t="shared" si="231"/>
        <v>0</v>
      </c>
      <c r="BP350" s="386">
        <f t="shared" si="232"/>
        <v>0</v>
      </c>
      <c r="BQ350" s="386">
        <f t="shared" si="233"/>
        <v>0</v>
      </c>
      <c r="BR350" s="386">
        <f t="shared" si="234"/>
        <v>0</v>
      </c>
      <c r="BS350" s="386">
        <f t="shared" si="235"/>
        <v>0</v>
      </c>
      <c r="BT350" s="386">
        <f t="shared" si="236"/>
        <v>0</v>
      </c>
      <c r="BU350" s="386">
        <f t="shared" si="237"/>
        <v>0</v>
      </c>
      <c r="BV350" s="386">
        <f t="shared" si="238"/>
        <v>0</v>
      </c>
      <c r="BW350" s="386">
        <f t="shared" si="239"/>
        <v>0</v>
      </c>
      <c r="BX350" s="386">
        <f t="shared" si="254"/>
        <v>0</v>
      </c>
      <c r="BY350" s="386">
        <f t="shared" si="255"/>
        <v>0</v>
      </c>
      <c r="BZ350" s="386">
        <f t="shared" si="256"/>
        <v>0</v>
      </c>
      <c r="CA350" s="386">
        <f t="shared" si="257"/>
        <v>0</v>
      </c>
      <c r="CB350" s="386">
        <f t="shared" si="258"/>
        <v>0</v>
      </c>
      <c r="CC350" s="386">
        <f t="shared" si="240"/>
        <v>0</v>
      </c>
      <c r="CD350" s="386">
        <f t="shared" si="241"/>
        <v>0</v>
      </c>
      <c r="CE350" s="386">
        <f t="shared" si="242"/>
        <v>0</v>
      </c>
      <c r="CF350" s="386">
        <f t="shared" si="243"/>
        <v>0</v>
      </c>
      <c r="CG350" s="386">
        <f t="shared" si="244"/>
        <v>0</v>
      </c>
      <c r="CH350" s="386">
        <f t="shared" si="245"/>
        <v>0</v>
      </c>
      <c r="CI350" s="386">
        <f t="shared" si="246"/>
        <v>0</v>
      </c>
      <c r="CJ350" s="386">
        <f t="shared" si="259"/>
        <v>0</v>
      </c>
      <c r="CK350" s="386" t="str">
        <f t="shared" si="260"/>
        <v/>
      </c>
      <c r="CL350" s="386" t="str">
        <f t="shared" si="261"/>
        <v/>
      </c>
      <c r="CM350" s="386" t="str">
        <f t="shared" si="262"/>
        <v/>
      </c>
      <c r="CN350" s="386" t="str">
        <f t="shared" si="263"/>
        <v>0338-02</v>
      </c>
    </row>
    <row r="351" spans="1:92" ht="15.75" thickBot="1" x14ac:dyDescent="0.3">
      <c r="A351" s="375" t="s">
        <v>161</v>
      </c>
      <c r="B351" s="375" t="s">
        <v>162</v>
      </c>
      <c r="C351" s="375" t="s">
        <v>1190</v>
      </c>
      <c r="D351" s="375" t="s">
        <v>1108</v>
      </c>
      <c r="E351" s="375" t="s">
        <v>526</v>
      </c>
      <c r="F351" s="381" t="s">
        <v>529</v>
      </c>
      <c r="G351" s="375" t="s">
        <v>1069</v>
      </c>
      <c r="H351" s="377"/>
      <c r="I351" s="377"/>
      <c r="J351" s="375" t="s">
        <v>218</v>
      </c>
      <c r="K351" s="375" t="s">
        <v>1109</v>
      </c>
      <c r="L351" s="375" t="s">
        <v>220</v>
      </c>
      <c r="M351" s="375" t="s">
        <v>177</v>
      </c>
      <c r="N351" s="375" t="s">
        <v>199</v>
      </c>
      <c r="O351" s="378">
        <v>1</v>
      </c>
      <c r="P351" s="384">
        <v>0.15</v>
      </c>
      <c r="Q351" s="384">
        <v>0.15</v>
      </c>
      <c r="R351" s="379">
        <v>80</v>
      </c>
      <c r="S351" s="384">
        <v>0.15</v>
      </c>
      <c r="T351" s="379">
        <v>9011.74</v>
      </c>
      <c r="U351" s="379">
        <v>0</v>
      </c>
      <c r="V351" s="379">
        <v>3587.1</v>
      </c>
      <c r="W351" s="379">
        <v>9076.08</v>
      </c>
      <c r="X351" s="379">
        <v>3684.96</v>
      </c>
      <c r="Y351" s="379">
        <v>9076.08</v>
      </c>
      <c r="Z351" s="379">
        <v>3641.4</v>
      </c>
      <c r="AA351" s="375" t="s">
        <v>1191</v>
      </c>
      <c r="AB351" s="375" t="s">
        <v>282</v>
      </c>
      <c r="AC351" s="375" t="s">
        <v>1192</v>
      </c>
      <c r="AD351" s="375" t="s">
        <v>1193</v>
      </c>
      <c r="AE351" s="375" t="s">
        <v>1109</v>
      </c>
      <c r="AF351" s="375" t="s">
        <v>252</v>
      </c>
      <c r="AG351" s="375" t="s">
        <v>183</v>
      </c>
      <c r="AH351" s="380">
        <v>29.09</v>
      </c>
      <c r="AI351" s="380">
        <v>45151.8</v>
      </c>
      <c r="AJ351" s="375" t="s">
        <v>184</v>
      </c>
      <c r="AK351" s="375" t="s">
        <v>185</v>
      </c>
      <c r="AL351" s="375" t="s">
        <v>173</v>
      </c>
      <c r="AM351" s="375" t="s">
        <v>186</v>
      </c>
      <c r="AN351" s="375" t="s">
        <v>68</v>
      </c>
      <c r="AO351" s="378">
        <v>80</v>
      </c>
      <c r="AP351" s="384">
        <v>1</v>
      </c>
      <c r="AQ351" s="384">
        <v>0.15</v>
      </c>
      <c r="AR351" s="383" t="s">
        <v>187</v>
      </c>
      <c r="AS351" s="386">
        <f t="shared" si="247"/>
        <v>0.15</v>
      </c>
      <c r="AT351">
        <f t="shared" si="248"/>
        <v>1</v>
      </c>
      <c r="AU351" s="386">
        <f>IF(AT351=0,"",IF(AND(AT351=1,M351="F",SUMIF(C2:C557,C351,AS2:AS557)&lt;=1),SUMIF(C2:C557,C351,AS2:AS557),IF(AND(AT351=1,M351="F",SUMIF(C2:C557,C351,AS2:AS557)&gt;1),1,"")))</f>
        <v>1</v>
      </c>
      <c r="AV351" s="386" t="str">
        <f>IF(AT351=0,"",IF(AND(AT351=3,M351="F",SUMIF(C2:C557,C351,AS2:AS557)&lt;=1),SUMIF(C2:C557,C351,AS2:AS557),IF(AND(AT351=3,M351="F",SUMIF(C2:C557,C351,AS2:AS557)&gt;1),1,"")))</f>
        <v/>
      </c>
      <c r="AW351" s="386">
        <f>SUMIF(C2:C557,C351,O2:O557)</f>
        <v>2</v>
      </c>
      <c r="AX351" s="386">
        <f>IF(AND(M351="F",AS351&lt;&gt;0),SUMIF(C2:C557,C351,W2:W557),0)</f>
        <v>60507.200000000004</v>
      </c>
      <c r="AY351" s="386">
        <f t="shared" si="249"/>
        <v>9076.08</v>
      </c>
      <c r="AZ351" s="386" t="str">
        <f t="shared" si="250"/>
        <v/>
      </c>
      <c r="BA351" s="386">
        <f t="shared" si="251"/>
        <v>0</v>
      </c>
      <c r="BB351" s="386">
        <f t="shared" si="220"/>
        <v>1747.5</v>
      </c>
      <c r="BC351" s="386">
        <f t="shared" si="221"/>
        <v>0</v>
      </c>
      <c r="BD351" s="386">
        <f t="shared" si="222"/>
        <v>562.71695999999997</v>
      </c>
      <c r="BE351" s="386">
        <f t="shared" si="223"/>
        <v>131.60316</v>
      </c>
      <c r="BF351" s="386">
        <f t="shared" si="224"/>
        <v>1083.6839520000001</v>
      </c>
      <c r="BG351" s="386">
        <f t="shared" si="225"/>
        <v>65.438536800000008</v>
      </c>
      <c r="BH351" s="386">
        <f t="shared" si="226"/>
        <v>44.472791999999998</v>
      </c>
      <c r="BI351" s="386">
        <f t="shared" si="227"/>
        <v>27.772804799999999</v>
      </c>
      <c r="BJ351" s="386">
        <f t="shared" si="228"/>
        <v>21.782591999999998</v>
      </c>
      <c r="BK351" s="386">
        <f t="shared" si="229"/>
        <v>0</v>
      </c>
      <c r="BL351" s="386">
        <f t="shared" si="252"/>
        <v>1937.4707976000002</v>
      </c>
      <c r="BM351" s="386">
        <f t="shared" si="253"/>
        <v>0</v>
      </c>
      <c r="BN351" s="386">
        <f t="shared" si="230"/>
        <v>1747.5</v>
      </c>
      <c r="BO351" s="386">
        <f t="shared" si="231"/>
        <v>0</v>
      </c>
      <c r="BP351" s="386">
        <f t="shared" si="232"/>
        <v>562.71695999999997</v>
      </c>
      <c r="BQ351" s="386">
        <f t="shared" si="233"/>
        <v>131.60316</v>
      </c>
      <c r="BR351" s="386">
        <f t="shared" si="234"/>
        <v>1083.6839520000001</v>
      </c>
      <c r="BS351" s="386">
        <f t="shared" si="235"/>
        <v>65.438536800000008</v>
      </c>
      <c r="BT351" s="386">
        <f t="shared" si="236"/>
        <v>0</v>
      </c>
      <c r="BU351" s="386">
        <f t="shared" si="237"/>
        <v>27.772804799999999</v>
      </c>
      <c r="BV351" s="386">
        <f t="shared" si="238"/>
        <v>22.690200000000001</v>
      </c>
      <c r="BW351" s="386">
        <f t="shared" si="239"/>
        <v>0</v>
      </c>
      <c r="BX351" s="386">
        <f t="shared" si="254"/>
        <v>1893.9056136000002</v>
      </c>
      <c r="BY351" s="386">
        <f t="shared" si="255"/>
        <v>0</v>
      </c>
      <c r="BZ351" s="386">
        <f t="shared" si="256"/>
        <v>0</v>
      </c>
      <c r="CA351" s="386">
        <f t="shared" si="257"/>
        <v>0</v>
      </c>
      <c r="CB351" s="386">
        <f t="shared" si="258"/>
        <v>0</v>
      </c>
      <c r="CC351" s="386">
        <f t="shared" si="240"/>
        <v>0</v>
      </c>
      <c r="CD351" s="386">
        <f t="shared" si="241"/>
        <v>0</v>
      </c>
      <c r="CE351" s="386">
        <f t="shared" si="242"/>
        <v>0</v>
      </c>
      <c r="CF351" s="386">
        <f t="shared" si="243"/>
        <v>-44.472791999999998</v>
      </c>
      <c r="CG351" s="386">
        <f t="shared" si="244"/>
        <v>0</v>
      </c>
      <c r="CH351" s="386">
        <f t="shared" si="245"/>
        <v>0.90760800000000241</v>
      </c>
      <c r="CI351" s="386">
        <f t="shared" si="246"/>
        <v>0</v>
      </c>
      <c r="CJ351" s="386">
        <f t="shared" si="259"/>
        <v>-43.565183999999995</v>
      </c>
      <c r="CK351" s="386" t="str">
        <f t="shared" si="260"/>
        <v/>
      </c>
      <c r="CL351" s="386" t="str">
        <f t="shared" si="261"/>
        <v/>
      </c>
      <c r="CM351" s="386" t="str">
        <f t="shared" si="262"/>
        <v/>
      </c>
      <c r="CN351" s="386" t="str">
        <f t="shared" si="263"/>
        <v>0338-02</v>
      </c>
    </row>
    <row r="352" spans="1:92" ht="15.75" thickBot="1" x14ac:dyDescent="0.3">
      <c r="A352" s="375" t="s">
        <v>161</v>
      </c>
      <c r="B352" s="375" t="s">
        <v>162</v>
      </c>
      <c r="C352" s="375" t="s">
        <v>1198</v>
      </c>
      <c r="D352" s="375" t="s">
        <v>1199</v>
      </c>
      <c r="E352" s="375" t="s">
        <v>526</v>
      </c>
      <c r="F352" s="381" t="s">
        <v>529</v>
      </c>
      <c r="G352" s="375" t="s">
        <v>1069</v>
      </c>
      <c r="H352" s="377"/>
      <c r="I352" s="377"/>
      <c r="J352" s="375" t="s">
        <v>218</v>
      </c>
      <c r="K352" s="375" t="s">
        <v>1200</v>
      </c>
      <c r="L352" s="375" t="s">
        <v>274</v>
      </c>
      <c r="M352" s="375" t="s">
        <v>177</v>
      </c>
      <c r="N352" s="375" t="s">
        <v>199</v>
      </c>
      <c r="O352" s="378">
        <v>1</v>
      </c>
      <c r="P352" s="384">
        <v>0.4</v>
      </c>
      <c r="Q352" s="384">
        <v>0.4</v>
      </c>
      <c r="R352" s="379">
        <v>80</v>
      </c>
      <c r="S352" s="384">
        <v>0.4</v>
      </c>
      <c r="T352" s="379">
        <v>36241.31</v>
      </c>
      <c r="U352" s="379">
        <v>0</v>
      </c>
      <c r="V352" s="379">
        <v>12120.99</v>
      </c>
      <c r="W352" s="379">
        <v>35684.480000000003</v>
      </c>
      <c r="X352" s="379">
        <v>12277.55</v>
      </c>
      <c r="Y352" s="379">
        <v>35684.480000000003</v>
      </c>
      <c r="Z352" s="379">
        <v>12106.26</v>
      </c>
      <c r="AA352" s="375" t="s">
        <v>1201</v>
      </c>
      <c r="AB352" s="375" t="s">
        <v>1202</v>
      </c>
      <c r="AC352" s="375" t="s">
        <v>1203</v>
      </c>
      <c r="AD352" s="375" t="s">
        <v>195</v>
      </c>
      <c r="AE352" s="375" t="s">
        <v>1200</v>
      </c>
      <c r="AF352" s="375" t="s">
        <v>388</v>
      </c>
      <c r="AG352" s="375" t="s">
        <v>183</v>
      </c>
      <c r="AH352" s="380">
        <v>42.89</v>
      </c>
      <c r="AI352" s="378">
        <v>61144</v>
      </c>
      <c r="AJ352" s="375" t="s">
        <v>184</v>
      </c>
      <c r="AK352" s="375" t="s">
        <v>185</v>
      </c>
      <c r="AL352" s="375" t="s">
        <v>173</v>
      </c>
      <c r="AM352" s="375" t="s">
        <v>186</v>
      </c>
      <c r="AN352" s="375" t="s">
        <v>68</v>
      </c>
      <c r="AO352" s="378">
        <v>80</v>
      </c>
      <c r="AP352" s="384">
        <v>1</v>
      </c>
      <c r="AQ352" s="384">
        <v>0.4</v>
      </c>
      <c r="AR352" s="383" t="s">
        <v>187</v>
      </c>
      <c r="AS352" s="386">
        <f t="shared" si="247"/>
        <v>0.4</v>
      </c>
      <c r="AT352">
        <f t="shared" si="248"/>
        <v>1</v>
      </c>
      <c r="AU352" s="386">
        <f>IF(AT352=0,"",IF(AND(AT352=1,M352="F",SUMIF(C2:C557,C352,AS2:AS557)&lt;=1),SUMIF(C2:C557,C352,AS2:AS557),IF(AND(AT352=1,M352="F",SUMIF(C2:C557,C352,AS2:AS557)&gt;1),1,"")))</f>
        <v>1</v>
      </c>
      <c r="AV352" s="386" t="str">
        <f>IF(AT352=0,"",IF(AND(AT352=3,M352="F",SUMIF(C2:C557,C352,AS2:AS557)&lt;=1),SUMIF(C2:C557,C352,AS2:AS557),IF(AND(AT352=3,M352="F",SUMIF(C2:C557,C352,AS2:AS557)&gt;1),1,"")))</f>
        <v/>
      </c>
      <c r="AW352" s="386">
        <f>SUMIF(C2:C557,C352,O2:O557)</f>
        <v>2</v>
      </c>
      <c r="AX352" s="386">
        <f>IF(AND(M352="F",AS352&lt;&gt;0),SUMIF(C2:C557,C352,W2:W557),0)</f>
        <v>89211.200000000012</v>
      </c>
      <c r="AY352" s="386">
        <f t="shared" si="249"/>
        <v>35684.480000000003</v>
      </c>
      <c r="AZ352" s="386" t="str">
        <f t="shared" si="250"/>
        <v/>
      </c>
      <c r="BA352" s="386">
        <f t="shared" si="251"/>
        <v>0</v>
      </c>
      <c r="BB352" s="386">
        <f t="shared" si="220"/>
        <v>4660</v>
      </c>
      <c r="BC352" s="386">
        <f t="shared" si="221"/>
        <v>0</v>
      </c>
      <c r="BD352" s="386">
        <f t="shared" si="222"/>
        <v>2212.4377600000003</v>
      </c>
      <c r="BE352" s="386">
        <f t="shared" si="223"/>
        <v>517.42496000000006</v>
      </c>
      <c r="BF352" s="386">
        <f t="shared" si="224"/>
        <v>4260.726912000001</v>
      </c>
      <c r="BG352" s="386">
        <f t="shared" si="225"/>
        <v>257.28510080000001</v>
      </c>
      <c r="BH352" s="386">
        <f t="shared" si="226"/>
        <v>174.85395200000002</v>
      </c>
      <c r="BI352" s="386">
        <f t="shared" si="227"/>
        <v>109.19450880000001</v>
      </c>
      <c r="BJ352" s="386">
        <f t="shared" si="228"/>
        <v>85.642752000000002</v>
      </c>
      <c r="BK352" s="386">
        <f t="shared" si="229"/>
        <v>0</v>
      </c>
      <c r="BL352" s="386">
        <f t="shared" si="252"/>
        <v>7617.5659456000012</v>
      </c>
      <c r="BM352" s="386">
        <f t="shared" si="253"/>
        <v>0</v>
      </c>
      <c r="BN352" s="386">
        <f t="shared" si="230"/>
        <v>4660</v>
      </c>
      <c r="BO352" s="386">
        <f t="shared" si="231"/>
        <v>0</v>
      </c>
      <c r="BP352" s="386">
        <f t="shared" si="232"/>
        <v>2212.4377600000003</v>
      </c>
      <c r="BQ352" s="386">
        <f t="shared" si="233"/>
        <v>517.42496000000006</v>
      </c>
      <c r="BR352" s="386">
        <f t="shared" si="234"/>
        <v>4260.726912000001</v>
      </c>
      <c r="BS352" s="386">
        <f t="shared" si="235"/>
        <v>257.28510080000001</v>
      </c>
      <c r="BT352" s="386">
        <f t="shared" si="236"/>
        <v>0</v>
      </c>
      <c r="BU352" s="386">
        <f t="shared" si="237"/>
        <v>109.19450880000001</v>
      </c>
      <c r="BV352" s="386">
        <f t="shared" si="238"/>
        <v>89.211200000000005</v>
      </c>
      <c r="BW352" s="386">
        <f t="shared" si="239"/>
        <v>0</v>
      </c>
      <c r="BX352" s="386">
        <f t="shared" si="254"/>
        <v>7446.2804416000008</v>
      </c>
      <c r="BY352" s="386">
        <f t="shared" si="255"/>
        <v>0</v>
      </c>
      <c r="BZ352" s="386">
        <f t="shared" si="256"/>
        <v>0</v>
      </c>
      <c r="CA352" s="386">
        <f t="shared" si="257"/>
        <v>0</v>
      </c>
      <c r="CB352" s="386">
        <f t="shared" si="258"/>
        <v>0</v>
      </c>
      <c r="CC352" s="386">
        <f t="shared" si="240"/>
        <v>0</v>
      </c>
      <c r="CD352" s="386">
        <f t="shared" si="241"/>
        <v>0</v>
      </c>
      <c r="CE352" s="386">
        <f t="shared" si="242"/>
        <v>0</v>
      </c>
      <c r="CF352" s="386">
        <f t="shared" si="243"/>
        <v>-174.85395200000002</v>
      </c>
      <c r="CG352" s="386">
        <f t="shared" si="244"/>
        <v>0</v>
      </c>
      <c r="CH352" s="386">
        <f t="shared" si="245"/>
        <v>3.5684480000000098</v>
      </c>
      <c r="CI352" s="386">
        <f t="shared" si="246"/>
        <v>0</v>
      </c>
      <c r="CJ352" s="386">
        <f t="shared" si="259"/>
        <v>-171.285504</v>
      </c>
      <c r="CK352" s="386" t="str">
        <f t="shared" si="260"/>
        <v/>
      </c>
      <c r="CL352" s="386" t="str">
        <f t="shared" si="261"/>
        <v/>
      </c>
      <c r="CM352" s="386" t="str">
        <f t="shared" si="262"/>
        <v/>
      </c>
      <c r="CN352" s="386" t="str">
        <f t="shared" si="263"/>
        <v>0338-02</v>
      </c>
    </row>
    <row r="353" spans="1:92" ht="15.75" thickBot="1" x14ac:dyDescent="0.3">
      <c r="A353" s="375" t="s">
        <v>161</v>
      </c>
      <c r="B353" s="375" t="s">
        <v>162</v>
      </c>
      <c r="C353" s="375" t="s">
        <v>1214</v>
      </c>
      <c r="D353" s="375" t="s">
        <v>1215</v>
      </c>
      <c r="E353" s="375" t="s">
        <v>526</v>
      </c>
      <c r="F353" s="381" t="s">
        <v>529</v>
      </c>
      <c r="G353" s="375" t="s">
        <v>1069</v>
      </c>
      <c r="H353" s="377"/>
      <c r="I353" s="377"/>
      <c r="J353" s="375" t="s">
        <v>218</v>
      </c>
      <c r="K353" s="375" t="s">
        <v>1216</v>
      </c>
      <c r="L353" s="375" t="s">
        <v>316</v>
      </c>
      <c r="M353" s="375" t="s">
        <v>177</v>
      </c>
      <c r="N353" s="375" t="s">
        <v>172</v>
      </c>
      <c r="O353" s="378">
        <v>1</v>
      </c>
      <c r="P353" s="384">
        <v>0.4</v>
      </c>
      <c r="Q353" s="384">
        <v>0.4</v>
      </c>
      <c r="R353" s="379">
        <v>80</v>
      </c>
      <c r="S353" s="384">
        <v>0.4</v>
      </c>
      <c r="T353" s="379">
        <v>14937.92</v>
      </c>
      <c r="U353" s="379">
        <v>0</v>
      </c>
      <c r="V353" s="379">
        <v>5447.74</v>
      </c>
      <c r="W353" s="379">
        <v>36192</v>
      </c>
      <c r="X353" s="379">
        <v>12275.15</v>
      </c>
      <c r="Y353" s="379">
        <v>36192</v>
      </c>
      <c r="Z353" s="379">
        <v>12101.43</v>
      </c>
      <c r="AA353" s="375" t="s">
        <v>1217</v>
      </c>
      <c r="AB353" s="375" t="s">
        <v>1218</v>
      </c>
      <c r="AC353" s="375" t="s">
        <v>938</v>
      </c>
      <c r="AD353" s="375" t="s">
        <v>352</v>
      </c>
      <c r="AE353" s="375" t="s">
        <v>1216</v>
      </c>
      <c r="AF353" s="375" t="s">
        <v>182</v>
      </c>
      <c r="AG353" s="375" t="s">
        <v>183</v>
      </c>
      <c r="AH353" s="380">
        <v>43.5</v>
      </c>
      <c r="AI353" s="380">
        <v>17958.5</v>
      </c>
      <c r="AJ353" s="375" t="s">
        <v>184</v>
      </c>
      <c r="AK353" s="375" t="s">
        <v>185</v>
      </c>
      <c r="AL353" s="375" t="s">
        <v>173</v>
      </c>
      <c r="AM353" s="375" t="s">
        <v>186</v>
      </c>
      <c r="AN353" s="375" t="s">
        <v>68</v>
      </c>
      <c r="AO353" s="378">
        <v>80</v>
      </c>
      <c r="AP353" s="384">
        <v>1</v>
      </c>
      <c r="AQ353" s="384">
        <v>0.4</v>
      </c>
      <c r="AR353" s="383" t="s">
        <v>187</v>
      </c>
      <c r="AS353" s="386">
        <f t="shared" si="247"/>
        <v>0.4</v>
      </c>
      <c r="AT353">
        <f t="shared" si="248"/>
        <v>1</v>
      </c>
      <c r="AU353" s="386">
        <f>IF(AT353=0,"",IF(AND(AT353=1,M353="F",SUMIF(C2:C557,C353,AS2:AS557)&lt;=1),SUMIF(C2:C557,C353,AS2:AS557),IF(AND(AT353=1,M353="F",SUMIF(C2:C557,C353,AS2:AS557)&gt;1),1,"")))</f>
        <v>1</v>
      </c>
      <c r="AV353" s="386" t="str">
        <f>IF(AT353=0,"",IF(AND(AT353=3,M353="F",SUMIF(C2:C557,C353,AS2:AS557)&lt;=1),SUMIF(C2:C557,C353,AS2:AS557),IF(AND(AT353=3,M353="F",SUMIF(C2:C557,C353,AS2:AS557)&gt;1),1,"")))</f>
        <v/>
      </c>
      <c r="AW353" s="386">
        <f>SUMIF(C2:C557,C353,O2:O557)</f>
        <v>2</v>
      </c>
      <c r="AX353" s="386">
        <f>IF(AND(M353="F",AS353&lt;&gt;0),SUMIF(C2:C557,C353,W2:W557),0)</f>
        <v>90480</v>
      </c>
      <c r="AY353" s="386">
        <f t="shared" si="249"/>
        <v>36192</v>
      </c>
      <c r="AZ353" s="386" t="str">
        <f t="shared" si="250"/>
        <v/>
      </c>
      <c r="BA353" s="386">
        <f t="shared" si="251"/>
        <v>0</v>
      </c>
      <c r="BB353" s="386">
        <f t="shared" si="220"/>
        <v>4660</v>
      </c>
      <c r="BC353" s="386">
        <f t="shared" si="221"/>
        <v>0</v>
      </c>
      <c r="BD353" s="386">
        <f t="shared" si="222"/>
        <v>2243.904</v>
      </c>
      <c r="BE353" s="386">
        <f t="shared" si="223"/>
        <v>524.78399999999999</v>
      </c>
      <c r="BF353" s="386">
        <f t="shared" si="224"/>
        <v>4321.3248000000003</v>
      </c>
      <c r="BG353" s="386">
        <f t="shared" si="225"/>
        <v>260.94432</v>
      </c>
      <c r="BH353" s="386">
        <f t="shared" si="226"/>
        <v>177.3408</v>
      </c>
      <c r="BI353" s="386">
        <f t="shared" si="227"/>
        <v>0</v>
      </c>
      <c r="BJ353" s="386">
        <f t="shared" si="228"/>
        <v>86.860799999999998</v>
      </c>
      <c r="BK353" s="386">
        <f t="shared" si="229"/>
        <v>0</v>
      </c>
      <c r="BL353" s="386">
        <f t="shared" si="252"/>
        <v>7615.1587200000004</v>
      </c>
      <c r="BM353" s="386">
        <f t="shared" si="253"/>
        <v>0</v>
      </c>
      <c r="BN353" s="386">
        <f t="shared" si="230"/>
        <v>4660</v>
      </c>
      <c r="BO353" s="386">
        <f t="shared" si="231"/>
        <v>0</v>
      </c>
      <c r="BP353" s="386">
        <f t="shared" si="232"/>
        <v>2243.904</v>
      </c>
      <c r="BQ353" s="386">
        <f t="shared" si="233"/>
        <v>524.78399999999999</v>
      </c>
      <c r="BR353" s="386">
        <f t="shared" si="234"/>
        <v>4321.3248000000003</v>
      </c>
      <c r="BS353" s="386">
        <f t="shared" si="235"/>
        <v>260.94432</v>
      </c>
      <c r="BT353" s="386">
        <f t="shared" si="236"/>
        <v>0</v>
      </c>
      <c r="BU353" s="386">
        <f t="shared" si="237"/>
        <v>0</v>
      </c>
      <c r="BV353" s="386">
        <f t="shared" si="238"/>
        <v>90.48</v>
      </c>
      <c r="BW353" s="386">
        <f t="shared" si="239"/>
        <v>0</v>
      </c>
      <c r="BX353" s="386">
        <f t="shared" si="254"/>
        <v>7441.4371199999996</v>
      </c>
      <c r="BY353" s="386">
        <f t="shared" si="255"/>
        <v>0</v>
      </c>
      <c r="BZ353" s="386">
        <f t="shared" si="256"/>
        <v>0</v>
      </c>
      <c r="CA353" s="386">
        <f t="shared" si="257"/>
        <v>0</v>
      </c>
      <c r="CB353" s="386">
        <f t="shared" si="258"/>
        <v>0</v>
      </c>
      <c r="CC353" s="386">
        <f t="shared" si="240"/>
        <v>0</v>
      </c>
      <c r="CD353" s="386">
        <f t="shared" si="241"/>
        <v>0</v>
      </c>
      <c r="CE353" s="386">
        <f t="shared" si="242"/>
        <v>0</v>
      </c>
      <c r="CF353" s="386">
        <f t="shared" si="243"/>
        <v>-177.3408</v>
      </c>
      <c r="CG353" s="386">
        <f t="shared" si="244"/>
        <v>0</v>
      </c>
      <c r="CH353" s="386">
        <f t="shared" si="245"/>
        <v>3.6192000000000095</v>
      </c>
      <c r="CI353" s="386">
        <f t="shared" si="246"/>
        <v>0</v>
      </c>
      <c r="CJ353" s="386">
        <f t="shared" si="259"/>
        <v>-173.7216</v>
      </c>
      <c r="CK353" s="386" t="str">
        <f t="shared" si="260"/>
        <v/>
      </c>
      <c r="CL353" s="386" t="str">
        <f t="shared" si="261"/>
        <v/>
      </c>
      <c r="CM353" s="386" t="str">
        <f t="shared" si="262"/>
        <v/>
      </c>
      <c r="CN353" s="386" t="str">
        <f t="shared" si="263"/>
        <v>0338-02</v>
      </c>
    </row>
    <row r="354" spans="1:92" ht="15.75" thickBot="1" x14ac:dyDescent="0.3">
      <c r="A354" s="375" t="s">
        <v>161</v>
      </c>
      <c r="B354" s="375" t="s">
        <v>162</v>
      </c>
      <c r="C354" s="375" t="s">
        <v>1361</v>
      </c>
      <c r="D354" s="375" t="s">
        <v>665</v>
      </c>
      <c r="E354" s="375" t="s">
        <v>526</v>
      </c>
      <c r="F354" s="381" t="s">
        <v>529</v>
      </c>
      <c r="G354" s="375" t="s">
        <v>1069</v>
      </c>
      <c r="H354" s="377"/>
      <c r="I354" s="377"/>
      <c r="J354" s="375" t="s">
        <v>168</v>
      </c>
      <c r="K354" s="375" t="s">
        <v>666</v>
      </c>
      <c r="L354" s="375" t="s">
        <v>183</v>
      </c>
      <c r="M354" s="375" t="s">
        <v>177</v>
      </c>
      <c r="N354" s="375" t="s">
        <v>199</v>
      </c>
      <c r="O354" s="378">
        <v>1</v>
      </c>
      <c r="P354" s="384">
        <v>1</v>
      </c>
      <c r="Q354" s="384">
        <v>1</v>
      </c>
      <c r="R354" s="379">
        <v>80</v>
      </c>
      <c r="S354" s="384">
        <v>1</v>
      </c>
      <c r="T354" s="379">
        <v>35174.400000000001</v>
      </c>
      <c r="U354" s="379">
        <v>828.7</v>
      </c>
      <c r="V354" s="379">
        <v>18973.11</v>
      </c>
      <c r="W354" s="379">
        <v>36441.599999999999</v>
      </c>
      <c r="X354" s="379">
        <v>19429.150000000001</v>
      </c>
      <c r="Y354" s="379">
        <v>36441.599999999999</v>
      </c>
      <c r="Z354" s="379">
        <v>19254.240000000002</v>
      </c>
      <c r="AA354" s="375" t="s">
        <v>1362</v>
      </c>
      <c r="AB354" s="375" t="s">
        <v>1363</v>
      </c>
      <c r="AC354" s="375" t="s">
        <v>475</v>
      </c>
      <c r="AD354" s="375" t="s">
        <v>170</v>
      </c>
      <c r="AE354" s="375" t="s">
        <v>666</v>
      </c>
      <c r="AF354" s="375" t="s">
        <v>206</v>
      </c>
      <c r="AG354" s="375" t="s">
        <v>183</v>
      </c>
      <c r="AH354" s="380">
        <v>17.52</v>
      </c>
      <c r="AI354" s="380">
        <v>34563.1</v>
      </c>
      <c r="AJ354" s="375" t="s">
        <v>184</v>
      </c>
      <c r="AK354" s="375" t="s">
        <v>185</v>
      </c>
      <c r="AL354" s="375" t="s">
        <v>173</v>
      </c>
      <c r="AM354" s="375" t="s">
        <v>186</v>
      </c>
      <c r="AN354" s="375" t="s">
        <v>68</v>
      </c>
      <c r="AO354" s="378">
        <v>80</v>
      </c>
      <c r="AP354" s="384">
        <v>1</v>
      </c>
      <c r="AQ354" s="384">
        <v>1</v>
      </c>
      <c r="AR354" s="383" t="s">
        <v>187</v>
      </c>
      <c r="AS354" s="386">
        <f t="shared" si="247"/>
        <v>1</v>
      </c>
      <c r="AT354">
        <f t="shared" si="248"/>
        <v>1</v>
      </c>
      <c r="AU354" s="386">
        <f>IF(AT354=0,"",IF(AND(AT354=1,M354="F",SUMIF(C2:C557,C354,AS2:AS557)&lt;=1),SUMIF(C2:C557,C354,AS2:AS557),IF(AND(AT354=1,M354="F",SUMIF(C2:C557,C354,AS2:AS557)&gt;1),1,"")))</f>
        <v>1</v>
      </c>
      <c r="AV354" s="386" t="str">
        <f>IF(AT354=0,"",IF(AND(AT354=3,M354="F",SUMIF(C2:C557,C354,AS2:AS557)&lt;=1),SUMIF(C2:C557,C354,AS2:AS557),IF(AND(AT354=3,M354="F",SUMIF(C2:C557,C354,AS2:AS557)&gt;1),1,"")))</f>
        <v/>
      </c>
      <c r="AW354" s="386">
        <f>SUMIF(C2:C557,C354,O2:O557)</f>
        <v>1</v>
      </c>
      <c r="AX354" s="386">
        <f>IF(AND(M354="F",AS354&lt;&gt;0),SUMIF(C2:C557,C354,W2:W557),0)</f>
        <v>36441.599999999999</v>
      </c>
      <c r="AY354" s="386">
        <f t="shared" si="249"/>
        <v>36441.599999999999</v>
      </c>
      <c r="AZ354" s="386" t="str">
        <f t="shared" si="250"/>
        <v/>
      </c>
      <c r="BA354" s="386">
        <f t="shared" si="251"/>
        <v>0</v>
      </c>
      <c r="BB354" s="386">
        <f t="shared" si="220"/>
        <v>11650</v>
      </c>
      <c r="BC354" s="386">
        <f t="shared" si="221"/>
        <v>0</v>
      </c>
      <c r="BD354" s="386">
        <f t="shared" si="222"/>
        <v>2259.3791999999999</v>
      </c>
      <c r="BE354" s="386">
        <f t="shared" si="223"/>
        <v>528.40319999999997</v>
      </c>
      <c r="BF354" s="386">
        <f t="shared" si="224"/>
        <v>4351.1270400000003</v>
      </c>
      <c r="BG354" s="386">
        <f t="shared" si="225"/>
        <v>262.74393600000002</v>
      </c>
      <c r="BH354" s="386">
        <f t="shared" si="226"/>
        <v>178.56384</v>
      </c>
      <c r="BI354" s="386">
        <f t="shared" si="227"/>
        <v>111.51129599999999</v>
      </c>
      <c r="BJ354" s="386">
        <f t="shared" si="228"/>
        <v>87.459839999999986</v>
      </c>
      <c r="BK354" s="386">
        <f t="shared" si="229"/>
        <v>0</v>
      </c>
      <c r="BL354" s="386">
        <f t="shared" si="252"/>
        <v>7779.1883519999992</v>
      </c>
      <c r="BM354" s="386">
        <f t="shared" si="253"/>
        <v>0</v>
      </c>
      <c r="BN354" s="386">
        <f t="shared" si="230"/>
        <v>11650</v>
      </c>
      <c r="BO354" s="386">
        <f t="shared" si="231"/>
        <v>0</v>
      </c>
      <c r="BP354" s="386">
        <f t="shared" si="232"/>
        <v>2259.3791999999999</v>
      </c>
      <c r="BQ354" s="386">
        <f t="shared" si="233"/>
        <v>528.40319999999997</v>
      </c>
      <c r="BR354" s="386">
        <f t="shared" si="234"/>
        <v>4351.1270400000003</v>
      </c>
      <c r="BS354" s="386">
        <f t="shared" si="235"/>
        <v>262.74393600000002</v>
      </c>
      <c r="BT354" s="386">
        <f t="shared" si="236"/>
        <v>0</v>
      </c>
      <c r="BU354" s="386">
        <f t="shared" si="237"/>
        <v>111.51129599999999</v>
      </c>
      <c r="BV354" s="386">
        <f t="shared" si="238"/>
        <v>91.103999999999999</v>
      </c>
      <c r="BW354" s="386">
        <f t="shared" si="239"/>
        <v>0</v>
      </c>
      <c r="BX354" s="386">
        <f t="shared" si="254"/>
        <v>7604.2686720000002</v>
      </c>
      <c r="BY354" s="386">
        <f t="shared" si="255"/>
        <v>0</v>
      </c>
      <c r="BZ354" s="386">
        <f t="shared" si="256"/>
        <v>0</v>
      </c>
      <c r="CA354" s="386">
        <f t="shared" si="257"/>
        <v>0</v>
      </c>
      <c r="CB354" s="386">
        <f t="shared" si="258"/>
        <v>0</v>
      </c>
      <c r="CC354" s="386">
        <f t="shared" si="240"/>
        <v>0</v>
      </c>
      <c r="CD354" s="386">
        <f t="shared" si="241"/>
        <v>0</v>
      </c>
      <c r="CE354" s="386">
        <f t="shared" si="242"/>
        <v>0</v>
      </c>
      <c r="CF354" s="386">
        <f t="shared" si="243"/>
        <v>-178.56384</v>
      </c>
      <c r="CG354" s="386">
        <f t="shared" si="244"/>
        <v>0</v>
      </c>
      <c r="CH354" s="386">
        <f t="shared" si="245"/>
        <v>3.6441600000000096</v>
      </c>
      <c r="CI354" s="386">
        <f t="shared" si="246"/>
        <v>0</v>
      </c>
      <c r="CJ354" s="386">
        <f t="shared" si="259"/>
        <v>-174.91968</v>
      </c>
      <c r="CK354" s="386" t="str">
        <f t="shared" si="260"/>
        <v/>
      </c>
      <c r="CL354" s="386" t="str">
        <f t="shared" si="261"/>
        <v/>
      </c>
      <c r="CM354" s="386" t="str">
        <f t="shared" si="262"/>
        <v/>
      </c>
      <c r="CN354" s="386" t="str">
        <f t="shared" si="263"/>
        <v>0338-02</v>
      </c>
    </row>
    <row r="355" spans="1:92" ht="15.75" thickBot="1" x14ac:dyDescent="0.3">
      <c r="A355" s="375" t="s">
        <v>161</v>
      </c>
      <c r="B355" s="375" t="s">
        <v>162</v>
      </c>
      <c r="C355" s="375" t="s">
        <v>1364</v>
      </c>
      <c r="D355" s="375" t="s">
        <v>665</v>
      </c>
      <c r="E355" s="375" t="s">
        <v>526</v>
      </c>
      <c r="F355" s="381" t="s">
        <v>529</v>
      </c>
      <c r="G355" s="375" t="s">
        <v>1069</v>
      </c>
      <c r="H355" s="377"/>
      <c r="I355" s="377"/>
      <c r="J355" s="375" t="s">
        <v>168</v>
      </c>
      <c r="K355" s="375" t="s">
        <v>666</v>
      </c>
      <c r="L355" s="375" t="s">
        <v>183</v>
      </c>
      <c r="M355" s="375" t="s">
        <v>177</v>
      </c>
      <c r="N355" s="375" t="s">
        <v>199</v>
      </c>
      <c r="O355" s="378">
        <v>1</v>
      </c>
      <c r="P355" s="384">
        <v>1</v>
      </c>
      <c r="Q355" s="384">
        <v>1</v>
      </c>
      <c r="R355" s="379">
        <v>80</v>
      </c>
      <c r="S355" s="384">
        <v>1</v>
      </c>
      <c r="T355" s="379">
        <v>24713.599999999999</v>
      </c>
      <c r="U355" s="379">
        <v>0</v>
      </c>
      <c r="V355" s="379">
        <v>15315.4</v>
      </c>
      <c r="W355" s="379">
        <v>30056</v>
      </c>
      <c r="X355" s="379">
        <v>18066.03</v>
      </c>
      <c r="Y355" s="379">
        <v>30056</v>
      </c>
      <c r="Z355" s="379">
        <v>17921.77</v>
      </c>
      <c r="AA355" s="375" t="s">
        <v>1365</v>
      </c>
      <c r="AB355" s="375" t="s">
        <v>1366</v>
      </c>
      <c r="AC355" s="375" t="s">
        <v>1293</v>
      </c>
      <c r="AD355" s="375" t="s">
        <v>181</v>
      </c>
      <c r="AE355" s="375" t="s">
        <v>666</v>
      </c>
      <c r="AF355" s="375" t="s">
        <v>206</v>
      </c>
      <c r="AG355" s="375" t="s">
        <v>183</v>
      </c>
      <c r="AH355" s="380">
        <v>14.45</v>
      </c>
      <c r="AI355" s="380">
        <v>1199.3</v>
      </c>
      <c r="AJ355" s="375" t="s">
        <v>184</v>
      </c>
      <c r="AK355" s="375" t="s">
        <v>185</v>
      </c>
      <c r="AL355" s="375" t="s">
        <v>173</v>
      </c>
      <c r="AM355" s="375" t="s">
        <v>186</v>
      </c>
      <c r="AN355" s="375" t="s">
        <v>68</v>
      </c>
      <c r="AO355" s="378">
        <v>80</v>
      </c>
      <c r="AP355" s="384">
        <v>1</v>
      </c>
      <c r="AQ355" s="384">
        <v>1</v>
      </c>
      <c r="AR355" s="383" t="s">
        <v>187</v>
      </c>
      <c r="AS355" s="386">
        <f t="shared" si="247"/>
        <v>1</v>
      </c>
      <c r="AT355">
        <f t="shared" si="248"/>
        <v>1</v>
      </c>
      <c r="AU355" s="386">
        <f>IF(AT355=0,"",IF(AND(AT355=1,M355="F",SUMIF(C2:C557,C355,AS2:AS557)&lt;=1),SUMIF(C2:C557,C355,AS2:AS557),IF(AND(AT355=1,M355="F",SUMIF(C2:C557,C355,AS2:AS557)&gt;1),1,"")))</f>
        <v>1</v>
      </c>
      <c r="AV355" s="386" t="str">
        <f>IF(AT355=0,"",IF(AND(AT355=3,M355="F",SUMIF(C2:C557,C355,AS2:AS557)&lt;=1),SUMIF(C2:C557,C355,AS2:AS557),IF(AND(AT355=3,M355="F",SUMIF(C2:C557,C355,AS2:AS557)&gt;1),1,"")))</f>
        <v/>
      </c>
      <c r="AW355" s="386">
        <f>SUMIF(C2:C557,C355,O2:O557)</f>
        <v>1</v>
      </c>
      <c r="AX355" s="386">
        <f>IF(AND(M355="F",AS355&lt;&gt;0),SUMIF(C2:C557,C355,W2:W557),0)</f>
        <v>30056</v>
      </c>
      <c r="AY355" s="386">
        <f t="shared" si="249"/>
        <v>30056</v>
      </c>
      <c r="AZ355" s="386" t="str">
        <f t="shared" si="250"/>
        <v/>
      </c>
      <c r="BA355" s="386">
        <f t="shared" si="251"/>
        <v>0</v>
      </c>
      <c r="BB355" s="386">
        <f t="shared" si="220"/>
        <v>11650</v>
      </c>
      <c r="BC355" s="386">
        <f t="shared" si="221"/>
        <v>0</v>
      </c>
      <c r="BD355" s="386">
        <f t="shared" si="222"/>
        <v>1863.472</v>
      </c>
      <c r="BE355" s="386">
        <f t="shared" si="223"/>
        <v>435.81200000000001</v>
      </c>
      <c r="BF355" s="386">
        <f t="shared" si="224"/>
        <v>3588.6864</v>
      </c>
      <c r="BG355" s="386">
        <f t="shared" si="225"/>
        <v>216.70376000000002</v>
      </c>
      <c r="BH355" s="386">
        <f t="shared" si="226"/>
        <v>147.27439999999999</v>
      </c>
      <c r="BI355" s="386">
        <f t="shared" si="227"/>
        <v>91.97135999999999</v>
      </c>
      <c r="BJ355" s="386">
        <f t="shared" si="228"/>
        <v>72.134399999999999</v>
      </c>
      <c r="BK355" s="386">
        <f t="shared" si="229"/>
        <v>0</v>
      </c>
      <c r="BL355" s="386">
        <f t="shared" si="252"/>
        <v>6416.0543200000002</v>
      </c>
      <c r="BM355" s="386">
        <f t="shared" si="253"/>
        <v>0</v>
      </c>
      <c r="BN355" s="386">
        <f t="shared" si="230"/>
        <v>11650</v>
      </c>
      <c r="BO355" s="386">
        <f t="shared" si="231"/>
        <v>0</v>
      </c>
      <c r="BP355" s="386">
        <f t="shared" si="232"/>
        <v>1863.472</v>
      </c>
      <c r="BQ355" s="386">
        <f t="shared" si="233"/>
        <v>435.81200000000001</v>
      </c>
      <c r="BR355" s="386">
        <f t="shared" si="234"/>
        <v>3588.6864</v>
      </c>
      <c r="BS355" s="386">
        <f t="shared" si="235"/>
        <v>216.70376000000002</v>
      </c>
      <c r="BT355" s="386">
        <f t="shared" si="236"/>
        <v>0</v>
      </c>
      <c r="BU355" s="386">
        <f t="shared" si="237"/>
        <v>91.97135999999999</v>
      </c>
      <c r="BV355" s="386">
        <f t="shared" si="238"/>
        <v>75.14</v>
      </c>
      <c r="BW355" s="386">
        <f t="shared" si="239"/>
        <v>0</v>
      </c>
      <c r="BX355" s="386">
        <f t="shared" si="254"/>
        <v>6271.7855200000004</v>
      </c>
      <c r="BY355" s="386">
        <f t="shared" si="255"/>
        <v>0</v>
      </c>
      <c r="BZ355" s="386">
        <f t="shared" si="256"/>
        <v>0</v>
      </c>
      <c r="CA355" s="386">
        <f t="shared" si="257"/>
        <v>0</v>
      </c>
      <c r="CB355" s="386">
        <f t="shared" si="258"/>
        <v>0</v>
      </c>
      <c r="CC355" s="386">
        <f t="shared" si="240"/>
        <v>0</v>
      </c>
      <c r="CD355" s="386">
        <f t="shared" si="241"/>
        <v>0</v>
      </c>
      <c r="CE355" s="386">
        <f t="shared" si="242"/>
        <v>0</v>
      </c>
      <c r="CF355" s="386">
        <f t="shared" si="243"/>
        <v>-147.27439999999999</v>
      </c>
      <c r="CG355" s="386">
        <f t="shared" si="244"/>
        <v>0</v>
      </c>
      <c r="CH355" s="386">
        <f t="shared" si="245"/>
        <v>3.0056000000000078</v>
      </c>
      <c r="CI355" s="386">
        <f t="shared" si="246"/>
        <v>0</v>
      </c>
      <c r="CJ355" s="386">
        <f t="shared" si="259"/>
        <v>-144.26879999999997</v>
      </c>
      <c r="CK355" s="386" t="str">
        <f t="shared" si="260"/>
        <v/>
      </c>
      <c r="CL355" s="386" t="str">
        <f t="shared" si="261"/>
        <v/>
      </c>
      <c r="CM355" s="386" t="str">
        <f t="shared" si="262"/>
        <v/>
      </c>
      <c r="CN355" s="386" t="str">
        <f t="shared" si="263"/>
        <v>0338-02</v>
      </c>
    </row>
    <row r="356" spans="1:92" ht="15.75" thickBot="1" x14ac:dyDescent="0.3">
      <c r="A356" s="375" t="s">
        <v>161</v>
      </c>
      <c r="B356" s="375" t="s">
        <v>162</v>
      </c>
      <c r="C356" s="375" t="s">
        <v>832</v>
      </c>
      <c r="D356" s="375" t="s">
        <v>324</v>
      </c>
      <c r="E356" s="375" t="s">
        <v>526</v>
      </c>
      <c r="F356" s="381" t="s">
        <v>529</v>
      </c>
      <c r="G356" s="375" t="s">
        <v>1069</v>
      </c>
      <c r="H356" s="377"/>
      <c r="I356" s="377"/>
      <c r="J356" s="375" t="s">
        <v>218</v>
      </c>
      <c r="K356" s="375" t="s">
        <v>325</v>
      </c>
      <c r="L356" s="375" t="s">
        <v>170</v>
      </c>
      <c r="M356" s="375" t="s">
        <v>177</v>
      </c>
      <c r="N356" s="375" t="s">
        <v>199</v>
      </c>
      <c r="O356" s="378">
        <v>1</v>
      </c>
      <c r="P356" s="384">
        <v>0</v>
      </c>
      <c r="Q356" s="384">
        <v>0</v>
      </c>
      <c r="R356" s="379">
        <v>80</v>
      </c>
      <c r="S356" s="384">
        <v>0</v>
      </c>
      <c r="T356" s="379">
        <v>1227.52</v>
      </c>
      <c r="U356" s="379">
        <v>0</v>
      </c>
      <c r="V356" s="379">
        <v>590.45000000000005</v>
      </c>
      <c r="W356" s="379">
        <v>0</v>
      </c>
      <c r="X356" s="379">
        <v>0</v>
      </c>
      <c r="Y356" s="379">
        <v>0</v>
      </c>
      <c r="Z356" s="379">
        <v>0</v>
      </c>
      <c r="AA356" s="375" t="s">
        <v>833</v>
      </c>
      <c r="AB356" s="375" t="s">
        <v>204</v>
      </c>
      <c r="AC356" s="375" t="s">
        <v>205</v>
      </c>
      <c r="AD356" s="375" t="s">
        <v>647</v>
      </c>
      <c r="AE356" s="375" t="s">
        <v>325</v>
      </c>
      <c r="AF356" s="375" t="s">
        <v>269</v>
      </c>
      <c r="AG356" s="375" t="s">
        <v>183</v>
      </c>
      <c r="AH356" s="380">
        <v>25.03</v>
      </c>
      <c r="AI356" s="378">
        <v>15437</v>
      </c>
      <c r="AJ356" s="375" t="s">
        <v>184</v>
      </c>
      <c r="AK356" s="375" t="s">
        <v>185</v>
      </c>
      <c r="AL356" s="375" t="s">
        <v>173</v>
      </c>
      <c r="AM356" s="375" t="s">
        <v>186</v>
      </c>
      <c r="AN356" s="375" t="s">
        <v>68</v>
      </c>
      <c r="AO356" s="378">
        <v>80</v>
      </c>
      <c r="AP356" s="384">
        <v>1</v>
      </c>
      <c r="AQ356" s="384">
        <v>0</v>
      </c>
      <c r="AR356" s="383" t="s">
        <v>187</v>
      </c>
      <c r="AS356" s="386">
        <f t="shared" si="247"/>
        <v>0</v>
      </c>
      <c r="AT356">
        <f t="shared" si="248"/>
        <v>0</v>
      </c>
      <c r="AU356" s="386" t="str">
        <f>IF(AT356=0,"",IF(AND(AT356=1,M356="F",SUMIF(C2:C557,C356,AS2:AS557)&lt;=1),SUMIF(C2:C557,C356,AS2:AS557),IF(AND(AT356=1,M356="F",SUMIF(C2:C557,C356,AS2:AS557)&gt;1),1,"")))</f>
        <v/>
      </c>
      <c r="AV356" s="386" t="str">
        <f>IF(AT356=0,"",IF(AND(AT356=3,M356="F",SUMIF(C2:C557,C356,AS2:AS557)&lt;=1),SUMIF(C2:C557,C356,AS2:AS557),IF(AND(AT356=3,M356="F",SUMIF(C2:C557,C356,AS2:AS557)&gt;1),1,"")))</f>
        <v/>
      </c>
      <c r="AW356" s="386">
        <f>SUMIF(C2:C557,C356,O2:O557)</f>
        <v>4</v>
      </c>
      <c r="AX356" s="386">
        <f>IF(AND(M356="F",AS356&lt;&gt;0),SUMIF(C2:C557,C356,W2:W557),0)</f>
        <v>0</v>
      </c>
      <c r="AY356" s="386" t="str">
        <f t="shared" si="249"/>
        <v/>
      </c>
      <c r="AZ356" s="386" t="str">
        <f t="shared" si="250"/>
        <v/>
      </c>
      <c r="BA356" s="386">
        <f t="shared" si="251"/>
        <v>0</v>
      </c>
      <c r="BB356" s="386">
        <f t="shared" si="220"/>
        <v>0</v>
      </c>
      <c r="BC356" s="386">
        <f t="shared" si="221"/>
        <v>0</v>
      </c>
      <c r="BD356" s="386">
        <f t="shared" si="222"/>
        <v>0</v>
      </c>
      <c r="BE356" s="386">
        <f t="shared" si="223"/>
        <v>0</v>
      </c>
      <c r="BF356" s="386">
        <f t="shared" si="224"/>
        <v>0</v>
      </c>
      <c r="BG356" s="386">
        <f t="shared" si="225"/>
        <v>0</v>
      </c>
      <c r="BH356" s="386">
        <f t="shared" si="226"/>
        <v>0</v>
      </c>
      <c r="BI356" s="386">
        <f t="shared" si="227"/>
        <v>0</v>
      </c>
      <c r="BJ356" s="386">
        <f t="shared" si="228"/>
        <v>0</v>
      </c>
      <c r="BK356" s="386">
        <f t="shared" si="229"/>
        <v>0</v>
      </c>
      <c r="BL356" s="386">
        <f t="shared" si="252"/>
        <v>0</v>
      </c>
      <c r="BM356" s="386">
        <f t="shared" si="253"/>
        <v>0</v>
      </c>
      <c r="BN356" s="386">
        <f t="shared" si="230"/>
        <v>0</v>
      </c>
      <c r="BO356" s="386">
        <f t="shared" si="231"/>
        <v>0</v>
      </c>
      <c r="BP356" s="386">
        <f t="shared" si="232"/>
        <v>0</v>
      </c>
      <c r="BQ356" s="386">
        <f t="shared" si="233"/>
        <v>0</v>
      </c>
      <c r="BR356" s="386">
        <f t="shared" si="234"/>
        <v>0</v>
      </c>
      <c r="BS356" s="386">
        <f t="shared" si="235"/>
        <v>0</v>
      </c>
      <c r="BT356" s="386">
        <f t="shared" si="236"/>
        <v>0</v>
      </c>
      <c r="BU356" s="386">
        <f t="shared" si="237"/>
        <v>0</v>
      </c>
      <c r="BV356" s="386">
        <f t="shared" si="238"/>
        <v>0</v>
      </c>
      <c r="BW356" s="386">
        <f t="shared" si="239"/>
        <v>0</v>
      </c>
      <c r="BX356" s="386">
        <f t="shared" si="254"/>
        <v>0</v>
      </c>
      <c r="BY356" s="386">
        <f t="shared" si="255"/>
        <v>0</v>
      </c>
      <c r="BZ356" s="386">
        <f t="shared" si="256"/>
        <v>0</v>
      </c>
      <c r="CA356" s="386">
        <f t="shared" si="257"/>
        <v>0</v>
      </c>
      <c r="CB356" s="386">
        <f t="shared" si="258"/>
        <v>0</v>
      </c>
      <c r="CC356" s="386">
        <f t="shared" si="240"/>
        <v>0</v>
      </c>
      <c r="CD356" s="386">
        <f t="shared" si="241"/>
        <v>0</v>
      </c>
      <c r="CE356" s="386">
        <f t="shared" si="242"/>
        <v>0</v>
      </c>
      <c r="CF356" s="386">
        <f t="shared" si="243"/>
        <v>0</v>
      </c>
      <c r="CG356" s="386">
        <f t="shared" si="244"/>
        <v>0</v>
      </c>
      <c r="CH356" s="386">
        <f t="shared" si="245"/>
        <v>0</v>
      </c>
      <c r="CI356" s="386">
        <f t="shared" si="246"/>
        <v>0</v>
      </c>
      <c r="CJ356" s="386">
        <f t="shared" si="259"/>
        <v>0</v>
      </c>
      <c r="CK356" s="386" t="str">
        <f t="shared" si="260"/>
        <v/>
      </c>
      <c r="CL356" s="386" t="str">
        <f t="shared" si="261"/>
        <v/>
      </c>
      <c r="CM356" s="386" t="str">
        <f t="shared" si="262"/>
        <v/>
      </c>
      <c r="CN356" s="386" t="str">
        <f t="shared" si="263"/>
        <v>0338-02</v>
      </c>
    </row>
    <row r="357" spans="1:92" ht="15.75" thickBot="1" x14ac:dyDescent="0.3">
      <c r="A357" s="375" t="s">
        <v>161</v>
      </c>
      <c r="B357" s="375" t="s">
        <v>162</v>
      </c>
      <c r="C357" s="375" t="s">
        <v>1107</v>
      </c>
      <c r="D357" s="375" t="s">
        <v>1108</v>
      </c>
      <c r="E357" s="375" t="s">
        <v>526</v>
      </c>
      <c r="F357" s="381" t="s">
        <v>529</v>
      </c>
      <c r="G357" s="375" t="s">
        <v>1069</v>
      </c>
      <c r="H357" s="377"/>
      <c r="I357" s="377"/>
      <c r="J357" s="375" t="s">
        <v>218</v>
      </c>
      <c r="K357" s="375" t="s">
        <v>1109</v>
      </c>
      <c r="L357" s="375" t="s">
        <v>220</v>
      </c>
      <c r="M357" s="375" t="s">
        <v>177</v>
      </c>
      <c r="N357" s="375" t="s">
        <v>199</v>
      </c>
      <c r="O357" s="378">
        <v>1</v>
      </c>
      <c r="P357" s="384">
        <v>0.5</v>
      </c>
      <c r="Q357" s="384">
        <v>0.5</v>
      </c>
      <c r="R357" s="379">
        <v>80</v>
      </c>
      <c r="S357" s="384">
        <v>0.5</v>
      </c>
      <c r="T357" s="379">
        <v>23329.95</v>
      </c>
      <c r="U357" s="379">
        <v>0</v>
      </c>
      <c r="V357" s="379">
        <v>9428.33</v>
      </c>
      <c r="W357" s="379">
        <v>28631.200000000001</v>
      </c>
      <c r="X357" s="379">
        <v>11936.88</v>
      </c>
      <c r="Y357" s="379">
        <v>28631.200000000001</v>
      </c>
      <c r="Z357" s="379">
        <v>11799.46</v>
      </c>
      <c r="AA357" s="375" t="s">
        <v>1110</v>
      </c>
      <c r="AB357" s="375" t="s">
        <v>1111</v>
      </c>
      <c r="AC357" s="375" t="s">
        <v>1112</v>
      </c>
      <c r="AD357" s="375" t="s">
        <v>194</v>
      </c>
      <c r="AE357" s="375" t="s">
        <v>1109</v>
      </c>
      <c r="AF357" s="375" t="s">
        <v>252</v>
      </c>
      <c r="AG357" s="375" t="s">
        <v>183</v>
      </c>
      <c r="AH357" s="380">
        <v>27.53</v>
      </c>
      <c r="AI357" s="378">
        <v>16960</v>
      </c>
      <c r="AJ357" s="375" t="s">
        <v>184</v>
      </c>
      <c r="AK357" s="375" t="s">
        <v>185</v>
      </c>
      <c r="AL357" s="375" t="s">
        <v>173</v>
      </c>
      <c r="AM357" s="375" t="s">
        <v>186</v>
      </c>
      <c r="AN357" s="375" t="s">
        <v>68</v>
      </c>
      <c r="AO357" s="378">
        <v>80</v>
      </c>
      <c r="AP357" s="384">
        <v>1</v>
      </c>
      <c r="AQ357" s="384">
        <v>0.5</v>
      </c>
      <c r="AR357" s="383" t="s">
        <v>187</v>
      </c>
      <c r="AS357" s="386">
        <f t="shared" si="247"/>
        <v>0.5</v>
      </c>
      <c r="AT357">
        <f t="shared" si="248"/>
        <v>1</v>
      </c>
      <c r="AU357" s="386">
        <f>IF(AT357=0,"",IF(AND(AT357=1,M357="F",SUMIF(C2:C557,C357,AS2:AS557)&lt;=1),SUMIF(C2:C557,C357,AS2:AS557),IF(AND(AT357=1,M357="F",SUMIF(C2:C557,C357,AS2:AS557)&gt;1),1,"")))</f>
        <v>1</v>
      </c>
      <c r="AV357" s="386" t="str">
        <f>IF(AT357=0,"",IF(AND(AT357=3,M357="F",SUMIF(C2:C557,C357,AS2:AS557)&lt;=1),SUMIF(C2:C557,C357,AS2:AS557),IF(AND(AT357=3,M357="F",SUMIF(C2:C557,C357,AS2:AS557)&gt;1),1,"")))</f>
        <v/>
      </c>
      <c r="AW357" s="386">
        <f>SUMIF(C2:C557,C357,O2:O557)</f>
        <v>2</v>
      </c>
      <c r="AX357" s="386">
        <f>IF(AND(M357="F",AS357&lt;&gt;0),SUMIF(C2:C557,C357,W2:W557),0)</f>
        <v>57262.400000000001</v>
      </c>
      <c r="AY357" s="386">
        <f t="shared" si="249"/>
        <v>28631.200000000001</v>
      </c>
      <c r="AZ357" s="386" t="str">
        <f t="shared" si="250"/>
        <v/>
      </c>
      <c r="BA357" s="386">
        <f t="shared" si="251"/>
        <v>0</v>
      </c>
      <c r="BB357" s="386">
        <f t="shared" si="220"/>
        <v>5825</v>
      </c>
      <c r="BC357" s="386">
        <f t="shared" si="221"/>
        <v>0</v>
      </c>
      <c r="BD357" s="386">
        <f t="shared" si="222"/>
        <v>1775.1344000000001</v>
      </c>
      <c r="BE357" s="386">
        <f t="shared" si="223"/>
        <v>415.15240000000006</v>
      </c>
      <c r="BF357" s="386">
        <f t="shared" si="224"/>
        <v>3418.5652800000003</v>
      </c>
      <c r="BG357" s="386">
        <f t="shared" si="225"/>
        <v>206.43095200000002</v>
      </c>
      <c r="BH357" s="386">
        <f t="shared" si="226"/>
        <v>140.29288</v>
      </c>
      <c r="BI357" s="386">
        <f t="shared" si="227"/>
        <v>87.611471999999992</v>
      </c>
      <c r="BJ357" s="386">
        <f t="shared" si="228"/>
        <v>68.714879999999994</v>
      </c>
      <c r="BK357" s="386">
        <f t="shared" si="229"/>
        <v>0</v>
      </c>
      <c r="BL357" s="386">
        <f t="shared" si="252"/>
        <v>6111.9022640000003</v>
      </c>
      <c r="BM357" s="386">
        <f t="shared" si="253"/>
        <v>0</v>
      </c>
      <c r="BN357" s="386">
        <f t="shared" si="230"/>
        <v>5825</v>
      </c>
      <c r="BO357" s="386">
        <f t="shared" si="231"/>
        <v>0</v>
      </c>
      <c r="BP357" s="386">
        <f t="shared" si="232"/>
        <v>1775.1344000000001</v>
      </c>
      <c r="BQ357" s="386">
        <f t="shared" si="233"/>
        <v>415.15240000000006</v>
      </c>
      <c r="BR357" s="386">
        <f t="shared" si="234"/>
        <v>3418.5652800000003</v>
      </c>
      <c r="BS357" s="386">
        <f t="shared" si="235"/>
        <v>206.43095200000002</v>
      </c>
      <c r="BT357" s="386">
        <f t="shared" si="236"/>
        <v>0</v>
      </c>
      <c r="BU357" s="386">
        <f t="shared" si="237"/>
        <v>87.611471999999992</v>
      </c>
      <c r="BV357" s="386">
        <f t="shared" si="238"/>
        <v>71.578000000000003</v>
      </c>
      <c r="BW357" s="386">
        <f t="shared" si="239"/>
        <v>0</v>
      </c>
      <c r="BX357" s="386">
        <f t="shared" si="254"/>
        <v>5974.4725040000003</v>
      </c>
      <c r="BY357" s="386">
        <f t="shared" si="255"/>
        <v>0</v>
      </c>
      <c r="BZ357" s="386">
        <f t="shared" si="256"/>
        <v>0</v>
      </c>
      <c r="CA357" s="386">
        <f t="shared" si="257"/>
        <v>0</v>
      </c>
      <c r="CB357" s="386">
        <f t="shared" si="258"/>
        <v>0</v>
      </c>
      <c r="CC357" s="386">
        <f t="shared" si="240"/>
        <v>0</v>
      </c>
      <c r="CD357" s="386">
        <f t="shared" si="241"/>
        <v>0</v>
      </c>
      <c r="CE357" s="386">
        <f t="shared" si="242"/>
        <v>0</v>
      </c>
      <c r="CF357" s="386">
        <f t="shared" si="243"/>
        <v>-140.29288</v>
      </c>
      <c r="CG357" s="386">
        <f t="shared" si="244"/>
        <v>0</v>
      </c>
      <c r="CH357" s="386">
        <f t="shared" si="245"/>
        <v>2.8631200000000074</v>
      </c>
      <c r="CI357" s="386">
        <f t="shared" si="246"/>
        <v>0</v>
      </c>
      <c r="CJ357" s="386">
        <f t="shared" si="259"/>
        <v>-137.42975999999999</v>
      </c>
      <c r="CK357" s="386" t="str">
        <f t="shared" si="260"/>
        <v/>
      </c>
      <c r="CL357" s="386" t="str">
        <f t="shared" si="261"/>
        <v/>
      </c>
      <c r="CM357" s="386" t="str">
        <f t="shared" si="262"/>
        <v/>
      </c>
      <c r="CN357" s="386" t="str">
        <f t="shared" si="263"/>
        <v>0338-02</v>
      </c>
    </row>
    <row r="358" spans="1:92" ht="15.75" thickBot="1" x14ac:dyDescent="0.3">
      <c r="A358" s="375" t="s">
        <v>161</v>
      </c>
      <c r="B358" s="375" t="s">
        <v>162</v>
      </c>
      <c r="C358" s="375" t="s">
        <v>1367</v>
      </c>
      <c r="D358" s="375" t="s">
        <v>1368</v>
      </c>
      <c r="E358" s="375" t="s">
        <v>165</v>
      </c>
      <c r="F358" s="376" t="s">
        <v>166</v>
      </c>
      <c r="G358" s="375" t="s">
        <v>1369</v>
      </c>
      <c r="H358" s="377"/>
      <c r="I358" s="377"/>
      <c r="J358" s="375" t="s">
        <v>168</v>
      </c>
      <c r="K358" s="375" t="s">
        <v>1370</v>
      </c>
      <c r="L358" s="375" t="s">
        <v>220</v>
      </c>
      <c r="M358" s="375" t="s">
        <v>177</v>
      </c>
      <c r="N358" s="375" t="s">
        <v>199</v>
      </c>
      <c r="O358" s="378">
        <v>1</v>
      </c>
      <c r="P358" s="384">
        <v>1</v>
      </c>
      <c r="Q358" s="384">
        <v>1</v>
      </c>
      <c r="R358" s="379">
        <v>80</v>
      </c>
      <c r="S358" s="384">
        <v>1</v>
      </c>
      <c r="T358" s="379">
        <v>87220.800000000003</v>
      </c>
      <c r="U358" s="379">
        <v>0</v>
      </c>
      <c r="V358" s="379">
        <v>30416.5</v>
      </c>
      <c r="W358" s="379">
        <v>90230.399999999994</v>
      </c>
      <c r="X358" s="379">
        <v>30911.45</v>
      </c>
      <c r="Y358" s="379">
        <v>90230.399999999994</v>
      </c>
      <c r="Z358" s="379">
        <v>30478.35</v>
      </c>
      <c r="AA358" s="375" t="s">
        <v>1371</v>
      </c>
      <c r="AB358" s="375" t="s">
        <v>1372</v>
      </c>
      <c r="AC358" s="375" t="s">
        <v>1373</v>
      </c>
      <c r="AD358" s="375" t="s">
        <v>185</v>
      </c>
      <c r="AE358" s="375" t="s">
        <v>1370</v>
      </c>
      <c r="AF358" s="375" t="s">
        <v>252</v>
      </c>
      <c r="AG358" s="375" t="s">
        <v>183</v>
      </c>
      <c r="AH358" s="380">
        <v>43.38</v>
      </c>
      <c r="AI358" s="380">
        <v>72008.800000000003</v>
      </c>
      <c r="AJ358" s="375" t="s">
        <v>184</v>
      </c>
      <c r="AK358" s="375" t="s">
        <v>185</v>
      </c>
      <c r="AL358" s="375" t="s">
        <v>173</v>
      </c>
      <c r="AM358" s="375" t="s">
        <v>186</v>
      </c>
      <c r="AN358" s="375" t="s">
        <v>68</v>
      </c>
      <c r="AO358" s="378">
        <v>80</v>
      </c>
      <c r="AP358" s="384">
        <v>1</v>
      </c>
      <c r="AQ358" s="384">
        <v>1</v>
      </c>
      <c r="AR358" s="383" t="s">
        <v>187</v>
      </c>
      <c r="AS358" s="386">
        <f t="shared" si="247"/>
        <v>1</v>
      </c>
      <c r="AT358">
        <f t="shared" si="248"/>
        <v>1</v>
      </c>
      <c r="AU358" s="386">
        <f>IF(AT358=0,"",IF(AND(AT358=1,M358="F",SUMIF(C2:C557,C358,AS2:AS557)&lt;=1),SUMIF(C2:C557,C358,AS2:AS557),IF(AND(AT358=1,M358="F",SUMIF(C2:C557,C358,AS2:AS557)&gt;1),1,"")))</f>
        <v>1</v>
      </c>
      <c r="AV358" s="386" t="str">
        <f>IF(AT358=0,"",IF(AND(AT358=3,M358="F",SUMIF(C2:C557,C358,AS2:AS557)&lt;=1),SUMIF(C2:C557,C358,AS2:AS557),IF(AND(AT358=3,M358="F",SUMIF(C2:C557,C358,AS2:AS557)&gt;1),1,"")))</f>
        <v/>
      </c>
      <c r="AW358" s="386">
        <f>SUMIF(C2:C557,C358,O2:O557)</f>
        <v>1</v>
      </c>
      <c r="AX358" s="386">
        <f>IF(AND(M358="F",AS358&lt;&gt;0),SUMIF(C2:C557,C358,W2:W557),0)</f>
        <v>90230.399999999994</v>
      </c>
      <c r="AY358" s="386">
        <f t="shared" si="249"/>
        <v>90230.399999999994</v>
      </c>
      <c r="AZ358" s="386" t="str">
        <f t="shared" si="250"/>
        <v/>
      </c>
      <c r="BA358" s="386">
        <f t="shared" si="251"/>
        <v>0</v>
      </c>
      <c r="BB358" s="386">
        <f t="shared" si="220"/>
        <v>11650</v>
      </c>
      <c r="BC358" s="386">
        <f t="shared" si="221"/>
        <v>0</v>
      </c>
      <c r="BD358" s="386">
        <f t="shared" si="222"/>
        <v>5594.2847999999994</v>
      </c>
      <c r="BE358" s="386">
        <f t="shared" si="223"/>
        <v>1308.3407999999999</v>
      </c>
      <c r="BF358" s="386">
        <f t="shared" si="224"/>
        <v>10773.509759999999</v>
      </c>
      <c r="BG358" s="386">
        <f t="shared" si="225"/>
        <v>650.56118400000003</v>
      </c>
      <c r="BH358" s="386">
        <f t="shared" si="226"/>
        <v>442.12895999999995</v>
      </c>
      <c r="BI358" s="386">
        <f t="shared" si="227"/>
        <v>276.10502399999996</v>
      </c>
      <c r="BJ358" s="386">
        <f t="shared" si="228"/>
        <v>216.55295999999996</v>
      </c>
      <c r="BK358" s="386">
        <f t="shared" si="229"/>
        <v>0</v>
      </c>
      <c r="BL358" s="386">
        <f t="shared" si="252"/>
        <v>19261.483487999998</v>
      </c>
      <c r="BM358" s="386">
        <f t="shared" si="253"/>
        <v>0</v>
      </c>
      <c r="BN358" s="386">
        <f t="shared" si="230"/>
        <v>11650</v>
      </c>
      <c r="BO358" s="386">
        <f t="shared" si="231"/>
        <v>0</v>
      </c>
      <c r="BP358" s="386">
        <f t="shared" si="232"/>
        <v>5594.2847999999994</v>
      </c>
      <c r="BQ358" s="386">
        <f t="shared" si="233"/>
        <v>1308.3407999999999</v>
      </c>
      <c r="BR358" s="386">
        <f t="shared" si="234"/>
        <v>10773.509759999999</v>
      </c>
      <c r="BS358" s="386">
        <f t="shared" si="235"/>
        <v>650.56118400000003</v>
      </c>
      <c r="BT358" s="386">
        <f t="shared" si="236"/>
        <v>0</v>
      </c>
      <c r="BU358" s="386">
        <f t="shared" si="237"/>
        <v>276.10502399999996</v>
      </c>
      <c r="BV358" s="386">
        <f t="shared" si="238"/>
        <v>225.57599999999999</v>
      </c>
      <c r="BW358" s="386">
        <f t="shared" si="239"/>
        <v>0</v>
      </c>
      <c r="BX358" s="386">
        <f t="shared" si="254"/>
        <v>18828.377568</v>
      </c>
      <c r="BY358" s="386">
        <f t="shared" si="255"/>
        <v>0</v>
      </c>
      <c r="BZ358" s="386">
        <f t="shared" si="256"/>
        <v>0</v>
      </c>
      <c r="CA358" s="386">
        <f t="shared" si="257"/>
        <v>0</v>
      </c>
      <c r="CB358" s="386">
        <f t="shared" si="258"/>
        <v>0</v>
      </c>
      <c r="CC358" s="386">
        <f t="shared" si="240"/>
        <v>0</v>
      </c>
      <c r="CD358" s="386">
        <f t="shared" si="241"/>
        <v>0</v>
      </c>
      <c r="CE358" s="386">
        <f t="shared" si="242"/>
        <v>0</v>
      </c>
      <c r="CF358" s="386">
        <f t="shared" si="243"/>
        <v>-442.12895999999995</v>
      </c>
      <c r="CG358" s="386">
        <f t="shared" si="244"/>
        <v>0</v>
      </c>
      <c r="CH358" s="386">
        <f t="shared" si="245"/>
        <v>9.023040000000023</v>
      </c>
      <c r="CI358" s="386">
        <f t="shared" si="246"/>
        <v>0</v>
      </c>
      <c r="CJ358" s="386">
        <f t="shared" si="259"/>
        <v>-433.10591999999991</v>
      </c>
      <c r="CK358" s="386" t="str">
        <f t="shared" si="260"/>
        <v/>
      </c>
      <c r="CL358" s="386" t="str">
        <f t="shared" si="261"/>
        <v/>
      </c>
      <c r="CM358" s="386" t="str">
        <f t="shared" si="262"/>
        <v/>
      </c>
      <c r="CN358" s="386" t="str">
        <f t="shared" si="263"/>
        <v>0001-00</v>
      </c>
    </row>
    <row r="359" spans="1:92" ht="15.75" thickBot="1" x14ac:dyDescent="0.3">
      <c r="A359" s="375" t="s">
        <v>161</v>
      </c>
      <c r="B359" s="375" t="s">
        <v>162</v>
      </c>
      <c r="C359" s="375" t="s">
        <v>1374</v>
      </c>
      <c r="D359" s="375" t="s">
        <v>259</v>
      </c>
      <c r="E359" s="375" t="s">
        <v>165</v>
      </c>
      <c r="F359" s="376" t="s">
        <v>166</v>
      </c>
      <c r="G359" s="375" t="s">
        <v>1369</v>
      </c>
      <c r="H359" s="377"/>
      <c r="I359" s="377"/>
      <c r="J359" s="375" t="s">
        <v>168</v>
      </c>
      <c r="K359" s="375" t="s">
        <v>260</v>
      </c>
      <c r="L359" s="375" t="s">
        <v>261</v>
      </c>
      <c r="M359" s="375" t="s">
        <v>171</v>
      </c>
      <c r="N359" s="375" t="s">
        <v>262</v>
      </c>
      <c r="O359" s="378">
        <v>0</v>
      </c>
      <c r="P359" s="384">
        <v>1</v>
      </c>
      <c r="Q359" s="384">
        <v>0</v>
      </c>
      <c r="R359" s="379">
        <v>0</v>
      </c>
      <c r="S359" s="384">
        <v>0</v>
      </c>
      <c r="T359" s="379">
        <v>0</v>
      </c>
      <c r="U359" s="379">
        <v>0</v>
      </c>
      <c r="V359" s="379">
        <v>0</v>
      </c>
      <c r="W359" s="379">
        <v>0</v>
      </c>
      <c r="X359" s="379">
        <v>0</v>
      </c>
      <c r="Y359" s="379">
        <v>0</v>
      </c>
      <c r="Z359" s="379">
        <v>0</v>
      </c>
      <c r="AA359" s="377"/>
      <c r="AB359" s="375" t="s">
        <v>45</v>
      </c>
      <c r="AC359" s="375" t="s">
        <v>45</v>
      </c>
      <c r="AD359" s="377"/>
      <c r="AE359" s="377"/>
      <c r="AF359" s="377"/>
      <c r="AG359" s="377"/>
      <c r="AH359" s="378">
        <v>0</v>
      </c>
      <c r="AI359" s="378">
        <v>0</v>
      </c>
      <c r="AJ359" s="377"/>
      <c r="AK359" s="377"/>
      <c r="AL359" s="375" t="s">
        <v>173</v>
      </c>
      <c r="AM359" s="377"/>
      <c r="AN359" s="377"/>
      <c r="AO359" s="378">
        <v>0</v>
      </c>
      <c r="AP359" s="384">
        <v>0</v>
      </c>
      <c r="AQ359" s="384">
        <v>0</v>
      </c>
      <c r="AR359" s="382"/>
      <c r="AS359" s="386">
        <f t="shared" si="247"/>
        <v>0</v>
      </c>
      <c r="AT359">
        <f t="shared" si="248"/>
        <v>0</v>
      </c>
      <c r="AU359" s="386" t="str">
        <f>IF(AT359=0,"",IF(AND(AT359=1,M359="F",SUMIF(C2:C557,C359,AS2:AS557)&lt;=1),SUMIF(C2:C557,C359,AS2:AS557),IF(AND(AT359=1,M359="F",SUMIF(C2:C557,C359,AS2:AS557)&gt;1),1,"")))</f>
        <v/>
      </c>
      <c r="AV359" s="386" t="str">
        <f>IF(AT359=0,"",IF(AND(AT359=3,M359="F",SUMIF(C2:C557,C359,AS2:AS557)&lt;=1),SUMIF(C2:C557,C359,AS2:AS557),IF(AND(AT359=3,M359="F",SUMIF(C2:C557,C359,AS2:AS557)&gt;1),1,"")))</f>
        <v/>
      </c>
      <c r="AW359" s="386">
        <f>SUMIF(C2:C557,C359,O2:O557)</f>
        <v>0</v>
      </c>
      <c r="AX359" s="386">
        <f>IF(AND(M359="F",AS359&lt;&gt;0),SUMIF(C2:C557,C359,W2:W557),0)</f>
        <v>0</v>
      </c>
      <c r="AY359" s="386" t="str">
        <f t="shared" si="249"/>
        <v/>
      </c>
      <c r="AZ359" s="386" t="str">
        <f t="shared" si="250"/>
        <v/>
      </c>
      <c r="BA359" s="386">
        <f t="shared" si="251"/>
        <v>0</v>
      </c>
      <c r="BB359" s="386">
        <f t="shared" si="220"/>
        <v>0</v>
      </c>
      <c r="BC359" s="386">
        <f t="shared" si="221"/>
        <v>0</v>
      </c>
      <c r="BD359" s="386">
        <f t="shared" si="222"/>
        <v>0</v>
      </c>
      <c r="BE359" s="386">
        <f t="shared" si="223"/>
        <v>0</v>
      </c>
      <c r="BF359" s="386">
        <f t="shared" si="224"/>
        <v>0</v>
      </c>
      <c r="BG359" s="386">
        <f t="shared" si="225"/>
        <v>0</v>
      </c>
      <c r="BH359" s="386">
        <f t="shared" si="226"/>
        <v>0</v>
      </c>
      <c r="BI359" s="386">
        <f t="shared" si="227"/>
        <v>0</v>
      </c>
      <c r="BJ359" s="386">
        <f t="shared" si="228"/>
        <v>0</v>
      </c>
      <c r="BK359" s="386">
        <f t="shared" si="229"/>
        <v>0</v>
      </c>
      <c r="BL359" s="386">
        <f t="shared" si="252"/>
        <v>0</v>
      </c>
      <c r="BM359" s="386">
        <f t="shared" si="253"/>
        <v>0</v>
      </c>
      <c r="BN359" s="386">
        <f t="shared" si="230"/>
        <v>0</v>
      </c>
      <c r="BO359" s="386">
        <f t="shared" si="231"/>
        <v>0</v>
      </c>
      <c r="BP359" s="386">
        <f t="shared" si="232"/>
        <v>0</v>
      </c>
      <c r="BQ359" s="386">
        <f t="shared" si="233"/>
        <v>0</v>
      </c>
      <c r="BR359" s="386">
        <f t="shared" si="234"/>
        <v>0</v>
      </c>
      <c r="BS359" s="386">
        <f t="shared" si="235"/>
        <v>0</v>
      </c>
      <c r="BT359" s="386">
        <f t="shared" si="236"/>
        <v>0</v>
      </c>
      <c r="BU359" s="386">
        <f t="shared" si="237"/>
        <v>0</v>
      </c>
      <c r="BV359" s="386">
        <f t="shared" si="238"/>
        <v>0</v>
      </c>
      <c r="BW359" s="386">
        <f t="shared" si="239"/>
        <v>0</v>
      </c>
      <c r="BX359" s="386">
        <f t="shared" si="254"/>
        <v>0</v>
      </c>
      <c r="BY359" s="386">
        <f t="shared" si="255"/>
        <v>0</v>
      </c>
      <c r="BZ359" s="386">
        <f t="shared" si="256"/>
        <v>0</v>
      </c>
      <c r="CA359" s="386">
        <f t="shared" si="257"/>
        <v>0</v>
      </c>
      <c r="CB359" s="386">
        <f t="shared" si="258"/>
        <v>0</v>
      </c>
      <c r="CC359" s="386">
        <f t="shared" si="240"/>
        <v>0</v>
      </c>
      <c r="CD359" s="386">
        <f t="shared" si="241"/>
        <v>0</v>
      </c>
      <c r="CE359" s="386">
        <f t="shared" si="242"/>
        <v>0</v>
      </c>
      <c r="CF359" s="386">
        <f t="shared" si="243"/>
        <v>0</v>
      </c>
      <c r="CG359" s="386">
        <f t="shared" si="244"/>
        <v>0</v>
      </c>
      <c r="CH359" s="386">
        <f t="shared" si="245"/>
        <v>0</v>
      </c>
      <c r="CI359" s="386">
        <f t="shared" si="246"/>
        <v>0</v>
      </c>
      <c r="CJ359" s="386">
        <f t="shared" si="259"/>
        <v>0</v>
      </c>
      <c r="CK359" s="386" t="str">
        <f t="shared" si="260"/>
        <v/>
      </c>
      <c r="CL359" s="386">
        <f t="shared" si="261"/>
        <v>0</v>
      </c>
      <c r="CM359" s="386">
        <f t="shared" si="262"/>
        <v>0</v>
      </c>
      <c r="CN359" s="386" t="str">
        <f t="shared" si="263"/>
        <v>0001-00</v>
      </c>
    </row>
    <row r="360" spans="1:92" ht="15.75" thickBot="1" x14ac:dyDescent="0.3">
      <c r="A360" s="375" t="s">
        <v>161</v>
      </c>
      <c r="B360" s="375" t="s">
        <v>162</v>
      </c>
      <c r="C360" s="375" t="s">
        <v>1375</v>
      </c>
      <c r="D360" s="375" t="s">
        <v>247</v>
      </c>
      <c r="E360" s="375" t="s">
        <v>165</v>
      </c>
      <c r="F360" s="376" t="s">
        <v>166</v>
      </c>
      <c r="G360" s="375" t="s">
        <v>1369</v>
      </c>
      <c r="H360" s="377"/>
      <c r="I360" s="377"/>
      <c r="J360" s="375" t="s">
        <v>168</v>
      </c>
      <c r="K360" s="375" t="s">
        <v>284</v>
      </c>
      <c r="L360" s="375" t="s">
        <v>198</v>
      </c>
      <c r="M360" s="375" t="s">
        <v>177</v>
      </c>
      <c r="N360" s="375" t="s">
        <v>199</v>
      </c>
      <c r="O360" s="378">
        <v>1</v>
      </c>
      <c r="P360" s="384">
        <v>1</v>
      </c>
      <c r="Q360" s="384">
        <v>1</v>
      </c>
      <c r="R360" s="379">
        <v>80</v>
      </c>
      <c r="S360" s="384">
        <v>1</v>
      </c>
      <c r="T360" s="379">
        <v>54553.71</v>
      </c>
      <c r="U360" s="379">
        <v>0</v>
      </c>
      <c r="V360" s="379">
        <v>22837.07</v>
      </c>
      <c r="W360" s="379">
        <v>64688</v>
      </c>
      <c r="X360" s="379">
        <v>25458.92</v>
      </c>
      <c r="Y360" s="379">
        <v>64688</v>
      </c>
      <c r="Z360" s="379">
        <v>25148.42</v>
      </c>
      <c r="AA360" s="375" t="s">
        <v>1376</v>
      </c>
      <c r="AB360" s="375" t="s">
        <v>1377</v>
      </c>
      <c r="AC360" s="375" t="s">
        <v>1378</v>
      </c>
      <c r="AD360" s="375" t="s">
        <v>220</v>
      </c>
      <c r="AE360" s="375" t="s">
        <v>284</v>
      </c>
      <c r="AF360" s="375" t="s">
        <v>245</v>
      </c>
      <c r="AG360" s="375" t="s">
        <v>183</v>
      </c>
      <c r="AH360" s="380">
        <v>31.1</v>
      </c>
      <c r="AI360" s="380">
        <v>68187.600000000006</v>
      </c>
      <c r="AJ360" s="375" t="s">
        <v>184</v>
      </c>
      <c r="AK360" s="375" t="s">
        <v>185</v>
      </c>
      <c r="AL360" s="375" t="s">
        <v>173</v>
      </c>
      <c r="AM360" s="375" t="s">
        <v>186</v>
      </c>
      <c r="AN360" s="375" t="s">
        <v>68</v>
      </c>
      <c r="AO360" s="378">
        <v>80</v>
      </c>
      <c r="AP360" s="384">
        <v>1</v>
      </c>
      <c r="AQ360" s="384">
        <v>1</v>
      </c>
      <c r="AR360" s="383" t="s">
        <v>187</v>
      </c>
      <c r="AS360" s="386">
        <f t="shared" si="247"/>
        <v>1</v>
      </c>
      <c r="AT360">
        <f t="shared" si="248"/>
        <v>1</v>
      </c>
      <c r="AU360" s="386">
        <f>IF(AT360=0,"",IF(AND(AT360=1,M360="F",SUMIF(C2:C557,C360,AS2:AS557)&lt;=1),SUMIF(C2:C557,C360,AS2:AS557),IF(AND(AT360=1,M360="F",SUMIF(C2:C557,C360,AS2:AS557)&gt;1),1,"")))</f>
        <v>1</v>
      </c>
      <c r="AV360" s="386" t="str">
        <f>IF(AT360=0,"",IF(AND(AT360=3,M360="F",SUMIF(C2:C557,C360,AS2:AS557)&lt;=1),SUMIF(C2:C557,C360,AS2:AS557),IF(AND(AT360=3,M360="F",SUMIF(C2:C557,C360,AS2:AS557)&gt;1),1,"")))</f>
        <v/>
      </c>
      <c r="AW360" s="386">
        <f>SUMIF(C2:C557,C360,O2:O557)</f>
        <v>1</v>
      </c>
      <c r="AX360" s="386">
        <f>IF(AND(M360="F",AS360&lt;&gt;0),SUMIF(C2:C557,C360,W2:W557),0)</f>
        <v>64688</v>
      </c>
      <c r="AY360" s="386">
        <f t="shared" si="249"/>
        <v>64688</v>
      </c>
      <c r="AZ360" s="386" t="str">
        <f t="shared" si="250"/>
        <v/>
      </c>
      <c r="BA360" s="386">
        <f t="shared" si="251"/>
        <v>0</v>
      </c>
      <c r="BB360" s="386">
        <f t="shared" si="220"/>
        <v>11650</v>
      </c>
      <c r="BC360" s="386">
        <f t="shared" si="221"/>
        <v>0</v>
      </c>
      <c r="BD360" s="386">
        <f t="shared" si="222"/>
        <v>4010.6559999999999</v>
      </c>
      <c r="BE360" s="386">
        <f t="shared" si="223"/>
        <v>937.976</v>
      </c>
      <c r="BF360" s="386">
        <f t="shared" si="224"/>
        <v>7723.7472000000007</v>
      </c>
      <c r="BG360" s="386">
        <f t="shared" si="225"/>
        <v>466.40048000000002</v>
      </c>
      <c r="BH360" s="386">
        <f t="shared" si="226"/>
        <v>316.97120000000001</v>
      </c>
      <c r="BI360" s="386">
        <f t="shared" si="227"/>
        <v>197.94528</v>
      </c>
      <c r="BJ360" s="386">
        <f t="shared" si="228"/>
        <v>155.25119999999998</v>
      </c>
      <c r="BK360" s="386">
        <f t="shared" si="229"/>
        <v>0</v>
      </c>
      <c r="BL360" s="386">
        <f t="shared" si="252"/>
        <v>13808.94736</v>
      </c>
      <c r="BM360" s="386">
        <f t="shared" si="253"/>
        <v>0</v>
      </c>
      <c r="BN360" s="386">
        <f t="shared" si="230"/>
        <v>11650</v>
      </c>
      <c r="BO360" s="386">
        <f t="shared" si="231"/>
        <v>0</v>
      </c>
      <c r="BP360" s="386">
        <f t="shared" si="232"/>
        <v>4010.6559999999999</v>
      </c>
      <c r="BQ360" s="386">
        <f t="shared" si="233"/>
        <v>937.976</v>
      </c>
      <c r="BR360" s="386">
        <f t="shared" si="234"/>
        <v>7723.7472000000007</v>
      </c>
      <c r="BS360" s="386">
        <f t="shared" si="235"/>
        <v>466.40048000000002</v>
      </c>
      <c r="BT360" s="386">
        <f t="shared" si="236"/>
        <v>0</v>
      </c>
      <c r="BU360" s="386">
        <f t="shared" si="237"/>
        <v>197.94528</v>
      </c>
      <c r="BV360" s="386">
        <f t="shared" si="238"/>
        <v>161.72</v>
      </c>
      <c r="BW360" s="386">
        <f t="shared" si="239"/>
        <v>0</v>
      </c>
      <c r="BX360" s="386">
        <f t="shared" si="254"/>
        <v>13498.444959999999</v>
      </c>
      <c r="BY360" s="386">
        <f t="shared" si="255"/>
        <v>0</v>
      </c>
      <c r="BZ360" s="386">
        <f t="shared" si="256"/>
        <v>0</v>
      </c>
      <c r="CA360" s="386">
        <f t="shared" si="257"/>
        <v>0</v>
      </c>
      <c r="CB360" s="386">
        <f t="shared" si="258"/>
        <v>0</v>
      </c>
      <c r="CC360" s="386">
        <f t="shared" si="240"/>
        <v>0</v>
      </c>
      <c r="CD360" s="386">
        <f t="shared" si="241"/>
        <v>0</v>
      </c>
      <c r="CE360" s="386">
        <f t="shared" si="242"/>
        <v>0</v>
      </c>
      <c r="CF360" s="386">
        <f t="shared" si="243"/>
        <v>-316.97120000000001</v>
      </c>
      <c r="CG360" s="386">
        <f t="shared" si="244"/>
        <v>0</v>
      </c>
      <c r="CH360" s="386">
        <f t="shared" si="245"/>
        <v>6.4688000000000168</v>
      </c>
      <c r="CI360" s="386">
        <f t="shared" si="246"/>
        <v>0</v>
      </c>
      <c r="CJ360" s="386">
        <f t="shared" si="259"/>
        <v>-310.50239999999997</v>
      </c>
      <c r="CK360" s="386" t="str">
        <f t="shared" si="260"/>
        <v/>
      </c>
      <c r="CL360" s="386" t="str">
        <f t="shared" si="261"/>
        <v/>
      </c>
      <c r="CM360" s="386" t="str">
        <f t="shared" si="262"/>
        <v/>
      </c>
      <c r="CN360" s="386" t="str">
        <f t="shared" si="263"/>
        <v>0001-00</v>
      </c>
    </row>
    <row r="361" spans="1:92" ht="15.75" thickBot="1" x14ac:dyDescent="0.3">
      <c r="A361" s="375" t="s">
        <v>161</v>
      </c>
      <c r="B361" s="375" t="s">
        <v>162</v>
      </c>
      <c r="C361" s="375" t="s">
        <v>1379</v>
      </c>
      <c r="D361" s="375" t="s">
        <v>259</v>
      </c>
      <c r="E361" s="375" t="s">
        <v>165</v>
      </c>
      <c r="F361" s="376" t="s">
        <v>166</v>
      </c>
      <c r="G361" s="375" t="s">
        <v>1369</v>
      </c>
      <c r="H361" s="377"/>
      <c r="I361" s="377"/>
      <c r="J361" s="375" t="s">
        <v>168</v>
      </c>
      <c r="K361" s="375" t="s">
        <v>260</v>
      </c>
      <c r="L361" s="375" t="s">
        <v>261</v>
      </c>
      <c r="M361" s="375" t="s">
        <v>171</v>
      </c>
      <c r="N361" s="375" t="s">
        <v>262</v>
      </c>
      <c r="O361" s="378">
        <v>0</v>
      </c>
      <c r="P361" s="384">
        <v>1</v>
      </c>
      <c r="Q361" s="384">
        <v>0</v>
      </c>
      <c r="R361" s="379">
        <v>0</v>
      </c>
      <c r="S361" s="384">
        <v>0</v>
      </c>
      <c r="T361" s="379">
        <v>0</v>
      </c>
      <c r="U361" s="379">
        <v>0</v>
      </c>
      <c r="V361" s="379">
        <v>0</v>
      </c>
      <c r="W361" s="379">
        <v>0</v>
      </c>
      <c r="X361" s="379">
        <v>0</v>
      </c>
      <c r="Y361" s="379">
        <v>0</v>
      </c>
      <c r="Z361" s="379">
        <v>0</v>
      </c>
      <c r="AA361" s="377"/>
      <c r="AB361" s="375" t="s">
        <v>45</v>
      </c>
      <c r="AC361" s="375" t="s">
        <v>45</v>
      </c>
      <c r="AD361" s="377"/>
      <c r="AE361" s="377"/>
      <c r="AF361" s="377"/>
      <c r="AG361" s="377"/>
      <c r="AH361" s="378">
        <v>0</v>
      </c>
      <c r="AI361" s="378">
        <v>0</v>
      </c>
      <c r="AJ361" s="377"/>
      <c r="AK361" s="377"/>
      <c r="AL361" s="375" t="s">
        <v>173</v>
      </c>
      <c r="AM361" s="377"/>
      <c r="AN361" s="377"/>
      <c r="AO361" s="378">
        <v>0</v>
      </c>
      <c r="AP361" s="384">
        <v>0</v>
      </c>
      <c r="AQ361" s="384">
        <v>0</v>
      </c>
      <c r="AR361" s="382"/>
      <c r="AS361" s="386">
        <f t="shared" si="247"/>
        <v>0</v>
      </c>
      <c r="AT361">
        <f t="shared" si="248"/>
        <v>0</v>
      </c>
      <c r="AU361" s="386" t="str">
        <f>IF(AT361=0,"",IF(AND(AT361=1,M361="F",SUMIF(C2:C557,C361,AS2:AS557)&lt;=1),SUMIF(C2:C557,C361,AS2:AS557),IF(AND(AT361=1,M361="F",SUMIF(C2:C557,C361,AS2:AS557)&gt;1),1,"")))</f>
        <v/>
      </c>
      <c r="AV361" s="386" t="str">
        <f>IF(AT361=0,"",IF(AND(AT361=3,M361="F",SUMIF(C2:C557,C361,AS2:AS557)&lt;=1),SUMIF(C2:C557,C361,AS2:AS557),IF(AND(AT361=3,M361="F",SUMIF(C2:C557,C361,AS2:AS557)&gt;1),1,"")))</f>
        <v/>
      </c>
      <c r="AW361" s="386">
        <f>SUMIF(C2:C557,C361,O2:O557)</f>
        <v>0</v>
      </c>
      <c r="AX361" s="386">
        <f>IF(AND(M361="F",AS361&lt;&gt;0),SUMIF(C2:C557,C361,W2:W557),0)</f>
        <v>0</v>
      </c>
      <c r="AY361" s="386" t="str">
        <f t="shared" si="249"/>
        <v/>
      </c>
      <c r="AZ361" s="386" t="str">
        <f t="shared" si="250"/>
        <v/>
      </c>
      <c r="BA361" s="386">
        <f t="shared" si="251"/>
        <v>0</v>
      </c>
      <c r="BB361" s="386">
        <f t="shared" si="220"/>
        <v>0</v>
      </c>
      <c r="BC361" s="386">
        <f t="shared" si="221"/>
        <v>0</v>
      </c>
      <c r="BD361" s="386">
        <f t="shared" si="222"/>
        <v>0</v>
      </c>
      <c r="BE361" s="386">
        <f t="shared" si="223"/>
        <v>0</v>
      </c>
      <c r="BF361" s="386">
        <f t="shared" si="224"/>
        <v>0</v>
      </c>
      <c r="BG361" s="386">
        <f t="shared" si="225"/>
        <v>0</v>
      </c>
      <c r="BH361" s="386">
        <f t="shared" si="226"/>
        <v>0</v>
      </c>
      <c r="BI361" s="386">
        <f t="shared" si="227"/>
        <v>0</v>
      </c>
      <c r="BJ361" s="386">
        <f t="shared" si="228"/>
        <v>0</v>
      </c>
      <c r="BK361" s="386">
        <f t="shared" si="229"/>
        <v>0</v>
      </c>
      <c r="BL361" s="386">
        <f t="shared" si="252"/>
        <v>0</v>
      </c>
      <c r="BM361" s="386">
        <f t="shared" si="253"/>
        <v>0</v>
      </c>
      <c r="BN361" s="386">
        <f t="shared" si="230"/>
        <v>0</v>
      </c>
      <c r="BO361" s="386">
        <f t="shared" si="231"/>
        <v>0</v>
      </c>
      <c r="BP361" s="386">
        <f t="shared" si="232"/>
        <v>0</v>
      </c>
      <c r="BQ361" s="386">
        <f t="shared" si="233"/>
        <v>0</v>
      </c>
      <c r="BR361" s="386">
        <f t="shared" si="234"/>
        <v>0</v>
      </c>
      <c r="BS361" s="386">
        <f t="shared" si="235"/>
        <v>0</v>
      </c>
      <c r="BT361" s="386">
        <f t="shared" si="236"/>
        <v>0</v>
      </c>
      <c r="BU361" s="386">
        <f t="shared" si="237"/>
        <v>0</v>
      </c>
      <c r="BV361" s="386">
        <f t="shared" si="238"/>
        <v>0</v>
      </c>
      <c r="BW361" s="386">
        <f t="shared" si="239"/>
        <v>0</v>
      </c>
      <c r="BX361" s="386">
        <f t="shared" si="254"/>
        <v>0</v>
      </c>
      <c r="BY361" s="386">
        <f t="shared" si="255"/>
        <v>0</v>
      </c>
      <c r="BZ361" s="386">
        <f t="shared" si="256"/>
        <v>0</v>
      </c>
      <c r="CA361" s="386">
        <f t="shared" si="257"/>
        <v>0</v>
      </c>
      <c r="CB361" s="386">
        <f t="shared" si="258"/>
        <v>0</v>
      </c>
      <c r="CC361" s="386">
        <f t="shared" si="240"/>
        <v>0</v>
      </c>
      <c r="CD361" s="386">
        <f t="shared" si="241"/>
        <v>0</v>
      </c>
      <c r="CE361" s="386">
        <f t="shared" si="242"/>
        <v>0</v>
      </c>
      <c r="CF361" s="386">
        <f t="shared" si="243"/>
        <v>0</v>
      </c>
      <c r="CG361" s="386">
        <f t="shared" si="244"/>
        <v>0</v>
      </c>
      <c r="CH361" s="386">
        <f t="shared" si="245"/>
        <v>0</v>
      </c>
      <c r="CI361" s="386">
        <f t="shared" si="246"/>
        <v>0</v>
      </c>
      <c r="CJ361" s="386">
        <f t="shared" si="259"/>
        <v>0</v>
      </c>
      <c r="CK361" s="386" t="str">
        <f t="shared" si="260"/>
        <v/>
      </c>
      <c r="CL361" s="386">
        <f t="shared" si="261"/>
        <v>0</v>
      </c>
      <c r="CM361" s="386">
        <f t="shared" si="262"/>
        <v>0</v>
      </c>
      <c r="CN361" s="386" t="str">
        <f t="shared" si="263"/>
        <v>0001-00</v>
      </c>
    </row>
    <row r="362" spans="1:92" ht="15.75" thickBot="1" x14ac:dyDescent="0.3">
      <c r="A362" s="375" t="s">
        <v>161</v>
      </c>
      <c r="B362" s="375" t="s">
        <v>162</v>
      </c>
      <c r="C362" s="375" t="s">
        <v>1380</v>
      </c>
      <c r="D362" s="375" t="s">
        <v>247</v>
      </c>
      <c r="E362" s="375" t="s">
        <v>165</v>
      </c>
      <c r="F362" s="376" t="s">
        <v>166</v>
      </c>
      <c r="G362" s="375" t="s">
        <v>1369</v>
      </c>
      <c r="H362" s="377"/>
      <c r="I362" s="377"/>
      <c r="J362" s="375" t="s">
        <v>168</v>
      </c>
      <c r="K362" s="375" t="s">
        <v>284</v>
      </c>
      <c r="L362" s="375" t="s">
        <v>198</v>
      </c>
      <c r="M362" s="375" t="s">
        <v>177</v>
      </c>
      <c r="N362" s="375" t="s">
        <v>199</v>
      </c>
      <c r="O362" s="378">
        <v>1</v>
      </c>
      <c r="P362" s="384">
        <v>1</v>
      </c>
      <c r="Q362" s="384">
        <v>1</v>
      </c>
      <c r="R362" s="379">
        <v>80</v>
      </c>
      <c r="S362" s="384">
        <v>1</v>
      </c>
      <c r="T362" s="379">
        <v>37188.78</v>
      </c>
      <c r="U362" s="379">
        <v>0</v>
      </c>
      <c r="V362" s="379">
        <v>17181.919999999998</v>
      </c>
      <c r="W362" s="379">
        <v>42972.800000000003</v>
      </c>
      <c r="X362" s="379">
        <v>20823.37</v>
      </c>
      <c r="Y362" s="379">
        <v>42972.800000000003</v>
      </c>
      <c r="Z362" s="379">
        <v>20617.11</v>
      </c>
      <c r="AA362" s="375" t="s">
        <v>1381</v>
      </c>
      <c r="AB362" s="375" t="s">
        <v>1382</v>
      </c>
      <c r="AC362" s="375" t="s">
        <v>257</v>
      </c>
      <c r="AD362" s="375" t="s">
        <v>181</v>
      </c>
      <c r="AE362" s="375" t="s">
        <v>284</v>
      </c>
      <c r="AF362" s="375" t="s">
        <v>245</v>
      </c>
      <c r="AG362" s="375" t="s">
        <v>183</v>
      </c>
      <c r="AH362" s="380">
        <v>20.66</v>
      </c>
      <c r="AI362" s="378">
        <v>400</v>
      </c>
      <c r="AJ362" s="375" t="s">
        <v>184</v>
      </c>
      <c r="AK362" s="375" t="s">
        <v>185</v>
      </c>
      <c r="AL362" s="375" t="s">
        <v>173</v>
      </c>
      <c r="AM362" s="375" t="s">
        <v>186</v>
      </c>
      <c r="AN362" s="375" t="s">
        <v>68</v>
      </c>
      <c r="AO362" s="378">
        <v>80</v>
      </c>
      <c r="AP362" s="384">
        <v>1</v>
      </c>
      <c r="AQ362" s="384">
        <v>1</v>
      </c>
      <c r="AR362" s="383" t="s">
        <v>187</v>
      </c>
      <c r="AS362" s="386">
        <f t="shared" si="247"/>
        <v>1</v>
      </c>
      <c r="AT362">
        <f t="shared" si="248"/>
        <v>1</v>
      </c>
      <c r="AU362" s="386">
        <f>IF(AT362=0,"",IF(AND(AT362=1,M362="F",SUMIF(C2:C557,C362,AS2:AS557)&lt;=1),SUMIF(C2:C557,C362,AS2:AS557),IF(AND(AT362=1,M362="F",SUMIF(C2:C557,C362,AS2:AS557)&gt;1),1,"")))</f>
        <v>1</v>
      </c>
      <c r="AV362" s="386" t="str">
        <f>IF(AT362=0,"",IF(AND(AT362=3,M362="F",SUMIF(C2:C557,C362,AS2:AS557)&lt;=1),SUMIF(C2:C557,C362,AS2:AS557),IF(AND(AT362=3,M362="F",SUMIF(C2:C557,C362,AS2:AS557)&gt;1),1,"")))</f>
        <v/>
      </c>
      <c r="AW362" s="386">
        <f>SUMIF(C2:C557,C362,O2:O557)</f>
        <v>1</v>
      </c>
      <c r="AX362" s="386">
        <f>IF(AND(M362="F",AS362&lt;&gt;0),SUMIF(C2:C557,C362,W2:W557),0)</f>
        <v>42972.800000000003</v>
      </c>
      <c r="AY362" s="386">
        <f t="shared" si="249"/>
        <v>42972.800000000003</v>
      </c>
      <c r="AZ362" s="386" t="str">
        <f t="shared" si="250"/>
        <v/>
      </c>
      <c r="BA362" s="386">
        <f t="shared" si="251"/>
        <v>0</v>
      </c>
      <c r="BB362" s="386">
        <f t="shared" si="220"/>
        <v>11650</v>
      </c>
      <c r="BC362" s="386">
        <f t="shared" si="221"/>
        <v>0</v>
      </c>
      <c r="BD362" s="386">
        <f t="shared" si="222"/>
        <v>2664.3136</v>
      </c>
      <c r="BE362" s="386">
        <f t="shared" si="223"/>
        <v>623.10560000000009</v>
      </c>
      <c r="BF362" s="386">
        <f t="shared" si="224"/>
        <v>5130.9523200000003</v>
      </c>
      <c r="BG362" s="386">
        <f t="shared" si="225"/>
        <v>309.83388800000006</v>
      </c>
      <c r="BH362" s="386">
        <f t="shared" si="226"/>
        <v>210.56672</v>
      </c>
      <c r="BI362" s="386">
        <f t="shared" si="227"/>
        <v>131.496768</v>
      </c>
      <c r="BJ362" s="386">
        <f t="shared" si="228"/>
        <v>103.13472</v>
      </c>
      <c r="BK362" s="386">
        <f t="shared" si="229"/>
        <v>0</v>
      </c>
      <c r="BL362" s="386">
        <f t="shared" si="252"/>
        <v>9173.4036160000014</v>
      </c>
      <c r="BM362" s="386">
        <f t="shared" si="253"/>
        <v>0</v>
      </c>
      <c r="BN362" s="386">
        <f t="shared" si="230"/>
        <v>11650</v>
      </c>
      <c r="BO362" s="386">
        <f t="shared" si="231"/>
        <v>0</v>
      </c>
      <c r="BP362" s="386">
        <f t="shared" si="232"/>
        <v>2664.3136</v>
      </c>
      <c r="BQ362" s="386">
        <f t="shared" si="233"/>
        <v>623.10560000000009</v>
      </c>
      <c r="BR362" s="386">
        <f t="shared" si="234"/>
        <v>5130.9523200000003</v>
      </c>
      <c r="BS362" s="386">
        <f t="shared" si="235"/>
        <v>309.83388800000006</v>
      </c>
      <c r="BT362" s="386">
        <f t="shared" si="236"/>
        <v>0</v>
      </c>
      <c r="BU362" s="386">
        <f t="shared" si="237"/>
        <v>131.496768</v>
      </c>
      <c r="BV362" s="386">
        <f t="shared" si="238"/>
        <v>107.43200000000002</v>
      </c>
      <c r="BW362" s="386">
        <f t="shared" si="239"/>
        <v>0</v>
      </c>
      <c r="BX362" s="386">
        <f t="shared" si="254"/>
        <v>8967.1341760000014</v>
      </c>
      <c r="BY362" s="386">
        <f t="shared" si="255"/>
        <v>0</v>
      </c>
      <c r="BZ362" s="386">
        <f t="shared" si="256"/>
        <v>0</v>
      </c>
      <c r="CA362" s="386">
        <f t="shared" si="257"/>
        <v>0</v>
      </c>
      <c r="CB362" s="386">
        <f t="shared" si="258"/>
        <v>0</v>
      </c>
      <c r="CC362" s="386">
        <f t="shared" si="240"/>
        <v>0</v>
      </c>
      <c r="CD362" s="386">
        <f t="shared" si="241"/>
        <v>0</v>
      </c>
      <c r="CE362" s="386">
        <f t="shared" si="242"/>
        <v>0</v>
      </c>
      <c r="CF362" s="386">
        <f t="shared" si="243"/>
        <v>-210.56672</v>
      </c>
      <c r="CG362" s="386">
        <f t="shared" si="244"/>
        <v>0</v>
      </c>
      <c r="CH362" s="386">
        <f t="shared" si="245"/>
        <v>4.2972800000000113</v>
      </c>
      <c r="CI362" s="386">
        <f t="shared" si="246"/>
        <v>0</v>
      </c>
      <c r="CJ362" s="386">
        <f t="shared" si="259"/>
        <v>-206.26944</v>
      </c>
      <c r="CK362" s="386" t="str">
        <f t="shared" si="260"/>
        <v/>
      </c>
      <c r="CL362" s="386" t="str">
        <f t="shared" si="261"/>
        <v/>
      </c>
      <c r="CM362" s="386" t="str">
        <f t="shared" si="262"/>
        <v/>
      </c>
      <c r="CN362" s="386" t="str">
        <f t="shared" si="263"/>
        <v>0001-00</v>
      </c>
    </row>
    <row r="363" spans="1:92" ht="15.75" thickBot="1" x14ac:dyDescent="0.3">
      <c r="A363" s="375" t="s">
        <v>161</v>
      </c>
      <c r="B363" s="375" t="s">
        <v>162</v>
      </c>
      <c r="C363" s="375" t="s">
        <v>1383</v>
      </c>
      <c r="D363" s="375" t="s">
        <v>247</v>
      </c>
      <c r="E363" s="375" t="s">
        <v>165</v>
      </c>
      <c r="F363" s="376" t="s">
        <v>166</v>
      </c>
      <c r="G363" s="375" t="s">
        <v>1369</v>
      </c>
      <c r="H363" s="377"/>
      <c r="I363" s="377"/>
      <c r="J363" s="375" t="s">
        <v>168</v>
      </c>
      <c r="K363" s="375" t="s">
        <v>284</v>
      </c>
      <c r="L363" s="375" t="s">
        <v>198</v>
      </c>
      <c r="M363" s="375" t="s">
        <v>177</v>
      </c>
      <c r="N363" s="375" t="s">
        <v>199</v>
      </c>
      <c r="O363" s="378">
        <v>1</v>
      </c>
      <c r="P363" s="384">
        <v>1</v>
      </c>
      <c r="Q363" s="384">
        <v>1</v>
      </c>
      <c r="R363" s="379">
        <v>80</v>
      </c>
      <c r="S363" s="384">
        <v>1</v>
      </c>
      <c r="T363" s="379">
        <v>43129.85</v>
      </c>
      <c r="U363" s="379">
        <v>0</v>
      </c>
      <c r="V363" s="379">
        <v>20604.330000000002</v>
      </c>
      <c r="W363" s="379">
        <v>46113.599999999999</v>
      </c>
      <c r="X363" s="379">
        <v>21493.83</v>
      </c>
      <c r="Y363" s="379">
        <v>46113.599999999999</v>
      </c>
      <c r="Z363" s="379">
        <v>21272.49</v>
      </c>
      <c r="AA363" s="375" t="s">
        <v>1384</v>
      </c>
      <c r="AB363" s="375" t="s">
        <v>1385</v>
      </c>
      <c r="AC363" s="375" t="s">
        <v>1341</v>
      </c>
      <c r="AD363" s="375" t="s">
        <v>214</v>
      </c>
      <c r="AE363" s="375" t="s">
        <v>284</v>
      </c>
      <c r="AF363" s="375" t="s">
        <v>245</v>
      </c>
      <c r="AG363" s="375" t="s">
        <v>183</v>
      </c>
      <c r="AH363" s="380">
        <v>22.17</v>
      </c>
      <c r="AI363" s="378">
        <v>3432</v>
      </c>
      <c r="AJ363" s="375" t="s">
        <v>184</v>
      </c>
      <c r="AK363" s="375" t="s">
        <v>185</v>
      </c>
      <c r="AL363" s="375" t="s">
        <v>173</v>
      </c>
      <c r="AM363" s="375" t="s">
        <v>186</v>
      </c>
      <c r="AN363" s="375" t="s">
        <v>68</v>
      </c>
      <c r="AO363" s="378">
        <v>80</v>
      </c>
      <c r="AP363" s="384">
        <v>1</v>
      </c>
      <c r="AQ363" s="384">
        <v>1</v>
      </c>
      <c r="AR363" s="383" t="s">
        <v>187</v>
      </c>
      <c r="AS363" s="386">
        <f t="shared" si="247"/>
        <v>1</v>
      </c>
      <c r="AT363">
        <f t="shared" si="248"/>
        <v>1</v>
      </c>
      <c r="AU363" s="386">
        <f>IF(AT363=0,"",IF(AND(AT363=1,M363="F",SUMIF(C2:C557,C363,AS2:AS557)&lt;=1),SUMIF(C2:C557,C363,AS2:AS557),IF(AND(AT363=1,M363="F",SUMIF(C2:C557,C363,AS2:AS557)&gt;1),1,"")))</f>
        <v>1</v>
      </c>
      <c r="AV363" s="386" t="str">
        <f>IF(AT363=0,"",IF(AND(AT363=3,M363="F",SUMIF(C2:C557,C363,AS2:AS557)&lt;=1),SUMIF(C2:C557,C363,AS2:AS557),IF(AND(AT363=3,M363="F",SUMIF(C2:C557,C363,AS2:AS557)&gt;1),1,"")))</f>
        <v/>
      </c>
      <c r="AW363" s="386">
        <f>SUMIF(C2:C557,C363,O2:O557)</f>
        <v>1</v>
      </c>
      <c r="AX363" s="386">
        <f>IF(AND(M363="F",AS363&lt;&gt;0),SUMIF(C2:C557,C363,W2:W557),0)</f>
        <v>46113.599999999999</v>
      </c>
      <c r="AY363" s="386">
        <f t="shared" si="249"/>
        <v>46113.599999999999</v>
      </c>
      <c r="AZ363" s="386" t="str">
        <f t="shared" si="250"/>
        <v/>
      </c>
      <c r="BA363" s="386">
        <f t="shared" si="251"/>
        <v>0</v>
      </c>
      <c r="BB363" s="386">
        <f t="shared" si="220"/>
        <v>11650</v>
      </c>
      <c r="BC363" s="386">
        <f t="shared" si="221"/>
        <v>0</v>
      </c>
      <c r="BD363" s="386">
        <f t="shared" si="222"/>
        <v>2859.0432000000001</v>
      </c>
      <c r="BE363" s="386">
        <f t="shared" si="223"/>
        <v>668.6472</v>
      </c>
      <c r="BF363" s="386">
        <f t="shared" si="224"/>
        <v>5505.9638400000003</v>
      </c>
      <c r="BG363" s="386">
        <f t="shared" si="225"/>
        <v>332.47905600000001</v>
      </c>
      <c r="BH363" s="386">
        <f t="shared" si="226"/>
        <v>225.95663999999999</v>
      </c>
      <c r="BI363" s="386">
        <f t="shared" si="227"/>
        <v>141.10761599999998</v>
      </c>
      <c r="BJ363" s="386">
        <f t="shared" si="228"/>
        <v>110.67263999999999</v>
      </c>
      <c r="BK363" s="386">
        <f t="shared" si="229"/>
        <v>0</v>
      </c>
      <c r="BL363" s="386">
        <f t="shared" si="252"/>
        <v>9843.8701920000003</v>
      </c>
      <c r="BM363" s="386">
        <f t="shared" si="253"/>
        <v>0</v>
      </c>
      <c r="BN363" s="386">
        <f t="shared" si="230"/>
        <v>11650</v>
      </c>
      <c r="BO363" s="386">
        <f t="shared" si="231"/>
        <v>0</v>
      </c>
      <c r="BP363" s="386">
        <f t="shared" si="232"/>
        <v>2859.0432000000001</v>
      </c>
      <c r="BQ363" s="386">
        <f t="shared" si="233"/>
        <v>668.6472</v>
      </c>
      <c r="BR363" s="386">
        <f t="shared" si="234"/>
        <v>5505.9638400000003</v>
      </c>
      <c r="BS363" s="386">
        <f t="shared" si="235"/>
        <v>332.47905600000001</v>
      </c>
      <c r="BT363" s="386">
        <f t="shared" si="236"/>
        <v>0</v>
      </c>
      <c r="BU363" s="386">
        <f t="shared" si="237"/>
        <v>141.10761599999998</v>
      </c>
      <c r="BV363" s="386">
        <f t="shared" si="238"/>
        <v>115.28399999999999</v>
      </c>
      <c r="BW363" s="386">
        <f t="shared" si="239"/>
        <v>0</v>
      </c>
      <c r="BX363" s="386">
        <f t="shared" si="254"/>
        <v>9622.5249119999989</v>
      </c>
      <c r="BY363" s="386">
        <f t="shared" si="255"/>
        <v>0</v>
      </c>
      <c r="BZ363" s="386">
        <f t="shared" si="256"/>
        <v>0</v>
      </c>
      <c r="CA363" s="386">
        <f t="shared" si="257"/>
        <v>0</v>
      </c>
      <c r="CB363" s="386">
        <f t="shared" si="258"/>
        <v>0</v>
      </c>
      <c r="CC363" s="386">
        <f t="shared" si="240"/>
        <v>0</v>
      </c>
      <c r="CD363" s="386">
        <f t="shared" si="241"/>
        <v>0</v>
      </c>
      <c r="CE363" s="386">
        <f t="shared" si="242"/>
        <v>0</v>
      </c>
      <c r="CF363" s="386">
        <f t="shared" si="243"/>
        <v>-225.95663999999999</v>
      </c>
      <c r="CG363" s="386">
        <f t="shared" si="244"/>
        <v>0</v>
      </c>
      <c r="CH363" s="386">
        <f t="shared" si="245"/>
        <v>4.6113600000000119</v>
      </c>
      <c r="CI363" s="386">
        <f t="shared" si="246"/>
        <v>0</v>
      </c>
      <c r="CJ363" s="386">
        <f t="shared" si="259"/>
        <v>-221.34527999999997</v>
      </c>
      <c r="CK363" s="386" t="str">
        <f t="shared" si="260"/>
        <v/>
      </c>
      <c r="CL363" s="386" t="str">
        <f t="shared" si="261"/>
        <v/>
      </c>
      <c r="CM363" s="386" t="str">
        <f t="shared" si="262"/>
        <v/>
      </c>
      <c r="CN363" s="386" t="str">
        <f t="shared" si="263"/>
        <v>0001-00</v>
      </c>
    </row>
    <row r="364" spans="1:92" ht="15.75" thickBot="1" x14ac:dyDescent="0.3">
      <c r="A364" s="375" t="s">
        <v>161</v>
      </c>
      <c r="B364" s="375" t="s">
        <v>162</v>
      </c>
      <c r="C364" s="375" t="s">
        <v>1386</v>
      </c>
      <c r="D364" s="375" t="s">
        <v>247</v>
      </c>
      <c r="E364" s="375" t="s">
        <v>165</v>
      </c>
      <c r="F364" s="376" t="s">
        <v>166</v>
      </c>
      <c r="G364" s="375" t="s">
        <v>1369</v>
      </c>
      <c r="H364" s="377"/>
      <c r="I364" s="377"/>
      <c r="J364" s="375" t="s">
        <v>168</v>
      </c>
      <c r="K364" s="375" t="s">
        <v>284</v>
      </c>
      <c r="L364" s="375" t="s">
        <v>198</v>
      </c>
      <c r="M364" s="375" t="s">
        <v>177</v>
      </c>
      <c r="N364" s="375" t="s">
        <v>199</v>
      </c>
      <c r="O364" s="378">
        <v>1</v>
      </c>
      <c r="P364" s="384">
        <v>1</v>
      </c>
      <c r="Q364" s="384">
        <v>1</v>
      </c>
      <c r="R364" s="379">
        <v>80</v>
      </c>
      <c r="S364" s="384">
        <v>1</v>
      </c>
      <c r="T364" s="379">
        <v>65068.61</v>
      </c>
      <c r="U364" s="379">
        <v>0</v>
      </c>
      <c r="V364" s="379">
        <v>24994.720000000001</v>
      </c>
      <c r="W364" s="379">
        <v>65769.600000000006</v>
      </c>
      <c r="X364" s="379">
        <v>25689.8</v>
      </c>
      <c r="Y364" s="379">
        <v>65769.600000000006</v>
      </c>
      <c r="Z364" s="379">
        <v>25374.11</v>
      </c>
      <c r="AA364" s="375" t="s">
        <v>1387</v>
      </c>
      <c r="AB364" s="375" t="s">
        <v>1388</v>
      </c>
      <c r="AC364" s="375" t="s">
        <v>1389</v>
      </c>
      <c r="AD364" s="375" t="s">
        <v>1390</v>
      </c>
      <c r="AE364" s="375" t="s">
        <v>284</v>
      </c>
      <c r="AF364" s="375" t="s">
        <v>245</v>
      </c>
      <c r="AG364" s="375" t="s">
        <v>183</v>
      </c>
      <c r="AH364" s="380">
        <v>31.62</v>
      </c>
      <c r="AI364" s="380">
        <v>40927.699999999997</v>
      </c>
      <c r="AJ364" s="375" t="s">
        <v>184</v>
      </c>
      <c r="AK364" s="375" t="s">
        <v>185</v>
      </c>
      <c r="AL364" s="375" t="s">
        <v>173</v>
      </c>
      <c r="AM364" s="375" t="s">
        <v>186</v>
      </c>
      <c r="AN364" s="375" t="s">
        <v>68</v>
      </c>
      <c r="AO364" s="378">
        <v>80</v>
      </c>
      <c r="AP364" s="384">
        <v>1</v>
      </c>
      <c r="AQ364" s="384">
        <v>1</v>
      </c>
      <c r="AR364" s="383" t="s">
        <v>187</v>
      </c>
      <c r="AS364" s="386">
        <f t="shared" si="247"/>
        <v>1</v>
      </c>
      <c r="AT364">
        <f t="shared" si="248"/>
        <v>1</v>
      </c>
      <c r="AU364" s="386">
        <f>IF(AT364=0,"",IF(AND(AT364=1,M364="F",SUMIF(C2:C557,C364,AS2:AS557)&lt;=1),SUMIF(C2:C557,C364,AS2:AS557),IF(AND(AT364=1,M364="F",SUMIF(C2:C557,C364,AS2:AS557)&gt;1),1,"")))</f>
        <v>1</v>
      </c>
      <c r="AV364" s="386" t="str">
        <f>IF(AT364=0,"",IF(AND(AT364=3,M364="F",SUMIF(C2:C557,C364,AS2:AS557)&lt;=1),SUMIF(C2:C557,C364,AS2:AS557),IF(AND(AT364=3,M364="F",SUMIF(C2:C557,C364,AS2:AS557)&gt;1),1,"")))</f>
        <v/>
      </c>
      <c r="AW364" s="386">
        <f>SUMIF(C2:C557,C364,O2:O557)</f>
        <v>1</v>
      </c>
      <c r="AX364" s="386">
        <f>IF(AND(M364="F",AS364&lt;&gt;0),SUMIF(C2:C557,C364,W2:W557),0)</f>
        <v>65769.600000000006</v>
      </c>
      <c r="AY364" s="386">
        <f t="shared" si="249"/>
        <v>65769.600000000006</v>
      </c>
      <c r="AZ364" s="386" t="str">
        <f t="shared" si="250"/>
        <v/>
      </c>
      <c r="BA364" s="386">
        <f t="shared" si="251"/>
        <v>0</v>
      </c>
      <c r="BB364" s="386">
        <f t="shared" si="220"/>
        <v>11650</v>
      </c>
      <c r="BC364" s="386">
        <f t="shared" si="221"/>
        <v>0</v>
      </c>
      <c r="BD364" s="386">
        <f t="shared" si="222"/>
        <v>4077.7152000000006</v>
      </c>
      <c r="BE364" s="386">
        <f t="shared" si="223"/>
        <v>953.65920000000017</v>
      </c>
      <c r="BF364" s="386">
        <f t="shared" si="224"/>
        <v>7852.8902400000015</v>
      </c>
      <c r="BG364" s="386">
        <f t="shared" si="225"/>
        <v>474.19881600000008</v>
      </c>
      <c r="BH364" s="386">
        <f t="shared" si="226"/>
        <v>322.27104000000003</v>
      </c>
      <c r="BI364" s="386">
        <f t="shared" si="227"/>
        <v>201.254976</v>
      </c>
      <c r="BJ364" s="386">
        <f t="shared" si="228"/>
        <v>157.84703999999999</v>
      </c>
      <c r="BK364" s="386">
        <f t="shared" si="229"/>
        <v>0</v>
      </c>
      <c r="BL364" s="386">
        <f t="shared" si="252"/>
        <v>14039.836512000002</v>
      </c>
      <c r="BM364" s="386">
        <f t="shared" si="253"/>
        <v>0</v>
      </c>
      <c r="BN364" s="386">
        <f t="shared" si="230"/>
        <v>11650</v>
      </c>
      <c r="BO364" s="386">
        <f t="shared" si="231"/>
        <v>0</v>
      </c>
      <c r="BP364" s="386">
        <f t="shared" si="232"/>
        <v>4077.7152000000006</v>
      </c>
      <c r="BQ364" s="386">
        <f t="shared" si="233"/>
        <v>953.65920000000017</v>
      </c>
      <c r="BR364" s="386">
        <f t="shared" si="234"/>
        <v>7852.8902400000015</v>
      </c>
      <c r="BS364" s="386">
        <f t="shared" si="235"/>
        <v>474.19881600000008</v>
      </c>
      <c r="BT364" s="386">
        <f t="shared" si="236"/>
        <v>0</v>
      </c>
      <c r="BU364" s="386">
        <f t="shared" si="237"/>
        <v>201.254976</v>
      </c>
      <c r="BV364" s="386">
        <f t="shared" si="238"/>
        <v>164.42400000000001</v>
      </c>
      <c r="BW364" s="386">
        <f t="shared" si="239"/>
        <v>0</v>
      </c>
      <c r="BX364" s="386">
        <f t="shared" si="254"/>
        <v>13724.142432000002</v>
      </c>
      <c r="BY364" s="386">
        <f t="shared" si="255"/>
        <v>0</v>
      </c>
      <c r="BZ364" s="386">
        <f t="shared" si="256"/>
        <v>0</v>
      </c>
      <c r="CA364" s="386">
        <f t="shared" si="257"/>
        <v>0</v>
      </c>
      <c r="CB364" s="386">
        <f t="shared" si="258"/>
        <v>0</v>
      </c>
      <c r="CC364" s="386">
        <f t="shared" si="240"/>
        <v>0</v>
      </c>
      <c r="CD364" s="386">
        <f t="shared" si="241"/>
        <v>0</v>
      </c>
      <c r="CE364" s="386">
        <f t="shared" si="242"/>
        <v>0</v>
      </c>
      <c r="CF364" s="386">
        <f t="shared" si="243"/>
        <v>-322.27104000000003</v>
      </c>
      <c r="CG364" s="386">
        <f t="shared" si="244"/>
        <v>0</v>
      </c>
      <c r="CH364" s="386">
        <f t="shared" si="245"/>
        <v>6.5769600000000175</v>
      </c>
      <c r="CI364" s="386">
        <f t="shared" si="246"/>
        <v>0</v>
      </c>
      <c r="CJ364" s="386">
        <f t="shared" si="259"/>
        <v>-315.69407999999999</v>
      </c>
      <c r="CK364" s="386" t="str">
        <f t="shared" si="260"/>
        <v/>
      </c>
      <c r="CL364" s="386" t="str">
        <f t="shared" si="261"/>
        <v/>
      </c>
      <c r="CM364" s="386" t="str">
        <f t="shared" si="262"/>
        <v/>
      </c>
      <c r="CN364" s="386" t="str">
        <f t="shared" si="263"/>
        <v>0001-00</v>
      </c>
    </row>
    <row r="365" spans="1:92" ht="15.75" thickBot="1" x14ac:dyDescent="0.3">
      <c r="A365" s="375" t="s">
        <v>161</v>
      </c>
      <c r="B365" s="375" t="s">
        <v>162</v>
      </c>
      <c r="C365" s="375" t="s">
        <v>1391</v>
      </c>
      <c r="D365" s="375" t="s">
        <v>1392</v>
      </c>
      <c r="E365" s="375" t="s">
        <v>165</v>
      </c>
      <c r="F365" s="376" t="s">
        <v>166</v>
      </c>
      <c r="G365" s="375" t="s">
        <v>1369</v>
      </c>
      <c r="H365" s="377"/>
      <c r="I365" s="377"/>
      <c r="J365" s="375" t="s">
        <v>168</v>
      </c>
      <c r="K365" s="375" t="s">
        <v>1393</v>
      </c>
      <c r="L365" s="375" t="s">
        <v>170</v>
      </c>
      <c r="M365" s="375" t="s">
        <v>177</v>
      </c>
      <c r="N365" s="375" t="s">
        <v>199</v>
      </c>
      <c r="O365" s="378">
        <v>1</v>
      </c>
      <c r="P365" s="384">
        <v>1</v>
      </c>
      <c r="Q365" s="384">
        <v>1</v>
      </c>
      <c r="R365" s="379">
        <v>80</v>
      </c>
      <c r="S365" s="384">
        <v>1</v>
      </c>
      <c r="T365" s="379">
        <v>2016</v>
      </c>
      <c r="U365" s="379">
        <v>0</v>
      </c>
      <c r="V365" s="379">
        <v>438.81</v>
      </c>
      <c r="W365" s="379">
        <v>58240</v>
      </c>
      <c r="X365" s="379">
        <v>24082.47</v>
      </c>
      <c r="Y365" s="379">
        <v>58240</v>
      </c>
      <c r="Z365" s="379">
        <v>23802.93</v>
      </c>
      <c r="AA365" s="375" t="s">
        <v>1394</v>
      </c>
      <c r="AB365" s="375" t="s">
        <v>1395</v>
      </c>
      <c r="AC365" s="375" t="s">
        <v>1396</v>
      </c>
      <c r="AD365" s="375" t="s">
        <v>1397</v>
      </c>
      <c r="AE365" s="375" t="s">
        <v>1393</v>
      </c>
      <c r="AF365" s="375" t="s">
        <v>269</v>
      </c>
      <c r="AG365" s="375" t="s">
        <v>183</v>
      </c>
      <c r="AH365" s="378">
        <v>28</v>
      </c>
      <c r="AI365" s="378">
        <v>155</v>
      </c>
      <c r="AJ365" s="375" t="s">
        <v>184</v>
      </c>
      <c r="AK365" s="375" t="s">
        <v>185</v>
      </c>
      <c r="AL365" s="375" t="s">
        <v>173</v>
      </c>
      <c r="AM365" s="375" t="s">
        <v>186</v>
      </c>
      <c r="AN365" s="375" t="s">
        <v>68</v>
      </c>
      <c r="AO365" s="378">
        <v>80</v>
      </c>
      <c r="AP365" s="384">
        <v>1</v>
      </c>
      <c r="AQ365" s="384">
        <v>1</v>
      </c>
      <c r="AR365" s="383" t="s">
        <v>187</v>
      </c>
      <c r="AS365" s="386">
        <f t="shared" si="247"/>
        <v>1</v>
      </c>
      <c r="AT365">
        <f t="shared" si="248"/>
        <v>1</v>
      </c>
      <c r="AU365" s="386">
        <f>IF(AT365=0,"",IF(AND(AT365=1,M365="F",SUMIF(C2:C557,C365,AS2:AS557)&lt;=1),SUMIF(C2:C557,C365,AS2:AS557),IF(AND(AT365=1,M365="F",SUMIF(C2:C557,C365,AS2:AS557)&gt;1),1,"")))</f>
        <v>1</v>
      </c>
      <c r="AV365" s="386" t="str">
        <f>IF(AT365=0,"",IF(AND(AT365=3,M365="F",SUMIF(C2:C557,C365,AS2:AS557)&lt;=1),SUMIF(C2:C557,C365,AS2:AS557),IF(AND(AT365=3,M365="F",SUMIF(C2:C557,C365,AS2:AS557)&gt;1),1,"")))</f>
        <v/>
      </c>
      <c r="AW365" s="386">
        <f>SUMIF(C2:C557,C365,O2:O557)</f>
        <v>1</v>
      </c>
      <c r="AX365" s="386">
        <f>IF(AND(M365="F",AS365&lt;&gt;0),SUMIF(C2:C557,C365,W2:W557),0)</f>
        <v>58240</v>
      </c>
      <c r="AY365" s="386">
        <f t="shared" si="249"/>
        <v>58240</v>
      </c>
      <c r="AZ365" s="386" t="str">
        <f t="shared" si="250"/>
        <v/>
      </c>
      <c r="BA365" s="386">
        <f t="shared" si="251"/>
        <v>0</v>
      </c>
      <c r="BB365" s="386">
        <f t="shared" si="220"/>
        <v>11650</v>
      </c>
      <c r="BC365" s="386">
        <f t="shared" si="221"/>
        <v>0</v>
      </c>
      <c r="BD365" s="386">
        <f t="shared" si="222"/>
        <v>3610.88</v>
      </c>
      <c r="BE365" s="386">
        <f t="shared" si="223"/>
        <v>844.48</v>
      </c>
      <c r="BF365" s="386">
        <f t="shared" si="224"/>
        <v>6953.8560000000007</v>
      </c>
      <c r="BG365" s="386">
        <f t="shared" si="225"/>
        <v>419.91040000000004</v>
      </c>
      <c r="BH365" s="386">
        <f t="shared" si="226"/>
        <v>285.37599999999998</v>
      </c>
      <c r="BI365" s="386">
        <f t="shared" si="227"/>
        <v>178.21439999999998</v>
      </c>
      <c r="BJ365" s="386">
        <f t="shared" si="228"/>
        <v>139.77599999999998</v>
      </c>
      <c r="BK365" s="386">
        <f t="shared" si="229"/>
        <v>0</v>
      </c>
      <c r="BL365" s="386">
        <f t="shared" si="252"/>
        <v>12432.492800000002</v>
      </c>
      <c r="BM365" s="386">
        <f t="shared" si="253"/>
        <v>0</v>
      </c>
      <c r="BN365" s="386">
        <f t="shared" si="230"/>
        <v>11650</v>
      </c>
      <c r="BO365" s="386">
        <f t="shared" si="231"/>
        <v>0</v>
      </c>
      <c r="BP365" s="386">
        <f t="shared" si="232"/>
        <v>3610.88</v>
      </c>
      <c r="BQ365" s="386">
        <f t="shared" si="233"/>
        <v>844.48</v>
      </c>
      <c r="BR365" s="386">
        <f t="shared" si="234"/>
        <v>6953.8560000000007</v>
      </c>
      <c r="BS365" s="386">
        <f t="shared" si="235"/>
        <v>419.91040000000004</v>
      </c>
      <c r="BT365" s="386">
        <f t="shared" si="236"/>
        <v>0</v>
      </c>
      <c r="BU365" s="386">
        <f t="shared" si="237"/>
        <v>178.21439999999998</v>
      </c>
      <c r="BV365" s="386">
        <f t="shared" si="238"/>
        <v>145.6</v>
      </c>
      <c r="BW365" s="386">
        <f t="shared" si="239"/>
        <v>0</v>
      </c>
      <c r="BX365" s="386">
        <f t="shared" si="254"/>
        <v>12152.940800000002</v>
      </c>
      <c r="BY365" s="386">
        <f t="shared" si="255"/>
        <v>0</v>
      </c>
      <c r="BZ365" s="386">
        <f t="shared" si="256"/>
        <v>0</v>
      </c>
      <c r="CA365" s="386">
        <f t="shared" si="257"/>
        <v>0</v>
      </c>
      <c r="CB365" s="386">
        <f t="shared" si="258"/>
        <v>0</v>
      </c>
      <c r="CC365" s="386">
        <f t="shared" si="240"/>
        <v>0</v>
      </c>
      <c r="CD365" s="386">
        <f t="shared" si="241"/>
        <v>0</v>
      </c>
      <c r="CE365" s="386">
        <f t="shared" si="242"/>
        <v>0</v>
      </c>
      <c r="CF365" s="386">
        <f t="shared" si="243"/>
        <v>-285.37599999999998</v>
      </c>
      <c r="CG365" s="386">
        <f t="shared" si="244"/>
        <v>0</v>
      </c>
      <c r="CH365" s="386">
        <f t="shared" si="245"/>
        <v>5.8240000000000149</v>
      </c>
      <c r="CI365" s="386">
        <f t="shared" si="246"/>
        <v>0</v>
      </c>
      <c r="CJ365" s="386">
        <f t="shared" si="259"/>
        <v>-279.55199999999996</v>
      </c>
      <c r="CK365" s="386" t="str">
        <f t="shared" si="260"/>
        <v/>
      </c>
      <c r="CL365" s="386" t="str">
        <f t="shared" si="261"/>
        <v/>
      </c>
      <c r="CM365" s="386" t="str">
        <f t="shared" si="262"/>
        <v/>
      </c>
      <c r="CN365" s="386" t="str">
        <f t="shared" si="263"/>
        <v>0001-00</v>
      </c>
    </row>
    <row r="366" spans="1:92" ht="15.75" thickBot="1" x14ac:dyDescent="0.3">
      <c r="A366" s="375" t="s">
        <v>161</v>
      </c>
      <c r="B366" s="375" t="s">
        <v>162</v>
      </c>
      <c r="C366" s="375" t="s">
        <v>1398</v>
      </c>
      <c r="D366" s="375" t="s">
        <v>247</v>
      </c>
      <c r="E366" s="375" t="s">
        <v>165</v>
      </c>
      <c r="F366" s="376" t="s">
        <v>166</v>
      </c>
      <c r="G366" s="375" t="s">
        <v>1369</v>
      </c>
      <c r="H366" s="377"/>
      <c r="I366" s="377"/>
      <c r="J366" s="375" t="s">
        <v>168</v>
      </c>
      <c r="K366" s="375" t="s">
        <v>248</v>
      </c>
      <c r="L366" s="375" t="s">
        <v>220</v>
      </c>
      <c r="M366" s="375" t="s">
        <v>177</v>
      </c>
      <c r="N366" s="375" t="s">
        <v>199</v>
      </c>
      <c r="O366" s="378">
        <v>1</v>
      </c>
      <c r="P366" s="384">
        <v>1</v>
      </c>
      <c r="Q366" s="384">
        <v>1</v>
      </c>
      <c r="R366" s="379">
        <v>80</v>
      </c>
      <c r="S366" s="384">
        <v>1</v>
      </c>
      <c r="T366" s="379">
        <v>63656.01</v>
      </c>
      <c r="U366" s="379">
        <v>0</v>
      </c>
      <c r="V366" s="379">
        <v>24788.240000000002</v>
      </c>
      <c r="W366" s="379">
        <v>64084.800000000003</v>
      </c>
      <c r="X366" s="379">
        <v>25330.14</v>
      </c>
      <c r="Y366" s="379">
        <v>64084.800000000003</v>
      </c>
      <c r="Z366" s="379">
        <v>25022.54</v>
      </c>
      <c r="AA366" s="375" t="s">
        <v>1399</v>
      </c>
      <c r="AB366" s="375" t="s">
        <v>1400</v>
      </c>
      <c r="AC366" s="375" t="s">
        <v>228</v>
      </c>
      <c r="AD366" s="375" t="s">
        <v>177</v>
      </c>
      <c r="AE366" s="375" t="s">
        <v>248</v>
      </c>
      <c r="AF366" s="375" t="s">
        <v>252</v>
      </c>
      <c r="AG366" s="375" t="s">
        <v>183</v>
      </c>
      <c r="AH366" s="380">
        <v>30.81</v>
      </c>
      <c r="AI366" s="378">
        <v>14452</v>
      </c>
      <c r="AJ366" s="375" t="s">
        <v>184</v>
      </c>
      <c r="AK366" s="375" t="s">
        <v>185</v>
      </c>
      <c r="AL366" s="375" t="s">
        <v>173</v>
      </c>
      <c r="AM366" s="375" t="s">
        <v>186</v>
      </c>
      <c r="AN366" s="375" t="s">
        <v>68</v>
      </c>
      <c r="AO366" s="378">
        <v>80</v>
      </c>
      <c r="AP366" s="384">
        <v>1</v>
      </c>
      <c r="AQ366" s="384">
        <v>1</v>
      </c>
      <c r="AR366" s="383" t="s">
        <v>187</v>
      </c>
      <c r="AS366" s="386">
        <f t="shared" si="247"/>
        <v>1</v>
      </c>
      <c r="AT366">
        <f t="shared" si="248"/>
        <v>1</v>
      </c>
      <c r="AU366" s="386">
        <f>IF(AT366=0,"",IF(AND(AT366=1,M366="F",SUMIF(C2:C557,C366,AS2:AS557)&lt;=1),SUMIF(C2:C557,C366,AS2:AS557),IF(AND(AT366=1,M366="F",SUMIF(C2:C557,C366,AS2:AS557)&gt;1),1,"")))</f>
        <v>1</v>
      </c>
      <c r="AV366" s="386" t="str">
        <f>IF(AT366=0,"",IF(AND(AT366=3,M366="F",SUMIF(C2:C557,C366,AS2:AS557)&lt;=1),SUMIF(C2:C557,C366,AS2:AS557),IF(AND(AT366=3,M366="F",SUMIF(C2:C557,C366,AS2:AS557)&gt;1),1,"")))</f>
        <v/>
      </c>
      <c r="AW366" s="386">
        <f>SUMIF(C2:C557,C366,O2:O557)</f>
        <v>1</v>
      </c>
      <c r="AX366" s="386">
        <f>IF(AND(M366="F",AS366&lt;&gt;0),SUMIF(C2:C557,C366,W2:W557),0)</f>
        <v>64084.800000000003</v>
      </c>
      <c r="AY366" s="386">
        <f t="shared" si="249"/>
        <v>64084.800000000003</v>
      </c>
      <c r="AZ366" s="386" t="str">
        <f t="shared" si="250"/>
        <v/>
      </c>
      <c r="BA366" s="386">
        <f t="shared" si="251"/>
        <v>0</v>
      </c>
      <c r="BB366" s="386">
        <f t="shared" si="220"/>
        <v>11650</v>
      </c>
      <c r="BC366" s="386">
        <f t="shared" si="221"/>
        <v>0</v>
      </c>
      <c r="BD366" s="386">
        <f t="shared" si="222"/>
        <v>3973.2576000000004</v>
      </c>
      <c r="BE366" s="386">
        <f t="shared" si="223"/>
        <v>929.22960000000012</v>
      </c>
      <c r="BF366" s="386">
        <f t="shared" si="224"/>
        <v>7651.725120000001</v>
      </c>
      <c r="BG366" s="386">
        <f t="shared" si="225"/>
        <v>462.05140800000004</v>
      </c>
      <c r="BH366" s="386">
        <f t="shared" si="226"/>
        <v>314.01551999999998</v>
      </c>
      <c r="BI366" s="386">
        <f t="shared" si="227"/>
        <v>196.09948800000001</v>
      </c>
      <c r="BJ366" s="386">
        <f t="shared" si="228"/>
        <v>153.80351999999999</v>
      </c>
      <c r="BK366" s="386">
        <f t="shared" si="229"/>
        <v>0</v>
      </c>
      <c r="BL366" s="386">
        <f t="shared" si="252"/>
        <v>13680.182256000002</v>
      </c>
      <c r="BM366" s="386">
        <f t="shared" si="253"/>
        <v>0</v>
      </c>
      <c r="BN366" s="386">
        <f t="shared" si="230"/>
        <v>11650</v>
      </c>
      <c r="BO366" s="386">
        <f t="shared" si="231"/>
        <v>0</v>
      </c>
      <c r="BP366" s="386">
        <f t="shared" si="232"/>
        <v>3973.2576000000004</v>
      </c>
      <c r="BQ366" s="386">
        <f t="shared" si="233"/>
        <v>929.22960000000012</v>
      </c>
      <c r="BR366" s="386">
        <f t="shared" si="234"/>
        <v>7651.725120000001</v>
      </c>
      <c r="BS366" s="386">
        <f t="shared" si="235"/>
        <v>462.05140800000004</v>
      </c>
      <c r="BT366" s="386">
        <f t="shared" si="236"/>
        <v>0</v>
      </c>
      <c r="BU366" s="386">
        <f t="shared" si="237"/>
        <v>196.09948800000001</v>
      </c>
      <c r="BV366" s="386">
        <f t="shared" si="238"/>
        <v>160.21200000000002</v>
      </c>
      <c r="BW366" s="386">
        <f t="shared" si="239"/>
        <v>0</v>
      </c>
      <c r="BX366" s="386">
        <f t="shared" si="254"/>
        <v>13372.575216000001</v>
      </c>
      <c r="BY366" s="386">
        <f t="shared" si="255"/>
        <v>0</v>
      </c>
      <c r="BZ366" s="386">
        <f t="shared" si="256"/>
        <v>0</v>
      </c>
      <c r="CA366" s="386">
        <f t="shared" si="257"/>
        <v>0</v>
      </c>
      <c r="CB366" s="386">
        <f t="shared" si="258"/>
        <v>0</v>
      </c>
      <c r="CC366" s="386">
        <f t="shared" si="240"/>
        <v>0</v>
      </c>
      <c r="CD366" s="386">
        <f t="shared" si="241"/>
        <v>0</v>
      </c>
      <c r="CE366" s="386">
        <f t="shared" si="242"/>
        <v>0</v>
      </c>
      <c r="CF366" s="386">
        <f t="shared" si="243"/>
        <v>-314.01551999999998</v>
      </c>
      <c r="CG366" s="386">
        <f t="shared" si="244"/>
        <v>0</v>
      </c>
      <c r="CH366" s="386">
        <f t="shared" si="245"/>
        <v>6.4084800000000168</v>
      </c>
      <c r="CI366" s="386">
        <f t="shared" si="246"/>
        <v>0</v>
      </c>
      <c r="CJ366" s="386">
        <f t="shared" si="259"/>
        <v>-307.60703999999998</v>
      </c>
      <c r="CK366" s="386" t="str">
        <f t="shared" si="260"/>
        <v/>
      </c>
      <c r="CL366" s="386" t="str">
        <f t="shared" si="261"/>
        <v/>
      </c>
      <c r="CM366" s="386" t="str">
        <f t="shared" si="262"/>
        <v/>
      </c>
      <c r="CN366" s="386" t="str">
        <f t="shared" si="263"/>
        <v>0001-00</v>
      </c>
    </row>
    <row r="367" spans="1:92" ht="15.75" thickBot="1" x14ac:dyDescent="0.3">
      <c r="A367" s="375" t="s">
        <v>161</v>
      </c>
      <c r="B367" s="375" t="s">
        <v>162</v>
      </c>
      <c r="C367" s="375" t="s">
        <v>1401</v>
      </c>
      <c r="D367" s="375" t="s">
        <v>1402</v>
      </c>
      <c r="E367" s="375" t="s">
        <v>165</v>
      </c>
      <c r="F367" s="376" t="s">
        <v>166</v>
      </c>
      <c r="G367" s="375" t="s">
        <v>1369</v>
      </c>
      <c r="H367" s="377"/>
      <c r="I367" s="377"/>
      <c r="J367" s="375" t="s">
        <v>168</v>
      </c>
      <c r="K367" s="375" t="s">
        <v>1403</v>
      </c>
      <c r="L367" s="375" t="s">
        <v>220</v>
      </c>
      <c r="M367" s="375" t="s">
        <v>177</v>
      </c>
      <c r="N367" s="375" t="s">
        <v>199</v>
      </c>
      <c r="O367" s="378">
        <v>1</v>
      </c>
      <c r="P367" s="384">
        <v>1</v>
      </c>
      <c r="Q367" s="384">
        <v>1</v>
      </c>
      <c r="R367" s="379">
        <v>80</v>
      </c>
      <c r="S367" s="384">
        <v>1</v>
      </c>
      <c r="T367" s="379">
        <v>62596.800000000003</v>
      </c>
      <c r="U367" s="379">
        <v>0</v>
      </c>
      <c r="V367" s="379">
        <v>25062.61</v>
      </c>
      <c r="W367" s="379">
        <v>64937.599999999999</v>
      </c>
      <c r="X367" s="379">
        <v>25512.2</v>
      </c>
      <c r="Y367" s="379">
        <v>64937.599999999999</v>
      </c>
      <c r="Z367" s="379">
        <v>25200.5</v>
      </c>
      <c r="AA367" s="375" t="s">
        <v>1404</v>
      </c>
      <c r="AB367" s="375" t="s">
        <v>1405</v>
      </c>
      <c r="AC367" s="375" t="s">
        <v>1406</v>
      </c>
      <c r="AD367" s="375" t="s">
        <v>1407</v>
      </c>
      <c r="AE367" s="375" t="s">
        <v>1403</v>
      </c>
      <c r="AF367" s="375" t="s">
        <v>252</v>
      </c>
      <c r="AG367" s="375" t="s">
        <v>183</v>
      </c>
      <c r="AH367" s="380">
        <v>31.22</v>
      </c>
      <c r="AI367" s="378">
        <v>17048</v>
      </c>
      <c r="AJ367" s="375" t="s">
        <v>184</v>
      </c>
      <c r="AK367" s="375" t="s">
        <v>185</v>
      </c>
      <c r="AL367" s="375" t="s">
        <v>173</v>
      </c>
      <c r="AM367" s="375" t="s">
        <v>186</v>
      </c>
      <c r="AN367" s="375" t="s">
        <v>68</v>
      </c>
      <c r="AO367" s="378">
        <v>80</v>
      </c>
      <c r="AP367" s="384">
        <v>1</v>
      </c>
      <c r="AQ367" s="384">
        <v>1</v>
      </c>
      <c r="AR367" s="383" t="s">
        <v>187</v>
      </c>
      <c r="AS367" s="386">
        <f t="shared" si="247"/>
        <v>1</v>
      </c>
      <c r="AT367">
        <f t="shared" si="248"/>
        <v>1</v>
      </c>
      <c r="AU367" s="386">
        <f>IF(AT367=0,"",IF(AND(AT367=1,M367="F",SUMIF(C2:C557,C367,AS2:AS557)&lt;=1),SUMIF(C2:C557,C367,AS2:AS557),IF(AND(AT367=1,M367="F",SUMIF(C2:C557,C367,AS2:AS557)&gt;1),1,"")))</f>
        <v>1</v>
      </c>
      <c r="AV367" s="386" t="str">
        <f>IF(AT367=0,"",IF(AND(AT367=3,M367="F",SUMIF(C2:C557,C367,AS2:AS557)&lt;=1),SUMIF(C2:C557,C367,AS2:AS557),IF(AND(AT367=3,M367="F",SUMIF(C2:C557,C367,AS2:AS557)&gt;1),1,"")))</f>
        <v/>
      </c>
      <c r="AW367" s="386">
        <f>SUMIF(C2:C557,C367,O2:O557)</f>
        <v>1</v>
      </c>
      <c r="AX367" s="386">
        <f>IF(AND(M367="F",AS367&lt;&gt;0),SUMIF(C2:C557,C367,W2:W557),0)</f>
        <v>64937.599999999999</v>
      </c>
      <c r="AY367" s="386">
        <f t="shared" si="249"/>
        <v>64937.599999999999</v>
      </c>
      <c r="AZ367" s="386" t="str">
        <f t="shared" si="250"/>
        <v/>
      </c>
      <c r="BA367" s="386">
        <f t="shared" si="251"/>
        <v>0</v>
      </c>
      <c r="BB367" s="386">
        <f t="shared" si="220"/>
        <v>11650</v>
      </c>
      <c r="BC367" s="386">
        <f t="shared" si="221"/>
        <v>0</v>
      </c>
      <c r="BD367" s="386">
        <f t="shared" si="222"/>
        <v>4026.1311999999998</v>
      </c>
      <c r="BE367" s="386">
        <f t="shared" si="223"/>
        <v>941.59519999999998</v>
      </c>
      <c r="BF367" s="386">
        <f t="shared" si="224"/>
        <v>7753.5494399999998</v>
      </c>
      <c r="BG367" s="386">
        <f t="shared" si="225"/>
        <v>468.20009600000003</v>
      </c>
      <c r="BH367" s="386">
        <f t="shared" si="226"/>
        <v>318.19423999999998</v>
      </c>
      <c r="BI367" s="386">
        <f t="shared" si="227"/>
        <v>198.70905599999998</v>
      </c>
      <c r="BJ367" s="386">
        <f t="shared" si="228"/>
        <v>155.85023999999999</v>
      </c>
      <c r="BK367" s="386">
        <f t="shared" si="229"/>
        <v>0</v>
      </c>
      <c r="BL367" s="386">
        <f t="shared" si="252"/>
        <v>13862.229471999999</v>
      </c>
      <c r="BM367" s="386">
        <f t="shared" si="253"/>
        <v>0</v>
      </c>
      <c r="BN367" s="386">
        <f t="shared" si="230"/>
        <v>11650</v>
      </c>
      <c r="BO367" s="386">
        <f t="shared" si="231"/>
        <v>0</v>
      </c>
      <c r="BP367" s="386">
        <f t="shared" si="232"/>
        <v>4026.1311999999998</v>
      </c>
      <c r="BQ367" s="386">
        <f t="shared" si="233"/>
        <v>941.59519999999998</v>
      </c>
      <c r="BR367" s="386">
        <f t="shared" si="234"/>
        <v>7753.5494399999998</v>
      </c>
      <c r="BS367" s="386">
        <f t="shared" si="235"/>
        <v>468.20009600000003</v>
      </c>
      <c r="BT367" s="386">
        <f t="shared" si="236"/>
        <v>0</v>
      </c>
      <c r="BU367" s="386">
        <f t="shared" si="237"/>
        <v>198.70905599999998</v>
      </c>
      <c r="BV367" s="386">
        <f t="shared" si="238"/>
        <v>162.34399999999999</v>
      </c>
      <c r="BW367" s="386">
        <f t="shared" si="239"/>
        <v>0</v>
      </c>
      <c r="BX367" s="386">
        <f t="shared" si="254"/>
        <v>13550.528991999998</v>
      </c>
      <c r="BY367" s="386">
        <f t="shared" si="255"/>
        <v>0</v>
      </c>
      <c r="BZ367" s="386">
        <f t="shared" si="256"/>
        <v>0</v>
      </c>
      <c r="CA367" s="386">
        <f t="shared" si="257"/>
        <v>0</v>
      </c>
      <c r="CB367" s="386">
        <f t="shared" si="258"/>
        <v>0</v>
      </c>
      <c r="CC367" s="386">
        <f t="shared" si="240"/>
        <v>0</v>
      </c>
      <c r="CD367" s="386">
        <f t="shared" si="241"/>
        <v>0</v>
      </c>
      <c r="CE367" s="386">
        <f t="shared" si="242"/>
        <v>0</v>
      </c>
      <c r="CF367" s="386">
        <f t="shared" si="243"/>
        <v>-318.19423999999998</v>
      </c>
      <c r="CG367" s="386">
        <f t="shared" si="244"/>
        <v>0</v>
      </c>
      <c r="CH367" s="386">
        <f t="shared" si="245"/>
        <v>6.4937600000000169</v>
      </c>
      <c r="CI367" s="386">
        <f t="shared" si="246"/>
        <v>0</v>
      </c>
      <c r="CJ367" s="386">
        <f t="shared" si="259"/>
        <v>-311.70047999999997</v>
      </c>
      <c r="CK367" s="386" t="str">
        <f t="shared" si="260"/>
        <v/>
      </c>
      <c r="CL367" s="386" t="str">
        <f t="shared" si="261"/>
        <v/>
      </c>
      <c r="CM367" s="386" t="str">
        <f t="shared" si="262"/>
        <v/>
      </c>
      <c r="CN367" s="386" t="str">
        <f t="shared" si="263"/>
        <v>0001-00</v>
      </c>
    </row>
    <row r="368" spans="1:92" ht="15.75" thickBot="1" x14ac:dyDescent="0.3">
      <c r="A368" s="375" t="s">
        <v>161</v>
      </c>
      <c r="B368" s="375" t="s">
        <v>162</v>
      </c>
      <c r="C368" s="375" t="s">
        <v>1408</v>
      </c>
      <c r="D368" s="375" t="s">
        <v>1402</v>
      </c>
      <c r="E368" s="375" t="s">
        <v>165</v>
      </c>
      <c r="F368" s="376" t="s">
        <v>166</v>
      </c>
      <c r="G368" s="375" t="s">
        <v>1369</v>
      </c>
      <c r="H368" s="377"/>
      <c r="I368" s="377"/>
      <c r="J368" s="375" t="s">
        <v>168</v>
      </c>
      <c r="K368" s="375" t="s">
        <v>1403</v>
      </c>
      <c r="L368" s="375" t="s">
        <v>220</v>
      </c>
      <c r="M368" s="375" t="s">
        <v>171</v>
      </c>
      <c r="N368" s="375" t="s">
        <v>199</v>
      </c>
      <c r="O368" s="378">
        <v>0</v>
      </c>
      <c r="P368" s="384">
        <v>1</v>
      </c>
      <c r="Q368" s="384">
        <v>1</v>
      </c>
      <c r="R368" s="379">
        <v>80</v>
      </c>
      <c r="S368" s="384">
        <v>1</v>
      </c>
      <c r="T368" s="379">
        <v>0</v>
      </c>
      <c r="U368" s="379">
        <v>0</v>
      </c>
      <c r="V368" s="379">
        <v>0</v>
      </c>
      <c r="W368" s="379">
        <v>60465.599999999999</v>
      </c>
      <c r="X368" s="379">
        <v>26483.93</v>
      </c>
      <c r="Y368" s="379">
        <v>60465.599999999999</v>
      </c>
      <c r="Z368" s="379">
        <v>26181.599999999999</v>
      </c>
      <c r="AA368" s="377"/>
      <c r="AB368" s="375" t="s">
        <v>45</v>
      </c>
      <c r="AC368" s="375" t="s">
        <v>45</v>
      </c>
      <c r="AD368" s="377"/>
      <c r="AE368" s="377"/>
      <c r="AF368" s="377"/>
      <c r="AG368" s="377"/>
      <c r="AH368" s="378">
        <v>0</v>
      </c>
      <c r="AI368" s="378">
        <v>0</v>
      </c>
      <c r="AJ368" s="377"/>
      <c r="AK368" s="377"/>
      <c r="AL368" s="375" t="s">
        <v>173</v>
      </c>
      <c r="AM368" s="377"/>
      <c r="AN368" s="377"/>
      <c r="AO368" s="378">
        <v>0</v>
      </c>
      <c r="AP368" s="384">
        <v>0</v>
      </c>
      <c r="AQ368" s="384">
        <v>0</v>
      </c>
      <c r="AR368" s="382"/>
      <c r="AS368" s="386">
        <f t="shared" si="247"/>
        <v>0</v>
      </c>
      <c r="AT368">
        <f t="shared" si="248"/>
        <v>0</v>
      </c>
      <c r="AU368" s="386" t="str">
        <f>IF(AT368=0,"",IF(AND(AT368=1,M368="F",SUMIF(C2:C557,C368,AS2:AS557)&lt;=1),SUMIF(C2:C557,C368,AS2:AS557),IF(AND(AT368=1,M368="F",SUMIF(C2:C557,C368,AS2:AS557)&gt;1),1,"")))</f>
        <v/>
      </c>
      <c r="AV368" s="386" t="str">
        <f>IF(AT368=0,"",IF(AND(AT368=3,M368="F",SUMIF(C2:C557,C368,AS2:AS557)&lt;=1),SUMIF(C2:C557,C368,AS2:AS557),IF(AND(AT368=3,M368="F",SUMIF(C2:C557,C368,AS2:AS557)&gt;1),1,"")))</f>
        <v/>
      </c>
      <c r="AW368" s="386">
        <f>SUMIF(C2:C557,C368,O2:O557)</f>
        <v>0</v>
      </c>
      <c r="AX368" s="386">
        <f>IF(AND(M368="F",AS368&lt;&gt;0),SUMIF(C2:C557,C368,W2:W557),0)</f>
        <v>0</v>
      </c>
      <c r="AY368" s="386" t="str">
        <f t="shared" si="249"/>
        <v/>
      </c>
      <c r="AZ368" s="386" t="str">
        <f t="shared" si="250"/>
        <v/>
      </c>
      <c r="BA368" s="386">
        <f t="shared" si="251"/>
        <v>0</v>
      </c>
      <c r="BB368" s="386">
        <f t="shared" si="220"/>
        <v>0</v>
      </c>
      <c r="BC368" s="386">
        <f t="shared" si="221"/>
        <v>0</v>
      </c>
      <c r="BD368" s="386">
        <f t="shared" si="222"/>
        <v>0</v>
      </c>
      <c r="BE368" s="386">
        <f t="shared" si="223"/>
        <v>0</v>
      </c>
      <c r="BF368" s="386">
        <f t="shared" si="224"/>
        <v>0</v>
      </c>
      <c r="BG368" s="386">
        <f t="shared" si="225"/>
        <v>0</v>
      </c>
      <c r="BH368" s="386">
        <f t="shared" si="226"/>
        <v>0</v>
      </c>
      <c r="BI368" s="386">
        <f t="shared" si="227"/>
        <v>0</v>
      </c>
      <c r="BJ368" s="386">
        <f t="shared" si="228"/>
        <v>0</v>
      </c>
      <c r="BK368" s="386">
        <f t="shared" si="229"/>
        <v>0</v>
      </c>
      <c r="BL368" s="386">
        <f t="shared" si="252"/>
        <v>0</v>
      </c>
      <c r="BM368" s="386">
        <f t="shared" si="253"/>
        <v>0</v>
      </c>
      <c r="BN368" s="386">
        <f t="shared" si="230"/>
        <v>0</v>
      </c>
      <c r="BO368" s="386">
        <f t="shared" si="231"/>
        <v>0</v>
      </c>
      <c r="BP368" s="386">
        <f t="shared" si="232"/>
        <v>0</v>
      </c>
      <c r="BQ368" s="386">
        <f t="shared" si="233"/>
        <v>0</v>
      </c>
      <c r="BR368" s="386">
        <f t="shared" si="234"/>
        <v>0</v>
      </c>
      <c r="BS368" s="386">
        <f t="shared" si="235"/>
        <v>0</v>
      </c>
      <c r="BT368" s="386">
        <f t="shared" si="236"/>
        <v>0</v>
      </c>
      <c r="BU368" s="386">
        <f t="shared" si="237"/>
        <v>0</v>
      </c>
      <c r="BV368" s="386">
        <f t="shared" si="238"/>
        <v>0</v>
      </c>
      <c r="BW368" s="386">
        <f t="shared" si="239"/>
        <v>0</v>
      </c>
      <c r="BX368" s="386">
        <f t="shared" si="254"/>
        <v>0</v>
      </c>
      <c r="BY368" s="386">
        <f t="shared" si="255"/>
        <v>0</v>
      </c>
      <c r="BZ368" s="386">
        <f t="shared" si="256"/>
        <v>0</v>
      </c>
      <c r="CA368" s="386">
        <f t="shared" si="257"/>
        <v>0</v>
      </c>
      <c r="CB368" s="386">
        <f t="shared" si="258"/>
        <v>0</v>
      </c>
      <c r="CC368" s="386">
        <f t="shared" si="240"/>
        <v>0</v>
      </c>
      <c r="CD368" s="386">
        <f t="shared" si="241"/>
        <v>0</v>
      </c>
      <c r="CE368" s="386">
        <f t="shared" si="242"/>
        <v>0</v>
      </c>
      <c r="CF368" s="386">
        <f t="shared" si="243"/>
        <v>0</v>
      </c>
      <c r="CG368" s="386">
        <f t="shared" si="244"/>
        <v>0</v>
      </c>
      <c r="CH368" s="386">
        <f t="shared" si="245"/>
        <v>0</v>
      </c>
      <c r="CI368" s="386">
        <f t="shared" si="246"/>
        <v>0</v>
      </c>
      <c r="CJ368" s="386">
        <f t="shared" si="259"/>
        <v>0</v>
      </c>
      <c r="CK368" s="386" t="str">
        <f t="shared" si="260"/>
        <v/>
      </c>
      <c r="CL368" s="386" t="str">
        <f t="shared" si="261"/>
        <v/>
      </c>
      <c r="CM368" s="386" t="str">
        <f t="shared" si="262"/>
        <v/>
      </c>
      <c r="CN368" s="386" t="str">
        <f t="shared" si="263"/>
        <v>0001-00</v>
      </c>
    </row>
    <row r="369" spans="1:92" ht="15.75" thickBot="1" x14ac:dyDescent="0.3">
      <c r="A369" s="375" t="s">
        <v>161</v>
      </c>
      <c r="B369" s="375" t="s">
        <v>162</v>
      </c>
      <c r="C369" s="375" t="s">
        <v>1409</v>
      </c>
      <c r="D369" s="375" t="s">
        <v>247</v>
      </c>
      <c r="E369" s="375" t="s">
        <v>165</v>
      </c>
      <c r="F369" s="376" t="s">
        <v>166</v>
      </c>
      <c r="G369" s="375" t="s">
        <v>1369</v>
      </c>
      <c r="H369" s="377"/>
      <c r="I369" s="377"/>
      <c r="J369" s="375" t="s">
        <v>168</v>
      </c>
      <c r="K369" s="375" t="s">
        <v>248</v>
      </c>
      <c r="L369" s="375" t="s">
        <v>220</v>
      </c>
      <c r="M369" s="375" t="s">
        <v>177</v>
      </c>
      <c r="N369" s="375" t="s">
        <v>199</v>
      </c>
      <c r="O369" s="378">
        <v>1</v>
      </c>
      <c r="P369" s="384">
        <v>1</v>
      </c>
      <c r="Q369" s="384">
        <v>1</v>
      </c>
      <c r="R369" s="379">
        <v>80</v>
      </c>
      <c r="S369" s="384">
        <v>1</v>
      </c>
      <c r="T369" s="379">
        <v>71728</v>
      </c>
      <c r="U369" s="379">
        <v>0</v>
      </c>
      <c r="V369" s="379">
        <v>26044.98</v>
      </c>
      <c r="W369" s="379">
        <v>74297.600000000006</v>
      </c>
      <c r="X369" s="379">
        <v>27510.28</v>
      </c>
      <c r="Y369" s="379">
        <v>74297.600000000006</v>
      </c>
      <c r="Z369" s="379">
        <v>27153.66</v>
      </c>
      <c r="AA369" s="375" t="s">
        <v>1410</v>
      </c>
      <c r="AB369" s="375" t="s">
        <v>1411</v>
      </c>
      <c r="AC369" s="375" t="s">
        <v>1412</v>
      </c>
      <c r="AD369" s="375" t="s">
        <v>195</v>
      </c>
      <c r="AE369" s="375" t="s">
        <v>248</v>
      </c>
      <c r="AF369" s="375" t="s">
        <v>252</v>
      </c>
      <c r="AG369" s="375" t="s">
        <v>183</v>
      </c>
      <c r="AH369" s="380">
        <v>35.72</v>
      </c>
      <c r="AI369" s="380">
        <v>34152.699999999997</v>
      </c>
      <c r="AJ369" s="375" t="s">
        <v>184</v>
      </c>
      <c r="AK369" s="375" t="s">
        <v>185</v>
      </c>
      <c r="AL369" s="375" t="s">
        <v>173</v>
      </c>
      <c r="AM369" s="375" t="s">
        <v>186</v>
      </c>
      <c r="AN369" s="375" t="s">
        <v>68</v>
      </c>
      <c r="AO369" s="378">
        <v>80</v>
      </c>
      <c r="AP369" s="384">
        <v>1</v>
      </c>
      <c r="AQ369" s="384">
        <v>1</v>
      </c>
      <c r="AR369" s="383" t="s">
        <v>187</v>
      </c>
      <c r="AS369" s="386">
        <f t="shared" si="247"/>
        <v>1</v>
      </c>
      <c r="AT369">
        <f t="shared" si="248"/>
        <v>1</v>
      </c>
      <c r="AU369" s="386">
        <f>IF(AT369=0,"",IF(AND(AT369=1,M369="F",SUMIF(C2:C557,C369,AS2:AS557)&lt;=1),SUMIF(C2:C557,C369,AS2:AS557),IF(AND(AT369=1,M369="F",SUMIF(C2:C557,C369,AS2:AS557)&gt;1),1,"")))</f>
        <v>1</v>
      </c>
      <c r="AV369" s="386" t="str">
        <f>IF(AT369=0,"",IF(AND(AT369=3,M369="F",SUMIF(C2:C557,C369,AS2:AS557)&lt;=1),SUMIF(C2:C557,C369,AS2:AS557),IF(AND(AT369=3,M369="F",SUMIF(C2:C557,C369,AS2:AS557)&gt;1),1,"")))</f>
        <v/>
      </c>
      <c r="AW369" s="386">
        <f>SUMIF(C2:C557,C369,O2:O557)</f>
        <v>1</v>
      </c>
      <c r="AX369" s="386">
        <f>IF(AND(M369="F",AS369&lt;&gt;0),SUMIF(C2:C557,C369,W2:W557),0)</f>
        <v>74297.600000000006</v>
      </c>
      <c r="AY369" s="386">
        <f t="shared" si="249"/>
        <v>74297.600000000006</v>
      </c>
      <c r="AZ369" s="386" t="str">
        <f t="shared" si="250"/>
        <v/>
      </c>
      <c r="BA369" s="386">
        <f t="shared" si="251"/>
        <v>0</v>
      </c>
      <c r="BB369" s="386">
        <f t="shared" si="220"/>
        <v>11650</v>
      </c>
      <c r="BC369" s="386">
        <f t="shared" si="221"/>
        <v>0</v>
      </c>
      <c r="BD369" s="386">
        <f t="shared" si="222"/>
        <v>4606.4512000000004</v>
      </c>
      <c r="BE369" s="386">
        <f t="shared" si="223"/>
        <v>1077.3152000000002</v>
      </c>
      <c r="BF369" s="386">
        <f t="shared" si="224"/>
        <v>8871.1334400000014</v>
      </c>
      <c r="BG369" s="386">
        <f t="shared" si="225"/>
        <v>535.68569600000001</v>
      </c>
      <c r="BH369" s="386">
        <f t="shared" si="226"/>
        <v>364.05824000000001</v>
      </c>
      <c r="BI369" s="386">
        <f t="shared" si="227"/>
        <v>227.35065600000001</v>
      </c>
      <c r="BJ369" s="386">
        <f t="shared" si="228"/>
        <v>178.31424000000001</v>
      </c>
      <c r="BK369" s="386">
        <f t="shared" si="229"/>
        <v>0</v>
      </c>
      <c r="BL369" s="386">
        <f t="shared" si="252"/>
        <v>15860.308672000003</v>
      </c>
      <c r="BM369" s="386">
        <f t="shared" si="253"/>
        <v>0</v>
      </c>
      <c r="BN369" s="386">
        <f t="shared" si="230"/>
        <v>11650</v>
      </c>
      <c r="BO369" s="386">
        <f t="shared" si="231"/>
        <v>0</v>
      </c>
      <c r="BP369" s="386">
        <f t="shared" si="232"/>
        <v>4606.4512000000004</v>
      </c>
      <c r="BQ369" s="386">
        <f t="shared" si="233"/>
        <v>1077.3152000000002</v>
      </c>
      <c r="BR369" s="386">
        <f t="shared" si="234"/>
        <v>8871.1334400000014</v>
      </c>
      <c r="BS369" s="386">
        <f t="shared" si="235"/>
        <v>535.68569600000001</v>
      </c>
      <c r="BT369" s="386">
        <f t="shared" si="236"/>
        <v>0</v>
      </c>
      <c r="BU369" s="386">
        <f t="shared" si="237"/>
        <v>227.35065600000001</v>
      </c>
      <c r="BV369" s="386">
        <f t="shared" si="238"/>
        <v>185.74400000000003</v>
      </c>
      <c r="BW369" s="386">
        <f t="shared" si="239"/>
        <v>0</v>
      </c>
      <c r="BX369" s="386">
        <f t="shared" si="254"/>
        <v>15503.680192000003</v>
      </c>
      <c r="BY369" s="386">
        <f t="shared" si="255"/>
        <v>0</v>
      </c>
      <c r="BZ369" s="386">
        <f t="shared" si="256"/>
        <v>0</v>
      </c>
      <c r="CA369" s="386">
        <f t="shared" si="257"/>
        <v>0</v>
      </c>
      <c r="CB369" s="386">
        <f t="shared" si="258"/>
        <v>0</v>
      </c>
      <c r="CC369" s="386">
        <f t="shared" si="240"/>
        <v>0</v>
      </c>
      <c r="CD369" s="386">
        <f t="shared" si="241"/>
        <v>0</v>
      </c>
      <c r="CE369" s="386">
        <f t="shared" si="242"/>
        <v>0</v>
      </c>
      <c r="CF369" s="386">
        <f t="shared" si="243"/>
        <v>-364.05824000000001</v>
      </c>
      <c r="CG369" s="386">
        <f t="shared" si="244"/>
        <v>0</v>
      </c>
      <c r="CH369" s="386">
        <f t="shared" si="245"/>
        <v>7.4297600000000203</v>
      </c>
      <c r="CI369" s="386">
        <f t="shared" si="246"/>
        <v>0</v>
      </c>
      <c r="CJ369" s="386">
        <f t="shared" si="259"/>
        <v>-356.62847999999997</v>
      </c>
      <c r="CK369" s="386" t="str">
        <f t="shared" si="260"/>
        <v/>
      </c>
      <c r="CL369" s="386" t="str">
        <f t="shared" si="261"/>
        <v/>
      </c>
      <c r="CM369" s="386" t="str">
        <f t="shared" si="262"/>
        <v/>
      </c>
      <c r="CN369" s="386" t="str">
        <f t="shared" si="263"/>
        <v>0001-00</v>
      </c>
    </row>
    <row r="370" spans="1:92" ht="15.75" thickBot="1" x14ac:dyDescent="0.3">
      <c r="A370" s="375" t="s">
        <v>161</v>
      </c>
      <c r="B370" s="375" t="s">
        <v>162</v>
      </c>
      <c r="C370" s="375" t="s">
        <v>1413</v>
      </c>
      <c r="D370" s="375" t="s">
        <v>247</v>
      </c>
      <c r="E370" s="375" t="s">
        <v>165</v>
      </c>
      <c r="F370" s="376" t="s">
        <v>166</v>
      </c>
      <c r="G370" s="375" t="s">
        <v>1369</v>
      </c>
      <c r="H370" s="377"/>
      <c r="I370" s="377"/>
      <c r="J370" s="375" t="s">
        <v>168</v>
      </c>
      <c r="K370" s="375" t="s">
        <v>248</v>
      </c>
      <c r="L370" s="375" t="s">
        <v>220</v>
      </c>
      <c r="M370" s="375" t="s">
        <v>177</v>
      </c>
      <c r="N370" s="375" t="s">
        <v>199</v>
      </c>
      <c r="O370" s="378">
        <v>1</v>
      </c>
      <c r="P370" s="384">
        <v>1</v>
      </c>
      <c r="Q370" s="384">
        <v>1</v>
      </c>
      <c r="R370" s="379">
        <v>80</v>
      </c>
      <c r="S370" s="384">
        <v>1</v>
      </c>
      <c r="T370" s="379">
        <v>77918.460000000006</v>
      </c>
      <c r="U370" s="379">
        <v>0</v>
      </c>
      <c r="V370" s="379">
        <v>27356.82</v>
      </c>
      <c r="W370" s="379">
        <v>82097.600000000006</v>
      </c>
      <c r="X370" s="379">
        <v>29175.34</v>
      </c>
      <c r="Y370" s="379">
        <v>82097.600000000006</v>
      </c>
      <c r="Z370" s="379">
        <v>28781.279999999999</v>
      </c>
      <c r="AA370" s="375" t="s">
        <v>1414</v>
      </c>
      <c r="AB370" s="375" t="s">
        <v>1415</v>
      </c>
      <c r="AC370" s="375" t="s">
        <v>1048</v>
      </c>
      <c r="AD370" s="375" t="s">
        <v>195</v>
      </c>
      <c r="AE370" s="375" t="s">
        <v>248</v>
      </c>
      <c r="AF370" s="375" t="s">
        <v>252</v>
      </c>
      <c r="AG370" s="375" t="s">
        <v>183</v>
      </c>
      <c r="AH370" s="380">
        <v>39.47</v>
      </c>
      <c r="AI370" s="380">
        <v>65013.4</v>
      </c>
      <c r="AJ370" s="375" t="s">
        <v>184</v>
      </c>
      <c r="AK370" s="375" t="s">
        <v>185</v>
      </c>
      <c r="AL370" s="375" t="s">
        <v>173</v>
      </c>
      <c r="AM370" s="375" t="s">
        <v>186</v>
      </c>
      <c r="AN370" s="375" t="s">
        <v>68</v>
      </c>
      <c r="AO370" s="378">
        <v>80</v>
      </c>
      <c r="AP370" s="384">
        <v>1</v>
      </c>
      <c r="AQ370" s="384">
        <v>1</v>
      </c>
      <c r="AR370" s="383" t="s">
        <v>187</v>
      </c>
      <c r="AS370" s="386">
        <f t="shared" si="247"/>
        <v>1</v>
      </c>
      <c r="AT370">
        <f t="shared" si="248"/>
        <v>1</v>
      </c>
      <c r="AU370" s="386">
        <f>IF(AT370=0,"",IF(AND(AT370=1,M370="F",SUMIF(C2:C557,C370,AS2:AS557)&lt;=1),SUMIF(C2:C557,C370,AS2:AS557),IF(AND(AT370=1,M370="F",SUMIF(C2:C557,C370,AS2:AS557)&gt;1),1,"")))</f>
        <v>1</v>
      </c>
      <c r="AV370" s="386" t="str">
        <f>IF(AT370=0,"",IF(AND(AT370=3,M370="F",SUMIF(C2:C557,C370,AS2:AS557)&lt;=1),SUMIF(C2:C557,C370,AS2:AS557),IF(AND(AT370=3,M370="F",SUMIF(C2:C557,C370,AS2:AS557)&gt;1),1,"")))</f>
        <v/>
      </c>
      <c r="AW370" s="386">
        <f>SUMIF(C2:C557,C370,O2:O557)</f>
        <v>1</v>
      </c>
      <c r="AX370" s="386">
        <f>IF(AND(M370="F",AS370&lt;&gt;0),SUMIF(C2:C557,C370,W2:W557),0)</f>
        <v>82097.600000000006</v>
      </c>
      <c r="AY370" s="386">
        <f t="shared" si="249"/>
        <v>82097.600000000006</v>
      </c>
      <c r="AZ370" s="386" t="str">
        <f t="shared" si="250"/>
        <v/>
      </c>
      <c r="BA370" s="386">
        <f t="shared" si="251"/>
        <v>0</v>
      </c>
      <c r="BB370" s="386">
        <f t="shared" si="220"/>
        <v>11650</v>
      </c>
      <c r="BC370" s="386">
        <f t="shared" si="221"/>
        <v>0</v>
      </c>
      <c r="BD370" s="386">
        <f t="shared" si="222"/>
        <v>5090.0511999999999</v>
      </c>
      <c r="BE370" s="386">
        <f t="shared" si="223"/>
        <v>1190.4152000000001</v>
      </c>
      <c r="BF370" s="386">
        <f t="shared" si="224"/>
        <v>9802.4534400000011</v>
      </c>
      <c r="BG370" s="386">
        <f t="shared" si="225"/>
        <v>591.92369600000006</v>
      </c>
      <c r="BH370" s="386">
        <f t="shared" si="226"/>
        <v>402.27824000000004</v>
      </c>
      <c r="BI370" s="386">
        <f t="shared" si="227"/>
        <v>251.21865600000001</v>
      </c>
      <c r="BJ370" s="386">
        <f t="shared" si="228"/>
        <v>197.03423999999998</v>
      </c>
      <c r="BK370" s="386">
        <f t="shared" si="229"/>
        <v>0</v>
      </c>
      <c r="BL370" s="386">
        <f t="shared" si="252"/>
        <v>17525.374672000005</v>
      </c>
      <c r="BM370" s="386">
        <f t="shared" si="253"/>
        <v>0</v>
      </c>
      <c r="BN370" s="386">
        <f t="shared" si="230"/>
        <v>11650</v>
      </c>
      <c r="BO370" s="386">
        <f t="shared" si="231"/>
        <v>0</v>
      </c>
      <c r="BP370" s="386">
        <f t="shared" si="232"/>
        <v>5090.0511999999999</v>
      </c>
      <c r="BQ370" s="386">
        <f t="shared" si="233"/>
        <v>1190.4152000000001</v>
      </c>
      <c r="BR370" s="386">
        <f t="shared" si="234"/>
        <v>9802.4534400000011</v>
      </c>
      <c r="BS370" s="386">
        <f t="shared" si="235"/>
        <v>591.92369600000006</v>
      </c>
      <c r="BT370" s="386">
        <f t="shared" si="236"/>
        <v>0</v>
      </c>
      <c r="BU370" s="386">
        <f t="shared" si="237"/>
        <v>251.21865600000001</v>
      </c>
      <c r="BV370" s="386">
        <f t="shared" si="238"/>
        <v>205.24400000000003</v>
      </c>
      <c r="BW370" s="386">
        <f t="shared" si="239"/>
        <v>0</v>
      </c>
      <c r="BX370" s="386">
        <f t="shared" si="254"/>
        <v>17131.306192000004</v>
      </c>
      <c r="BY370" s="386">
        <f t="shared" si="255"/>
        <v>0</v>
      </c>
      <c r="BZ370" s="386">
        <f t="shared" si="256"/>
        <v>0</v>
      </c>
      <c r="CA370" s="386">
        <f t="shared" si="257"/>
        <v>0</v>
      </c>
      <c r="CB370" s="386">
        <f t="shared" si="258"/>
        <v>0</v>
      </c>
      <c r="CC370" s="386">
        <f t="shared" si="240"/>
        <v>0</v>
      </c>
      <c r="CD370" s="386">
        <f t="shared" si="241"/>
        <v>0</v>
      </c>
      <c r="CE370" s="386">
        <f t="shared" si="242"/>
        <v>0</v>
      </c>
      <c r="CF370" s="386">
        <f t="shared" si="243"/>
        <v>-402.27824000000004</v>
      </c>
      <c r="CG370" s="386">
        <f t="shared" si="244"/>
        <v>0</v>
      </c>
      <c r="CH370" s="386">
        <f t="shared" si="245"/>
        <v>8.2097600000000224</v>
      </c>
      <c r="CI370" s="386">
        <f t="shared" si="246"/>
        <v>0</v>
      </c>
      <c r="CJ370" s="386">
        <f t="shared" si="259"/>
        <v>-394.06848000000002</v>
      </c>
      <c r="CK370" s="386" t="str">
        <f t="shared" si="260"/>
        <v/>
      </c>
      <c r="CL370" s="386" t="str">
        <f t="shared" si="261"/>
        <v/>
      </c>
      <c r="CM370" s="386" t="str">
        <f t="shared" si="262"/>
        <v/>
      </c>
      <c r="CN370" s="386" t="str">
        <f t="shared" si="263"/>
        <v>0001-00</v>
      </c>
    </row>
    <row r="371" spans="1:92" ht="15.75" thickBot="1" x14ac:dyDescent="0.3">
      <c r="A371" s="375" t="s">
        <v>161</v>
      </c>
      <c r="B371" s="375" t="s">
        <v>162</v>
      </c>
      <c r="C371" s="375" t="s">
        <v>1416</v>
      </c>
      <c r="D371" s="375" t="s">
        <v>494</v>
      </c>
      <c r="E371" s="375" t="s">
        <v>165</v>
      </c>
      <c r="F371" s="376" t="s">
        <v>166</v>
      </c>
      <c r="G371" s="375" t="s">
        <v>1369</v>
      </c>
      <c r="H371" s="377"/>
      <c r="I371" s="377"/>
      <c r="J371" s="375" t="s">
        <v>168</v>
      </c>
      <c r="K371" s="375" t="s">
        <v>495</v>
      </c>
      <c r="L371" s="375" t="s">
        <v>170</v>
      </c>
      <c r="M371" s="375" t="s">
        <v>177</v>
      </c>
      <c r="N371" s="375" t="s">
        <v>199</v>
      </c>
      <c r="O371" s="378">
        <v>1</v>
      </c>
      <c r="P371" s="384">
        <v>1</v>
      </c>
      <c r="Q371" s="384">
        <v>1</v>
      </c>
      <c r="R371" s="379">
        <v>80</v>
      </c>
      <c r="S371" s="384">
        <v>1</v>
      </c>
      <c r="T371" s="379">
        <v>46694.400000000001</v>
      </c>
      <c r="U371" s="379">
        <v>0</v>
      </c>
      <c r="V371" s="379">
        <v>21302.35</v>
      </c>
      <c r="W371" s="379">
        <v>52748.800000000003</v>
      </c>
      <c r="X371" s="379">
        <v>22910.240000000002</v>
      </c>
      <c r="Y371" s="379">
        <v>52748.800000000003</v>
      </c>
      <c r="Z371" s="379">
        <v>22657.06</v>
      </c>
      <c r="AA371" s="375" t="s">
        <v>1417</v>
      </c>
      <c r="AB371" s="375" t="s">
        <v>1418</v>
      </c>
      <c r="AC371" s="375" t="s">
        <v>899</v>
      </c>
      <c r="AD371" s="375" t="s">
        <v>1419</v>
      </c>
      <c r="AE371" s="375" t="s">
        <v>495</v>
      </c>
      <c r="AF371" s="375" t="s">
        <v>269</v>
      </c>
      <c r="AG371" s="375" t="s">
        <v>183</v>
      </c>
      <c r="AH371" s="380">
        <v>25.36</v>
      </c>
      <c r="AI371" s="378">
        <v>22850</v>
      </c>
      <c r="AJ371" s="375" t="s">
        <v>184</v>
      </c>
      <c r="AK371" s="375" t="s">
        <v>185</v>
      </c>
      <c r="AL371" s="375" t="s">
        <v>173</v>
      </c>
      <c r="AM371" s="375" t="s">
        <v>186</v>
      </c>
      <c r="AN371" s="375" t="s">
        <v>68</v>
      </c>
      <c r="AO371" s="378">
        <v>80</v>
      </c>
      <c r="AP371" s="384">
        <v>1</v>
      </c>
      <c r="AQ371" s="384">
        <v>1</v>
      </c>
      <c r="AR371" s="383" t="s">
        <v>187</v>
      </c>
      <c r="AS371" s="386">
        <f t="shared" si="247"/>
        <v>1</v>
      </c>
      <c r="AT371">
        <f t="shared" si="248"/>
        <v>1</v>
      </c>
      <c r="AU371" s="386">
        <f>IF(AT371=0,"",IF(AND(AT371=1,M371="F",SUMIF(C2:C557,C371,AS2:AS557)&lt;=1),SUMIF(C2:C557,C371,AS2:AS557),IF(AND(AT371=1,M371="F",SUMIF(C2:C557,C371,AS2:AS557)&gt;1),1,"")))</f>
        <v>1</v>
      </c>
      <c r="AV371" s="386" t="str">
        <f>IF(AT371=0,"",IF(AND(AT371=3,M371="F",SUMIF(C2:C557,C371,AS2:AS557)&lt;=1),SUMIF(C2:C557,C371,AS2:AS557),IF(AND(AT371=3,M371="F",SUMIF(C2:C557,C371,AS2:AS557)&gt;1),1,"")))</f>
        <v/>
      </c>
      <c r="AW371" s="386">
        <f>SUMIF(C2:C557,C371,O2:O557)</f>
        <v>1</v>
      </c>
      <c r="AX371" s="386">
        <f>IF(AND(M371="F",AS371&lt;&gt;0),SUMIF(C2:C557,C371,W2:W557),0)</f>
        <v>52748.800000000003</v>
      </c>
      <c r="AY371" s="386">
        <f t="shared" si="249"/>
        <v>52748.800000000003</v>
      </c>
      <c r="AZ371" s="386" t="str">
        <f t="shared" si="250"/>
        <v/>
      </c>
      <c r="BA371" s="386">
        <f t="shared" si="251"/>
        <v>0</v>
      </c>
      <c r="BB371" s="386">
        <f t="shared" si="220"/>
        <v>11650</v>
      </c>
      <c r="BC371" s="386">
        <f t="shared" si="221"/>
        <v>0</v>
      </c>
      <c r="BD371" s="386">
        <f t="shared" si="222"/>
        <v>3270.4256</v>
      </c>
      <c r="BE371" s="386">
        <f t="shared" si="223"/>
        <v>764.85760000000005</v>
      </c>
      <c r="BF371" s="386">
        <f t="shared" si="224"/>
        <v>6298.206720000001</v>
      </c>
      <c r="BG371" s="386">
        <f t="shared" si="225"/>
        <v>380.31884800000006</v>
      </c>
      <c r="BH371" s="386">
        <f t="shared" si="226"/>
        <v>258.46912000000003</v>
      </c>
      <c r="BI371" s="386">
        <f t="shared" si="227"/>
        <v>161.411328</v>
      </c>
      <c r="BJ371" s="386">
        <f t="shared" si="228"/>
        <v>126.59711999999999</v>
      </c>
      <c r="BK371" s="386">
        <f t="shared" si="229"/>
        <v>0</v>
      </c>
      <c r="BL371" s="386">
        <f t="shared" si="252"/>
        <v>11260.286336000001</v>
      </c>
      <c r="BM371" s="386">
        <f t="shared" si="253"/>
        <v>0</v>
      </c>
      <c r="BN371" s="386">
        <f t="shared" si="230"/>
        <v>11650</v>
      </c>
      <c r="BO371" s="386">
        <f t="shared" si="231"/>
        <v>0</v>
      </c>
      <c r="BP371" s="386">
        <f t="shared" si="232"/>
        <v>3270.4256</v>
      </c>
      <c r="BQ371" s="386">
        <f t="shared" si="233"/>
        <v>764.85760000000005</v>
      </c>
      <c r="BR371" s="386">
        <f t="shared" si="234"/>
        <v>6298.206720000001</v>
      </c>
      <c r="BS371" s="386">
        <f t="shared" si="235"/>
        <v>380.31884800000006</v>
      </c>
      <c r="BT371" s="386">
        <f t="shared" si="236"/>
        <v>0</v>
      </c>
      <c r="BU371" s="386">
        <f t="shared" si="237"/>
        <v>161.411328</v>
      </c>
      <c r="BV371" s="386">
        <f t="shared" si="238"/>
        <v>131.87200000000001</v>
      </c>
      <c r="BW371" s="386">
        <f t="shared" si="239"/>
        <v>0</v>
      </c>
      <c r="BX371" s="386">
        <f t="shared" si="254"/>
        <v>11007.092096</v>
      </c>
      <c r="BY371" s="386">
        <f t="shared" si="255"/>
        <v>0</v>
      </c>
      <c r="BZ371" s="386">
        <f t="shared" si="256"/>
        <v>0</v>
      </c>
      <c r="CA371" s="386">
        <f t="shared" si="257"/>
        <v>0</v>
      </c>
      <c r="CB371" s="386">
        <f t="shared" si="258"/>
        <v>0</v>
      </c>
      <c r="CC371" s="386">
        <f t="shared" si="240"/>
        <v>0</v>
      </c>
      <c r="CD371" s="386">
        <f t="shared" si="241"/>
        <v>0</v>
      </c>
      <c r="CE371" s="386">
        <f t="shared" si="242"/>
        <v>0</v>
      </c>
      <c r="CF371" s="386">
        <f t="shared" si="243"/>
        <v>-258.46912000000003</v>
      </c>
      <c r="CG371" s="386">
        <f t="shared" si="244"/>
        <v>0</v>
      </c>
      <c r="CH371" s="386">
        <f t="shared" si="245"/>
        <v>5.2748800000000138</v>
      </c>
      <c r="CI371" s="386">
        <f t="shared" si="246"/>
        <v>0</v>
      </c>
      <c r="CJ371" s="386">
        <f t="shared" si="259"/>
        <v>-253.19424000000001</v>
      </c>
      <c r="CK371" s="386" t="str">
        <f t="shared" si="260"/>
        <v/>
      </c>
      <c r="CL371" s="386" t="str">
        <f t="shared" si="261"/>
        <v/>
      </c>
      <c r="CM371" s="386" t="str">
        <f t="shared" si="262"/>
        <v/>
      </c>
      <c r="CN371" s="386" t="str">
        <f t="shared" si="263"/>
        <v>0001-00</v>
      </c>
    </row>
    <row r="372" spans="1:92" ht="15.75" thickBot="1" x14ac:dyDescent="0.3">
      <c r="A372" s="375" t="s">
        <v>161</v>
      </c>
      <c r="B372" s="375" t="s">
        <v>162</v>
      </c>
      <c r="C372" s="375" t="s">
        <v>1420</v>
      </c>
      <c r="D372" s="375" t="s">
        <v>247</v>
      </c>
      <c r="E372" s="375" t="s">
        <v>165</v>
      </c>
      <c r="F372" s="376" t="s">
        <v>166</v>
      </c>
      <c r="G372" s="375" t="s">
        <v>1369</v>
      </c>
      <c r="H372" s="377"/>
      <c r="I372" s="377"/>
      <c r="J372" s="375" t="s">
        <v>168</v>
      </c>
      <c r="K372" s="375" t="s">
        <v>248</v>
      </c>
      <c r="L372" s="375" t="s">
        <v>220</v>
      </c>
      <c r="M372" s="375" t="s">
        <v>177</v>
      </c>
      <c r="N372" s="375" t="s">
        <v>199</v>
      </c>
      <c r="O372" s="378">
        <v>1</v>
      </c>
      <c r="P372" s="384">
        <v>1</v>
      </c>
      <c r="Q372" s="384">
        <v>1</v>
      </c>
      <c r="R372" s="379">
        <v>80</v>
      </c>
      <c r="S372" s="384">
        <v>1</v>
      </c>
      <c r="T372" s="379">
        <v>81041.600000000006</v>
      </c>
      <c r="U372" s="379">
        <v>0</v>
      </c>
      <c r="V372" s="379">
        <v>28408.1</v>
      </c>
      <c r="W372" s="379">
        <v>82804.800000000003</v>
      </c>
      <c r="X372" s="379">
        <v>29326.31</v>
      </c>
      <c r="Y372" s="379">
        <v>82804.800000000003</v>
      </c>
      <c r="Z372" s="379">
        <v>28928.85</v>
      </c>
      <c r="AA372" s="375" t="s">
        <v>1421</v>
      </c>
      <c r="AB372" s="375" t="s">
        <v>1422</v>
      </c>
      <c r="AC372" s="375" t="s">
        <v>1423</v>
      </c>
      <c r="AD372" s="375" t="s">
        <v>195</v>
      </c>
      <c r="AE372" s="375" t="s">
        <v>248</v>
      </c>
      <c r="AF372" s="375" t="s">
        <v>252</v>
      </c>
      <c r="AG372" s="375" t="s">
        <v>183</v>
      </c>
      <c r="AH372" s="380">
        <v>39.81</v>
      </c>
      <c r="AI372" s="380">
        <v>72893.399999999994</v>
      </c>
      <c r="AJ372" s="375" t="s">
        <v>184</v>
      </c>
      <c r="AK372" s="375" t="s">
        <v>185</v>
      </c>
      <c r="AL372" s="375" t="s">
        <v>173</v>
      </c>
      <c r="AM372" s="375" t="s">
        <v>186</v>
      </c>
      <c r="AN372" s="375" t="s">
        <v>68</v>
      </c>
      <c r="AO372" s="378">
        <v>80</v>
      </c>
      <c r="AP372" s="384">
        <v>1</v>
      </c>
      <c r="AQ372" s="384">
        <v>1</v>
      </c>
      <c r="AR372" s="383" t="s">
        <v>187</v>
      </c>
      <c r="AS372" s="386">
        <f t="shared" si="247"/>
        <v>1</v>
      </c>
      <c r="AT372">
        <f t="shared" si="248"/>
        <v>1</v>
      </c>
      <c r="AU372" s="386">
        <f>IF(AT372=0,"",IF(AND(AT372=1,M372="F",SUMIF(C2:C557,C372,AS2:AS557)&lt;=1),SUMIF(C2:C557,C372,AS2:AS557),IF(AND(AT372=1,M372="F",SUMIF(C2:C557,C372,AS2:AS557)&gt;1),1,"")))</f>
        <v>1</v>
      </c>
      <c r="AV372" s="386" t="str">
        <f>IF(AT372=0,"",IF(AND(AT372=3,M372="F",SUMIF(C2:C557,C372,AS2:AS557)&lt;=1),SUMIF(C2:C557,C372,AS2:AS557),IF(AND(AT372=3,M372="F",SUMIF(C2:C557,C372,AS2:AS557)&gt;1),1,"")))</f>
        <v/>
      </c>
      <c r="AW372" s="386">
        <f>SUMIF(C2:C557,C372,O2:O557)</f>
        <v>1</v>
      </c>
      <c r="AX372" s="386">
        <f>IF(AND(M372="F",AS372&lt;&gt;0),SUMIF(C2:C557,C372,W2:W557),0)</f>
        <v>82804.800000000003</v>
      </c>
      <c r="AY372" s="386">
        <f t="shared" si="249"/>
        <v>82804.800000000003</v>
      </c>
      <c r="AZ372" s="386" t="str">
        <f t="shared" si="250"/>
        <v/>
      </c>
      <c r="BA372" s="386">
        <f t="shared" si="251"/>
        <v>0</v>
      </c>
      <c r="BB372" s="386">
        <f t="shared" si="220"/>
        <v>11650</v>
      </c>
      <c r="BC372" s="386">
        <f t="shared" si="221"/>
        <v>0</v>
      </c>
      <c r="BD372" s="386">
        <f t="shared" si="222"/>
        <v>5133.8976000000002</v>
      </c>
      <c r="BE372" s="386">
        <f t="shared" si="223"/>
        <v>1200.6696000000002</v>
      </c>
      <c r="BF372" s="386">
        <f t="shared" si="224"/>
        <v>9886.8931200000006</v>
      </c>
      <c r="BG372" s="386">
        <f t="shared" si="225"/>
        <v>597.02260799999999</v>
      </c>
      <c r="BH372" s="386">
        <f t="shared" si="226"/>
        <v>405.74351999999999</v>
      </c>
      <c r="BI372" s="386">
        <f t="shared" si="227"/>
        <v>253.382688</v>
      </c>
      <c r="BJ372" s="386">
        <f t="shared" si="228"/>
        <v>198.73151999999999</v>
      </c>
      <c r="BK372" s="386">
        <f t="shared" si="229"/>
        <v>0</v>
      </c>
      <c r="BL372" s="386">
        <f t="shared" si="252"/>
        <v>17676.340656000004</v>
      </c>
      <c r="BM372" s="386">
        <f t="shared" si="253"/>
        <v>0</v>
      </c>
      <c r="BN372" s="386">
        <f t="shared" si="230"/>
        <v>11650</v>
      </c>
      <c r="BO372" s="386">
        <f t="shared" si="231"/>
        <v>0</v>
      </c>
      <c r="BP372" s="386">
        <f t="shared" si="232"/>
        <v>5133.8976000000002</v>
      </c>
      <c r="BQ372" s="386">
        <f t="shared" si="233"/>
        <v>1200.6696000000002</v>
      </c>
      <c r="BR372" s="386">
        <f t="shared" si="234"/>
        <v>9886.8931200000006</v>
      </c>
      <c r="BS372" s="386">
        <f t="shared" si="235"/>
        <v>597.02260799999999</v>
      </c>
      <c r="BT372" s="386">
        <f t="shared" si="236"/>
        <v>0</v>
      </c>
      <c r="BU372" s="386">
        <f t="shared" si="237"/>
        <v>253.382688</v>
      </c>
      <c r="BV372" s="386">
        <f t="shared" si="238"/>
        <v>207.012</v>
      </c>
      <c r="BW372" s="386">
        <f t="shared" si="239"/>
        <v>0</v>
      </c>
      <c r="BX372" s="386">
        <f t="shared" si="254"/>
        <v>17278.877616000002</v>
      </c>
      <c r="BY372" s="386">
        <f t="shared" si="255"/>
        <v>0</v>
      </c>
      <c r="BZ372" s="386">
        <f t="shared" si="256"/>
        <v>0</v>
      </c>
      <c r="CA372" s="386">
        <f t="shared" si="257"/>
        <v>0</v>
      </c>
      <c r="CB372" s="386">
        <f t="shared" si="258"/>
        <v>0</v>
      </c>
      <c r="CC372" s="386">
        <f t="shared" si="240"/>
        <v>0</v>
      </c>
      <c r="CD372" s="386">
        <f t="shared" si="241"/>
        <v>0</v>
      </c>
      <c r="CE372" s="386">
        <f t="shared" si="242"/>
        <v>0</v>
      </c>
      <c r="CF372" s="386">
        <f t="shared" si="243"/>
        <v>-405.74351999999999</v>
      </c>
      <c r="CG372" s="386">
        <f t="shared" si="244"/>
        <v>0</v>
      </c>
      <c r="CH372" s="386">
        <f t="shared" si="245"/>
        <v>8.280480000000022</v>
      </c>
      <c r="CI372" s="386">
        <f t="shared" si="246"/>
        <v>0</v>
      </c>
      <c r="CJ372" s="386">
        <f t="shared" si="259"/>
        <v>-397.46303999999998</v>
      </c>
      <c r="CK372" s="386" t="str">
        <f t="shared" si="260"/>
        <v/>
      </c>
      <c r="CL372" s="386" t="str">
        <f t="shared" si="261"/>
        <v/>
      </c>
      <c r="CM372" s="386" t="str">
        <f t="shared" si="262"/>
        <v/>
      </c>
      <c r="CN372" s="386" t="str">
        <f t="shared" si="263"/>
        <v>0001-00</v>
      </c>
    </row>
    <row r="373" spans="1:92" ht="15.75" thickBot="1" x14ac:dyDescent="0.3">
      <c r="A373" s="375" t="s">
        <v>161</v>
      </c>
      <c r="B373" s="375" t="s">
        <v>162</v>
      </c>
      <c r="C373" s="375" t="s">
        <v>1424</v>
      </c>
      <c r="D373" s="375" t="s">
        <v>247</v>
      </c>
      <c r="E373" s="375" t="s">
        <v>165</v>
      </c>
      <c r="F373" s="376" t="s">
        <v>166</v>
      </c>
      <c r="G373" s="375" t="s">
        <v>1369</v>
      </c>
      <c r="H373" s="377"/>
      <c r="I373" s="377"/>
      <c r="J373" s="375" t="s">
        <v>168</v>
      </c>
      <c r="K373" s="375" t="s">
        <v>248</v>
      </c>
      <c r="L373" s="375" t="s">
        <v>220</v>
      </c>
      <c r="M373" s="375" t="s">
        <v>177</v>
      </c>
      <c r="N373" s="375" t="s">
        <v>199</v>
      </c>
      <c r="O373" s="378">
        <v>1</v>
      </c>
      <c r="P373" s="384">
        <v>1</v>
      </c>
      <c r="Q373" s="384">
        <v>1</v>
      </c>
      <c r="R373" s="379">
        <v>80</v>
      </c>
      <c r="S373" s="384">
        <v>1</v>
      </c>
      <c r="T373" s="379">
        <v>75688</v>
      </c>
      <c r="U373" s="379">
        <v>0</v>
      </c>
      <c r="V373" s="379">
        <v>27190.76</v>
      </c>
      <c r="W373" s="379">
        <v>76169.600000000006</v>
      </c>
      <c r="X373" s="379">
        <v>27909.89</v>
      </c>
      <c r="Y373" s="379">
        <v>76169.600000000006</v>
      </c>
      <c r="Z373" s="379">
        <v>27544.28</v>
      </c>
      <c r="AA373" s="375" t="s">
        <v>1425</v>
      </c>
      <c r="AB373" s="375" t="s">
        <v>1426</v>
      </c>
      <c r="AC373" s="375" t="s">
        <v>292</v>
      </c>
      <c r="AD373" s="375" t="s">
        <v>220</v>
      </c>
      <c r="AE373" s="375" t="s">
        <v>248</v>
      </c>
      <c r="AF373" s="375" t="s">
        <v>252</v>
      </c>
      <c r="AG373" s="375" t="s">
        <v>183</v>
      </c>
      <c r="AH373" s="380">
        <v>36.619999999999997</v>
      </c>
      <c r="AI373" s="378">
        <v>29601</v>
      </c>
      <c r="AJ373" s="375" t="s">
        <v>184</v>
      </c>
      <c r="AK373" s="375" t="s">
        <v>185</v>
      </c>
      <c r="AL373" s="375" t="s">
        <v>173</v>
      </c>
      <c r="AM373" s="375" t="s">
        <v>186</v>
      </c>
      <c r="AN373" s="375" t="s">
        <v>68</v>
      </c>
      <c r="AO373" s="378">
        <v>80</v>
      </c>
      <c r="AP373" s="384">
        <v>1</v>
      </c>
      <c r="AQ373" s="384">
        <v>1</v>
      </c>
      <c r="AR373" s="383" t="s">
        <v>187</v>
      </c>
      <c r="AS373" s="386">
        <f t="shared" si="247"/>
        <v>1</v>
      </c>
      <c r="AT373">
        <f t="shared" si="248"/>
        <v>1</v>
      </c>
      <c r="AU373" s="386">
        <f>IF(AT373=0,"",IF(AND(AT373=1,M373="F",SUMIF(C2:C557,C373,AS2:AS557)&lt;=1),SUMIF(C2:C557,C373,AS2:AS557),IF(AND(AT373=1,M373="F",SUMIF(C2:C557,C373,AS2:AS557)&gt;1),1,"")))</f>
        <v>1</v>
      </c>
      <c r="AV373" s="386" t="str">
        <f>IF(AT373=0,"",IF(AND(AT373=3,M373="F",SUMIF(C2:C557,C373,AS2:AS557)&lt;=1),SUMIF(C2:C557,C373,AS2:AS557),IF(AND(AT373=3,M373="F",SUMIF(C2:C557,C373,AS2:AS557)&gt;1),1,"")))</f>
        <v/>
      </c>
      <c r="AW373" s="386">
        <f>SUMIF(C2:C557,C373,O2:O557)</f>
        <v>1</v>
      </c>
      <c r="AX373" s="386">
        <f>IF(AND(M373="F",AS373&lt;&gt;0),SUMIF(C2:C557,C373,W2:W557),0)</f>
        <v>76169.600000000006</v>
      </c>
      <c r="AY373" s="386">
        <f t="shared" si="249"/>
        <v>76169.600000000006</v>
      </c>
      <c r="AZ373" s="386" t="str">
        <f t="shared" si="250"/>
        <v/>
      </c>
      <c r="BA373" s="386">
        <f t="shared" si="251"/>
        <v>0</v>
      </c>
      <c r="BB373" s="386">
        <f t="shared" si="220"/>
        <v>11650</v>
      </c>
      <c r="BC373" s="386">
        <f t="shared" si="221"/>
        <v>0</v>
      </c>
      <c r="BD373" s="386">
        <f t="shared" si="222"/>
        <v>4722.5152000000007</v>
      </c>
      <c r="BE373" s="386">
        <f t="shared" si="223"/>
        <v>1104.4592000000002</v>
      </c>
      <c r="BF373" s="386">
        <f t="shared" si="224"/>
        <v>9094.6502400000008</v>
      </c>
      <c r="BG373" s="386">
        <f t="shared" si="225"/>
        <v>549.18281600000012</v>
      </c>
      <c r="BH373" s="386">
        <f t="shared" si="226"/>
        <v>373.23104000000001</v>
      </c>
      <c r="BI373" s="386">
        <f t="shared" si="227"/>
        <v>233.07897600000001</v>
      </c>
      <c r="BJ373" s="386">
        <f t="shared" si="228"/>
        <v>182.80704</v>
      </c>
      <c r="BK373" s="386">
        <f t="shared" si="229"/>
        <v>0</v>
      </c>
      <c r="BL373" s="386">
        <f t="shared" si="252"/>
        <v>16259.924512000003</v>
      </c>
      <c r="BM373" s="386">
        <f t="shared" si="253"/>
        <v>0</v>
      </c>
      <c r="BN373" s="386">
        <f t="shared" si="230"/>
        <v>11650</v>
      </c>
      <c r="BO373" s="386">
        <f t="shared" si="231"/>
        <v>0</v>
      </c>
      <c r="BP373" s="386">
        <f t="shared" si="232"/>
        <v>4722.5152000000007</v>
      </c>
      <c r="BQ373" s="386">
        <f t="shared" si="233"/>
        <v>1104.4592000000002</v>
      </c>
      <c r="BR373" s="386">
        <f t="shared" si="234"/>
        <v>9094.6502400000008</v>
      </c>
      <c r="BS373" s="386">
        <f t="shared" si="235"/>
        <v>549.18281600000012</v>
      </c>
      <c r="BT373" s="386">
        <f t="shared" si="236"/>
        <v>0</v>
      </c>
      <c r="BU373" s="386">
        <f t="shared" si="237"/>
        <v>233.07897600000001</v>
      </c>
      <c r="BV373" s="386">
        <f t="shared" si="238"/>
        <v>190.42400000000001</v>
      </c>
      <c r="BW373" s="386">
        <f t="shared" si="239"/>
        <v>0</v>
      </c>
      <c r="BX373" s="386">
        <f t="shared" si="254"/>
        <v>15894.310432000004</v>
      </c>
      <c r="BY373" s="386">
        <f t="shared" si="255"/>
        <v>0</v>
      </c>
      <c r="BZ373" s="386">
        <f t="shared" si="256"/>
        <v>0</v>
      </c>
      <c r="CA373" s="386">
        <f t="shared" si="257"/>
        <v>0</v>
      </c>
      <c r="CB373" s="386">
        <f t="shared" si="258"/>
        <v>0</v>
      </c>
      <c r="CC373" s="386">
        <f t="shared" si="240"/>
        <v>0</v>
      </c>
      <c r="CD373" s="386">
        <f t="shared" si="241"/>
        <v>0</v>
      </c>
      <c r="CE373" s="386">
        <f t="shared" si="242"/>
        <v>0</v>
      </c>
      <c r="CF373" s="386">
        <f t="shared" si="243"/>
        <v>-373.23104000000001</v>
      </c>
      <c r="CG373" s="386">
        <f t="shared" si="244"/>
        <v>0</v>
      </c>
      <c r="CH373" s="386">
        <f t="shared" si="245"/>
        <v>7.6169600000000202</v>
      </c>
      <c r="CI373" s="386">
        <f t="shared" si="246"/>
        <v>0</v>
      </c>
      <c r="CJ373" s="386">
        <f t="shared" si="259"/>
        <v>-365.61408</v>
      </c>
      <c r="CK373" s="386" t="str">
        <f t="shared" si="260"/>
        <v/>
      </c>
      <c r="CL373" s="386" t="str">
        <f t="shared" si="261"/>
        <v/>
      </c>
      <c r="CM373" s="386" t="str">
        <f t="shared" si="262"/>
        <v/>
      </c>
      <c r="CN373" s="386" t="str">
        <f t="shared" si="263"/>
        <v>0001-00</v>
      </c>
    </row>
    <row r="374" spans="1:92" ht="15.75" thickBot="1" x14ac:dyDescent="0.3">
      <c r="A374" s="375" t="s">
        <v>161</v>
      </c>
      <c r="B374" s="375" t="s">
        <v>162</v>
      </c>
      <c r="C374" s="375" t="s">
        <v>1427</v>
      </c>
      <c r="D374" s="375" t="s">
        <v>247</v>
      </c>
      <c r="E374" s="375" t="s">
        <v>165</v>
      </c>
      <c r="F374" s="376" t="s">
        <v>166</v>
      </c>
      <c r="G374" s="375" t="s">
        <v>1369</v>
      </c>
      <c r="H374" s="377"/>
      <c r="I374" s="377"/>
      <c r="J374" s="375" t="s">
        <v>168</v>
      </c>
      <c r="K374" s="375" t="s">
        <v>284</v>
      </c>
      <c r="L374" s="375" t="s">
        <v>198</v>
      </c>
      <c r="M374" s="375" t="s">
        <v>177</v>
      </c>
      <c r="N374" s="375" t="s">
        <v>199</v>
      </c>
      <c r="O374" s="378">
        <v>1</v>
      </c>
      <c r="P374" s="384">
        <v>1</v>
      </c>
      <c r="Q374" s="384">
        <v>1</v>
      </c>
      <c r="R374" s="379">
        <v>80</v>
      </c>
      <c r="S374" s="384">
        <v>1</v>
      </c>
      <c r="T374" s="379">
        <v>43129.91</v>
      </c>
      <c r="U374" s="379">
        <v>0</v>
      </c>
      <c r="V374" s="379">
        <v>20561.77</v>
      </c>
      <c r="W374" s="379">
        <v>46113.599999999999</v>
      </c>
      <c r="X374" s="379">
        <v>21493.83</v>
      </c>
      <c r="Y374" s="379">
        <v>46113.599999999999</v>
      </c>
      <c r="Z374" s="379">
        <v>21272.49</v>
      </c>
      <c r="AA374" s="375" t="s">
        <v>1428</v>
      </c>
      <c r="AB374" s="375" t="s">
        <v>1429</v>
      </c>
      <c r="AC374" s="375" t="s">
        <v>1430</v>
      </c>
      <c r="AD374" s="375" t="s">
        <v>194</v>
      </c>
      <c r="AE374" s="375" t="s">
        <v>284</v>
      </c>
      <c r="AF374" s="375" t="s">
        <v>245</v>
      </c>
      <c r="AG374" s="375" t="s">
        <v>183</v>
      </c>
      <c r="AH374" s="380">
        <v>22.17</v>
      </c>
      <c r="AI374" s="380">
        <v>19357.3</v>
      </c>
      <c r="AJ374" s="375" t="s">
        <v>184</v>
      </c>
      <c r="AK374" s="375" t="s">
        <v>185</v>
      </c>
      <c r="AL374" s="375" t="s">
        <v>173</v>
      </c>
      <c r="AM374" s="375" t="s">
        <v>186</v>
      </c>
      <c r="AN374" s="375" t="s">
        <v>68</v>
      </c>
      <c r="AO374" s="378">
        <v>80</v>
      </c>
      <c r="AP374" s="384">
        <v>1</v>
      </c>
      <c r="AQ374" s="384">
        <v>1</v>
      </c>
      <c r="AR374" s="383" t="s">
        <v>187</v>
      </c>
      <c r="AS374" s="386">
        <f t="shared" si="247"/>
        <v>1</v>
      </c>
      <c r="AT374">
        <f t="shared" si="248"/>
        <v>1</v>
      </c>
      <c r="AU374" s="386">
        <f>IF(AT374=0,"",IF(AND(AT374=1,M374="F",SUMIF(C2:C557,C374,AS2:AS557)&lt;=1),SUMIF(C2:C557,C374,AS2:AS557),IF(AND(AT374=1,M374="F",SUMIF(C2:C557,C374,AS2:AS557)&gt;1),1,"")))</f>
        <v>1</v>
      </c>
      <c r="AV374" s="386" t="str">
        <f>IF(AT374=0,"",IF(AND(AT374=3,M374="F",SUMIF(C2:C557,C374,AS2:AS557)&lt;=1),SUMIF(C2:C557,C374,AS2:AS557),IF(AND(AT374=3,M374="F",SUMIF(C2:C557,C374,AS2:AS557)&gt;1),1,"")))</f>
        <v/>
      </c>
      <c r="AW374" s="386">
        <f>SUMIF(C2:C557,C374,O2:O557)</f>
        <v>1</v>
      </c>
      <c r="AX374" s="386">
        <f>IF(AND(M374="F",AS374&lt;&gt;0),SUMIF(C2:C557,C374,W2:W557),0)</f>
        <v>46113.599999999999</v>
      </c>
      <c r="AY374" s="386">
        <f t="shared" si="249"/>
        <v>46113.599999999999</v>
      </c>
      <c r="AZ374" s="386" t="str">
        <f t="shared" si="250"/>
        <v/>
      </c>
      <c r="BA374" s="386">
        <f t="shared" si="251"/>
        <v>0</v>
      </c>
      <c r="BB374" s="386">
        <f t="shared" si="220"/>
        <v>11650</v>
      </c>
      <c r="BC374" s="386">
        <f t="shared" si="221"/>
        <v>0</v>
      </c>
      <c r="BD374" s="386">
        <f t="shared" si="222"/>
        <v>2859.0432000000001</v>
      </c>
      <c r="BE374" s="386">
        <f t="shared" si="223"/>
        <v>668.6472</v>
      </c>
      <c r="BF374" s="386">
        <f t="shared" si="224"/>
        <v>5505.9638400000003</v>
      </c>
      <c r="BG374" s="386">
        <f t="shared" si="225"/>
        <v>332.47905600000001</v>
      </c>
      <c r="BH374" s="386">
        <f t="shared" si="226"/>
        <v>225.95663999999999</v>
      </c>
      <c r="BI374" s="386">
        <f t="shared" si="227"/>
        <v>141.10761599999998</v>
      </c>
      <c r="BJ374" s="386">
        <f t="shared" si="228"/>
        <v>110.67263999999999</v>
      </c>
      <c r="BK374" s="386">
        <f t="shared" si="229"/>
        <v>0</v>
      </c>
      <c r="BL374" s="386">
        <f t="shared" si="252"/>
        <v>9843.8701920000003</v>
      </c>
      <c r="BM374" s="386">
        <f t="shared" si="253"/>
        <v>0</v>
      </c>
      <c r="BN374" s="386">
        <f t="shared" si="230"/>
        <v>11650</v>
      </c>
      <c r="BO374" s="386">
        <f t="shared" si="231"/>
        <v>0</v>
      </c>
      <c r="BP374" s="386">
        <f t="shared" si="232"/>
        <v>2859.0432000000001</v>
      </c>
      <c r="BQ374" s="386">
        <f t="shared" si="233"/>
        <v>668.6472</v>
      </c>
      <c r="BR374" s="386">
        <f t="shared" si="234"/>
        <v>5505.9638400000003</v>
      </c>
      <c r="BS374" s="386">
        <f t="shared" si="235"/>
        <v>332.47905600000001</v>
      </c>
      <c r="BT374" s="386">
        <f t="shared" si="236"/>
        <v>0</v>
      </c>
      <c r="BU374" s="386">
        <f t="shared" si="237"/>
        <v>141.10761599999998</v>
      </c>
      <c r="BV374" s="386">
        <f t="shared" si="238"/>
        <v>115.28399999999999</v>
      </c>
      <c r="BW374" s="386">
        <f t="shared" si="239"/>
        <v>0</v>
      </c>
      <c r="BX374" s="386">
        <f t="shared" si="254"/>
        <v>9622.5249119999989</v>
      </c>
      <c r="BY374" s="386">
        <f t="shared" si="255"/>
        <v>0</v>
      </c>
      <c r="BZ374" s="386">
        <f t="shared" si="256"/>
        <v>0</v>
      </c>
      <c r="CA374" s="386">
        <f t="shared" si="257"/>
        <v>0</v>
      </c>
      <c r="CB374" s="386">
        <f t="shared" si="258"/>
        <v>0</v>
      </c>
      <c r="CC374" s="386">
        <f t="shared" si="240"/>
        <v>0</v>
      </c>
      <c r="CD374" s="386">
        <f t="shared" si="241"/>
        <v>0</v>
      </c>
      <c r="CE374" s="386">
        <f t="shared" si="242"/>
        <v>0</v>
      </c>
      <c r="CF374" s="386">
        <f t="shared" si="243"/>
        <v>-225.95663999999999</v>
      </c>
      <c r="CG374" s="386">
        <f t="shared" si="244"/>
        <v>0</v>
      </c>
      <c r="CH374" s="386">
        <f t="shared" si="245"/>
        <v>4.6113600000000119</v>
      </c>
      <c r="CI374" s="386">
        <f t="shared" si="246"/>
        <v>0</v>
      </c>
      <c r="CJ374" s="386">
        <f t="shared" si="259"/>
        <v>-221.34527999999997</v>
      </c>
      <c r="CK374" s="386" t="str">
        <f t="shared" si="260"/>
        <v/>
      </c>
      <c r="CL374" s="386" t="str">
        <f t="shared" si="261"/>
        <v/>
      </c>
      <c r="CM374" s="386" t="str">
        <f t="shared" si="262"/>
        <v/>
      </c>
      <c r="CN374" s="386" t="str">
        <f t="shared" si="263"/>
        <v>0001-00</v>
      </c>
    </row>
    <row r="375" spans="1:92" ht="15.75" thickBot="1" x14ac:dyDescent="0.3">
      <c r="A375" s="375" t="s">
        <v>161</v>
      </c>
      <c r="B375" s="375" t="s">
        <v>162</v>
      </c>
      <c r="C375" s="375" t="s">
        <v>1431</v>
      </c>
      <c r="D375" s="375" t="s">
        <v>1432</v>
      </c>
      <c r="E375" s="375" t="s">
        <v>165</v>
      </c>
      <c r="F375" s="376" t="s">
        <v>166</v>
      </c>
      <c r="G375" s="375" t="s">
        <v>1369</v>
      </c>
      <c r="H375" s="377"/>
      <c r="I375" s="377"/>
      <c r="J375" s="375" t="s">
        <v>168</v>
      </c>
      <c r="K375" s="375" t="s">
        <v>1433</v>
      </c>
      <c r="L375" s="375" t="s">
        <v>220</v>
      </c>
      <c r="M375" s="375" t="s">
        <v>177</v>
      </c>
      <c r="N375" s="375" t="s">
        <v>199</v>
      </c>
      <c r="O375" s="378">
        <v>1</v>
      </c>
      <c r="P375" s="384">
        <v>1</v>
      </c>
      <c r="Q375" s="384">
        <v>1</v>
      </c>
      <c r="R375" s="379">
        <v>80</v>
      </c>
      <c r="S375" s="384">
        <v>1</v>
      </c>
      <c r="T375" s="379">
        <v>46803.199999999997</v>
      </c>
      <c r="U375" s="379">
        <v>0</v>
      </c>
      <c r="V375" s="379">
        <v>21608.74</v>
      </c>
      <c r="W375" s="379">
        <v>53456</v>
      </c>
      <c r="X375" s="379">
        <v>23061.22</v>
      </c>
      <c r="Y375" s="379">
        <v>53456</v>
      </c>
      <c r="Z375" s="379">
        <v>22804.639999999999</v>
      </c>
      <c r="AA375" s="375" t="s">
        <v>1434</v>
      </c>
      <c r="AB375" s="375" t="s">
        <v>1435</v>
      </c>
      <c r="AC375" s="375" t="s">
        <v>1436</v>
      </c>
      <c r="AD375" s="375" t="s">
        <v>170</v>
      </c>
      <c r="AE375" s="375" t="s">
        <v>1437</v>
      </c>
      <c r="AF375" s="375" t="s">
        <v>269</v>
      </c>
      <c r="AG375" s="375" t="s">
        <v>183</v>
      </c>
      <c r="AH375" s="380">
        <v>25.7</v>
      </c>
      <c r="AI375" s="380">
        <v>7116.5</v>
      </c>
      <c r="AJ375" s="375" t="s">
        <v>184</v>
      </c>
      <c r="AK375" s="375" t="s">
        <v>185</v>
      </c>
      <c r="AL375" s="375" t="s">
        <v>173</v>
      </c>
      <c r="AM375" s="375" t="s">
        <v>186</v>
      </c>
      <c r="AN375" s="375" t="s">
        <v>68</v>
      </c>
      <c r="AO375" s="378">
        <v>80</v>
      </c>
      <c r="AP375" s="384">
        <v>1</v>
      </c>
      <c r="AQ375" s="384">
        <v>1</v>
      </c>
      <c r="AR375" s="383">
        <v>3</v>
      </c>
      <c r="AS375" s="386">
        <f t="shared" si="247"/>
        <v>1</v>
      </c>
      <c r="AT375">
        <f t="shared" si="248"/>
        <v>1</v>
      </c>
      <c r="AU375" s="386">
        <f>IF(AT375=0,"",IF(AND(AT375=1,M375="F",SUMIF(C2:C557,C375,AS2:AS557)&lt;=1),SUMIF(C2:C557,C375,AS2:AS557),IF(AND(AT375=1,M375="F",SUMIF(C2:C557,C375,AS2:AS557)&gt;1),1,"")))</f>
        <v>1</v>
      </c>
      <c r="AV375" s="386" t="str">
        <f>IF(AT375=0,"",IF(AND(AT375=3,M375="F",SUMIF(C2:C557,C375,AS2:AS557)&lt;=1),SUMIF(C2:C557,C375,AS2:AS557),IF(AND(AT375=3,M375="F",SUMIF(C2:C557,C375,AS2:AS557)&gt;1),1,"")))</f>
        <v/>
      </c>
      <c r="AW375" s="386">
        <f>SUMIF(C2:C557,C375,O2:O557)</f>
        <v>1</v>
      </c>
      <c r="AX375" s="386">
        <f>IF(AND(M375="F",AS375&lt;&gt;0),SUMIF(C2:C557,C375,W2:W557),0)</f>
        <v>53456</v>
      </c>
      <c r="AY375" s="386">
        <f t="shared" si="249"/>
        <v>53456</v>
      </c>
      <c r="AZ375" s="386" t="str">
        <f t="shared" si="250"/>
        <v/>
      </c>
      <c r="BA375" s="386">
        <f t="shared" si="251"/>
        <v>0</v>
      </c>
      <c r="BB375" s="386">
        <f t="shared" si="220"/>
        <v>11650</v>
      </c>
      <c r="BC375" s="386">
        <f t="shared" si="221"/>
        <v>0</v>
      </c>
      <c r="BD375" s="386">
        <f t="shared" si="222"/>
        <v>3314.2719999999999</v>
      </c>
      <c r="BE375" s="386">
        <f t="shared" si="223"/>
        <v>775.11200000000008</v>
      </c>
      <c r="BF375" s="386">
        <f t="shared" si="224"/>
        <v>6382.6464000000005</v>
      </c>
      <c r="BG375" s="386">
        <f t="shared" si="225"/>
        <v>385.41775999999999</v>
      </c>
      <c r="BH375" s="386">
        <f t="shared" si="226"/>
        <v>261.93439999999998</v>
      </c>
      <c r="BI375" s="386">
        <f t="shared" si="227"/>
        <v>163.57535999999999</v>
      </c>
      <c r="BJ375" s="386">
        <f t="shared" si="228"/>
        <v>128.2944</v>
      </c>
      <c r="BK375" s="386">
        <f t="shared" si="229"/>
        <v>0</v>
      </c>
      <c r="BL375" s="386">
        <f t="shared" si="252"/>
        <v>11411.252320000001</v>
      </c>
      <c r="BM375" s="386">
        <f t="shared" si="253"/>
        <v>0</v>
      </c>
      <c r="BN375" s="386">
        <f t="shared" si="230"/>
        <v>11650</v>
      </c>
      <c r="BO375" s="386">
        <f t="shared" si="231"/>
        <v>0</v>
      </c>
      <c r="BP375" s="386">
        <f t="shared" si="232"/>
        <v>3314.2719999999999</v>
      </c>
      <c r="BQ375" s="386">
        <f t="shared" si="233"/>
        <v>775.11200000000008</v>
      </c>
      <c r="BR375" s="386">
        <f t="shared" si="234"/>
        <v>6382.6464000000005</v>
      </c>
      <c r="BS375" s="386">
        <f t="shared" si="235"/>
        <v>385.41775999999999</v>
      </c>
      <c r="BT375" s="386">
        <f t="shared" si="236"/>
        <v>0</v>
      </c>
      <c r="BU375" s="386">
        <f t="shared" si="237"/>
        <v>163.57535999999999</v>
      </c>
      <c r="BV375" s="386">
        <f t="shared" si="238"/>
        <v>133.64000000000001</v>
      </c>
      <c r="BW375" s="386">
        <f t="shared" si="239"/>
        <v>0</v>
      </c>
      <c r="BX375" s="386">
        <f t="shared" si="254"/>
        <v>11154.66352</v>
      </c>
      <c r="BY375" s="386">
        <f t="shared" si="255"/>
        <v>0</v>
      </c>
      <c r="BZ375" s="386">
        <f t="shared" si="256"/>
        <v>0</v>
      </c>
      <c r="CA375" s="386">
        <f t="shared" si="257"/>
        <v>0</v>
      </c>
      <c r="CB375" s="386">
        <f t="shared" si="258"/>
        <v>0</v>
      </c>
      <c r="CC375" s="386">
        <f t="shared" si="240"/>
        <v>0</v>
      </c>
      <c r="CD375" s="386">
        <f t="shared" si="241"/>
        <v>0</v>
      </c>
      <c r="CE375" s="386">
        <f t="shared" si="242"/>
        <v>0</v>
      </c>
      <c r="CF375" s="386">
        <f t="shared" si="243"/>
        <v>-261.93439999999998</v>
      </c>
      <c r="CG375" s="386">
        <f t="shared" si="244"/>
        <v>0</v>
      </c>
      <c r="CH375" s="386">
        <f t="shared" si="245"/>
        <v>5.3456000000000143</v>
      </c>
      <c r="CI375" s="386">
        <f t="shared" si="246"/>
        <v>0</v>
      </c>
      <c r="CJ375" s="386">
        <f t="shared" si="259"/>
        <v>-256.58879999999999</v>
      </c>
      <c r="CK375" s="386" t="str">
        <f t="shared" si="260"/>
        <v/>
      </c>
      <c r="CL375" s="386" t="str">
        <f t="shared" si="261"/>
        <v/>
      </c>
      <c r="CM375" s="386" t="str">
        <f t="shared" si="262"/>
        <v/>
      </c>
      <c r="CN375" s="386" t="str">
        <f t="shared" si="263"/>
        <v>0001-00</v>
      </c>
    </row>
    <row r="376" spans="1:92" ht="15.75" thickBot="1" x14ac:dyDescent="0.3">
      <c r="A376" s="375" t="s">
        <v>161</v>
      </c>
      <c r="B376" s="375" t="s">
        <v>162</v>
      </c>
      <c r="C376" s="375" t="s">
        <v>1438</v>
      </c>
      <c r="D376" s="375" t="s">
        <v>247</v>
      </c>
      <c r="E376" s="375" t="s">
        <v>165</v>
      </c>
      <c r="F376" s="376" t="s">
        <v>166</v>
      </c>
      <c r="G376" s="375" t="s">
        <v>1369</v>
      </c>
      <c r="H376" s="377"/>
      <c r="I376" s="377"/>
      <c r="J376" s="375" t="s">
        <v>168</v>
      </c>
      <c r="K376" s="375" t="s">
        <v>268</v>
      </c>
      <c r="L376" s="375" t="s">
        <v>170</v>
      </c>
      <c r="M376" s="375" t="s">
        <v>177</v>
      </c>
      <c r="N376" s="375" t="s">
        <v>199</v>
      </c>
      <c r="O376" s="378">
        <v>1</v>
      </c>
      <c r="P376" s="384">
        <v>1</v>
      </c>
      <c r="Q376" s="384">
        <v>1</v>
      </c>
      <c r="R376" s="379">
        <v>80</v>
      </c>
      <c r="S376" s="384">
        <v>1</v>
      </c>
      <c r="T376" s="379">
        <v>50041.18</v>
      </c>
      <c r="U376" s="379">
        <v>0</v>
      </c>
      <c r="V376" s="379">
        <v>21859.51</v>
      </c>
      <c r="W376" s="379">
        <v>52873.599999999999</v>
      </c>
      <c r="X376" s="379">
        <v>22936.89</v>
      </c>
      <c r="Y376" s="379">
        <v>52873.599999999999</v>
      </c>
      <c r="Z376" s="379">
        <v>22683.1</v>
      </c>
      <c r="AA376" s="375" t="s">
        <v>1439</v>
      </c>
      <c r="AB376" s="375" t="s">
        <v>821</v>
      </c>
      <c r="AC376" s="375" t="s">
        <v>1440</v>
      </c>
      <c r="AD376" s="375" t="s">
        <v>244</v>
      </c>
      <c r="AE376" s="375" t="s">
        <v>268</v>
      </c>
      <c r="AF376" s="375" t="s">
        <v>269</v>
      </c>
      <c r="AG376" s="375" t="s">
        <v>183</v>
      </c>
      <c r="AH376" s="380">
        <v>25.42</v>
      </c>
      <c r="AI376" s="378">
        <v>8900</v>
      </c>
      <c r="AJ376" s="375" t="s">
        <v>184</v>
      </c>
      <c r="AK376" s="375" t="s">
        <v>185</v>
      </c>
      <c r="AL376" s="375" t="s">
        <v>173</v>
      </c>
      <c r="AM376" s="375" t="s">
        <v>186</v>
      </c>
      <c r="AN376" s="375" t="s">
        <v>68</v>
      </c>
      <c r="AO376" s="378">
        <v>80</v>
      </c>
      <c r="AP376" s="384">
        <v>1</v>
      </c>
      <c r="AQ376" s="384">
        <v>1</v>
      </c>
      <c r="AR376" s="383" t="s">
        <v>187</v>
      </c>
      <c r="AS376" s="386">
        <f t="shared" si="247"/>
        <v>1</v>
      </c>
      <c r="AT376">
        <f t="shared" si="248"/>
        <v>1</v>
      </c>
      <c r="AU376" s="386">
        <f>IF(AT376=0,"",IF(AND(AT376=1,M376="F",SUMIF(C2:C557,C376,AS2:AS557)&lt;=1),SUMIF(C2:C557,C376,AS2:AS557),IF(AND(AT376=1,M376="F",SUMIF(C2:C557,C376,AS2:AS557)&gt;1),1,"")))</f>
        <v>1</v>
      </c>
      <c r="AV376" s="386" t="str">
        <f>IF(AT376=0,"",IF(AND(AT376=3,M376="F",SUMIF(C2:C557,C376,AS2:AS557)&lt;=1),SUMIF(C2:C557,C376,AS2:AS557),IF(AND(AT376=3,M376="F",SUMIF(C2:C557,C376,AS2:AS557)&gt;1),1,"")))</f>
        <v/>
      </c>
      <c r="AW376" s="386">
        <f>SUMIF(C2:C557,C376,O2:O557)</f>
        <v>1</v>
      </c>
      <c r="AX376" s="386">
        <f>IF(AND(M376="F",AS376&lt;&gt;0),SUMIF(C2:C557,C376,W2:W557),0)</f>
        <v>52873.599999999999</v>
      </c>
      <c r="AY376" s="386">
        <f t="shared" si="249"/>
        <v>52873.599999999999</v>
      </c>
      <c r="AZ376" s="386" t="str">
        <f t="shared" si="250"/>
        <v/>
      </c>
      <c r="BA376" s="386">
        <f t="shared" si="251"/>
        <v>0</v>
      </c>
      <c r="BB376" s="386">
        <f t="shared" si="220"/>
        <v>11650</v>
      </c>
      <c r="BC376" s="386">
        <f t="shared" si="221"/>
        <v>0</v>
      </c>
      <c r="BD376" s="386">
        <f t="shared" si="222"/>
        <v>3278.1632</v>
      </c>
      <c r="BE376" s="386">
        <f t="shared" si="223"/>
        <v>766.66719999999998</v>
      </c>
      <c r="BF376" s="386">
        <f t="shared" si="224"/>
        <v>6313.1078400000006</v>
      </c>
      <c r="BG376" s="386">
        <f t="shared" si="225"/>
        <v>381.21865600000001</v>
      </c>
      <c r="BH376" s="386">
        <f t="shared" si="226"/>
        <v>259.08063999999996</v>
      </c>
      <c r="BI376" s="386">
        <f t="shared" si="227"/>
        <v>161.79321599999997</v>
      </c>
      <c r="BJ376" s="386">
        <f t="shared" si="228"/>
        <v>126.89663999999999</v>
      </c>
      <c r="BK376" s="386">
        <f t="shared" si="229"/>
        <v>0</v>
      </c>
      <c r="BL376" s="386">
        <f t="shared" si="252"/>
        <v>11286.927392000001</v>
      </c>
      <c r="BM376" s="386">
        <f t="shared" si="253"/>
        <v>0</v>
      </c>
      <c r="BN376" s="386">
        <f t="shared" si="230"/>
        <v>11650</v>
      </c>
      <c r="BO376" s="386">
        <f t="shared" si="231"/>
        <v>0</v>
      </c>
      <c r="BP376" s="386">
        <f t="shared" si="232"/>
        <v>3278.1632</v>
      </c>
      <c r="BQ376" s="386">
        <f t="shared" si="233"/>
        <v>766.66719999999998</v>
      </c>
      <c r="BR376" s="386">
        <f t="shared" si="234"/>
        <v>6313.1078400000006</v>
      </c>
      <c r="BS376" s="386">
        <f t="shared" si="235"/>
        <v>381.21865600000001</v>
      </c>
      <c r="BT376" s="386">
        <f t="shared" si="236"/>
        <v>0</v>
      </c>
      <c r="BU376" s="386">
        <f t="shared" si="237"/>
        <v>161.79321599999997</v>
      </c>
      <c r="BV376" s="386">
        <f t="shared" si="238"/>
        <v>132.184</v>
      </c>
      <c r="BW376" s="386">
        <f t="shared" si="239"/>
        <v>0</v>
      </c>
      <c r="BX376" s="386">
        <f t="shared" si="254"/>
        <v>11033.134112</v>
      </c>
      <c r="BY376" s="386">
        <f t="shared" si="255"/>
        <v>0</v>
      </c>
      <c r="BZ376" s="386">
        <f t="shared" si="256"/>
        <v>0</v>
      </c>
      <c r="CA376" s="386">
        <f t="shared" si="257"/>
        <v>0</v>
      </c>
      <c r="CB376" s="386">
        <f t="shared" si="258"/>
        <v>0</v>
      </c>
      <c r="CC376" s="386">
        <f t="shared" si="240"/>
        <v>0</v>
      </c>
      <c r="CD376" s="386">
        <f t="shared" si="241"/>
        <v>0</v>
      </c>
      <c r="CE376" s="386">
        <f t="shared" si="242"/>
        <v>0</v>
      </c>
      <c r="CF376" s="386">
        <f t="shared" si="243"/>
        <v>-259.08063999999996</v>
      </c>
      <c r="CG376" s="386">
        <f t="shared" si="244"/>
        <v>0</v>
      </c>
      <c r="CH376" s="386">
        <f t="shared" si="245"/>
        <v>5.2873600000000138</v>
      </c>
      <c r="CI376" s="386">
        <f t="shared" si="246"/>
        <v>0</v>
      </c>
      <c r="CJ376" s="386">
        <f t="shared" si="259"/>
        <v>-253.79327999999995</v>
      </c>
      <c r="CK376" s="386" t="str">
        <f t="shared" si="260"/>
        <v/>
      </c>
      <c r="CL376" s="386" t="str">
        <f t="shared" si="261"/>
        <v/>
      </c>
      <c r="CM376" s="386" t="str">
        <f t="shared" si="262"/>
        <v/>
      </c>
      <c r="CN376" s="386" t="str">
        <f t="shared" si="263"/>
        <v>0001-00</v>
      </c>
    </row>
    <row r="377" spans="1:92" ht="15.75" thickBot="1" x14ac:dyDescent="0.3">
      <c r="A377" s="375" t="s">
        <v>161</v>
      </c>
      <c r="B377" s="375" t="s">
        <v>162</v>
      </c>
      <c r="C377" s="375" t="s">
        <v>1441</v>
      </c>
      <c r="D377" s="375" t="s">
        <v>1442</v>
      </c>
      <c r="E377" s="375" t="s">
        <v>165</v>
      </c>
      <c r="F377" s="376" t="s">
        <v>166</v>
      </c>
      <c r="G377" s="375" t="s">
        <v>1369</v>
      </c>
      <c r="H377" s="377"/>
      <c r="I377" s="377"/>
      <c r="J377" s="375" t="s">
        <v>168</v>
      </c>
      <c r="K377" s="375" t="s">
        <v>1443</v>
      </c>
      <c r="L377" s="375" t="s">
        <v>173</v>
      </c>
      <c r="M377" s="375" t="s">
        <v>177</v>
      </c>
      <c r="N377" s="375" t="s">
        <v>199</v>
      </c>
      <c r="O377" s="378">
        <v>1</v>
      </c>
      <c r="P377" s="384">
        <v>1</v>
      </c>
      <c r="Q377" s="384">
        <v>1</v>
      </c>
      <c r="R377" s="379">
        <v>80</v>
      </c>
      <c r="S377" s="384">
        <v>1</v>
      </c>
      <c r="T377" s="379">
        <v>74436.800000000003</v>
      </c>
      <c r="U377" s="379">
        <v>0</v>
      </c>
      <c r="V377" s="379">
        <v>27602.7</v>
      </c>
      <c r="W377" s="379">
        <v>79497.600000000006</v>
      </c>
      <c r="X377" s="379">
        <v>28620.32</v>
      </c>
      <c r="Y377" s="379">
        <v>79497.600000000006</v>
      </c>
      <c r="Z377" s="379">
        <v>28238.74</v>
      </c>
      <c r="AA377" s="375" t="s">
        <v>1444</v>
      </c>
      <c r="AB377" s="375" t="s">
        <v>1445</v>
      </c>
      <c r="AC377" s="375" t="s">
        <v>1446</v>
      </c>
      <c r="AD377" s="375" t="s">
        <v>261</v>
      </c>
      <c r="AE377" s="375" t="s">
        <v>1443</v>
      </c>
      <c r="AF377" s="375" t="s">
        <v>305</v>
      </c>
      <c r="AG377" s="375" t="s">
        <v>183</v>
      </c>
      <c r="AH377" s="380">
        <v>38.22</v>
      </c>
      <c r="AI377" s="378">
        <v>32075</v>
      </c>
      <c r="AJ377" s="375" t="s">
        <v>184</v>
      </c>
      <c r="AK377" s="375" t="s">
        <v>185</v>
      </c>
      <c r="AL377" s="375" t="s">
        <v>173</v>
      </c>
      <c r="AM377" s="375" t="s">
        <v>186</v>
      </c>
      <c r="AN377" s="375" t="s">
        <v>68</v>
      </c>
      <c r="AO377" s="378">
        <v>80</v>
      </c>
      <c r="AP377" s="384">
        <v>1</v>
      </c>
      <c r="AQ377" s="384">
        <v>1</v>
      </c>
      <c r="AR377" s="383" t="s">
        <v>187</v>
      </c>
      <c r="AS377" s="386">
        <f t="shared" si="247"/>
        <v>1</v>
      </c>
      <c r="AT377">
        <f t="shared" si="248"/>
        <v>1</v>
      </c>
      <c r="AU377" s="386">
        <f>IF(AT377=0,"",IF(AND(AT377=1,M377="F",SUMIF(C2:C557,C377,AS2:AS557)&lt;=1),SUMIF(C2:C557,C377,AS2:AS557),IF(AND(AT377=1,M377="F",SUMIF(C2:C557,C377,AS2:AS557)&gt;1),1,"")))</f>
        <v>1</v>
      </c>
      <c r="AV377" s="386" t="str">
        <f>IF(AT377=0,"",IF(AND(AT377=3,M377="F",SUMIF(C2:C557,C377,AS2:AS557)&lt;=1),SUMIF(C2:C557,C377,AS2:AS557),IF(AND(AT377=3,M377="F",SUMIF(C2:C557,C377,AS2:AS557)&gt;1),1,"")))</f>
        <v/>
      </c>
      <c r="AW377" s="386">
        <f>SUMIF(C2:C557,C377,O2:O557)</f>
        <v>1</v>
      </c>
      <c r="AX377" s="386">
        <f>IF(AND(M377="F",AS377&lt;&gt;0),SUMIF(C2:C557,C377,W2:W557),0)</f>
        <v>79497.600000000006</v>
      </c>
      <c r="AY377" s="386">
        <f t="shared" si="249"/>
        <v>79497.600000000006</v>
      </c>
      <c r="AZ377" s="386" t="str">
        <f t="shared" si="250"/>
        <v/>
      </c>
      <c r="BA377" s="386">
        <f t="shared" si="251"/>
        <v>0</v>
      </c>
      <c r="BB377" s="386">
        <f t="shared" si="220"/>
        <v>11650</v>
      </c>
      <c r="BC377" s="386">
        <f t="shared" si="221"/>
        <v>0</v>
      </c>
      <c r="BD377" s="386">
        <f t="shared" si="222"/>
        <v>4928.8512000000001</v>
      </c>
      <c r="BE377" s="386">
        <f t="shared" si="223"/>
        <v>1152.7152000000001</v>
      </c>
      <c r="BF377" s="386">
        <f t="shared" si="224"/>
        <v>9492.0134400000006</v>
      </c>
      <c r="BG377" s="386">
        <f t="shared" si="225"/>
        <v>573.17769600000008</v>
      </c>
      <c r="BH377" s="386">
        <f t="shared" si="226"/>
        <v>389.53824000000003</v>
      </c>
      <c r="BI377" s="386">
        <f t="shared" si="227"/>
        <v>243.26265599999999</v>
      </c>
      <c r="BJ377" s="386">
        <f t="shared" si="228"/>
        <v>190.79424</v>
      </c>
      <c r="BK377" s="386">
        <f t="shared" si="229"/>
        <v>0</v>
      </c>
      <c r="BL377" s="386">
        <f t="shared" si="252"/>
        <v>16970.352672000001</v>
      </c>
      <c r="BM377" s="386">
        <f t="shared" si="253"/>
        <v>0</v>
      </c>
      <c r="BN377" s="386">
        <f t="shared" si="230"/>
        <v>11650</v>
      </c>
      <c r="BO377" s="386">
        <f t="shared" si="231"/>
        <v>0</v>
      </c>
      <c r="BP377" s="386">
        <f t="shared" si="232"/>
        <v>4928.8512000000001</v>
      </c>
      <c r="BQ377" s="386">
        <f t="shared" si="233"/>
        <v>1152.7152000000001</v>
      </c>
      <c r="BR377" s="386">
        <f t="shared" si="234"/>
        <v>9492.0134400000006</v>
      </c>
      <c r="BS377" s="386">
        <f t="shared" si="235"/>
        <v>573.17769600000008</v>
      </c>
      <c r="BT377" s="386">
        <f t="shared" si="236"/>
        <v>0</v>
      </c>
      <c r="BU377" s="386">
        <f t="shared" si="237"/>
        <v>243.26265599999999</v>
      </c>
      <c r="BV377" s="386">
        <f t="shared" si="238"/>
        <v>198.74400000000003</v>
      </c>
      <c r="BW377" s="386">
        <f t="shared" si="239"/>
        <v>0</v>
      </c>
      <c r="BX377" s="386">
        <f t="shared" si="254"/>
        <v>16588.764191999999</v>
      </c>
      <c r="BY377" s="386">
        <f t="shared" si="255"/>
        <v>0</v>
      </c>
      <c r="BZ377" s="386">
        <f t="shared" si="256"/>
        <v>0</v>
      </c>
      <c r="CA377" s="386">
        <f t="shared" si="257"/>
        <v>0</v>
      </c>
      <c r="CB377" s="386">
        <f t="shared" si="258"/>
        <v>0</v>
      </c>
      <c r="CC377" s="386">
        <f t="shared" si="240"/>
        <v>0</v>
      </c>
      <c r="CD377" s="386">
        <f t="shared" si="241"/>
        <v>0</v>
      </c>
      <c r="CE377" s="386">
        <f t="shared" si="242"/>
        <v>0</v>
      </c>
      <c r="CF377" s="386">
        <f t="shared" si="243"/>
        <v>-389.53824000000003</v>
      </c>
      <c r="CG377" s="386">
        <f t="shared" si="244"/>
        <v>0</v>
      </c>
      <c r="CH377" s="386">
        <f t="shared" si="245"/>
        <v>7.9497600000000217</v>
      </c>
      <c r="CI377" s="386">
        <f t="shared" si="246"/>
        <v>0</v>
      </c>
      <c r="CJ377" s="386">
        <f t="shared" si="259"/>
        <v>-381.58848</v>
      </c>
      <c r="CK377" s="386" t="str">
        <f t="shared" si="260"/>
        <v/>
      </c>
      <c r="CL377" s="386" t="str">
        <f t="shared" si="261"/>
        <v/>
      </c>
      <c r="CM377" s="386" t="str">
        <f t="shared" si="262"/>
        <v/>
      </c>
      <c r="CN377" s="386" t="str">
        <f t="shared" si="263"/>
        <v>0001-00</v>
      </c>
    </row>
    <row r="378" spans="1:92" ht="15.75" thickBot="1" x14ac:dyDescent="0.3">
      <c r="A378" s="375" t="s">
        <v>161</v>
      </c>
      <c r="B378" s="375" t="s">
        <v>162</v>
      </c>
      <c r="C378" s="375" t="s">
        <v>1447</v>
      </c>
      <c r="D378" s="375" t="s">
        <v>1448</v>
      </c>
      <c r="E378" s="375" t="s">
        <v>165</v>
      </c>
      <c r="F378" s="376" t="s">
        <v>166</v>
      </c>
      <c r="G378" s="375" t="s">
        <v>1369</v>
      </c>
      <c r="H378" s="377"/>
      <c r="I378" s="377"/>
      <c r="J378" s="375" t="s">
        <v>168</v>
      </c>
      <c r="K378" s="375" t="s">
        <v>1449</v>
      </c>
      <c r="L378" s="375" t="s">
        <v>173</v>
      </c>
      <c r="M378" s="375" t="s">
        <v>177</v>
      </c>
      <c r="N378" s="375" t="s">
        <v>199</v>
      </c>
      <c r="O378" s="378">
        <v>1</v>
      </c>
      <c r="P378" s="384">
        <v>1</v>
      </c>
      <c r="Q378" s="384">
        <v>1</v>
      </c>
      <c r="R378" s="379">
        <v>80</v>
      </c>
      <c r="S378" s="384">
        <v>1</v>
      </c>
      <c r="T378" s="379">
        <v>90547.22</v>
      </c>
      <c r="U378" s="379">
        <v>0</v>
      </c>
      <c r="V378" s="379">
        <v>30249.73</v>
      </c>
      <c r="W378" s="379">
        <v>93662.399999999994</v>
      </c>
      <c r="X378" s="379">
        <v>31644.07</v>
      </c>
      <c r="Y378" s="379">
        <v>93662.399999999994</v>
      </c>
      <c r="Z378" s="379">
        <v>31194.5</v>
      </c>
      <c r="AA378" s="375" t="s">
        <v>1450</v>
      </c>
      <c r="AB378" s="375" t="s">
        <v>1451</v>
      </c>
      <c r="AC378" s="375" t="s">
        <v>899</v>
      </c>
      <c r="AD378" s="375" t="s">
        <v>366</v>
      </c>
      <c r="AE378" s="375" t="s">
        <v>1449</v>
      </c>
      <c r="AF378" s="375" t="s">
        <v>305</v>
      </c>
      <c r="AG378" s="375" t="s">
        <v>183</v>
      </c>
      <c r="AH378" s="380">
        <v>45.03</v>
      </c>
      <c r="AI378" s="380">
        <v>49611.5</v>
      </c>
      <c r="AJ378" s="375" t="s">
        <v>184</v>
      </c>
      <c r="AK378" s="375" t="s">
        <v>185</v>
      </c>
      <c r="AL378" s="375" t="s">
        <v>173</v>
      </c>
      <c r="AM378" s="375" t="s">
        <v>186</v>
      </c>
      <c r="AN378" s="375" t="s">
        <v>68</v>
      </c>
      <c r="AO378" s="378">
        <v>80</v>
      </c>
      <c r="AP378" s="384">
        <v>1</v>
      </c>
      <c r="AQ378" s="384">
        <v>1</v>
      </c>
      <c r="AR378" s="383" t="s">
        <v>187</v>
      </c>
      <c r="AS378" s="386">
        <f t="shared" si="247"/>
        <v>1</v>
      </c>
      <c r="AT378">
        <f t="shared" si="248"/>
        <v>1</v>
      </c>
      <c r="AU378" s="386">
        <f>IF(AT378=0,"",IF(AND(AT378=1,M378="F",SUMIF(C2:C557,C378,AS2:AS557)&lt;=1),SUMIF(C2:C557,C378,AS2:AS557),IF(AND(AT378=1,M378="F",SUMIF(C2:C557,C378,AS2:AS557)&gt;1),1,"")))</f>
        <v>1</v>
      </c>
      <c r="AV378" s="386" t="str">
        <f>IF(AT378=0,"",IF(AND(AT378=3,M378="F",SUMIF(C2:C557,C378,AS2:AS557)&lt;=1),SUMIF(C2:C557,C378,AS2:AS557),IF(AND(AT378=3,M378="F",SUMIF(C2:C557,C378,AS2:AS557)&gt;1),1,"")))</f>
        <v/>
      </c>
      <c r="AW378" s="386">
        <f>SUMIF(C2:C557,C378,O2:O557)</f>
        <v>1</v>
      </c>
      <c r="AX378" s="386">
        <f>IF(AND(M378="F",AS378&lt;&gt;0),SUMIF(C2:C557,C378,W2:W557),0)</f>
        <v>93662.399999999994</v>
      </c>
      <c r="AY378" s="386">
        <f t="shared" si="249"/>
        <v>93662.399999999994</v>
      </c>
      <c r="AZ378" s="386" t="str">
        <f t="shared" si="250"/>
        <v/>
      </c>
      <c r="BA378" s="386">
        <f t="shared" si="251"/>
        <v>0</v>
      </c>
      <c r="BB378" s="386">
        <f t="shared" si="220"/>
        <v>11650</v>
      </c>
      <c r="BC378" s="386">
        <f t="shared" si="221"/>
        <v>0</v>
      </c>
      <c r="BD378" s="386">
        <f t="shared" si="222"/>
        <v>5807.0688</v>
      </c>
      <c r="BE378" s="386">
        <f t="shared" si="223"/>
        <v>1358.1048000000001</v>
      </c>
      <c r="BF378" s="386">
        <f t="shared" si="224"/>
        <v>11183.290559999999</v>
      </c>
      <c r="BG378" s="386">
        <f t="shared" si="225"/>
        <v>675.30590399999994</v>
      </c>
      <c r="BH378" s="386">
        <f t="shared" si="226"/>
        <v>458.94575999999995</v>
      </c>
      <c r="BI378" s="386">
        <f t="shared" si="227"/>
        <v>286.60694399999994</v>
      </c>
      <c r="BJ378" s="386">
        <f t="shared" si="228"/>
        <v>224.78975999999997</v>
      </c>
      <c r="BK378" s="386">
        <f t="shared" si="229"/>
        <v>0</v>
      </c>
      <c r="BL378" s="386">
        <f t="shared" si="252"/>
        <v>19994.112527999998</v>
      </c>
      <c r="BM378" s="386">
        <f t="shared" si="253"/>
        <v>0</v>
      </c>
      <c r="BN378" s="386">
        <f t="shared" si="230"/>
        <v>11650</v>
      </c>
      <c r="BO378" s="386">
        <f t="shared" si="231"/>
        <v>0</v>
      </c>
      <c r="BP378" s="386">
        <f t="shared" si="232"/>
        <v>5807.0688</v>
      </c>
      <c r="BQ378" s="386">
        <f t="shared" si="233"/>
        <v>1358.1048000000001</v>
      </c>
      <c r="BR378" s="386">
        <f t="shared" si="234"/>
        <v>11183.290559999999</v>
      </c>
      <c r="BS378" s="386">
        <f t="shared" si="235"/>
        <v>675.30590399999994</v>
      </c>
      <c r="BT378" s="386">
        <f t="shared" si="236"/>
        <v>0</v>
      </c>
      <c r="BU378" s="386">
        <f t="shared" si="237"/>
        <v>286.60694399999994</v>
      </c>
      <c r="BV378" s="386">
        <f t="shared" si="238"/>
        <v>234.15599999999998</v>
      </c>
      <c r="BW378" s="386">
        <f t="shared" si="239"/>
        <v>0</v>
      </c>
      <c r="BX378" s="386">
        <f t="shared" si="254"/>
        <v>19544.533007999999</v>
      </c>
      <c r="BY378" s="386">
        <f t="shared" si="255"/>
        <v>0</v>
      </c>
      <c r="BZ378" s="386">
        <f t="shared" si="256"/>
        <v>0</v>
      </c>
      <c r="CA378" s="386">
        <f t="shared" si="257"/>
        <v>0</v>
      </c>
      <c r="CB378" s="386">
        <f t="shared" si="258"/>
        <v>0</v>
      </c>
      <c r="CC378" s="386">
        <f t="shared" si="240"/>
        <v>0</v>
      </c>
      <c r="CD378" s="386">
        <f t="shared" si="241"/>
        <v>0</v>
      </c>
      <c r="CE378" s="386">
        <f t="shared" si="242"/>
        <v>0</v>
      </c>
      <c r="CF378" s="386">
        <f t="shared" si="243"/>
        <v>-458.94575999999995</v>
      </c>
      <c r="CG378" s="386">
        <f t="shared" si="244"/>
        <v>0</v>
      </c>
      <c r="CH378" s="386">
        <f t="shared" si="245"/>
        <v>9.3662400000000243</v>
      </c>
      <c r="CI378" s="386">
        <f t="shared" si="246"/>
        <v>0</v>
      </c>
      <c r="CJ378" s="386">
        <f t="shared" si="259"/>
        <v>-449.57951999999995</v>
      </c>
      <c r="CK378" s="386" t="str">
        <f t="shared" si="260"/>
        <v/>
      </c>
      <c r="CL378" s="386" t="str">
        <f t="shared" si="261"/>
        <v/>
      </c>
      <c r="CM378" s="386" t="str">
        <f t="shared" si="262"/>
        <v/>
      </c>
      <c r="CN378" s="386" t="str">
        <f t="shared" si="263"/>
        <v>0001-00</v>
      </c>
    </row>
    <row r="379" spans="1:92" ht="15.75" thickBot="1" x14ac:dyDescent="0.3">
      <c r="A379" s="375" t="s">
        <v>161</v>
      </c>
      <c r="B379" s="375" t="s">
        <v>162</v>
      </c>
      <c r="C379" s="375" t="s">
        <v>1452</v>
      </c>
      <c r="D379" s="375" t="s">
        <v>746</v>
      </c>
      <c r="E379" s="375" t="s">
        <v>165</v>
      </c>
      <c r="F379" s="376" t="s">
        <v>166</v>
      </c>
      <c r="G379" s="375" t="s">
        <v>1369</v>
      </c>
      <c r="H379" s="377"/>
      <c r="I379" s="377"/>
      <c r="J379" s="375" t="s">
        <v>168</v>
      </c>
      <c r="K379" s="375" t="s">
        <v>747</v>
      </c>
      <c r="L379" s="375" t="s">
        <v>210</v>
      </c>
      <c r="M379" s="375" t="s">
        <v>177</v>
      </c>
      <c r="N379" s="375" t="s">
        <v>199</v>
      </c>
      <c r="O379" s="378">
        <v>1</v>
      </c>
      <c r="P379" s="384">
        <v>1</v>
      </c>
      <c r="Q379" s="384">
        <v>1</v>
      </c>
      <c r="R379" s="379">
        <v>80</v>
      </c>
      <c r="S379" s="384">
        <v>1</v>
      </c>
      <c r="T379" s="379">
        <v>37467.21</v>
      </c>
      <c r="U379" s="379">
        <v>0</v>
      </c>
      <c r="V379" s="379">
        <v>19283.75</v>
      </c>
      <c r="W379" s="379">
        <v>38875.199999999997</v>
      </c>
      <c r="X379" s="379">
        <v>19948.66</v>
      </c>
      <c r="Y379" s="379">
        <v>38875.199999999997</v>
      </c>
      <c r="Z379" s="379">
        <v>19762.060000000001</v>
      </c>
      <c r="AA379" s="375" t="s">
        <v>1453</v>
      </c>
      <c r="AB379" s="375" t="s">
        <v>1454</v>
      </c>
      <c r="AC379" s="375" t="s">
        <v>1022</v>
      </c>
      <c r="AD379" s="375" t="s">
        <v>1455</v>
      </c>
      <c r="AE379" s="375" t="s">
        <v>747</v>
      </c>
      <c r="AF379" s="375" t="s">
        <v>215</v>
      </c>
      <c r="AG379" s="375" t="s">
        <v>183</v>
      </c>
      <c r="AH379" s="380">
        <v>18.690000000000001</v>
      </c>
      <c r="AI379" s="380">
        <v>29311.1</v>
      </c>
      <c r="AJ379" s="375" t="s">
        <v>184</v>
      </c>
      <c r="AK379" s="375" t="s">
        <v>185</v>
      </c>
      <c r="AL379" s="375" t="s">
        <v>173</v>
      </c>
      <c r="AM379" s="375" t="s">
        <v>186</v>
      </c>
      <c r="AN379" s="375" t="s">
        <v>68</v>
      </c>
      <c r="AO379" s="378">
        <v>80</v>
      </c>
      <c r="AP379" s="384">
        <v>1</v>
      </c>
      <c r="AQ379" s="384">
        <v>1</v>
      </c>
      <c r="AR379" s="383" t="s">
        <v>187</v>
      </c>
      <c r="AS379" s="386">
        <f t="shared" si="247"/>
        <v>1</v>
      </c>
      <c r="AT379">
        <f t="shared" si="248"/>
        <v>1</v>
      </c>
      <c r="AU379" s="386">
        <f>IF(AT379=0,"",IF(AND(AT379=1,M379="F",SUMIF(C2:C557,C379,AS2:AS557)&lt;=1),SUMIF(C2:C557,C379,AS2:AS557),IF(AND(AT379=1,M379="F",SUMIF(C2:C557,C379,AS2:AS557)&gt;1),1,"")))</f>
        <v>1</v>
      </c>
      <c r="AV379" s="386" t="str">
        <f>IF(AT379=0,"",IF(AND(AT379=3,M379="F",SUMIF(C2:C557,C379,AS2:AS557)&lt;=1),SUMIF(C2:C557,C379,AS2:AS557),IF(AND(AT379=3,M379="F",SUMIF(C2:C557,C379,AS2:AS557)&gt;1),1,"")))</f>
        <v/>
      </c>
      <c r="AW379" s="386">
        <f>SUMIF(C2:C557,C379,O2:O557)</f>
        <v>1</v>
      </c>
      <c r="AX379" s="386">
        <f>IF(AND(M379="F",AS379&lt;&gt;0),SUMIF(C2:C557,C379,W2:W557),0)</f>
        <v>38875.199999999997</v>
      </c>
      <c r="AY379" s="386">
        <f t="shared" si="249"/>
        <v>38875.199999999997</v>
      </c>
      <c r="AZ379" s="386" t="str">
        <f t="shared" si="250"/>
        <v/>
      </c>
      <c r="BA379" s="386">
        <f t="shared" si="251"/>
        <v>0</v>
      </c>
      <c r="BB379" s="386">
        <f t="shared" si="220"/>
        <v>11650</v>
      </c>
      <c r="BC379" s="386">
        <f t="shared" si="221"/>
        <v>0</v>
      </c>
      <c r="BD379" s="386">
        <f t="shared" si="222"/>
        <v>2410.2623999999996</v>
      </c>
      <c r="BE379" s="386">
        <f t="shared" si="223"/>
        <v>563.69039999999995</v>
      </c>
      <c r="BF379" s="386">
        <f t="shared" si="224"/>
        <v>4641.6988799999999</v>
      </c>
      <c r="BG379" s="386">
        <f t="shared" si="225"/>
        <v>280.29019199999999</v>
      </c>
      <c r="BH379" s="386">
        <f t="shared" si="226"/>
        <v>190.48847999999998</v>
      </c>
      <c r="BI379" s="386">
        <f t="shared" si="227"/>
        <v>118.95811199999999</v>
      </c>
      <c r="BJ379" s="386">
        <f t="shared" si="228"/>
        <v>93.300479999999979</v>
      </c>
      <c r="BK379" s="386">
        <f t="shared" si="229"/>
        <v>0</v>
      </c>
      <c r="BL379" s="386">
        <f t="shared" si="252"/>
        <v>8298.6889439999995</v>
      </c>
      <c r="BM379" s="386">
        <f t="shared" si="253"/>
        <v>0</v>
      </c>
      <c r="BN379" s="386">
        <f t="shared" si="230"/>
        <v>11650</v>
      </c>
      <c r="BO379" s="386">
        <f t="shared" si="231"/>
        <v>0</v>
      </c>
      <c r="BP379" s="386">
        <f t="shared" si="232"/>
        <v>2410.2623999999996</v>
      </c>
      <c r="BQ379" s="386">
        <f t="shared" si="233"/>
        <v>563.69039999999995</v>
      </c>
      <c r="BR379" s="386">
        <f t="shared" si="234"/>
        <v>4641.6988799999999</v>
      </c>
      <c r="BS379" s="386">
        <f t="shared" si="235"/>
        <v>280.29019199999999</v>
      </c>
      <c r="BT379" s="386">
        <f t="shared" si="236"/>
        <v>0</v>
      </c>
      <c r="BU379" s="386">
        <f t="shared" si="237"/>
        <v>118.95811199999999</v>
      </c>
      <c r="BV379" s="386">
        <f t="shared" si="238"/>
        <v>97.187999999999988</v>
      </c>
      <c r="BW379" s="386">
        <f t="shared" si="239"/>
        <v>0</v>
      </c>
      <c r="BX379" s="386">
        <f t="shared" si="254"/>
        <v>8112.0879839999998</v>
      </c>
      <c r="BY379" s="386">
        <f t="shared" si="255"/>
        <v>0</v>
      </c>
      <c r="BZ379" s="386">
        <f t="shared" si="256"/>
        <v>0</v>
      </c>
      <c r="CA379" s="386">
        <f t="shared" si="257"/>
        <v>0</v>
      </c>
      <c r="CB379" s="386">
        <f t="shared" si="258"/>
        <v>0</v>
      </c>
      <c r="CC379" s="386">
        <f t="shared" si="240"/>
        <v>0</v>
      </c>
      <c r="CD379" s="386">
        <f t="shared" si="241"/>
        <v>0</v>
      </c>
      <c r="CE379" s="386">
        <f t="shared" si="242"/>
        <v>0</v>
      </c>
      <c r="CF379" s="386">
        <f t="shared" si="243"/>
        <v>-190.48847999999998</v>
      </c>
      <c r="CG379" s="386">
        <f t="shared" si="244"/>
        <v>0</v>
      </c>
      <c r="CH379" s="386">
        <f t="shared" si="245"/>
        <v>3.8875200000000101</v>
      </c>
      <c r="CI379" s="386">
        <f t="shared" si="246"/>
        <v>0</v>
      </c>
      <c r="CJ379" s="386">
        <f t="shared" si="259"/>
        <v>-186.60095999999996</v>
      </c>
      <c r="CK379" s="386" t="str">
        <f t="shared" si="260"/>
        <v/>
      </c>
      <c r="CL379" s="386" t="str">
        <f t="shared" si="261"/>
        <v/>
      </c>
      <c r="CM379" s="386" t="str">
        <f t="shared" si="262"/>
        <v/>
      </c>
      <c r="CN379" s="386" t="str">
        <f t="shared" si="263"/>
        <v>0001-00</v>
      </c>
    </row>
    <row r="380" spans="1:92" ht="15.75" thickBot="1" x14ac:dyDescent="0.3">
      <c r="A380" s="375" t="s">
        <v>161</v>
      </c>
      <c r="B380" s="375" t="s">
        <v>162</v>
      </c>
      <c r="C380" s="375" t="s">
        <v>1456</v>
      </c>
      <c r="D380" s="375" t="s">
        <v>1457</v>
      </c>
      <c r="E380" s="375" t="s">
        <v>165</v>
      </c>
      <c r="F380" s="376" t="s">
        <v>166</v>
      </c>
      <c r="G380" s="375" t="s">
        <v>1369</v>
      </c>
      <c r="H380" s="377"/>
      <c r="I380" s="377"/>
      <c r="J380" s="375" t="s">
        <v>168</v>
      </c>
      <c r="K380" s="375" t="s">
        <v>1458</v>
      </c>
      <c r="L380" s="375" t="s">
        <v>274</v>
      </c>
      <c r="M380" s="375" t="s">
        <v>177</v>
      </c>
      <c r="N380" s="375" t="s">
        <v>199</v>
      </c>
      <c r="O380" s="378">
        <v>1</v>
      </c>
      <c r="P380" s="384">
        <v>1</v>
      </c>
      <c r="Q380" s="384">
        <v>1</v>
      </c>
      <c r="R380" s="379">
        <v>80</v>
      </c>
      <c r="S380" s="384">
        <v>1</v>
      </c>
      <c r="T380" s="379">
        <v>92577.67</v>
      </c>
      <c r="U380" s="379">
        <v>0</v>
      </c>
      <c r="V380" s="379">
        <v>30722.63</v>
      </c>
      <c r="W380" s="379">
        <v>93516.800000000003</v>
      </c>
      <c r="X380" s="379">
        <v>31613.01</v>
      </c>
      <c r="Y380" s="379">
        <v>93516.800000000003</v>
      </c>
      <c r="Z380" s="379">
        <v>31164.13</v>
      </c>
      <c r="AA380" s="375" t="s">
        <v>1459</v>
      </c>
      <c r="AB380" s="375" t="s">
        <v>228</v>
      </c>
      <c r="AC380" s="375" t="s">
        <v>483</v>
      </c>
      <c r="AD380" s="375" t="s">
        <v>1460</v>
      </c>
      <c r="AE380" s="375" t="s">
        <v>1458</v>
      </c>
      <c r="AF380" s="375" t="s">
        <v>388</v>
      </c>
      <c r="AG380" s="375" t="s">
        <v>183</v>
      </c>
      <c r="AH380" s="380">
        <v>44.96</v>
      </c>
      <c r="AI380" s="380">
        <v>64224.2</v>
      </c>
      <c r="AJ380" s="375" t="s">
        <v>184</v>
      </c>
      <c r="AK380" s="375" t="s">
        <v>185</v>
      </c>
      <c r="AL380" s="375" t="s">
        <v>173</v>
      </c>
      <c r="AM380" s="375" t="s">
        <v>186</v>
      </c>
      <c r="AN380" s="375" t="s">
        <v>68</v>
      </c>
      <c r="AO380" s="378">
        <v>80</v>
      </c>
      <c r="AP380" s="384">
        <v>1</v>
      </c>
      <c r="AQ380" s="384">
        <v>1</v>
      </c>
      <c r="AR380" s="383" t="s">
        <v>187</v>
      </c>
      <c r="AS380" s="386">
        <f t="shared" si="247"/>
        <v>1</v>
      </c>
      <c r="AT380">
        <f t="shared" si="248"/>
        <v>1</v>
      </c>
      <c r="AU380" s="386">
        <f>IF(AT380=0,"",IF(AND(AT380=1,M380="F",SUMIF(C2:C557,C380,AS2:AS557)&lt;=1),SUMIF(C2:C557,C380,AS2:AS557),IF(AND(AT380=1,M380="F",SUMIF(C2:C557,C380,AS2:AS557)&gt;1),1,"")))</f>
        <v>1</v>
      </c>
      <c r="AV380" s="386" t="str">
        <f>IF(AT380=0,"",IF(AND(AT380=3,M380="F",SUMIF(C2:C557,C380,AS2:AS557)&lt;=1),SUMIF(C2:C557,C380,AS2:AS557),IF(AND(AT380=3,M380="F",SUMIF(C2:C557,C380,AS2:AS557)&gt;1),1,"")))</f>
        <v/>
      </c>
      <c r="AW380" s="386">
        <f>SUMIF(C2:C557,C380,O2:O557)</f>
        <v>1</v>
      </c>
      <c r="AX380" s="386">
        <f>IF(AND(M380="F",AS380&lt;&gt;0),SUMIF(C2:C557,C380,W2:W557),0)</f>
        <v>93516.800000000003</v>
      </c>
      <c r="AY380" s="386">
        <f t="shared" si="249"/>
        <v>93516.800000000003</v>
      </c>
      <c r="AZ380" s="386" t="str">
        <f t="shared" si="250"/>
        <v/>
      </c>
      <c r="BA380" s="386">
        <f t="shared" si="251"/>
        <v>0</v>
      </c>
      <c r="BB380" s="386">
        <f t="shared" si="220"/>
        <v>11650</v>
      </c>
      <c r="BC380" s="386">
        <f t="shared" si="221"/>
        <v>0</v>
      </c>
      <c r="BD380" s="386">
        <f t="shared" si="222"/>
        <v>5798.0416000000005</v>
      </c>
      <c r="BE380" s="386">
        <f t="shared" si="223"/>
        <v>1355.9936</v>
      </c>
      <c r="BF380" s="386">
        <f t="shared" si="224"/>
        <v>11165.905920000001</v>
      </c>
      <c r="BG380" s="386">
        <f t="shared" si="225"/>
        <v>674.25612799999999</v>
      </c>
      <c r="BH380" s="386">
        <f t="shared" si="226"/>
        <v>458.23232000000002</v>
      </c>
      <c r="BI380" s="386">
        <f t="shared" si="227"/>
        <v>286.16140799999999</v>
      </c>
      <c r="BJ380" s="386">
        <f t="shared" si="228"/>
        <v>224.44031999999999</v>
      </c>
      <c r="BK380" s="386">
        <f t="shared" si="229"/>
        <v>0</v>
      </c>
      <c r="BL380" s="386">
        <f t="shared" si="252"/>
        <v>19963.031296000005</v>
      </c>
      <c r="BM380" s="386">
        <f t="shared" si="253"/>
        <v>0</v>
      </c>
      <c r="BN380" s="386">
        <f t="shared" si="230"/>
        <v>11650</v>
      </c>
      <c r="BO380" s="386">
        <f t="shared" si="231"/>
        <v>0</v>
      </c>
      <c r="BP380" s="386">
        <f t="shared" si="232"/>
        <v>5798.0416000000005</v>
      </c>
      <c r="BQ380" s="386">
        <f t="shared" si="233"/>
        <v>1355.9936</v>
      </c>
      <c r="BR380" s="386">
        <f t="shared" si="234"/>
        <v>11165.905920000001</v>
      </c>
      <c r="BS380" s="386">
        <f t="shared" si="235"/>
        <v>674.25612799999999</v>
      </c>
      <c r="BT380" s="386">
        <f t="shared" si="236"/>
        <v>0</v>
      </c>
      <c r="BU380" s="386">
        <f t="shared" si="237"/>
        <v>286.16140799999999</v>
      </c>
      <c r="BV380" s="386">
        <f t="shared" si="238"/>
        <v>233.792</v>
      </c>
      <c r="BW380" s="386">
        <f t="shared" si="239"/>
        <v>0</v>
      </c>
      <c r="BX380" s="386">
        <f t="shared" si="254"/>
        <v>19514.150656000005</v>
      </c>
      <c r="BY380" s="386">
        <f t="shared" si="255"/>
        <v>0</v>
      </c>
      <c r="BZ380" s="386">
        <f t="shared" si="256"/>
        <v>0</v>
      </c>
      <c r="CA380" s="386">
        <f t="shared" si="257"/>
        <v>0</v>
      </c>
      <c r="CB380" s="386">
        <f t="shared" si="258"/>
        <v>0</v>
      </c>
      <c r="CC380" s="386">
        <f t="shared" si="240"/>
        <v>0</v>
      </c>
      <c r="CD380" s="386">
        <f t="shared" si="241"/>
        <v>0</v>
      </c>
      <c r="CE380" s="386">
        <f t="shared" si="242"/>
        <v>0</v>
      </c>
      <c r="CF380" s="386">
        <f t="shared" si="243"/>
        <v>-458.23232000000002</v>
      </c>
      <c r="CG380" s="386">
        <f t="shared" si="244"/>
        <v>0</v>
      </c>
      <c r="CH380" s="386">
        <f t="shared" si="245"/>
        <v>9.3516800000000249</v>
      </c>
      <c r="CI380" s="386">
        <f t="shared" si="246"/>
        <v>0</v>
      </c>
      <c r="CJ380" s="386">
        <f t="shared" si="259"/>
        <v>-448.88063999999997</v>
      </c>
      <c r="CK380" s="386" t="str">
        <f t="shared" si="260"/>
        <v/>
      </c>
      <c r="CL380" s="386" t="str">
        <f t="shared" si="261"/>
        <v/>
      </c>
      <c r="CM380" s="386" t="str">
        <f t="shared" si="262"/>
        <v/>
      </c>
      <c r="CN380" s="386" t="str">
        <f t="shared" si="263"/>
        <v>0001-00</v>
      </c>
    </row>
    <row r="381" spans="1:92" ht="15.75" thickBot="1" x14ac:dyDescent="0.3">
      <c r="A381" s="375" t="s">
        <v>161</v>
      </c>
      <c r="B381" s="375" t="s">
        <v>162</v>
      </c>
      <c r="C381" s="375" t="s">
        <v>1461</v>
      </c>
      <c r="D381" s="375" t="s">
        <v>1462</v>
      </c>
      <c r="E381" s="375" t="s">
        <v>165</v>
      </c>
      <c r="F381" s="376" t="s">
        <v>166</v>
      </c>
      <c r="G381" s="375" t="s">
        <v>1369</v>
      </c>
      <c r="H381" s="377"/>
      <c r="I381" s="377"/>
      <c r="J381" s="375" t="s">
        <v>168</v>
      </c>
      <c r="K381" s="375" t="s">
        <v>1463</v>
      </c>
      <c r="L381" s="375" t="s">
        <v>170</v>
      </c>
      <c r="M381" s="375" t="s">
        <v>177</v>
      </c>
      <c r="N381" s="375" t="s">
        <v>199</v>
      </c>
      <c r="O381" s="378">
        <v>1</v>
      </c>
      <c r="P381" s="384">
        <v>1</v>
      </c>
      <c r="Q381" s="384">
        <v>1</v>
      </c>
      <c r="R381" s="379">
        <v>80</v>
      </c>
      <c r="S381" s="384">
        <v>1</v>
      </c>
      <c r="T381" s="379">
        <v>51324.800000000003</v>
      </c>
      <c r="U381" s="379">
        <v>0</v>
      </c>
      <c r="V381" s="379">
        <v>22303.11</v>
      </c>
      <c r="W381" s="379">
        <v>50627.199999999997</v>
      </c>
      <c r="X381" s="379">
        <v>22457.35</v>
      </c>
      <c r="Y381" s="379">
        <v>50627.199999999997</v>
      </c>
      <c r="Z381" s="379">
        <v>22214.34</v>
      </c>
      <c r="AA381" s="375" t="s">
        <v>1464</v>
      </c>
      <c r="AB381" s="375" t="s">
        <v>1465</v>
      </c>
      <c r="AC381" s="375" t="s">
        <v>1466</v>
      </c>
      <c r="AD381" s="375" t="s">
        <v>170</v>
      </c>
      <c r="AE381" s="375" t="s">
        <v>1463</v>
      </c>
      <c r="AF381" s="375" t="s">
        <v>269</v>
      </c>
      <c r="AG381" s="375" t="s">
        <v>183</v>
      </c>
      <c r="AH381" s="380">
        <v>24.34</v>
      </c>
      <c r="AI381" s="380">
        <v>2344.1999999999998</v>
      </c>
      <c r="AJ381" s="375" t="s">
        <v>184</v>
      </c>
      <c r="AK381" s="375" t="s">
        <v>185</v>
      </c>
      <c r="AL381" s="375" t="s">
        <v>173</v>
      </c>
      <c r="AM381" s="375" t="s">
        <v>186</v>
      </c>
      <c r="AN381" s="375" t="s">
        <v>68</v>
      </c>
      <c r="AO381" s="378">
        <v>80</v>
      </c>
      <c r="AP381" s="384">
        <v>1</v>
      </c>
      <c r="AQ381" s="384">
        <v>1</v>
      </c>
      <c r="AR381" s="383" t="s">
        <v>187</v>
      </c>
      <c r="AS381" s="386">
        <f t="shared" si="247"/>
        <v>1</v>
      </c>
      <c r="AT381">
        <f t="shared" si="248"/>
        <v>1</v>
      </c>
      <c r="AU381" s="386">
        <f>IF(AT381=0,"",IF(AND(AT381=1,M381="F",SUMIF(C2:C557,C381,AS2:AS557)&lt;=1),SUMIF(C2:C557,C381,AS2:AS557),IF(AND(AT381=1,M381="F",SUMIF(C2:C557,C381,AS2:AS557)&gt;1),1,"")))</f>
        <v>1</v>
      </c>
      <c r="AV381" s="386" t="str">
        <f>IF(AT381=0,"",IF(AND(AT381=3,M381="F",SUMIF(C2:C557,C381,AS2:AS557)&lt;=1),SUMIF(C2:C557,C381,AS2:AS557),IF(AND(AT381=3,M381="F",SUMIF(C2:C557,C381,AS2:AS557)&gt;1),1,"")))</f>
        <v/>
      </c>
      <c r="AW381" s="386">
        <f>SUMIF(C2:C557,C381,O2:O557)</f>
        <v>1</v>
      </c>
      <c r="AX381" s="386">
        <f>IF(AND(M381="F",AS381&lt;&gt;0),SUMIF(C2:C557,C381,W2:W557),0)</f>
        <v>50627.199999999997</v>
      </c>
      <c r="AY381" s="386">
        <f t="shared" si="249"/>
        <v>50627.199999999997</v>
      </c>
      <c r="AZ381" s="386" t="str">
        <f t="shared" si="250"/>
        <v/>
      </c>
      <c r="BA381" s="386">
        <f t="shared" si="251"/>
        <v>0</v>
      </c>
      <c r="BB381" s="386">
        <f t="shared" si="220"/>
        <v>11650</v>
      </c>
      <c r="BC381" s="386">
        <f t="shared" si="221"/>
        <v>0</v>
      </c>
      <c r="BD381" s="386">
        <f t="shared" si="222"/>
        <v>3138.8863999999999</v>
      </c>
      <c r="BE381" s="386">
        <f t="shared" si="223"/>
        <v>734.09439999999995</v>
      </c>
      <c r="BF381" s="386">
        <f t="shared" si="224"/>
        <v>6044.8876799999998</v>
      </c>
      <c r="BG381" s="386">
        <f t="shared" si="225"/>
        <v>365.02211199999999</v>
      </c>
      <c r="BH381" s="386">
        <f t="shared" si="226"/>
        <v>248.07327999999998</v>
      </c>
      <c r="BI381" s="386">
        <f t="shared" si="227"/>
        <v>154.91923199999999</v>
      </c>
      <c r="BJ381" s="386">
        <f t="shared" si="228"/>
        <v>121.50527999999998</v>
      </c>
      <c r="BK381" s="386">
        <f t="shared" si="229"/>
        <v>0</v>
      </c>
      <c r="BL381" s="386">
        <f t="shared" si="252"/>
        <v>10807.388384</v>
      </c>
      <c r="BM381" s="386">
        <f t="shared" si="253"/>
        <v>0</v>
      </c>
      <c r="BN381" s="386">
        <f t="shared" si="230"/>
        <v>11650</v>
      </c>
      <c r="BO381" s="386">
        <f t="shared" si="231"/>
        <v>0</v>
      </c>
      <c r="BP381" s="386">
        <f t="shared" si="232"/>
        <v>3138.8863999999999</v>
      </c>
      <c r="BQ381" s="386">
        <f t="shared" si="233"/>
        <v>734.09439999999995</v>
      </c>
      <c r="BR381" s="386">
        <f t="shared" si="234"/>
        <v>6044.8876799999998</v>
      </c>
      <c r="BS381" s="386">
        <f t="shared" si="235"/>
        <v>365.02211199999999</v>
      </c>
      <c r="BT381" s="386">
        <f t="shared" si="236"/>
        <v>0</v>
      </c>
      <c r="BU381" s="386">
        <f t="shared" si="237"/>
        <v>154.91923199999999</v>
      </c>
      <c r="BV381" s="386">
        <f t="shared" si="238"/>
        <v>126.568</v>
      </c>
      <c r="BW381" s="386">
        <f t="shared" si="239"/>
        <v>0</v>
      </c>
      <c r="BX381" s="386">
        <f t="shared" si="254"/>
        <v>10564.377823999999</v>
      </c>
      <c r="BY381" s="386">
        <f t="shared" si="255"/>
        <v>0</v>
      </c>
      <c r="BZ381" s="386">
        <f t="shared" si="256"/>
        <v>0</v>
      </c>
      <c r="CA381" s="386">
        <f t="shared" si="257"/>
        <v>0</v>
      </c>
      <c r="CB381" s="386">
        <f t="shared" si="258"/>
        <v>0</v>
      </c>
      <c r="CC381" s="386">
        <f t="shared" si="240"/>
        <v>0</v>
      </c>
      <c r="CD381" s="386">
        <f t="shared" si="241"/>
        <v>0</v>
      </c>
      <c r="CE381" s="386">
        <f t="shared" si="242"/>
        <v>0</v>
      </c>
      <c r="CF381" s="386">
        <f t="shared" si="243"/>
        <v>-248.07327999999998</v>
      </c>
      <c r="CG381" s="386">
        <f t="shared" si="244"/>
        <v>0</v>
      </c>
      <c r="CH381" s="386">
        <f t="shared" si="245"/>
        <v>5.062720000000013</v>
      </c>
      <c r="CI381" s="386">
        <f t="shared" si="246"/>
        <v>0</v>
      </c>
      <c r="CJ381" s="386">
        <f t="shared" si="259"/>
        <v>-243.01055999999997</v>
      </c>
      <c r="CK381" s="386" t="str">
        <f t="shared" si="260"/>
        <v/>
      </c>
      <c r="CL381" s="386" t="str">
        <f t="shared" si="261"/>
        <v/>
      </c>
      <c r="CM381" s="386" t="str">
        <f t="shared" si="262"/>
        <v/>
      </c>
      <c r="CN381" s="386" t="str">
        <f t="shared" si="263"/>
        <v>0001-00</v>
      </c>
    </row>
    <row r="382" spans="1:92" ht="15.75" thickBot="1" x14ac:dyDescent="0.3">
      <c r="A382" s="375" t="s">
        <v>161</v>
      </c>
      <c r="B382" s="375" t="s">
        <v>162</v>
      </c>
      <c r="C382" s="375" t="s">
        <v>1467</v>
      </c>
      <c r="D382" s="375" t="s">
        <v>665</v>
      </c>
      <c r="E382" s="375" t="s">
        <v>165</v>
      </c>
      <c r="F382" s="376" t="s">
        <v>166</v>
      </c>
      <c r="G382" s="375" t="s">
        <v>1369</v>
      </c>
      <c r="H382" s="377"/>
      <c r="I382" s="377"/>
      <c r="J382" s="375" t="s">
        <v>168</v>
      </c>
      <c r="K382" s="375" t="s">
        <v>666</v>
      </c>
      <c r="L382" s="375" t="s">
        <v>183</v>
      </c>
      <c r="M382" s="375" t="s">
        <v>177</v>
      </c>
      <c r="N382" s="375" t="s">
        <v>199</v>
      </c>
      <c r="O382" s="378">
        <v>1</v>
      </c>
      <c r="P382" s="384">
        <v>1</v>
      </c>
      <c r="Q382" s="384">
        <v>1</v>
      </c>
      <c r="R382" s="379">
        <v>80</v>
      </c>
      <c r="S382" s="384">
        <v>1</v>
      </c>
      <c r="T382" s="379">
        <v>24218.35</v>
      </c>
      <c r="U382" s="379">
        <v>0</v>
      </c>
      <c r="V382" s="379">
        <v>14503.28</v>
      </c>
      <c r="W382" s="379">
        <v>29140.799999999999</v>
      </c>
      <c r="X382" s="379">
        <v>17870.650000000001</v>
      </c>
      <c r="Y382" s="379">
        <v>29140.799999999999</v>
      </c>
      <c r="Z382" s="379">
        <v>17730.79</v>
      </c>
      <c r="AA382" s="375" t="s">
        <v>1468</v>
      </c>
      <c r="AB382" s="375" t="s">
        <v>255</v>
      </c>
      <c r="AC382" s="375" t="s">
        <v>1469</v>
      </c>
      <c r="AD382" s="375" t="s">
        <v>181</v>
      </c>
      <c r="AE382" s="375" t="s">
        <v>666</v>
      </c>
      <c r="AF382" s="375" t="s">
        <v>206</v>
      </c>
      <c r="AG382" s="375" t="s">
        <v>183</v>
      </c>
      <c r="AH382" s="380">
        <v>14.01</v>
      </c>
      <c r="AI382" s="378">
        <v>80</v>
      </c>
      <c r="AJ382" s="375" t="s">
        <v>184</v>
      </c>
      <c r="AK382" s="375" t="s">
        <v>185</v>
      </c>
      <c r="AL382" s="375" t="s">
        <v>173</v>
      </c>
      <c r="AM382" s="375" t="s">
        <v>186</v>
      </c>
      <c r="AN382" s="375" t="s">
        <v>68</v>
      </c>
      <c r="AO382" s="378">
        <v>80</v>
      </c>
      <c r="AP382" s="384">
        <v>1</v>
      </c>
      <c r="AQ382" s="384">
        <v>1</v>
      </c>
      <c r="AR382" s="383" t="s">
        <v>187</v>
      </c>
      <c r="AS382" s="386">
        <f t="shared" si="247"/>
        <v>1</v>
      </c>
      <c r="AT382">
        <f t="shared" si="248"/>
        <v>1</v>
      </c>
      <c r="AU382" s="386">
        <f>IF(AT382=0,"",IF(AND(AT382=1,M382="F",SUMIF(C2:C557,C382,AS2:AS557)&lt;=1),SUMIF(C2:C557,C382,AS2:AS557),IF(AND(AT382=1,M382="F",SUMIF(C2:C557,C382,AS2:AS557)&gt;1),1,"")))</f>
        <v>1</v>
      </c>
      <c r="AV382" s="386" t="str">
        <f>IF(AT382=0,"",IF(AND(AT382=3,M382="F",SUMIF(C2:C557,C382,AS2:AS557)&lt;=1),SUMIF(C2:C557,C382,AS2:AS557),IF(AND(AT382=3,M382="F",SUMIF(C2:C557,C382,AS2:AS557)&gt;1),1,"")))</f>
        <v/>
      </c>
      <c r="AW382" s="386">
        <f>SUMIF(C2:C557,C382,O2:O557)</f>
        <v>1</v>
      </c>
      <c r="AX382" s="386">
        <f>IF(AND(M382="F",AS382&lt;&gt;0),SUMIF(C2:C557,C382,W2:W557),0)</f>
        <v>29140.799999999999</v>
      </c>
      <c r="AY382" s="386">
        <f t="shared" si="249"/>
        <v>29140.799999999999</v>
      </c>
      <c r="AZ382" s="386" t="str">
        <f t="shared" si="250"/>
        <v/>
      </c>
      <c r="BA382" s="386">
        <f t="shared" si="251"/>
        <v>0</v>
      </c>
      <c r="BB382" s="386">
        <f t="shared" si="220"/>
        <v>11650</v>
      </c>
      <c r="BC382" s="386">
        <f t="shared" si="221"/>
        <v>0</v>
      </c>
      <c r="BD382" s="386">
        <f t="shared" si="222"/>
        <v>1806.7295999999999</v>
      </c>
      <c r="BE382" s="386">
        <f t="shared" si="223"/>
        <v>422.54160000000002</v>
      </c>
      <c r="BF382" s="386">
        <f t="shared" si="224"/>
        <v>3479.4115200000001</v>
      </c>
      <c r="BG382" s="386">
        <f t="shared" si="225"/>
        <v>210.10516799999999</v>
      </c>
      <c r="BH382" s="386">
        <f t="shared" si="226"/>
        <v>142.78992</v>
      </c>
      <c r="BI382" s="386">
        <f t="shared" si="227"/>
        <v>89.170847999999992</v>
      </c>
      <c r="BJ382" s="386">
        <f t="shared" si="228"/>
        <v>69.937919999999991</v>
      </c>
      <c r="BK382" s="386">
        <f t="shared" si="229"/>
        <v>0</v>
      </c>
      <c r="BL382" s="386">
        <f t="shared" si="252"/>
        <v>6220.686576000001</v>
      </c>
      <c r="BM382" s="386">
        <f t="shared" si="253"/>
        <v>0</v>
      </c>
      <c r="BN382" s="386">
        <f t="shared" si="230"/>
        <v>11650</v>
      </c>
      <c r="BO382" s="386">
        <f t="shared" si="231"/>
        <v>0</v>
      </c>
      <c r="BP382" s="386">
        <f t="shared" si="232"/>
        <v>1806.7295999999999</v>
      </c>
      <c r="BQ382" s="386">
        <f t="shared" si="233"/>
        <v>422.54160000000002</v>
      </c>
      <c r="BR382" s="386">
        <f t="shared" si="234"/>
        <v>3479.4115200000001</v>
      </c>
      <c r="BS382" s="386">
        <f t="shared" si="235"/>
        <v>210.10516799999999</v>
      </c>
      <c r="BT382" s="386">
        <f t="shared" si="236"/>
        <v>0</v>
      </c>
      <c r="BU382" s="386">
        <f t="shared" si="237"/>
        <v>89.170847999999992</v>
      </c>
      <c r="BV382" s="386">
        <f t="shared" si="238"/>
        <v>72.852000000000004</v>
      </c>
      <c r="BW382" s="386">
        <f t="shared" si="239"/>
        <v>0</v>
      </c>
      <c r="BX382" s="386">
        <f t="shared" si="254"/>
        <v>6080.8107360000004</v>
      </c>
      <c r="BY382" s="386">
        <f t="shared" si="255"/>
        <v>0</v>
      </c>
      <c r="BZ382" s="386">
        <f t="shared" si="256"/>
        <v>0</v>
      </c>
      <c r="CA382" s="386">
        <f t="shared" si="257"/>
        <v>0</v>
      </c>
      <c r="CB382" s="386">
        <f t="shared" si="258"/>
        <v>0</v>
      </c>
      <c r="CC382" s="386">
        <f t="shared" si="240"/>
        <v>0</v>
      </c>
      <c r="CD382" s="386">
        <f t="shared" si="241"/>
        <v>0</v>
      </c>
      <c r="CE382" s="386">
        <f t="shared" si="242"/>
        <v>0</v>
      </c>
      <c r="CF382" s="386">
        <f t="shared" si="243"/>
        <v>-142.78992</v>
      </c>
      <c r="CG382" s="386">
        <f t="shared" si="244"/>
        <v>0</v>
      </c>
      <c r="CH382" s="386">
        <f t="shared" si="245"/>
        <v>2.9140800000000078</v>
      </c>
      <c r="CI382" s="386">
        <f t="shared" si="246"/>
        <v>0</v>
      </c>
      <c r="CJ382" s="386">
        <f t="shared" si="259"/>
        <v>-139.87583999999998</v>
      </c>
      <c r="CK382" s="386" t="str">
        <f t="shared" si="260"/>
        <v/>
      </c>
      <c r="CL382" s="386" t="str">
        <f t="shared" si="261"/>
        <v/>
      </c>
      <c r="CM382" s="386" t="str">
        <f t="shared" si="262"/>
        <v/>
      </c>
      <c r="CN382" s="386" t="str">
        <f t="shared" si="263"/>
        <v>0001-00</v>
      </c>
    </row>
    <row r="383" spans="1:92" ht="15.75" thickBot="1" x14ac:dyDescent="0.3">
      <c r="A383" s="375" t="s">
        <v>161</v>
      </c>
      <c r="B383" s="375" t="s">
        <v>162</v>
      </c>
      <c r="C383" s="375" t="s">
        <v>1470</v>
      </c>
      <c r="D383" s="375" t="s">
        <v>1471</v>
      </c>
      <c r="E383" s="375" t="s">
        <v>165</v>
      </c>
      <c r="F383" s="376" t="s">
        <v>166</v>
      </c>
      <c r="G383" s="375" t="s">
        <v>1369</v>
      </c>
      <c r="H383" s="377"/>
      <c r="I383" s="377"/>
      <c r="J383" s="375" t="s">
        <v>168</v>
      </c>
      <c r="K383" s="375" t="s">
        <v>1472</v>
      </c>
      <c r="L383" s="375" t="s">
        <v>274</v>
      </c>
      <c r="M383" s="375" t="s">
        <v>177</v>
      </c>
      <c r="N383" s="375" t="s">
        <v>199</v>
      </c>
      <c r="O383" s="378">
        <v>1</v>
      </c>
      <c r="P383" s="384">
        <v>1</v>
      </c>
      <c r="Q383" s="384">
        <v>1</v>
      </c>
      <c r="R383" s="379">
        <v>80</v>
      </c>
      <c r="S383" s="384">
        <v>1</v>
      </c>
      <c r="T383" s="379">
        <v>106028.8</v>
      </c>
      <c r="U383" s="379">
        <v>0</v>
      </c>
      <c r="V383" s="379">
        <v>33540.21</v>
      </c>
      <c r="W383" s="379">
        <v>107619.2</v>
      </c>
      <c r="X383" s="379">
        <v>34623.440000000002</v>
      </c>
      <c r="Y383" s="379">
        <v>107619.2</v>
      </c>
      <c r="Z383" s="379">
        <v>34106.870000000003</v>
      </c>
      <c r="AA383" s="375" t="s">
        <v>1473</v>
      </c>
      <c r="AB383" s="375" t="s">
        <v>1474</v>
      </c>
      <c r="AC383" s="375" t="s">
        <v>365</v>
      </c>
      <c r="AD383" s="375" t="s">
        <v>194</v>
      </c>
      <c r="AE383" s="375" t="s">
        <v>1472</v>
      </c>
      <c r="AF383" s="375" t="s">
        <v>388</v>
      </c>
      <c r="AG383" s="375" t="s">
        <v>183</v>
      </c>
      <c r="AH383" s="380">
        <v>51.74</v>
      </c>
      <c r="AI383" s="380">
        <v>93312.4</v>
      </c>
      <c r="AJ383" s="375" t="s">
        <v>184</v>
      </c>
      <c r="AK383" s="375" t="s">
        <v>185</v>
      </c>
      <c r="AL383" s="375" t="s">
        <v>173</v>
      </c>
      <c r="AM383" s="375" t="s">
        <v>186</v>
      </c>
      <c r="AN383" s="375" t="s">
        <v>68</v>
      </c>
      <c r="AO383" s="378">
        <v>80</v>
      </c>
      <c r="AP383" s="384">
        <v>1</v>
      </c>
      <c r="AQ383" s="384">
        <v>1</v>
      </c>
      <c r="AR383" s="383" t="s">
        <v>187</v>
      </c>
      <c r="AS383" s="386">
        <f t="shared" si="247"/>
        <v>1</v>
      </c>
      <c r="AT383">
        <f t="shared" si="248"/>
        <v>1</v>
      </c>
      <c r="AU383" s="386">
        <f>IF(AT383=0,"",IF(AND(AT383=1,M383="F",SUMIF(C2:C557,C383,AS2:AS557)&lt;=1),SUMIF(C2:C557,C383,AS2:AS557),IF(AND(AT383=1,M383="F",SUMIF(C2:C557,C383,AS2:AS557)&gt;1),1,"")))</f>
        <v>1</v>
      </c>
      <c r="AV383" s="386" t="str">
        <f>IF(AT383=0,"",IF(AND(AT383=3,M383="F",SUMIF(C2:C557,C383,AS2:AS557)&lt;=1),SUMIF(C2:C557,C383,AS2:AS557),IF(AND(AT383=3,M383="F",SUMIF(C2:C557,C383,AS2:AS557)&gt;1),1,"")))</f>
        <v/>
      </c>
      <c r="AW383" s="386">
        <f>SUMIF(C2:C557,C383,O2:O557)</f>
        <v>1</v>
      </c>
      <c r="AX383" s="386">
        <f>IF(AND(M383="F",AS383&lt;&gt;0),SUMIF(C2:C557,C383,W2:W557),0)</f>
        <v>107619.2</v>
      </c>
      <c r="AY383" s="386">
        <f t="shared" si="249"/>
        <v>107619.2</v>
      </c>
      <c r="AZ383" s="386" t="str">
        <f t="shared" si="250"/>
        <v/>
      </c>
      <c r="BA383" s="386">
        <f t="shared" si="251"/>
        <v>0</v>
      </c>
      <c r="BB383" s="386">
        <f t="shared" si="220"/>
        <v>11650</v>
      </c>
      <c r="BC383" s="386">
        <f t="shared" si="221"/>
        <v>0</v>
      </c>
      <c r="BD383" s="386">
        <f t="shared" si="222"/>
        <v>6672.3903999999993</v>
      </c>
      <c r="BE383" s="386">
        <f t="shared" si="223"/>
        <v>1560.4784</v>
      </c>
      <c r="BF383" s="386">
        <f t="shared" si="224"/>
        <v>12849.732480000001</v>
      </c>
      <c r="BG383" s="386">
        <f t="shared" si="225"/>
        <v>775.93443200000002</v>
      </c>
      <c r="BH383" s="386">
        <f t="shared" si="226"/>
        <v>527.33407999999997</v>
      </c>
      <c r="BI383" s="386">
        <f t="shared" si="227"/>
        <v>329.31475199999994</v>
      </c>
      <c r="BJ383" s="386">
        <f t="shared" si="228"/>
        <v>258.28607999999997</v>
      </c>
      <c r="BK383" s="386">
        <f t="shared" si="229"/>
        <v>0</v>
      </c>
      <c r="BL383" s="386">
        <f t="shared" si="252"/>
        <v>22973.470624000005</v>
      </c>
      <c r="BM383" s="386">
        <f t="shared" si="253"/>
        <v>0</v>
      </c>
      <c r="BN383" s="386">
        <f t="shared" si="230"/>
        <v>11650</v>
      </c>
      <c r="BO383" s="386">
        <f t="shared" si="231"/>
        <v>0</v>
      </c>
      <c r="BP383" s="386">
        <f t="shared" si="232"/>
        <v>6672.3903999999993</v>
      </c>
      <c r="BQ383" s="386">
        <f t="shared" si="233"/>
        <v>1560.4784</v>
      </c>
      <c r="BR383" s="386">
        <f t="shared" si="234"/>
        <v>12849.732480000001</v>
      </c>
      <c r="BS383" s="386">
        <f t="shared" si="235"/>
        <v>775.93443200000002</v>
      </c>
      <c r="BT383" s="386">
        <f t="shared" si="236"/>
        <v>0</v>
      </c>
      <c r="BU383" s="386">
        <f t="shared" si="237"/>
        <v>329.31475199999994</v>
      </c>
      <c r="BV383" s="386">
        <f t="shared" si="238"/>
        <v>269.048</v>
      </c>
      <c r="BW383" s="386">
        <f t="shared" si="239"/>
        <v>0</v>
      </c>
      <c r="BX383" s="386">
        <f t="shared" si="254"/>
        <v>22456.898464000002</v>
      </c>
      <c r="BY383" s="386">
        <f t="shared" si="255"/>
        <v>0</v>
      </c>
      <c r="BZ383" s="386">
        <f t="shared" si="256"/>
        <v>0</v>
      </c>
      <c r="CA383" s="386">
        <f t="shared" si="257"/>
        <v>0</v>
      </c>
      <c r="CB383" s="386">
        <f t="shared" si="258"/>
        <v>0</v>
      </c>
      <c r="CC383" s="386">
        <f t="shared" si="240"/>
        <v>0</v>
      </c>
      <c r="CD383" s="386">
        <f t="shared" si="241"/>
        <v>0</v>
      </c>
      <c r="CE383" s="386">
        <f t="shared" si="242"/>
        <v>0</v>
      </c>
      <c r="CF383" s="386">
        <f t="shared" si="243"/>
        <v>-527.33407999999997</v>
      </c>
      <c r="CG383" s="386">
        <f t="shared" si="244"/>
        <v>0</v>
      </c>
      <c r="CH383" s="386">
        <f t="shared" si="245"/>
        <v>10.761920000000028</v>
      </c>
      <c r="CI383" s="386">
        <f t="shared" si="246"/>
        <v>0</v>
      </c>
      <c r="CJ383" s="386">
        <f t="shared" si="259"/>
        <v>-516.57215999999994</v>
      </c>
      <c r="CK383" s="386" t="str">
        <f t="shared" si="260"/>
        <v/>
      </c>
      <c r="CL383" s="386" t="str">
        <f t="shared" si="261"/>
        <v/>
      </c>
      <c r="CM383" s="386" t="str">
        <f t="shared" si="262"/>
        <v/>
      </c>
      <c r="CN383" s="386" t="str">
        <f t="shared" si="263"/>
        <v>0001-00</v>
      </c>
    </row>
    <row r="384" spans="1:92" ht="15.75" thickBot="1" x14ac:dyDescent="0.3">
      <c r="A384" s="375" t="s">
        <v>161</v>
      </c>
      <c r="B384" s="375" t="s">
        <v>162</v>
      </c>
      <c r="C384" s="375" t="s">
        <v>1475</v>
      </c>
      <c r="D384" s="375" t="s">
        <v>746</v>
      </c>
      <c r="E384" s="375" t="s">
        <v>165</v>
      </c>
      <c r="F384" s="376" t="s">
        <v>166</v>
      </c>
      <c r="G384" s="375" t="s">
        <v>1369</v>
      </c>
      <c r="H384" s="377"/>
      <c r="I384" s="377"/>
      <c r="J384" s="375" t="s">
        <v>168</v>
      </c>
      <c r="K384" s="375" t="s">
        <v>747</v>
      </c>
      <c r="L384" s="375" t="s">
        <v>210</v>
      </c>
      <c r="M384" s="375" t="s">
        <v>177</v>
      </c>
      <c r="N384" s="375" t="s">
        <v>199</v>
      </c>
      <c r="O384" s="378">
        <v>1</v>
      </c>
      <c r="P384" s="384">
        <v>1</v>
      </c>
      <c r="Q384" s="384">
        <v>1</v>
      </c>
      <c r="R384" s="379">
        <v>80</v>
      </c>
      <c r="S384" s="384">
        <v>1</v>
      </c>
      <c r="T384" s="379">
        <v>30644.29</v>
      </c>
      <c r="U384" s="379">
        <v>0</v>
      </c>
      <c r="V384" s="379">
        <v>15855.05</v>
      </c>
      <c r="W384" s="379">
        <v>39083.199999999997</v>
      </c>
      <c r="X384" s="379">
        <v>19993.04</v>
      </c>
      <c r="Y384" s="379">
        <v>39083.199999999997</v>
      </c>
      <c r="Z384" s="379">
        <v>19805.45</v>
      </c>
      <c r="AA384" s="375" t="s">
        <v>1476</v>
      </c>
      <c r="AB384" s="375" t="s">
        <v>1149</v>
      </c>
      <c r="AC384" s="375" t="s">
        <v>570</v>
      </c>
      <c r="AD384" s="375" t="s">
        <v>267</v>
      </c>
      <c r="AE384" s="375" t="s">
        <v>747</v>
      </c>
      <c r="AF384" s="375" t="s">
        <v>215</v>
      </c>
      <c r="AG384" s="375" t="s">
        <v>183</v>
      </c>
      <c r="AH384" s="380">
        <v>18.79</v>
      </c>
      <c r="AI384" s="380">
        <v>17442.099999999999</v>
      </c>
      <c r="AJ384" s="375" t="s">
        <v>184</v>
      </c>
      <c r="AK384" s="375" t="s">
        <v>185</v>
      </c>
      <c r="AL384" s="375" t="s">
        <v>173</v>
      </c>
      <c r="AM384" s="375" t="s">
        <v>186</v>
      </c>
      <c r="AN384" s="375" t="s">
        <v>68</v>
      </c>
      <c r="AO384" s="378">
        <v>80</v>
      </c>
      <c r="AP384" s="384">
        <v>1</v>
      </c>
      <c r="AQ384" s="384">
        <v>1</v>
      </c>
      <c r="AR384" s="383" t="s">
        <v>187</v>
      </c>
      <c r="AS384" s="386">
        <f t="shared" si="247"/>
        <v>1</v>
      </c>
      <c r="AT384">
        <f t="shared" si="248"/>
        <v>1</v>
      </c>
      <c r="AU384" s="386">
        <f>IF(AT384=0,"",IF(AND(AT384=1,M384="F",SUMIF(C2:C557,C384,AS2:AS557)&lt;=1),SUMIF(C2:C557,C384,AS2:AS557),IF(AND(AT384=1,M384="F",SUMIF(C2:C557,C384,AS2:AS557)&gt;1),1,"")))</f>
        <v>1</v>
      </c>
      <c r="AV384" s="386" t="str">
        <f>IF(AT384=0,"",IF(AND(AT384=3,M384="F",SUMIF(C2:C557,C384,AS2:AS557)&lt;=1),SUMIF(C2:C557,C384,AS2:AS557),IF(AND(AT384=3,M384="F",SUMIF(C2:C557,C384,AS2:AS557)&gt;1),1,"")))</f>
        <v/>
      </c>
      <c r="AW384" s="386">
        <f>SUMIF(C2:C557,C384,O2:O557)</f>
        <v>1</v>
      </c>
      <c r="AX384" s="386">
        <f>IF(AND(M384="F",AS384&lt;&gt;0),SUMIF(C2:C557,C384,W2:W557),0)</f>
        <v>39083.199999999997</v>
      </c>
      <c r="AY384" s="386">
        <f t="shared" si="249"/>
        <v>39083.199999999997</v>
      </c>
      <c r="AZ384" s="386" t="str">
        <f t="shared" si="250"/>
        <v/>
      </c>
      <c r="BA384" s="386">
        <f t="shared" si="251"/>
        <v>0</v>
      </c>
      <c r="BB384" s="386">
        <f t="shared" si="220"/>
        <v>11650</v>
      </c>
      <c r="BC384" s="386">
        <f t="shared" si="221"/>
        <v>0</v>
      </c>
      <c r="BD384" s="386">
        <f t="shared" si="222"/>
        <v>2423.1583999999998</v>
      </c>
      <c r="BE384" s="386">
        <f t="shared" si="223"/>
        <v>566.70640000000003</v>
      </c>
      <c r="BF384" s="386">
        <f t="shared" si="224"/>
        <v>4666.5340799999994</v>
      </c>
      <c r="BG384" s="386">
        <f t="shared" si="225"/>
        <v>281.789872</v>
      </c>
      <c r="BH384" s="386">
        <f t="shared" si="226"/>
        <v>191.50767999999999</v>
      </c>
      <c r="BI384" s="386">
        <f t="shared" si="227"/>
        <v>119.59459199999998</v>
      </c>
      <c r="BJ384" s="386">
        <f t="shared" si="228"/>
        <v>93.799679999999981</v>
      </c>
      <c r="BK384" s="386">
        <f t="shared" si="229"/>
        <v>0</v>
      </c>
      <c r="BL384" s="386">
        <f t="shared" si="252"/>
        <v>8343.0907039999984</v>
      </c>
      <c r="BM384" s="386">
        <f t="shared" si="253"/>
        <v>0</v>
      </c>
      <c r="BN384" s="386">
        <f t="shared" si="230"/>
        <v>11650</v>
      </c>
      <c r="BO384" s="386">
        <f t="shared" si="231"/>
        <v>0</v>
      </c>
      <c r="BP384" s="386">
        <f t="shared" si="232"/>
        <v>2423.1583999999998</v>
      </c>
      <c r="BQ384" s="386">
        <f t="shared" si="233"/>
        <v>566.70640000000003</v>
      </c>
      <c r="BR384" s="386">
        <f t="shared" si="234"/>
        <v>4666.5340799999994</v>
      </c>
      <c r="BS384" s="386">
        <f t="shared" si="235"/>
        <v>281.789872</v>
      </c>
      <c r="BT384" s="386">
        <f t="shared" si="236"/>
        <v>0</v>
      </c>
      <c r="BU384" s="386">
        <f t="shared" si="237"/>
        <v>119.59459199999998</v>
      </c>
      <c r="BV384" s="386">
        <f t="shared" si="238"/>
        <v>97.707999999999998</v>
      </c>
      <c r="BW384" s="386">
        <f t="shared" si="239"/>
        <v>0</v>
      </c>
      <c r="BX384" s="386">
        <f t="shared" si="254"/>
        <v>8155.4913439999991</v>
      </c>
      <c r="BY384" s="386">
        <f t="shared" si="255"/>
        <v>0</v>
      </c>
      <c r="BZ384" s="386">
        <f t="shared" si="256"/>
        <v>0</v>
      </c>
      <c r="CA384" s="386">
        <f t="shared" si="257"/>
        <v>0</v>
      </c>
      <c r="CB384" s="386">
        <f t="shared" si="258"/>
        <v>0</v>
      </c>
      <c r="CC384" s="386">
        <f t="shared" si="240"/>
        <v>0</v>
      </c>
      <c r="CD384" s="386">
        <f t="shared" si="241"/>
        <v>0</v>
      </c>
      <c r="CE384" s="386">
        <f t="shared" si="242"/>
        <v>0</v>
      </c>
      <c r="CF384" s="386">
        <f t="shared" si="243"/>
        <v>-191.50767999999999</v>
      </c>
      <c r="CG384" s="386">
        <f t="shared" si="244"/>
        <v>0</v>
      </c>
      <c r="CH384" s="386">
        <f t="shared" si="245"/>
        <v>3.90832000000001</v>
      </c>
      <c r="CI384" s="386">
        <f t="shared" si="246"/>
        <v>0</v>
      </c>
      <c r="CJ384" s="386">
        <f t="shared" si="259"/>
        <v>-187.59935999999999</v>
      </c>
      <c r="CK384" s="386" t="str">
        <f t="shared" si="260"/>
        <v/>
      </c>
      <c r="CL384" s="386" t="str">
        <f t="shared" si="261"/>
        <v/>
      </c>
      <c r="CM384" s="386" t="str">
        <f t="shared" si="262"/>
        <v/>
      </c>
      <c r="CN384" s="386" t="str">
        <f t="shared" si="263"/>
        <v>0001-00</v>
      </c>
    </row>
    <row r="385" spans="1:92" ht="15.75" thickBot="1" x14ac:dyDescent="0.3">
      <c r="A385" s="375" t="s">
        <v>161</v>
      </c>
      <c r="B385" s="375" t="s">
        <v>162</v>
      </c>
      <c r="C385" s="375" t="s">
        <v>1477</v>
      </c>
      <c r="D385" s="375" t="s">
        <v>1478</v>
      </c>
      <c r="E385" s="375" t="s">
        <v>165</v>
      </c>
      <c r="F385" s="376" t="s">
        <v>166</v>
      </c>
      <c r="G385" s="375" t="s">
        <v>1369</v>
      </c>
      <c r="H385" s="377"/>
      <c r="I385" s="377"/>
      <c r="J385" s="375" t="s">
        <v>168</v>
      </c>
      <c r="K385" s="375" t="s">
        <v>1479</v>
      </c>
      <c r="L385" s="375" t="s">
        <v>166</v>
      </c>
      <c r="M385" s="375" t="s">
        <v>177</v>
      </c>
      <c r="N385" s="375" t="s">
        <v>172</v>
      </c>
      <c r="O385" s="378">
        <v>1</v>
      </c>
      <c r="P385" s="384">
        <v>1</v>
      </c>
      <c r="Q385" s="384">
        <v>1</v>
      </c>
      <c r="R385" s="379">
        <v>80</v>
      </c>
      <c r="S385" s="384">
        <v>1</v>
      </c>
      <c r="T385" s="379">
        <v>93529.600000000006</v>
      </c>
      <c r="U385" s="379">
        <v>0</v>
      </c>
      <c r="V385" s="379">
        <v>30650.76</v>
      </c>
      <c r="W385" s="379">
        <v>100276.8</v>
      </c>
      <c r="X385" s="379">
        <v>32749.21</v>
      </c>
      <c r="Y385" s="379">
        <v>100276.8</v>
      </c>
      <c r="Z385" s="379">
        <v>32267.89</v>
      </c>
      <c r="AA385" s="375" t="s">
        <v>1480</v>
      </c>
      <c r="AB385" s="375" t="s">
        <v>1305</v>
      </c>
      <c r="AC385" s="375" t="s">
        <v>1481</v>
      </c>
      <c r="AD385" s="375" t="s">
        <v>366</v>
      </c>
      <c r="AE385" s="375" t="s">
        <v>1479</v>
      </c>
      <c r="AF385" s="375" t="s">
        <v>182</v>
      </c>
      <c r="AG385" s="375" t="s">
        <v>183</v>
      </c>
      <c r="AH385" s="380">
        <v>48.21</v>
      </c>
      <c r="AI385" s="378">
        <v>20683</v>
      </c>
      <c r="AJ385" s="375" t="s">
        <v>184</v>
      </c>
      <c r="AK385" s="375" t="s">
        <v>185</v>
      </c>
      <c r="AL385" s="375" t="s">
        <v>173</v>
      </c>
      <c r="AM385" s="375" t="s">
        <v>186</v>
      </c>
      <c r="AN385" s="375" t="s">
        <v>68</v>
      </c>
      <c r="AO385" s="378">
        <v>80</v>
      </c>
      <c r="AP385" s="384">
        <v>1</v>
      </c>
      <c r="AQ385" s="384">
        <v>1</v>
      </c>
      <c r="AR385" s="383" t="s">
        <v>187</v>
      </c>
      <c r="AS385" s="386">
        <f t="shared" si="247"/>
        <v>1</v>
      </c>
      <c r="AT385">
        <f t="shared" si="248"/>
        <v>1</v>
      </c>
      <c r="AU385" s="386">
        <f>IF(AT385=0,"",IF(AND(AT385=1,M385="F",SUMIF(C2:C557,C385,AS2:AS557)&lt;=1),SUMIF(C2:C557,C385,AS2:AS557),IF(AND(AT385=1,M385="F",SUMIF(C2:C557,C385,AS2:AS557)&gt;1),1,"")))</f>
        <v>1</v>
      </c>
      <c r="AV385" s="386" t="str">
        <f>IF(AT385=0,"",IF(AND(AT385=3,M385="F",SUMIF(C2:C557,C385,AS2:AS557)&lt;=1),SUMIF(C2:C557,C385,AS2:AS557),IF(AND(AT385=3,M385="F",SUMIF(C2:C557,C385,AS2:AS557)&gt;1),1,"")))</f>
        <v/>
      </c>
      <c r="AW385" s="386">
        <f>SUMIF(C2:C557,C385,O2:O557)</f>
        <v>1</v>
      </c>
      <c r="AX385" s="386">
        <f>IF(AND(M385="F",AS385&lt;&gt;0),SUMIF(C2:C557,C385,W2:W557),0)</f>
        <v>100276.8</v>
      </c>
      <c r="AY385" s="386">
        <f t="shared" si="249"/>
        <v>100276.8</v>
      </c>
      <c r="AZ385" s="386" t="str">
        <f t="shared" si="250"/>
        <v/>
      </c>
      <c r="BA385" s="386">
        <f t="shared" si="251"/>
        <v>0</v>
      </c>
      <c r="BB385" s="386">
        <f t="shared" si="220"/>
        <v>11650</v>
      </c>
      <c r="BC385" s="386">
        <f t="shared" si="221"/>
        <v>0</v>
      </c>
      <c r="BD385" s="386">
        <f t="shared" si="222"/>
        <v>6217.1616000000004</v>
      </c>
      <c r="BE385" s="386">
        <f t="shared" si="223"/>
        <v>1454.0136000000002</v>
      </c>
      <c r="BF385" s="386">
        <f t="shared" si="224"/>
        <v>11973.049920000001</v>
      </c>
      <c r="BG385" s="386">
        <f t="shared" si="225"/>
        <v>722.9957280000001</v>
      </c>
      <c r="BH385" s="386">
        <f t="shared" si="226"/>
        <v>491.35631999999998</v>
      </c>
      <c r="BI385" s="386">
        <f t="shared" si="227"/>
        <v>0</v>
      </c>
      <c r="BJ385" s="386">
        <f t="shared" si="228"/>
        <v>240.66431999999998</v>
      </c>
      <c r="BK385" s="386">
        <f t="shared" si="229"/>
        <v>0</v>
      </c>
      <c r="BL385" s="386">
        <f t="shared" si="252"/>
        <v>21099.241488000003</v>
      </c>
      <c r="BM385" s="386">
        <f t="shared" si="253"/>
        <v>0</v>
      </c>
      <c r="BN385" s="386">
        <f t="shared" si="230"/>
        <v>11650</v>
      </c>
      <c r="BO385" s="386">
        <f t="shared" si="231"/>
        <v>0</v>
      </c>
      <c r="BP385" s="386">
        <f t="shared" si="232"/>
        <v>6217.1616000000004</v>
      </c>
      <c r="BQ385" s="386">
        <f t="shared" si="233"/>
        <v>1454.0136000000002</v>
      </c>
      <c r="BR385" s="386">
        <f t="shared" si="234"/>
        <v>11973.049920000001</v>
      </c>
      <c r="BS385" s="386">
        <f t="shared" si="235"/>
        <v>722.9957280000001</v>
      </c>
      <c r="BT385" s="386">
        <f t="shared" si="236"/>
        <v>0</v>
      </c>
      <c r="BU385" s="386">
        <f t="shared" si="237"/>
        <v>0</v>
      </c>
      <c r="BV385" s="386">
        <f t="shared" si="238"/>
        <v>250.69200000000001</v>
      </c>
      <c r="BW385" s="386">
        <f t="shared" si="239"/>
        <v>0</v>
      </c>
      <c r="BX385" s="386">
        <f t="shared" si="254"/>
        <v>20617.912848000004</v>
      </c>
      <c r="BY385" s="386">
        <f t="shared" si="255"/>
        <v>0</v>
      </c>
      <c r="BZ385" s="386">
        <f t="shared" si="256"/>
        <v>0</v>
      </c>
      <c r="CA385" s="386">
        <f t="shared" si="257"/>
        <v>0</v>
      </c>
      <c r="CB385" s="386">
        <f t="shared" si="258"/>
        <v>0</v>
      </c>
      <c r="CC385" s="386">
        <f t="shared" si="240"/>
        <v>0</v>
      </c>
      <c r="CD385" s="386">
        <f t="shared" si="241"/>
        <v>0</v>
      </c>
      <c r="CE385" s="386">
        <f t="shared" si="242"/>
        <v>0</v>
      </c>
      <c r="CF385" s="386">
        <f t="shared" si="243"/>
        <v>-491.35631999999998</v>
      </c>
      <c r="CG385" s="386">
        <f t="shared" si="244"/>
        <v>0</v>
      </c>
      <c r="CH385" s="386">
        <f t="shared" si="245"/>
        <v>10.027680000000027</v>
      </c>
      <c r="CI385" s="386">
        <f t="shared" si="246"/>
        <v>0</v>
      </c>
      <c r="CJ385" s="386">
        <f t="shared" si="259"/>
        <v>-481.32863999999995</v>
      </c>
      <c r="CK385" s="386" t="str">
        <f t="shared" si="260"/>
        <v/>
      </c>
      <c r="CL385" s="386" t="str">
        <f t="shared" si="261"/>
        <v/>
      </c>
      <c r="CM385" s="386" t="str">
        <f t="shared" si="262"/>
        <v/>
      </c>
      <c r="CN385" s="386" t="str">
        <f t="shared" si="263"/>
        <v>0001-00</v>
      </c>
    </row>
    <row r="386" spans="1:92" ht="15.75" thickBot="1" x14ac:dyDescent="0.3">
      <c r="A386" s="375" t="s">
        <v>161</v>
      </c>
      <c r="B386" s="375" t="s">
        <v>162</v>
      </c>
      <c r="C386" s="375" t="s">
        <v>1482</v>
      </c>
      <c r="D386" s="375" t="s">
        <v>239</v>
      </c>
      <c r="E386" s="375" t="s">
        <v>165</v>
      </c>
      <c r="F386" s="376" t="s">
        <v>166</v>
      </c>
      <c r="G386" s="375" t="s">
        <v>1369</v>
      </c>
      <c r="H386" s="377"/>
      <c r="I386" s="377"/>
      <c r="J386" s="375" t="s">
        <v>168</v>
      </c>
      <c r="K386" s="375" t="s">
        <v>240</v>
      </c>
      <c r="L386" s="375" t="s">
        <v>198</v>
      </c>
      <c r="M386" s="375" t="s">
        <v>177</v>
      </c>
      <c r="N386" s="375" t="s">
        <v>199</v>
      </c>
      <c r="O386" s="378">
        <v>1</v>
      </c>
      <c r="P386" s="384">
        <v>1</v>
      </c>
      <c r="Q386" s="384">
        <v>1</v>
      </c>
      <c r="R386" s="379">
        <v>80</v>
      </c>
      <c r="S386" s="384">
        <v>1</v>
      </c>
      <c r="T386" s="379">
        <v>50134.42</v>
      </c>
      <c r="U386" s="379">
        <v>0</v>
      </c>
      <c r="V386" s="379">
        <v>21966.78</v>
      </c>
      <c r="W386" s="379">
        <v>53497.599999999999</v>
      </c>
      <c r="X386" s="379">
        <v>23070.1</v>
      </c>
      <c r="Y386" s="379">
        <v>53497.599999999999</v>
      </c>
      <c r="Z386" s="379">
        <v>22813.32</v>
      </c>
      <c r="AA386" s="375" t="s">
        <v>1483</v>
      </c>
      <c r="AB386" s="375" t="s">
        <v>1484</v>
      </c>
      <c r="AC386" s="375" t="s">
        <v>1137</v>
      </c>
      <c r="AD386" s="375" t="s">
        <v>647</v>
      </c>
      <c r="AE386" s="375" t="s">
        <v>240</v>
      </c>
      <c r="AF386" s="375" t="s">
        <v>245</v>
      </c>
      <c r="AG386" s="375" t="s">
        <v>183</v>
      </c>
      <c r="AH386" s="380">
        <v>25.72</v>
      </c>
      <c r="AI386" s="380">
        <v>31714.400000000001</v>
      </c>
      <c r="AJ386" s="375" t="s">
        <v>184</v>
      </c>
      <c r="AK386" s="375" t="s">
        <v>185</v>
      </c>
      <c r="AL386" s="375" t="s">
        <v>173</v>
      </c>
      <c r="AM386" s="375" t="s">
        <v>186</v>
      </c>
      <c r="AN386" s="375" t="s">
        <v>68</v>
      </c>
      <c r="AO386" s="378">
        <v>80</v>
      </c>
      <c r="AP386" s="384">
        <v>1</v>
      </c>
      <c r="AQ386" s="384">
        <v>1</v>
      </c>
      <c r="AR386" s="383" t="s">
        <v>187</v>
      </c>
      <c r="AS386" s="386">
        <f t="shared" si="247"/>
        <v>1</v>
      </c>
      <c r="AT386">
        <f t="shared" si="248"/>
        <v>1</v>
      </c>
      <c r="AU386" s="386">
        <f>IF(AT386=0,"",IF(AND(AT386=1,M386="F",SUMIF(C2:C557,C386,AS2:AS557)&lt;=1),SUMIF(C2:C557,C386,AS2:AS557),IF(AND(AT386=1,M386="F",SUMIF(C2:C557,C386,AS2:AS557)&gt;1),1,"")))</f>
        <v>1</v>
      </c>
      <c r="AV386" s="386" t="str">
        <f>IF(AT386=0,"",IF(AND(AT386=3,M386="F",SUMIF(C2:C557,C386,AS2:AS557)&lt;=1),SUMIF(C2:C557,C386,AS2:AS557),IF(AND(AT386=3,M386="F",SUMIF(C2:C557,C386,AS2:AS557)&gt;1),1,"")))</f>
        <v/>
      </c>
      <c r="AW386" s="386">
        <f>SUMIF(C2:C557,C386,O2:O557)</f>
        <v>1</v>
      </c>
      <c r="AX386" s="386">
        <f>IF(AND(M386="F",AS386&lt;&gt;0),SUMIF(C2:C557,C386,W2:W557),0)</f>
        <v>53497.599999999999</v>
      </c>
      <c r="AY386" s="386">
        <f t="shared" si="249"/>
        <v>53497.599999999999</v>
      </c>
      <c r="AZ386" s="386" t="str">
        <f t="shared" si="250"/>
        <v/>
      </c>
      <c r="BA386" s="386">
        <f t="shared" si="251"/>
        <v>0</v>
      </c>
      <c r="BB386" s="386">
        <f t="shared" ref="BB386:BB449" si="264">IF(AND(AT386=1,AK386="E",AU386&gt;=0.75,AW386=1),Health,IF(AND(AT386=1,AK386="E",AU386&gt;=0.75),Health*P386,IF(AND(AT386=1,AK386="E",AU386&gt;=0.5,AW386=1),PTHealth,IF(AND(AT386=1,AK386="E",AU386&gt;=0.5),PTHealth*P386,0))))</f>
        <v>11650</v>
      </c>
      <c r="BC386" s="386">
        <f t="shared" ref="BC386:BC449" si="265">IF(AND(AT386=3,AK386="E",AV386&gt;=0.75,AW386=1),Health,IF(AND(AT386=3,AK386="E",AV386&gt;=0.75),Health*P386,IF(AND(AT386=3,AK386="E",AV386&gt;=0.5,AW386=1),PTHealth,IF(AND(AT386=3,AK386="E",AV386&gt;=0.5),PTHealth*P386,0))))</f>
        <v>0</v>
      </c>
      <c r="BD386" s="386">
        <f t="shared" ref="BD386:BD449" si="266">IF(AND(AT386&lt;&gt;0,AX386&gt;=MAXSSDI),SSDI*MAXSSDI*P386,IF(AT386&lt;&gt;0,SSDI*W386,0))</f>
        <v>3316.8512000000001</v>
      </c>
      <c r="BE386" s="386">
        <f t="shared" ref="BE386:BE449" si="267">IF(AT386&lt;&gt;0,SSHI*W386,0)</f>
        <v>775.71519999999998</v>
      </c>
      <c r="BF386" s="386">
        <f t="shared" ref="BF386:BF449" si="268">IF(AND(AT386&lt;&gt;0,AN386&lt;&gt;"NE"),VLOOKUP(AN386,Retirement_Rates,3,FALSE)*W386,0)</f>
        <v>6387.6134400000001</v>
      </c>
      <c r="BG386" s="386">
        <f t="shared" ref="BG386:BG449" si="269">IF(AND(AT386&lt;&gt;0,AJ386&lt;&gt;"PF"),Life*W386,0)</f>
        <v>385.71769599999999</v>
      </c>
      <c r="BH386" s="386">
        <f t="shared" ref="BH386:BH449" si="270">IF(AND(AT386&lt;&gt;0,AM386="Y"),UI*W386,0)</f>
        <v>262.13824</v>
      </c>
      <c r="BI386" s="386">
        <f t="shared" ref="BI386:BI449" si="271">IF(AND(AT386&lt;&gt;0,N386&lt;&gt;"NR"),DHR*W386,0)</f>
        <v>163.70265599999999</v>
      </c>
      <c r="BJ386" s="386">
        <f t="shared" ref="BJ386:BJ449" si="272">IF(AT386&lt;&gt;0,WC*W386,0)</f>
        <v>128.39424</v>
      </c>
      <c r="BK386" s="386">
        <f t="shared" ref="BK386:BK449" si="273">IF(OR(AND(AT386&lt;&gt;0,AJ386&lt;&gt;"PF",AN386&lt;&gt;"NE",AG386&lt;&gt;"A"),AND(AL386="E",OR(AT386=1,AT386=3))),Sick*W386,0)</f>
        <v>0</v>
      </c>
      <c r="BL386" s="386">
        <f t="shared" si="252"/>
        <v>11420.132672</v>
      </c>
      <c r="BM386" s="386">
        <f t="shared" si="253"/>
        <v>0</v>
      </c>
      <c r="BN386" s="386">
        <f t="shared" ref="BN386:BN449" si="274">IF(AND(AT386=1,AK386="E",AU386&gt;=0.75,AW386=1),HealthBY,IF(AND(AT386=1,AK386="E",AU386&gt;=0.75),HealthBY*P386,IF(AND(AT386=1,AK386="E",AU386&gt;=0.5,AW386=1),PTHealthBY,IF(AND(AT386=1,AK386="E",AU386&gt;=0.5),PTHealthBY*P386,0))))</f>
        <v>11650</v>
      </c>
      <c r="BO386" s="386">
        <f t="shared" ref="BO386:BO449" si="275">IF(AND(AT386=3,AK386="E",AV386&gt;=0.75,AW386=1),HealthBY,IF(AND(AT386=3,AK386="E",AV386&gt;=0.75),HealthBY*P386,IF(AND(AT386=3,AK386="E",AV386&gt;=0.5,AW386=1),PTHealthBY,IF(AND(AT386=3,AK386="E",AV386&gt;=0.5),PTHealthBY*P386,0))))</f>
        <v>0</v>
      </c>
      <c r="BP386" s="386">
        <f t="shared" ref="BP386:BP449" si="276">IF(AND(AT386&lt;&gt;0,(AX386+BA386)&gt;=MAXSSDIBY),SSDIBY*MAXSSDIBY*P386,IF(AT386&lt;&gt;0,SSDIBY*W386,0))</f>
        <v>3316.8512000000001</v>
      </c>
      <c r="BQ386" s="386">
        <f t="shared" ref="BQ386:BQ449" si="277">IF(AT386&lt;&gt;0,SSHIBY*W386,0)</f>
        <v>775.71519999999998</v>
      </c>
      <c r="BR386" s="386">
        <f t="shared" ref="BR386:BR449" si="278">IF(AND(AT386&lt;&gt;0,AN386&lt;&gt;"NE"),VLOOKUP(AN386,Retirement_Rates,4,FALSE)*W386,0)</f>
        <v>6387.6134400000001</v>
      </c>
      <c r="BS386" s="386">
        <f t="shared" ref="BS386:BS449" si="279">IF(AND(AT386&lt;&gt;0,AJ386&lt;&gt;"PF"),LifeBY*W386,0)</f>
        <v>385.71769599999999</v>
      </c>
      <c r="BT386" s="386">
        <f t="shared" ref="BT386:BT449" si="280">IF(AND(AT386&lt;&gt;0,AM386="Y"),UIBY*W386,0)</f>
        <v>0</v>
      </c>
      <c r="BU386" s="386">
        <f t="shared" ref="BU386:BU449" si="281">IF(AND(AT386&lt;&gt;0,N386&lt;&gt;"NR"),DHRBY*W386,0)</f>
        <v>163.70265599999999</v>
      </c>
      <c r="BV386" s="386">
        <f t="shared" ref="BV386:BV449" si="282">IF(AT386&lt;&gt;0,WCBY*W386,0)</f>
        <v>133.744</v>
      </c>
      <c r="BW386" s="386">
        <f t="shared" ref="BW386:BW449" si="283">IF(OR(AND(AT386&lt;&gt;0,AJ386&lt;&gt;"PF",AN386&lt;&gt;"NE",AG386&lt;&gt;"A"),AND(AL386="E",OR(AT386=1,AT386=3))),SickBY*W386,0)</f>
        <v>0</v>
      </c>
      <c r="BX386" s="386">
        <f t="shared" si="254"/>
        <v>11163.344192</v>
      </c>
      <c r="BY386" s="386">
        <f t="shared" si="255"/>
        <v>0</v>
      </c>
      <c r="BZ386" s="386">
        <f t="shared" si="256"/>
        <v>0</v>
      </c>
      <c r="CA386" s="386">
        <f t="shared" si="257"/>
        <v>0</v>
      </c>
      <c r="CB386" s="386">
        <f t="shared" si="258"/>
        <v>0</v>
      </c>
      <c r="CC386" s="386">
        <f t="shared" ref="CC386:CC449" si="284">IF(AT386&lt;&gt;0,SSHICHG*Y386,0)</f>
        <v>0</v>
      </c>
      <c r="CD386" s="386">
        <f t="shared" ref="CD386:CD449" si="285">IF(AND(AT386&lt;&gt;0,AN386&lt;&gt;"NE"),VLOOKUP(AN386,Retirement_Rates,5,FALSE)*Y386,0)</f>
        <v>0</v>
      </c>
      <c r="CE386" s="386">
        <f t="shared" ref="CE386:CE449" si="286">IF(AND(AT386&lt;&gt;0,AJ386&lt;&gt;"PF"),LifeCHG*Y386,0)</f>
        <v>0</v>
      </c>
      <c r="CF386" s="386">
        <f t="shared" ref="CF386:CF449" si="287">IF(AND(AT386&lt;&gt;0,AM386="Y"),UICHG*Y386,0)</f>
        <v>-262.13824</v>
      </c>
      <c r="CG386" s="386">
        <f t="shared" ref="CG386:CG449" si="288">IF(AND(AT386&lt;&gt;0,N386&lt;&gt;"NR"),DHRCHG*Y386,0)</f>
        <v>0</v>
      </c>
      <c r="CH386" s="386">
        <f t="shared" ref="CH386:CH449" si="289">IF(AT386&lt;&gt;0,WCCHG*Y386,0)</f>
        <v>5.3497600000000141</v>
      </c>
      <c r="CI386" s="386">
        <f t="shared" ref="CI386:CI449" si="290">IF(OR(AND(AT386&lt;&gt;0,AJ386&lt;&gt;"PF",AN386&lt;&gt;"NE",AG386&lt;&gt;"A"),AND(AL386="E",OR(AT386=1,AT386=3))),SickCHG*Y386,0)</f>
        <v>0</v>
      </c>
      <c r="CJ386" s="386">
        <f t="shared" si="259"/>
        <v>-256.78847999999999</v>
      </c>
      <c r="CK386" s="386" t="str">
        <f t="shared" si="260"/>
        <v/>
      </c>
      <c r="CL386" s="386" t="str">
        <f t="shared" si="261"/>
        <v/>
      </c>
      <c r="CM386" s="386" t="str">
        <f t="shared" si="262"/>
        <v/>
      </c>
      <c r="CN386" s="386" t="str">
        <f t="shared" si="263"/>
        <v>0001-00</v>
      </c>
    </row>
    <row r="387" spans="1:92" ht="15.75" thickBot="1" x14ac:dyDescent="0.3">
      <c r="A387" s="375" t="s">
        <v>161</v>
      </c>
      <c r="B387" s="375" t="s">
        <v>162</v>
      </c>
      <c r="C387" s="375" t="s">
        <v>1485</v>
      </c>
      <c r="D387" s="375" t="s">
        <v>1486</v>
      </c>
      <c r="E387" s="375" t="s">
        <v>165</v>
      </c>
      <c r="F387" s="376" t="s">
        <v>166</v>
      </c>
      <c r="G387" s="375" t="s">
        <v>1369</v>
      </c>
      <c r="H387" s="377"/>
      <c r="I387" s="377"/>
      <c r="J387" s="375" t="s">
        <v>168</v>
      </c>
      <c r="K387" s="375" t="s">
        <v>1487</v>
      </c>
      <c r="L387" s="375" t="s">
        <v>170</v>
      </c>
      <c r="M387" s="375" t="s">
        <v>177</v>
      </c>
      <c r="N387" s="375" t="s">
        <v>199</v>
      </c>
      <c r="O387" s="378">
        <v>1</v>
      </c>
      <c r="P387" s="384">
        <v>1</v>
      </c>
      <c r="Q387" s="384">
        <v>1</v>
      </c>
      <c r="R387" s="379">
        <v>80</v>
      </c>
      <c r="S387" s="384">
        <v>1</v>
      </c>
      <c r="T387" s="379">
        <v>52270.41</v>
      </c>
      <c r="U387" s="379">
        <v>0</v>
      </c>
      <c r="V387" s="379">
        <v>22449.43</v>
      </c>
      <c r="W387" s="379">
        <v>54329.599999999999</v>
      </c>
      <c r="X387" s="379">
        <v>23247.7</v>
      </c>
      <c r="Y387" s="379">
        <v>54329.599999999999</v>
      </c>
      <c r="Z387" s="379">
        <v>22986.92</v>
      </c>
      <c r="AA387" s="375" t="s">
        <v>1488</v>
      </c>
      <c r="AB387" s="375" t="s">
        <v>1489</v>
      </c>
      <c r="AC387" s="375" t="s">
        <v>1490</v>
      </c>
      <c r="AD387" s="375" t="s">
        <v>233</v>
      </c>
      <c r="AE387" s="375" t="s">
        <v>1487</v>
      </c>
      <c r="AF387" s="375" t="s">
        <v>269</v>
      </c>
      <c r="AG387" s="375" t="s">
        <v>183</v>
      </c>
      <c r="AH387" s="380">
        <v>26.12</v>
      </c>
      <c r="AI387" s="378">
        <v>5520</v>
      </c>
      <c r="AJ387" s="375" t="s">
        <v>184</v>
      </c>
      <c r="AK387" s="375" t="s">
        <v>185</v>
      </c>
      <c r="AL387" s="375" t="s">
        <v>173</v>
      </c>
      <c r="AM387" s="375" t="s">
        <v>186</v>
      </c>
      <c r="AN387" s="375" t="s">
        <v>68</v>
      </c>
      <c r="AO387" s="378">
        <v>80</v>
      </c>
      <c r="AP387" s="384">
        <v>1</v>
      </c>
      <c r="AQ387" s="384">
        <v>1</v>
      </c>
      <c r="AR387" s="383" t="s">
        <v>187</v>
      </c>
      <c r="AS387" s="386">
        <f t="shared" ref="AS387:AS450" si="291">IF(((AO387/80)*AP387*P387)&gt;1,AQ387,((AO387/80)*AP387*P387))</f>
        <v>1</v>
      </c>
      <c r="AT387">
        <f t="shared" ref="AT387:AT450" si="292">IF(AND(M387="F",N387&lt;&gt;"NG",AS387&lt;&gt;0,AND(AR387&lt;&gt;6,AR387&lt;&gt;36,AR387&lt;&gt;56),AG387&lt;&gt;"A",OR(AG387="H",AJ387="FS")),1,IF(AND(M387="F",N387&lt;&gt;"NG",AS387&lt;&gt;0,AG387="A"),3,0))</f>
        <v>1</v>
      </c>
      <c r="AU387" s="386">
        <f>IF(AT387=0,"",IF(AND(AT387=1,M387="F",SUMIF(C2:C557,C387,AS2:AS557)&lt;=1),SUMIF(C2:C557,C387,AS2:AS557),IF(AND(AT387=1,M387="F",SUMIF(C2:C557,C387,AS2:AS557)&gt;1),1,"")))</f>
        <v>1</v>
      </c>
      <c r="AV387" s="386" t="str">
        <f>IF(AT387=0,"",IF(AND(AT387=3,M387="F",SUMIF(C2:C557,C387,AS2:AS557)&lt;=1),SUMIF(C2:C557,C387,AS2:AS557),IF(AND(AT387=3,M387="F",SUMIF(C2:C557,C387,AS2:AS557)&gt;1),1,"")))</f>
        <v/>
      </c>
      <c r="AW387" s="386">
        <f>SUMIF(C2:C557,C387,O2:O557)</f>
        <v>1</v>
      </c>
      <c r="AX387" s="386">
        <f>IF(AND(M387="F",AS387&lt;&gt;0),SUMIF(C2:C557,C387,W2:W557),0)</f>
        <v>54329.599999999999</v>
      </c>
      <c r="AY387" s="386">
        <f t="shared" ref="AY387:AY450" si="293">IF(AT387=1,W387,"")</f>
        <v>54329.599999999999</v>
      </c>
      <c r="AZ387" s="386" t="str">
        <f t="shared" ref="AZ387:AZ450" si="294">IF(AT387=3,W387,"")</f>
        <v/>
      </c>
      <c r="BA387" s="386">
        <f t="shared" ref="BA387:BA450" si="295">IF(AT387=1,Y387-W387,0)</f>
        <v>0</v>
      </c>
      <c r="BB387" s="386">
        <f t="shared" si="264"/>
        <v>11650</v>
      </c>
      <c r="BC387" s="386">
        <f t="shared" si="265"/>
        <v>0</v>
      </c>
      <c r="BD387" s="386">
        <f t="shared" si="266"/>
        <v>3368.4351999999999</v>
      </c>
      <c r="BE387" s="386">
        <f t="shared" si="267"/>
        <v>787.77920000000006</v>
      </c>
      <c r="BF387" s="386">
        <f t="shared" si="268"/>
        <v>6486.95424</v>
      </c>
      <c r="BG387" s="386">
        <f t="shared" si="269"/>
        <v>391.71641599999998</v>
      </c>
      <c r="BH387" s="386">
        <f t="shared" si="270"/>
        <v>266.21503999999999</v>
      </c>
      <c r="BI387" s="386">
        <f t="shared" si="271"/>
        <v>166.24857599999999</v>
      </c>
      <c r="BJ387" s="386">
        <f t="shared" si="272"/>
        <v>130.39103999999998</v>
      </c>
      <c r="BK387" s="386">
        <f t="shared" si="273"/>
        <v>0</v>
      </c>
      <c r="BL387" s="386">
        <f t="shared" ref="BL387:BL450" si="296">IF(AT387=1,SUM(BD387:BK387),0)</f>
        <v>11597.739711999999</v>
      </c>
      <c r="BM387" s="386">
        <f t="shared" ref="BM387:BM450" si="297">IF(AT387=3,SUM(BD387:BK387),0)</f>
        <v>0</v>
      </c>
      <c r="BN387" s="386">
        <f t="shared" si="274"/>
        <v>11650</v>
      </c>
      <c r="BO387" s="386">
        <f t="shared" si="275"/>
        <v>0</v>
      </c>
      <c r="BP387" s="386">
        <f t="shared" si="276"/>
        <v>3368.4351999999999</v>
      </c>
      <c r="BQ387" s="386">
        <f t="shared" si="277"/>
        <v>787.77920000000006</v>
      </c>
      <c r="BR387" s="386">
        <f t="shared" si="278"/>
        <v>6486.95424</v>
      </c>
      <c r="BS387" s="386">
        <f t="shared" si="279"/>
        <v>391.71641599999998</v>
      </c>
      <c r="BT387" s="386">
        <f t="shared" si="280"/>
        <v>0</v>
      </c>
      <c r="BU387" s="386">
        <f t="shared" si="281"/>
        <v>166.24857599999999</v>
      </c>
      <c r="BV387" s="386">
        <f t="shared" si="282"/>
        <v>135.82400000000001</v>
      </c>
      <c r="BW387" s="386">
        <f t="shared" si="283"/>
        <v>0</v>
      </c>
      <c r="BX387" s="386">
        <f t="shared" ref="BX387:BX450" si="298">IF(AT387=1,SUM(BP387:BW387),0)</f>
        <v>11336.957632</v>
      </c>
      <c r="BY387" s="386">
        <f t="shared" ref="BY387:BY450" si="299">IF(AT387=3,SUM(BP387:BW387),0)</f>
        <v>0</v>
      </c>
      <c r="BZ387" s="386">
        <f t="shared" ref="BZ387:BZ450" si="300">IF(AT387=1,BN387-BB387,0)</f>
        <v>0</v>
      </c>
      <c r="CA387" s="386">
        <f t="shared" ref="CA387:CA450" si="301">IF(AT387=3,BO387-BC387,0)</f>
        <v>0</v>
      </c>
      <c r="CB387" s="386">
        <f t="shared" ref="CB387:CB450" si="302">BP387-BD387</f>
        <v>0</v>
      </c>
      <c r="CC387" s="386">
        <f t="shared" si="284"/>
        <v>0</v>
      </c>
      <c r="CD387" s="386">
        <f t="shared" si="285"/>
        <v>0</v>
      </c>
      <c r="CE387" s="386">
        <f t="shared" si="286"/>
        <v>0</v>
      </c>
      <c r="CF387" s="386">
        <f t="shared" si="287"/>
        <v>-266.21503999999999</v>
      </c>
      <c r="CG387" s="386">
        <f t="shared" si="288"/>
        <v>0</v>
      </c>
      <c r="CH387" s="386">
        <f t="shared" si="289"/>
        <v>5.4329600000000138</v>
      </c>
      <c r="CI387" s="386">
        <f t="shared" si="290"/>
        <v>0</v>
      </c>
      <c r="CJ387" s="386">
        <f t="shared" ref="CJ387:CJ450" si="303">IF(AT387=1,SUM(CB387:CI387),0)</f>
        <v>-260.78207999999995</v>
      </c>
      <c r="CK387" s="386" t="str">
        <f t="shared" ref="CK387:CK450" si="304">IF(AT387=3,SUM(CB387:CI387),"")</f>
        <v/>
      </c>
      <c r="CL387" s="386" t="str">
        <f t="shared" ref="CL387:CL450" si="305">IF(OR(N387="NG",AG387="D"),(T387+U387),"")</f>
        <v/>
      </c>
      <c r="CM387" s="386" t="str">
        <f t="shared" ref="CM387:CM450" si="306">IF(OR(N387="NG",AG387="D"),V387,"")</f>
        <v/>
      </c>
      <c r="CN387" s="386" t="str">
        <f t="shared" ref="CN387:CN450" si="307">E387 &amp; "-" &amp; F387</f>
        <v>0001-00</v>
      </c>
    </row>
    <row r="388" spans="1:92" ht="15.75" thickBot="1" x14ac:dyDescent="0.3">
      <c r="A388" s="375" t="s">
        <v>161</v>
      </c>
      <c r="B388" s="375" t="s">
        <v>162</v>
      </c>
      <c r="C388" s="375" t="s">
        <v>1491</v>
      </c>
      <c r="D388" s="375" t="s">
        <v>294</v>
      </c>
      <c r="E388" s="375" t="s">
        <v>165</v>
      </c>
      <c r="F388" s="376" t="s">
        <v>166</v>
      </c>
      <c r="G388" s="375" t="s">
        <v>1369</v>
      </c>
      <c r="H388" s="377"/>
      <c r="I388" s="377"/>
      <c r="J388" s="375" t="s">
        <v>168</v>
      </c>
      <c r="K388" s="375" t="s">
        <v>295</v>
      </c>
      <c r="L388" s="375" t="s">
        <v>173</v>
      </c>
      <c r="M388" s="375" t="s">
        <v>177</v>
      </c>
      <c r="N388" s="375" t="s">
        <v>199</v>
      </c>
      <c r="O388" s="378">
        <v>1</v>
      </c>
      <c r="P388" s="384">
        <v>1</v>
      </c>
      <c r="Q388" s="384">
        <v>1</v>
      </c>
      <c r="R388" s="379">
        <v>80</v>
      </c>
      <c r="S388" s="384">
        <v>1</v>
      </c>
      <c r="T388" s="379">
        <v>72889.600000000006</v>
      </c>
      <c r="U388" s="379">
        <v>0</v>
      </c>
      <c r="V388" s="379">
        <v>27403.34</v>
      </c>
      <c r="W388" s="379">
        <v>76419.199999999997</v>
      </c>
      <c r="X388" s="379">
        <v>27963.18</v>
      </c>
      <c r="Y388" s="379">
        <v>76419.199999999997</v>
      </c>
      <c r="Z388" s="379">
        <v>27596.37</v>
      </c>
      <c r="AA388" s="375" t="s">
        <v>1492</v>
      </c>
      <c r="AB388" s="375" t="s">
        <v>1493</v>
      </c>
      <c r="AC388" s="375" t="s">
        <v>1494</v>
      </c>
      <c r="AD388" s="375" t="s">
        <v>198</v>
      </c>
      <c r="AE388" s="375" t="s">
        <v>295</v>
      </c>
      <c r="AF388" s="375" t="s">
        <v>305</v>
      </c>
      <c r="AG388" s="375" t="s">
        <v>183</v>
      </c>
      <c r="AH388" s="380">
        <v>36.74</v>
      </c>
      <c r="AI388" s="380">
        <v>34580.5</v>
      </c>
      <c r="AJ388" s="375" t="s">
        <v>184</v>
      </c>
      <c r="AK388" s="375" t="s">
        <v>185</v>
      </c>
      <c r="AL388" s="375" t="s">
        <v>173</v>
      </c>
      <c r="AM388" s="375" t="s">
        <v>186</v>
      </c>
      <c r="AN388" s="375" t="s">
        <v>68</v>
      </c>
      <c r="AO388" s="378">
        <v>80</v>
      </c>
      <c r="AP388" s="384">
        <v>1</v>
      </c>
      <c r="AQ388" s="384">
        <v>1</v>
      </c>
      <c r="AR388" s="383" t="s">
        <v>187</v>
      </c>
      <c r="AS388" s="386">
        <f t="shared" si="291"/>
        <v>1</v>
      </c>
      <c r="AT388">
        <f t="shared" si="292"/>
        <v>1</v>
      </c>
      <c r="AU388" s="386">
        <f>IF(AT388=0,"",IF(AND(AT388=1,M388="F",SUMIF(C2:C557,C388,AS2:AS557)&lt;=1),SUMIF(C2:C557,C388,AS2:AS557),IF(AND(AT388=1,M388="F",SUMIF(C2:C557,C388,AS2:AS557)&gt;1),1,"")))</f>
        <v>1</v>
      </c>
      <c r="AV388" s="386" t="str">
        <f>IF(AT388=0,"",IF(AND(AT388=3,M388="F",SUMIF(C2:C557,C388,AS2:AS557)&lt;=1),SUMIF(C2:C557,C388,AS2:AS557),IF(AND(AT388=3,M388="F",SUMIF(C2:C557,C388,AS2:AS557)&gt;1),1,"")))</f>
        <v/>
      </c>
      <c r="AW388" s="386">
        <f>SUMIF(C2:C557,C388,O2:O557)</f>
        <v>1</v>
      </c>
      <c r="AX388" s="386">
        <f>IF(AND(M388="F",AS388&lt;&gt;0),SUMIF(C2:C557,C388,W2:W557),0)</f>
        <v>76419.199999999997</v>
      </c>
      <c r="AY388" s="386">
        <f t="shared" si="293"/>
        <v>76419.199999999997</v>
      </c>
      <c r="AZ388" s="386" t="str">
        <f t="shared" si="294"/>
        <v/>
      </c>
      <c r="BA388" s="386">
        <f t="shared" si="295"/>
        <v>0</v>
      </c>
      <c r="BB388" s="386">
        <f t="shared" si="264"/>
        <v>11650</v>
      </c>
      <c r="BC388" s="386">
        <f t="shared" si="265"/>
        <v>0</v>
      </c>
      <c r="BD388" s="386">
        <f t="shared" si="266"/>
        <v>4737.9903999999997</v>
      </c>
      <c r="BE388" s="386">
        <f t="shared" si="267"/>
        <v>1108.0784000000001</v>
      </c>
      <c r="BF388" s="386">
        <f t="shared" si="268"/>
        <v>9124.4524799999999</v>
      </c>
      <c r="BG388" s="386">
        <f t="shared" si="269"/>
        <v>550.98243200000002</v>
      </c>
      <c r="BH388" s="386">
        <f t="shared" si="270"/>
        <v>374.45407999999998</v>
      </c>
      <c r="BI388" s="386">
        <f t="shared" si="271"/>
        <v>233.84275199999996</v>
      </c>
      <c r="BJ388" s="386">
        <f t="shared" si="272"/>
        <v>183.40607999999997</v>
      </c>
      <c r="BK388" s="386">
        <f t="shared" si="273"/>
        <v>0</v>
      </c>
      <c r="BL388" s="386">
        <f t="shared" si="296"/>
        <v>16313.206624000002</v>
      </c>
      <c r="BM388" s="386">
        <f t="shared" si="297"/>
        <v>0</v>
      </c>
      <c r="BN388" s="386">
        <f t="shared" si="274"/>
        <v>11650</v>
      </c>
      <c r="BO388" s="386">
        <f t="shared" si="275"/>
        <v>0</v>
      </c>
      <c r="BP388" s="386">
        <f t="shared" si="276"/>
        <v>4737.9903999999997</v>
      </c>
      <c r="BQ388" s="386">
        <f t="shared" si="277"/>
        <v>1108.0784000000001</v>
      </c>
      <c r="BR388" s="386">
        <f t="shared" si="278"/>
        <v>9124.4524799999999</v>
      </c>
      <c r="BS388" s="386">
        <f t="shared" si="279"/>
        <v>550.98243200000002</v>
      </c>
      <c r="BT388" s="386">
        <f t="shared" si="280"/>
        <v>0</v>
      </c>
      <c r="BU388" s="386">
        <f t="shared" si="281"/>
        <v>233.84275199999996</v>
      </c>
      <c r="BV388" s="386">
        <f t="shared" si="282"/>
        <v>191.048</v>
      </c>
      <c r="BW388" s="386">
        <f t="shared" si="283"/>
        <v>0</v>
      </c>
      <c r="BX388" s="386">
        <f t="shared" si="298"/>
        <v>15946.394464000003</v>
      </c>
      <c r="BY388" s="386">
        <f t="shared" si="299"/>
        <v>0</v>
      </c>
      <c r="BZ388" s="386">
        <f t="shared" si="300"/>
        <v>0</v>
      </c>
      <c r="CA388" s="386">
        <f t="shared" si="301"/>
        <v>0</v>
      </c>
      <c r="CB388" s="386">
        <f t="shared" si="302"/>
        <v>0</v>
      </c>
      <c r="CC388" s="386">
        <f t="shared" si="284"/>
        <v>0</v>
      </c>
      <c r="CD388" s="386">
        <f t="shared" si="285"/>
        <v>0</v>
      </c>
      <c r="CE388" s="386">
        <f t="shared" si="286"/>
        <v>0</v>
      </c>
      <c r="CF388" s="386">
        <f t="shared" si="287"/>
        <v>-374.45407999999998</v>
      </c>
      <c r="CG388" s="386">
        <f t="shared" si="288"/>
        <v>0</v>
      </c>
      <c r="CH388" s="386">
        <f t="shared" si="289"/>
        <v>7.6419200000000194</v>
      </c>
      <c r="CI388" s="386">
        <f t="shared" si="290"/>
        <v>0</v>
      </c>
      <c r="CJ388" s="386">
        <f t="shared" si="303"/>
        <v>-366.81215999999995</v>
      </c>
      <c r="CK388" s="386" t="str">
        <f t="shared" si="304"/>
        <v/>
      </c>
      <c r="CL388" s="386" t="str">
        <f t="shared" si="305"/>
        <v/>
      </c>
      <c r="CM388" s="386" t="str">
        <f t="shared" si="306"/>
        <v/>
      </c>
      <c r="CN388" s="386" t="str">
        <f t="shared" si="307"/>
        <v>0001-00</v>
      </c>
    </row>
    <row r="389" spans="1:92" ht="15.75" thickBot="1" x14ac:dyDescent="0.3">
      <c r="A389" s="375" t="s">
        <v>161</v>
      </c>
      <c r="B389" s="375" t="s">
        <v>162</v>
      </c>
      <c r="C389" s="375" t="s">
        <v>1495</v>
      </c>
      <c r="D389" s="375" t="s">
        <v>1432</v>
      </c>
      <c r="E389" s="375" t="s">
        <v>165</v>
      </c>
      <c r="F389" s="376" t="s">
        <v>166</v>
      </c>
      <c r="G389" s="375" t="s">
        <v>1369</v>
      </c>
      <c r="H389" s="377"/>
      <c r="I389" s="377"/>
      <c r="J389" s="375" t="s">
        <v>168</v>
      </c>
      <c r="K389" s="375" t="s">
        <v>1433</v>
      </c>
      <c r="L389" s="375" t="s">
        <v>220</v>
      </c>
      <c r="M389" s="375" t="s">
        <v>177</v>
      </c>
      <c r="N389" s="375" t="s">
        <v>199</v>
      </c>
      <c r="O389" s="378">
        <v>1</v>
      </c>
      <c r="P389" s="384">
        <v>1</v>
      </c>
      <c r="Q389" s="384">
        <v>1</v>
      </c>
      <c r="R389" s="379">
        <v>80</v>
      </c>
      <c r="S389" s="384">
        <v>1</v>
      </c>
      <c r="T389" s="379">
        <v>53644.800000000003</v>
      </c>
      <c r="U389" s="379">
        <v>0</v>
      </c>
      <c r="V389" s="379">
        <v>23205.45</v>
      </c>
      <c r="W389" s="379">
        <v>60403.199999999997</v>
      </c>
      <c r="X389" s="379">
        <v>24544.23</v>
      </c>
      <c r="Y389" s="379">
        <v>60403.199999999997</v>
      </c>
      <c r="Z389" s="379">
        <v>24254.3</v>
      </c>
      <c r="AA389" s="375" t="s">
        <v>1496</v>
      </c>
      <c r="AB389" s="375" t="s">
        <v>1497</v>
      </c>
      <c r="AC389" s="375" t="s">
        <v>1498</v>
      </c>
      <c r="AD389" s="375" t="s">
        <v>170</v>
      </c>
      <c r="AE389" s="375" t="s">
        <v>1433</v>
      </c>
      <c r="AF389" s="375" t="s">
        <v>252</v>
      </c>
      <c r="AG389" s="375" t="s">
        <v>183</v>
      </c>
      <c r="AH389" s="380">
        <v>29.04</v>
      </c>
      <c r="AI389" s="378">
        <v>10129</v>
      </c>
      <c r="AJ389" s="375" t="s">
        <v>184</v>
      </c>
      <c r="AK389" s="375" t="s">
        <v>185</v>
      </c>
      <c r="AL389" s="375" t="s">
        <v>173</v>
      </c>
      <c r="AM389" s="375" t="s">
        <v>186</v>
      </c>
      <c r="AN389" s="375" t="s">
        <v>68</v>
      </c>
      <c r="AO389" s="378">
        <v>80</v>
      </c>
      <c r="AP389" s="384">
        <v>1</v>
      </c>
      <c r="AQ389" s="384">
        <v>1</v>
      </c>
      <c r="AR389" s="383" t="s">
        <v>187</v>
      </c>
      <c r="AS389" s="386">
        <f t="shared" si="291"/>
        <v>1</v>
      </c>
      <c r="AT389">
        <f t="shared" si="292"/>
        <v>1</v>
      </c>
      <c r="AU389" s="386">
        <f>IF(AT389=0,"",IF(AND(AT389=1,M389="F",SUMIF(C2:C557,C389,AS2:AS557)&lt;=1),SUMIF(C2:C557,C389,AS2:AS557),IF(AND(AT389=1,M389="F",SUMIF(C2:C557,C389,AS2:AS557)&gt;1),1,"")))</f>
        <v>1</v>
      </c>
      <c r="AV389" s="386" t="str">
        <f>IF(AT389=0,"",IF(AND(AT389=3,M389="F",SUMIF(C2:C557,C389,AS2:AS557)&lt;=1),SUMIF(C2:C557,C389,AS2:AS557),IF(AND(AT389=3,M389="F",SUMIF(C2:C557,C389,AS2:AS557)&gt;1),1,"")))</f>
        <v/>
      </c>
      <c r="AW389" s="386">
        <f>SUMIF(C2:C557,C389,O2:O557)</f>
        <v>1</v>
      </c>
      <c r="AX389" s="386">
        <f>IF(AND(M389="F",AS389&lt;&gt;0),SUMIF(C2:C557,C389,W2:W557),0)</f>
        <v>60403.199999999997</v>
      </c>
      <c r="AY389" s="386">
        <f t="shared" si="293"/>
        <v>60403.199999999997</v>
      </c>
      <c r="AZ389" s="386" t="str">
        <f t="shared" si="294"/>
        <v/>
      </c>
      <c r="BA389" s="386">
        <f t="shared" si="295"/>
        <v>0</v>
      </c>
      <c r="BB389" s="386">
        <f t="shared" si="264"/>
        <v>11650</v>
      </c>
      <c r="BC389" s="386">
        <f t="shared" si="265"/>
        <v>0</v>
      </c>
      <c r="BD389" s="386">
        <f t="shared" si="266"/>
        <v>3744.9983999999999</v>
      </c>
      <c r="BE389" s="386">
        <f t="shared" si="267"/>
        <v>875.84640000000002</v>
      </c>
      <c r="BF389" s="386">
        <f t="shared" si="268"/>
        <v>7212.1420799999996</v>
      </c>
      <c r="BG389" s="386">
        <f t="shared" si="269"/>
        <v>435.50707199999999</v>
      </c>
      <c r="BH389" s="386">
        <f t="shared" si="270"/>
        <v>295.97567999999995</v>
      </c>
      <c r="BI389" s="386">
        <f t="shared" si="271"/>
        <v>184.83379199999999</v>
      </c>
      <c r="BJ389" s="386">
        <f t="shared" si="272"/>
        <v>144.96767999999997</v>
      </c>
      <c r="BK389" s="386">
        <f t="shared" si="273"/>
        <v>0</v>
      </c>
      <c r="BL389" s="386">
        <f t="shared" si="296"/>
        <v>12894.271103999999</v>
      </c>
      <c r="BM389" s="386">
        <f t="shared" si="297"/>
        <v>0</v>
      </c>
      <c r="BN389" s="386">
        <f t="shared" si="274"/>
        <v>11650</v>
      </c>
      <c r="BO389" s="386">
        <f t="shared" si="275"/>
        <v>0</v>
      </c>
      <c r="BP389" s="386">
        <f t="shared" si="276"/>
        <v>3744.9983999999999</v>
      </c>
      <c r="BQ389" s="386">
        <f t="shared" si="277"/>
        <v>875.84640000000002</v>
      </c>
      <c r="BR389" s="386">
        <f t="shared" si="278"/>
        <v>7212.1420799999996</v>
      </c>
      <c r="BS389" s="386">
        <f t="shared" si="279"/>
        <v>435.50707199999999</v>
      </c>
      <c r="BT389" s="386">
        <f t="shared" si="280"/>
        <v>0</v>
      </c>
      <c r="BU389" s="386">
        <f t="shared" si="281"/>
        <v>184.83379199999999</v>
      </c>
      <c r="BV389" s="386">
        <f t="shared" si="282"/>
        <v>151.00800000000001</v>
      </c>
      <c r="BW389" s="386">
        <f t="shared" si="283"/>
        <v>0</v>
      </c>
      <c r="BX389" s="386">
        <f t="shared" si="298"/>
        <v>12604.335744</v>
      </c>
      <c r="BY389" s="386">
        <f t="shared" si="299"/>
        <v>0</v>
      </c>
      <c r="BZ389" s="386">
        <f t="shared" si="300"/>
        <v>0</v>
      </c>
      <c r="CA389" s="386">
        <f t="shared" si="301"/>
        <v>0</v>
      </c>
      <c r="CB389" s="386">
        <f t="shared" si="302"/>
        <v>0</v>
      </c>
      <c r="CC389" s="386">
        <f t="shared" si="284"/>
        <v>0</v>
      </c>
      <c r="CD389" s="386">
        <f t="shared" si="285"/>
        <v>0</v>
      </c>
      <c r="CE389" s="386">
        <f t="shared" si="286"/>
        <v>0</v>
      </c>
      <c r="CF389" s="386">
        <f t="shared" si="287"/>
        <v>-295.97567999999995</v>
      </c>
      <c r="CG389" s="386">
        <f t="shared" si="288"/>
        <v>0</v>
      </c>
      <c r="CH389" s="386">
        <f t="shared" si="289"/>
        <v>6.0403200000000155</v>
      </c>
      <c r="CI389" s="386">
        <f t="shared" si="290"/>
        <v>0</v>
      </c>
      <c r="CJ389" s="386">
        <f t="shared" si="303"/>
        <v>-289.93535999999995</v>
      </c>
      <c r="CK389" s="386" t="str">
        <f t="shared" si="304"/>
        <v/>
      </c>
      <c r="CL389" s="386" t="str">
        <f t="shared" si="305"/>
        <v/>
      </c>
      <c r="CM389" s="386" t="str">
        <f t="shared" si="306"/>
        <v/>
      </c>
      <c r="CN389" s="386" t="str">
        <f t="shared" si="307"/>
        <v>0001-00</v>
      </c>
    </row>
    <row r="390" spans="1:92" ht="15.75" thickBot="1" x14ac:dyDescent="0.3">
      <c r="A390" s="375" t="s">
        <v>161</v>
      </c>
      <c r="B390" s="375" t="s">
        <v>162</v>
      </c>
      <c r="C390" s="375" t="s">
        <v>1499</v>
      </c>
      <c r="D390" s="375" t="s">
        <v>1432</v>
      </c>
      <c r="E390" s="375" t="s">
        <v>165</v>
      </c>
      <c r="F390" s="376" t="s">
        <v>166</v>
      </c>
      <c r="G390" s="375" t="s">
        <v>1369</v>
      </c>
      <c r="H390" s="377"/>
      <c r="I390" s="377"/>
      <c r="J390" s="375" t="s">
        <v>168</v>
      </c>
      <c r="K390" s="375" t="s">
        <v>1433</v>
      </c>
      <c r="L390" s="375" t="s">
        <v>220</v>
      </c>
      <c r="M390" s="375" t="s">
        <v>177</v>
      </c>
      <c r="N390" s="375" t="s">
        <v>199</v>
      </c>
      <c r="O390" s="378">
        <v>1</v>
      </c>
      <c r="P390" s="384">
        <v>1</v>
      </c>
      <c r="Q390" s="384">
        <v>1</v>
      </c>
      <c r="R390" s="379">
        <v>80</v>
      </c>
      <c r="S390" s="384">
        <v>1</v>
      </c>
      <c r="T390" s="379">
        <v>75387.210000000006</v>
      </c>
      <c r="U390" s="379">
        <v>0</v>
      </c>
      <c r="V390" s="379">
        <v>27031.18</v>
      </c>
      <c r="W390" s="379">
        <v>77833.600000000006</v>
      </c>
      <c r="X390" s="379">
        <v>28265.119999999999</v>
      </c>
      <c r="Y390" s="379">
        <v>77833.600000000006</v>
      </c>
      <c r="Z390" s="379">
        <v>27891.52</v>
      </c>
      <c r="AA390" s="375" t="s">
        <v>1500</v>
      </c>
      <c r="AB390" s="375" t="s">
        <v>1501</v>
      </c>
      <c r="AC390" s="375" t="s">
        <v>228</v>
      </c>
      <c r="AD390" s="375" t="s">
        <v>244</v>
      </c>
      <c r="AE390" s="375" t="s">
        <v>1433</v>
      </c>
      <c r="AF390" s="375" t="s">
        <v>252</v>
      </c>
      <c r="AG390" s="375" t="s">
        <v>183</v>
      </c>
      <c r="AH390" s="380">
        <v>37.42</v>
      </c>
      <c r="AI390" s="378">
        <v>62270</v>
      </c>
      <c r="AJ390" s="375" t="s">
        <v>184</v>
      </c>
      <c r="AK390" s="375" t="s">
        <v>185</v>
      </c>
      <c r="AL390" s="375" t="s">
        <v>173</v>
      </c>
      <c r="AM390" s="375" t="s">
        <v>186</v>
      </c>
      <c r="AN390" s="375" t="s">
        <v>68</v>
      </c>
      <c r="AO390" s="378">
        <v>80</v>
      </c>
      <c r="AP390" s="384">
        <v>1</v>
      </c>
      <c r="AQ390" s="384">
        <v>1</v>
      </c>
      <c r="AR390" s="383" t="s">
        <v>187</v>
      </c>
      <c r="AS390" s="386">
        <f t="shared" si="291"/>
        <v>1</v>
      </c>
      <c r="AT390">
        <f t="shared" si="292"/>
        <v>1</v>
      </c>
      <c r="AU390" s="386">
        <f>IF(AT390=0,"",IF(AND(AT390=1,M390="F",SUMIF(C2:C557,C390,AS2:AS557)&lt;=1),SUMIF(C2:C557,C390,AS2:AS557),IF(AND(AT390=1,M390="F",SUMIF(C2:C557,C390,AS2:AS557)&gt;1),1,"")))</f>
        <v>1</v>
      </c>
      <c r="AV390" s="386" t="str">
        <f>IF(AT390=0,"",IF(AND(AT390=3,M390="F",SUMIF(C2:C557,C390,AS2:AS557)&lt;=1),SUMIF(C2:C557,C390,AS2:AS557),IF(AND(AT390=3,M390="F",SUMIF(C2:C557,C390,AS2:AS557)&gt;1),1,"")))</f>
        <v/>
      </c>
      <c r="AW390" s="386">
        <f>SUMIF(C2:C557,C390,O2:O557)</f>
        <v>1</v>
      </c>
      <c r="AX390" s="386">
        <f>IF(AND(M390="F",AS390&lt;&gt;0),SUMIF(C2:C557,C390,W2:W557),0)</f>
        <v>77833.600000000006</v>
      </c>
      <c r="AY390" s="386">
        <f t="shared" si="293"/>
        <v>77833.600000000006</v>
      </c>
      <c r="AZ390" s="386" t="str">
        <f t="shared" si="294"/>
        <v/>
      </c>
      <c r="BA390" s="386">
        <f t="shared" si="295"/>
        <v>0</v>
      </c>
      <c r="BB390" s="386">
        <f t="shared" si="264"/>
        <v>11650</v>
      </c>
      <c r="BC390" s="386">
        <f t="shared" si="265"/>
        <v>0</v>
      </c>
      <c r="BD390" s="386">
        <f t="shared" si="266"/>
        <v>4825.6832000000004</v>
      </c>
      <c r="BE390" s="386">
        <f t="shared" si="267"/>
        <v>1128.5872000000002</v>
      </c>
      <c r="BF390" s="386">
        <f t="shared" si="268"/>
        <v>9293.3318400000007</v>
      </c>
      <c r="BG390" s="386">
        <f t="shared" si="269"/>
        <v>561.1802560000001</v>
      </c>
      <c r="BH390" s="386">
        <f t="shared" si="270"/>
        <v>381.38463999999999</v>
      </c>
      <c r="BI390" s="386">
        <f t="shared" si="271"/>
        <v>238.170816</v>
      </c>
      <c r="BJ390" s="386">
        <f t="shared" si="272"/>
        <v>186.80063999999999</v>
      </c>
      <c r="BK390" s="386">
        <f t="shared" si="273"/>
        <v>0</v>
      </c>
      <c r="BL390" s="386">
        <f t="shared" si="296"/>
        <v>16615.138592000003</v>
      </c>
      <c r="BM390" s="386">
        <f t="shared" si="297"/>
        <v>0</v>
      </c>
      <c r="BN390" s="386">
        <f t="shared" si="274"/>
        <v>11650</v>
      </c>
      <c r="BO390" s="386">
        <f t="shared" si="275"/>
        <v>0</v>
      </c>
      <c r="BP390" s="386">
        <f t="shared" si="276"/>
        <v>4825.6832000000004</v>
      </c>
      <c r="BQ390" s="386">
        <f t="shared" si="277"/>
        <v>1128.5872000000002</v>
      </c>
      <c r="BR390" s="386">
        <f t="shared" si="278"/>
        <v>9293.3318400000007</v>
      </c>
      <c r="BS390" s="386">
        <f t="shared" si="279"/>
        <v>561.1802560000001</v>
      </c>
      <c r="BT390" s="386">
        <f t="shared" si="280"/>
        <v>0</v>
      </c>
      <c r="BU390" s="386">
        <f t="shared" si="281"/>
        <v>238.170816</v>
      </c>
      <c r="BV390" s="386">
        <f t="shared" si="282"/>
        <v>194.58400000000003</v>
      </c>
      <c r="BW390" s="386">
        <f t="shared" si="283"/>
        <v>0</v>
      </c>
      <c r="BX390" s="386">
        <f t="shared" si="298"/>
        <v>16241.537312</v>
      </c>
      <c r="BY390" s="386">
        <f t="shared" si="299"/>
        <v>0</v>
      </c>
      <c r="BZ390" s="386">
        <f t="shared" si="300"/>
        <v>0</v>
      </c>
      <c r="CA390" s="386">
        <f t="shared" si="301"/>
        <v>0</v>
      </c>
      <c r="CB390" s="386">
        <f t="shared" si="302"/>
        <v>0</v>
      </c>
      <c r="CC390" s="386">
        <f t="shared" si="284"/>
        <v>0</v>
      </c>
      <c r="CD390" s="386">
        <f t="shared" si="285"/>
        <v>0</v>
      </c>
      <c r="CE390" s="386">
        <f t="shared" si="286"/>
        <v>0</v>
      </c>
      <c r="CF390" s="386">
        <f t="shared" si="287"/>
        <v>-381.38463999999999</v>
      </c>
      <c r="CG390" s="386">
        <f t="shared" si="288"/>
        <v>0</v>
      </c>
      <c r="CH390" s="386">
        <f t="shared" si="289"/>
        <v>7.7833600000000214</v>
      </c>
      <c r="CI390" s="386">
        <f t="shared" si="290"/>
        <v>0</v>
      </c>
      <c r="CJ390" s="386">
        <f t="shared" si="303"/>
        <v>-373.60127999999997</v>
      </c>
      <c r="CK390" s="386" t="str">
        <f t="shared" si="304"/>
        <v/>
      </c>
      <c r="CL390" s="386" t="str">
        <f t="shared" si="305"/>
        <v/>
      </c>
      <c r="CM390" s="386" t="str">
        <f t="shared" si="306"/>
        <v/>
      </c>
      <c r="CN390" s="386" t="str">
        <f t="shared" si="307"/>
        <v>0001-00</v>
      </c>
    </row>
    <row r="391" spans="1:92" ht="15.75" thickBot="1" x14ac:dyDescent="0.3">
      <c r="A391" s="375" t="s">
        <v>161</v>
      </c>
      <c r="B391" s="375" t="s">
        <v>162</v>
      </c>
      <c r="C391" s="375" t="s">
        <v>1502</v>
      </c>
      <c r="D391" s="375" t="s">
        <v>1432</v>
      </c>
      <c r="E391" s="375" t="s">
        <v>165</v>
      </c>
      <c r="F391" s="376" t="s">
        <v>166</v>
      </c>
      <c r="G391" s="375" t="s">
        <v>1369</v>
      </c>
      <c r="H391" s="377"/>
      <c r="I391" s="377"/>
      <c r="J391" s="375" t="s">
        <v>168</v>
      </c>
      <c r="K391" s="375" t="s">
        <v>1433</v>
      </c>
      <c r="L391" s="375" t="s">
        <v>220</v>
      </c>
      <c r="M391" s="375" t="s">
        <v>177</v>
      </c>
      <c r="N391" s="375" t="s">
        <v>199</v>
      </c>
      <c r="O391" s="378">
        <v>1</v>
      </c>
      <c r="P391" s="384">
        <v>1</v>
      </c>
      <c r="Q391" s="384">
        <v>1</v>
      </c>
      <c r="R391" s="379">
        <v>80</v>
      </c>
      <c r="S391" s="384">
        <v>1</v>
      </c>
      <c r="T391" s="379">
        <v>57177.61</v>
      </c>
      <c r="U391" s="379">
        <v>0</v>
      </c>
      <c r="V391" s="379">
        <v>23936.65</v>
      </c>
      <c r="W391" s="379">
        <v>61339.199999999997</v>
      </c>
      <c r="X391" s="379">
        <v>24744.05</v>
      </c>
      <c r="Y391" s="379">
        <v>61339.199999999997</v>
      </c>
      <c r="Z391" s="379">
        <v>24449.62</v>
      </c>
      <c r="AA391" s="375" t="s">
        <v>1503</v>
      </c>
      <c r="AB391" s="375" t="s">
        <v>1504</v>
      </c>
      <c r="AC391" s="375" t="s">
        <v>257</v>
      </c>
      <c r="AD391" s="375" t="s">
        <v>233</v>
      </c>
      <c r="AE391" s="375" t="s">
        <v>1433</v>
      </c>
      <c r="AF391" s="375" t="s">
        <v>252</v>
      </c>
      <c r="AG391" s="375" t="s">
        <v>183</v>
      </c>
      <c r="AH391" s="380">
        <v>29.49</v>
      </c>
      <c r="AI391" s="380">
        <v>14906.7</v>
      </c>
      <c r="AJ391" s="375" t="s">
        <v>184</v>
      </c>
      <c r="AK391" s="375" t="s">
        <v>185</v>
      </c>
      <c r="AL391" s="375" t="s">
        <v>173</v>
      </c>
      <c r="AM391" s="375" t="s">
        <v>186</v>
      </c>
      <c r="AN391" s="375" t="s">
        <v>68</v>
      </c>
      <c r="AO391" s="378">
        <v>80</v>
      </c>
      <c r="AP391" s="384">
        <v>1</v>
      </c>
      <c r="AQ391" s="384">
        <v>1</v>
      </c>
      <c r="AR391" s="383" t="s">
        <v>187</v>
      </c>
      <c r="AS391" s="386">
        <f t="shared" si="291"/>
        <v>1</v>
      </c>
      <c r="AT391">
        <f t="shared" si="292"/>
        <v>1</v>
      </c>
      <c r="AU391" s="386">
        <f>IF(AT391=0,"",IF(AND(AT391=1,M391="F",SUMIF(C2:C557,C391,AS2:AS557)&lt;=1),SUMIF(C2:C557,C391,AS2:AS557),IF(AND(AT391=1,M391="F",SUMIF(C2:C557,C391,AS2:AS557)&gt;1),1,"")))</f>
        <v>1</v>
      </c>
      <c r="AV391" s="386" t="str">
        <f>IF(AT391=0,"",IF(AND(AT391=3,M391="F",SUMIF(C2:C557,C391,AS2:AS557)&lt;=1),SUMIF(C2:C557,C391,AS2:AS557),IF(AND(AT391=3,M391="F",SUMIF(C2:C557,C391,AS2:AS557)&gt;1),1,"")))</f>
        <v/>
      </c>
      <c r="AW391" s="386">
        <f>SUMIF(C2:C557,C391,O2:O557)</f>
        <v>1</v>
      </c>
      <c r="AX391" s="386">
        <f>IF(AND(M391="F",AS391&lt;&gt;0),SUMIF(C2:C557,C391,W2:W557),0)</f>
        <v>61339.199999999997</v>
      </c>
      <c r="AY391" s="386">
        <f t="shared" si="293"/>
        <v>61339.199999999997</v>
      </c>
      <c r="AZ391" s="386" t="str">
        <f t="shared" si="294"/>
        <v/>
      </c>
      <c r="BA391" s="386">
        <f t="shared" si="295"/>
        <v>0</v>
      </c>
      <c r="BB391" s="386">
        <f t="shared" si="264"/>
        <v>11650</v>
      </c>
      <c r="BC391" s="386">
        <f t="shared" si="265"/>
        <v>0</v>
      </c>
      <c r="BD391" s="386">
        <f t="shared" si="266"/>
        <v>3803.0303999999996</v>
      </c>
      <c r="BE391" s="386">
        <f t="shared" si="267"/>
        <v>889.41840000000002</v>
      </c>
      <c r="BF391" s="386">
        <f t="shared" si="268"/>
        <v>7323.9004800000002</v>
      </c>
      <c r="BG391" s="386">
        <f t="shared" si="269"/>
        <v>442.25563199999999</v>
      </c>
      <c r="BH391" s="386">
        <f t="shared" si="270"/>
        <v>300.56207999999998</v>
      </c>
      <c r="BI391" s="386">
        <f t="shared" si="271"/>
        <v>187.69795199999999</v>
      </c>
      <c r="BJ391" s="386">
        <f t="shared" si="272"/>
        <v>147.21407999999997</v>
      </c>
      <c r="BK391" s="386">
        <f t="shared" si="273"/>
        <v>0</v>
      </c>
      <c r="BL391" s="386">
        <f t="shared" si="296"/>
        <v>13094.079024000001</v>
      </c>
      <c r="BM391" s="386">
        <f t="shared" si="297"/>
        <v>0</v>
      </c>
      <c r="BN391" s="386">
        <f t="shared" si="274"/>
        <v>11650</v>
      </c>
      <c r="BO391" s="386">
        <f t="shared" si="275"/>
        <v>0</v>
      </c>
      <c r="BP391" s="386">
        <f t="shared" si="276"/>
        <v>3803.0303999999996</v>
      </c>
      <c r="BQ391" s="386">
        <f t="shared" si="277"/>
        <v>889.41840000000002</v>
      </c>
      <c r="BR391" s="386">
        <f t="shared" si="278"/>
        <v>7323.9004800000002</v>
      </c>
      <c r="BS391" s="386">
        <f t="shared" si="279"/>
        <v>442.25563199999999</v>
      </c>
      <c r="BT391" s="386">
        <f t="shared" si="280"/>
        <v>0</v>
      </c>
      <c r="BU391" s="386">
        <f t="shared" si="281"/>
        <v>187.69795199999999</v>
      </c>
      <c r="BV391" s="386">
        <f t="shared" si="282"/>
        <v>153.34799999999998</v>
      </c>
      <c r="BW391" s="386">
        <f t="shared" si="283"/>
        <v>0</v>
      </c>
      <c r="BX391" s="386">
        <f t="shared" si="298"/>
        <v>12799.650864000001</v>
      </c>
      <c r="BY391" s="386">
        <f t="shared" si="299"/>
        <v>0</v>
      </c>
      <c r="BZ391" s="386">
        <f t="shared" si="300"/>
        <v>0</v>
      </c>
      <c r="CA391" s="386">
        <f t="shared" si="301"/>
        <v>0</v>
      </c>
      <c r="CB391" s="386">
        <f t="shared" si="302"/>
        <v>0</v>
      </c>
      <c r="CC391" s="386">
        <f t="shared" si="284"/>
        <v>0</v>
      </c>
      <c r="CD391" s="386">
        <f t="shared" si="285"/>
        <v>0</v>
      </c>
      <c r="CE391" s="386">
        <f t="shared" si="286"/>
        <v>0</v>
      </c>
      <c r="CF391" s="386">
        <f t="shared" si="287"/>
        <v>-300.56207999999998</v>
      </c>
      <c r="CG391" s="386">
        <f t="shared" si="288"/>
        <v>0</v>
      </c>
      <c r="CH391" s="386">
        <f t="shared" si="289"/>
        <v>6.1339200000000158</v>
      </c>
      <c r="CI391" s="386">
        <f t="shared" si="290"/>
        <v>0</v>
      </c>
      <c r="CJ391" s="386">
        <f t="shared" si="303"/>
        <v>-294.42815999999999</v>
      </c>
      <c r="CK391" s="386" t="str">
        <f t="shared" si="304"/>
        <v/>
      </c>
      <c r="CL391" s="386" t="str">
        <f t="shared" si="305"/>
        <v/>
      </c>
      <c r="CM391" s="386" t="str">
        <f t="shared" si="306"/>
        <v/>
      </c>
      <c r="CN391" s="386" t="str">
        <f t="shared" si="307"/>
        <v>0001-00</v>
      </c>
    </row>
    <row r="392" spans="1:92" ht="15.75" thickBot="1" x14ac:dyDescent="0.3">
      <c r="A392" s="375" t="s">
        <v>161</v>
      </c>
      <c r="B392" s="375" t="s">
        <v>162</v>
      </c>
      <c r="C392" s="375" t="s">
        <v>1505</v>
      </c>
      <c r="D392" s="375" t="s">
        <v>1432</v>
      </c>
      <c r="E392" s="375" t="s">
        <v>165</v>
      </c>
      <c r="F392" s="376" t="s">
        <v>166</v>
      </c>
      <c r="G392" s="375" t="s">
        <v>1369</v>
      </c>
      <c r="H392" s="377"/>
      <c r="I392" s="377"/>
      <c r="J392" s="375" t="s">
        <v>168</v>
      </c>
      <c r="K392" s="375" t="s">
        <v>1433</v>
      </c>
      <c r="L392" s="375" t="s">
        <v>220</v>
      </c>
      <c r="M392" s="375" t="s">
        <v>177</v>
      </c>
      <c r="N392" s="375" t="s">
        <v>199</v>
      </c>
      <c r="O392" s="378">
        <v>1</v>
      </c>
      <c r="P392" s="384">
        <v>1</v>
      </c>
      <c r="Q392" s="384">
        <v>1</v>
      </c>
      <c r="R392" s="379">
        <v>80</v>
      </c>
      <c r="S392" s="384">
        <v>1</v>
      </c>
      <c r="T392" s="379">
        <v>59219.22</v>
      </c>
      <c r="U392" s="379">
        <v>0</v>
      </c>
      <c r="V392" s="379">
        <v>23662.62</v>
      </c>
      <c r="W392" s="379">
        <v>61984</v>
      </c>
      <c r="X392" s="379">
        <v>24881.69</v>
      </c>
      <c r="Y392" s="379">
        <v>61984</v>
      </c>
      <c r="Z392" s="379">
        <v>24584.17</v>
      </c>
      <c r="AA392" s="375" t="s">
        <v>1506</v>
      </c>
      <c r="AB392" s="375" t="s">
        <v>1507</v>
      </c>
      <c r="AC392" s="375" t="s">
        <v>1508</v>
      </c>
      <c r="AD392" s="375" t="s">
        <v>233</v>
      </c>
      <c r="AE392" s="375" t="s">
        <v>1433</v>
      </c>
      <c r="AF392" s="375" t="s">
        <v>252</v>
      </c>
      <c r="AG392" s="375" t="s">
        <v>183</v>
      </c>
      <c r="AH392" s="380">
        <v>29.8</v>
      </c>
      <c r="AI392" s="380">
        <v>25188.3</v>
      </c>
      <c r="AJ392" s="375" t="s">
        <v>184</v>
      </c>
      <c r="AK392" s="375" t="s">
        <v>185</v>
      </c>
      <c r="AL392" s="375" t="s">
        <v>173</v>
      </c>
      <c r="AM392" s="375" t="s">
        <v>186</v>
      </c>
      <c r="AN392" s="375" t="s">
        <v>68</v>
      </c>
      <c r="AO392" s="378">
        <v>80</v>
      </c>
      <c r="AP392" s="384">
        <v>1</v>
      </c>
      <c r="AQ392" s="384">
        <v>1</v>
      </c>
      <c r="AR392" s="383" t="s">
        <v>187</v>
      </c>
      <c r="AS392" s="386">
        <f t="shared" si="291"/>
        <v>1</v>
      </c>
      <c r="AT392">
        <f t="shared" si="292"/>
        <v>1</v>
      </c>
      <c r="AU392" s="386">
        <f>IF(AT392=0,"",IF(AND(AT392=1,M392="F",SUMIF(C2:C557,C392,AS2:AS557)&lt;=1),SUMIF(C2:C557,C392,AS2:AS557),IF(AND(AT392=1,M392="F",SUMIF(C2:C557,C392,AS2:AS557)&gt;1),1,"")))</f>
        <v>1</v>
      </c>
      <c r="AV392" s="386" t="str">
        <f>IF(AT392=0,"",IF(AND(AT392=3,M392="F",SUMIF(C2:C557,C392,AS2:AS557)&lt;=1),SUMIF(C2:C557,C392,AS2:AS557),IF(AND(AT392=3,M392="F",SUMIF(C2:C557,C392,AS2:AS557)&gt;1),1,"")))</f>
        <v/>
      </c>
      <c r="AW392" s="386">
        <f>SUMIF(C2:C557,C392,O2:O557)</f>
        <v>1</v>
      </c>
      <c r="AX392" s="386">
        <f>IF(AND(M392="F",AS392&lt;&gt;0),SUMIF(C2:C557,C392,W2:W557),0)</f>
        <v>61984</v>
      </c>
      <c r="AY392" s="386">
        <f t="shared" si="293"/>
        <v>61984</v>
      </c>
      <c r="AZ392" s="386" t="str">
        <f t="shared" si="294"/>
        <v/>
      </c>
      <c r="BA392" s="386">
        <f t="shared" si="295"/>
        <v>0</v>
      </c>
      <c r="BB392" s="386">
        <f t="shared" si="264"/>
        <v>11650</v>
      </c>
      <c r="BC392" s="386">
        <f t="shared" si="265"/>
        <v>0</v>
      </c>
      <c r="BD392" s="386">
        <f t="shared" si="266"/>
        <v>3843.0079999999998</v>
      </c>
      <c r="BE392" s="386">
        <f t="shared" si="267"/>
        <v>898.76800000000003</v>
      </c>
      <c r="BF392" s="386">
        <f t="shared" si="268"/>
        <v>7400.8896000000004</v>
      </c>
      <c r="BG392" s="386">
        <f t="shared" si="269"/>
        <v>446.90464000000003</v>
      </c>
      <c r="BH392" s="386">
        <f t="shared" si="270"/>
        <v>303.72159999999997</v>
      </c>
      <c r="BI392" s="386">
        <f t="shared" si="271"/>
        <v>189.67103999999998</v>
      </c>
      <c r="BJ392" s="386">
        <f t="shared" si="272"/>
        <v>148.76159999999999</v>
      </c>
      <c r="BK392" s="386">
        <f t="shared" si="273"/>
        <v>0</v>
      </c>
      <c r="BL392" s="386">
        <f t="shared" si="296"/>
        <v>13231.724480000001</v>
      </c>
      <c r="BM392" s="386">
        <f t="shared" si="297"/>
        <v>0</v>
      </c>
      <c r="BN392" s="386">
        <f t="shared" si="274"/>
        <v>11650</v>
      </c>
      <c r="BO392" s="386">
        <f t="shared" si="275"/>
        <v>0</v>
      </c>
      <c r="BP392" s="386">
        <f t="shared" si="276"/>
        <v>3843.0079999999998</v>
      </c>
      <c r="BQ392" s="386">
        <f t="shared" si="277"/>
        <v>898.76800000000003</v>
      </c>
      <c r="BR392" s="386">
        <f t="shared" si="278"/>
        <v>7400.8896000000004</v>
      </c>
      <c r="BS392" s="386">
        <f t="shared" si="279"/>
        <v>446.90464000000003</v>
      </c>
      <c r="BT392" s="386">
        <f t="shared" si="280"/>
        <v>0</v>
      </c>
      <c r="BU392" s="386">
        <f t="shared" si="281"/>
        <v>189.67103999999998</v>
      </c>
      <c r="BV392" s="386">
        <f t="shared" si="282"/>
        <v>154.96</v>
      </c>
      <c r="BW392" s="386">
        <f t="shared" si="283"/>
        <v>0</v>
      </c>
      <c r="BX392" s="386">
        <f t="shared" si="298"/>
        <v>12934.201279999999</v>
      </c>
      <c r="BY392" s="386">
        <f t="shared" si="299"/>
        <v>0</v>
      </c>
      <c r="BZ392" s="386">
        <f t="shared" si="300"/>
        <v>0</v>
      </c>
      <c r="CA392" s="386">
        <f t="shared" si="301"/>
        <v>0</v>
      </c>
      <c r="CB392" s="386">
        <f t="shared" si="302"/>
        <v>0</v>
      </c>
      <c r="CC392" s="386">
        <f t="shared" si="284"/>
        <v>0</v>
      </c>
      <c r="CD392" s="386">
        <f t="shared" si="285"/>
        <v>0</v>
      </c>
      <c r="CE392" s="386">
        <f t="shared" si="286"/>
        <v>0</v>
      </c>
      <c r="CF392" s="386">
        <f t="shared" si="287"/>
        <v>-303.72159999999997</v>
      </c>
      <c r="CG392" s="386">
        <f t="shared" si="288"/>
        <v>0</v>
      </c>
      <c r="CH392" s="386">
        <f t="shared" si="289"/>
        <v>6.1984000000000163</v>
      </c>
      <c r="CI392" s="386">
        <f t="shared" si="290"/>
        <v>0</v>
      </c>
      <c r="CJ392" s="386">
        <f t="shared" si="303"/>
        <v>-297.52319999999997</v>
      </c>
      <c r="CK392" s="386" t="str">
        <f t="shared" si="304"/>
        <v/>
      </c>
      <c r="CL392" s="386" t="str">
        <f t="shared" si="305"/>
        <v/>
      </c>
      <c r="CM392" s="386" t="str">
        <f t="shared" si="306"/>
        <v/>
      </c>
      <c r="CN392" s="386" t="str">
        <f t="shared" si="307"/>
        <v>0001-00</v>
      </c>
    </row>
    <row r="393" spans="1:92" ht="15.75" thickBot="1" x14ac:dyDescent="0.3">
      <c r="A393" s="375" t="s">
        <v>161</v>
      </c>
      <c r="B393" s="375" t="s">
        <v>162</v>
      </c>
      <c r="C393" s="375" t="s">
        <v>1509</v>
      </c>
      <c r="D393" s="375" t="s">
        <v>1510</v>
      </c>
      <c r="E393" s="375" t="s">
        <v>165</v>
      </c>
      <c r="F393" s="376" t="s">
        <v>166</v>
      </c>
      <c r="G393" s="375" t="s">
        <v>1369</v>
      </c>
      <c r="H393" s="377"/>
      <c r="I393" s="377"/>
      <c r="J393" s="375" t="s">
        <v>168</v>
      </c>
      <c r="K393" s="375" t="s">
        <v>1511</v>
      </c>
      <c r="L393" s="375" t="s">
        <v>220</v>
      </c>
      <c r="M393" s="375" t="s">
        <v>177</v>
      </c>
      <c r="N393" s="375" t="s">
        <v>199</v>
      </c>
      <c r="O393" s="378">
        <v>1</v>
      </c>
      <c r="P393" s="384">
        <v>1</v>
      </c>
      <c r="Q393" s="384">
        <v>1</v>
      </c>
      <c r="R393" s="379">
        <v>80</v>
      </c>
      <c r="S393" s="384">
        <v>1</v>
      </c>
      <c r="T393" s="379">
        <v>70004.83</v>
      </c>
      <c r="U393" s="379">
        <v>0</v>
      </c>
      <c r="V393" s="379">
        <v>26080.03</v>
      </c>
      <c r="W393" s="379">
        <v>72592</v>
      </c>
      <c r="X393" s="379">
        <v>27146.19</v>
      </c>
      <c r="Y393" s="379">
        <v>72592</v>
      </c>
      <c r="Z393" s="379">
        <v>26797.75</v>
      </c>
      <c r="AA393" s="375" t="s">
        <v>1512</v>
      </c>
      <c r="AB393" s="375" t="s">
        <v>520</v>
      </c>
      <c r="AC393" s="375" t="s">
        <v>361</v>
      </c>
      <c r="AD393" s="375" t="s">
        <v>220</v>
      </c>
      <c r="AE393" s="375" t="s">
        <v>1511</v>
      </c>
      <c r="AF393" s="375" t="s">
        <v>252</v>
      </c>
      <c r="AG393" s="375" t="s">
        <v>183</v>
      </c>
      <c r="AH393" s="380">
        <v>34.9</v>
      </c>
      <c r="AI393" s="378">
        <v>18778</v>
      </c>
      <c r="AJ393" s="375" t="s">
        <v>184</v>
      </c>
      <c r="AK393" s="375" t="s">
        <v>185</v>
      </c>
      <c r="AL393" s="375" t="s">
        <v>173</v>
      </c>
      <c r="AM393" s="375" t="s">
        <v>186</v>
      </c>
      <c r="AN393" s="375" t="s">
        <v>68</v>
      </c>
      <c r="AO393" s="378">
        <v>80</v>
      </c>
      <c r="AP393" s="384">
        <v>1</v>
      </c>
      <c r="AQ393" s="384">
        <v>1</v>
      </c>
      <c r="AR393" s="383" t="s">
        <v>187</v>
      </c>
      <c r="AS393" s="386">
        <f t="shared" si="291"/>
        <v>1</v>
      </c>
      <c r="AT393">
        <f t="shared" si="292"/>
        <v>1</v>
      </c>
      <c r="AU393" s="386">
        <f>IF(AT393=0,"",IF(AND(AT393=1,M393="F",SUMIF(C2:C557,C393,AS2:AS557)&lt;=1),SUMIF(C2:C557,C393,AS2:AS557),IF(AND(AT393=1,M393="F",SUMIF(C2:C557,C393,AS2:AS557)&gt;1),1,"")))</f>
        <v>1</v>
      </c>
      <c r="AV393" s="386" t="str">
        <f>IF(AT393=0,"",IF(AND(AT393=3,M393="F",SUMIF(C2:C557,C393,AS2:AS557)&lt;=1),SUMIF(C2:C557,C393,AS2:AS557),IF(AND(AT393=3,M393="F",SUMIF(C2:C557,C393,AS2:AS557)&gt;1),1,"")))</f>
        <v/>
      </c>
      <c r="AW393" s="386">
        <f>SUMIF(C2:C557,C393,O2:O557)</f>
        <v>1</v>
      </c>
      <c r="AX393" s="386">
        <f>IF(AND(M393="F",AS393&lt;&gt;0),SUMIF(C2:C557,C393,W2:W557),0)</f>
        <v>72592</v>
      </c>
      <c r="AY393" s="386">
        <f t="shared" si="293"/>
        <v>72592</v>
      </c>
      <c r="AZ393" s="386" t="str">
        <f t="shared" si="294"/>
        <v/>
      </c>
      <c r="BA393" s="386">
        <f t="shared" si="295"/>
        <v>0</v>
      </c>
      <c r="BB393" s="386">
        <f t="shared" si="264"/>
        <v>11650</v>
      </c>
      <c r="BC393" s="386">
        <f t="shared" si="265"/>
        <v>0</v>
      </c>
      <c r="BD393" s="386">
        <f t="shared" si="266"/>
        <v>4500.7039999999997</v>
      </c>
      <c r="BE393" s="386">
        <f t="shared" si="267"/>
        <v>1052.5840000000001</v>
      </c>
      <c r="BF393" s="386">
        <f t="shared" si="268"/>
        <v>8667.4848000000002</v>
      </c>
      <c r="BG393" s="386">
        <f t="shared" si="269"/>
        <v>523.38832000000002</v>
      </c>
      <c r="BH393" s="386">
        <f t="shared" si="270"/>
        <v>355.70080000000002</v>
      </c>
      <c r="BI393" s="386">
        <f t="shared" si="271"/>
        <v>222.13151999999999</v>
      </c>
      <c r="BJ393" s="386">
        <f t="shared" si="272"/>
        <v>174.2208</v>
      </c>
      <c r="BK393" s="386">
        <f t="shared" si="273"/>
        <v>0</v>
      </c>
      <c r="BL393" s="386">
        <f t="shared" si="296"/>
        <v>15496.214239999999</v>
      </c>
      <c r="BM393" s="386">
        <f t="shared" si="297"/>
        <v>0</v>
      </c>
      <c r="BN393" s="386">
        <f t="shared" si="274"/>
        <v>11650</v>
      </c>
      <c r="BO393" s="386">
        <f t="shared" si="275"/>
        <v>0</v>
      </c>
      <c r="BP393" s="386">
        <f t="shared" si="276"/>
        <v>4500.7039999999997</v>
      </c>
      <c r="BQ393" s="386">
        <f t="shared" si="277"/>
        <v>1052.5840000000001</v>
      </c>
      <c r="BR393" s="386">
        <f t="shared" si="278"/>
        <v>8667.4848000000002</v>
      </c>
      <c r="BS393" s="386">
        <f t="shared" si="279"/>
        <v>523.38832000000002</v>
      </c>
      <c r="BT393" s="386">
        <f t="shared" si="280"/>
        <v>0</v>
      </c>
      <c r="BU393" s="386">
        <f t="shared" si="281"/>
        <v>222.13151999999999</v>
      </c>
      <c r="BV393" s="386">
        <f t="shared" si="282"/>
        <v>181.48</v>
      </c>
      <c r="BW393" s="386">
        <f t="shared" si="283"/>
        <v>0</v>
      </c>
      <c r="BX393" s="386">
        <f t="shared" si="298"/>
        <v>15147.772639999999</v>
      </c>
      <c r="BY393" s="386">
        <f t="shared" si="299"/>
        <v>0</v>
      </c>
      <c r="BZ393" s="386">
        <f t="shared" si="300"/>
        <v>0</v>
      </c>
      <c r="CA393" s="386">
        <f t="shared" si="301"/>
        <v>0</v>
      </c>
      <c r="CB393" s="386">
        <f t="shared" si="302"/>
        <v>0</v>
      </c>
      <c r="CC393" s="386">
        <f t="shared" si="284"/>
        <v>0</v>
      </c>
      <c r="CD393" s="386">
        <f t="shared" si="285"/>
        <v>0</v>
      </c>
      <c r="CE393" s="386">
        <f t="shared" si="286"/>
        <v>0</v>
      </c>
      <c r="CF393" s="386">
        <f t="shared" si="287"/>
        <v>-355.70080000000002</v>
      </c>
      <c r="CG393" s="386">
        <f t="shared" si="288"/>
        <v>0</v>
      </c>
      <c r="CH393" s="386">
        <f t="shared" si="289"/>
        <v>7.2592000000000194</v>
      </c>
      <c r="CI393" s="386">
        <f t="shared" si="290"/>
        <v>0</v>
      </c>
      <c r="CJ393" s="386">
        <f t="shared" si="303"/>
        <v>-348.44159999999999</v>
      </c>
      <c r="CK393" s="386" t="str">
        <f t="shared" si="304"/>
        <v/>
      </c>
      <c r="CL393" s="386" t="str">
        <f t="shared" si="305"/>
        <v/>
      </c>
      <c r="CM393" s="386" t="str">
        <f t="shared" si="306"/>
        <v/>
      </c>
      <c r="CN393" s="386" t="str">
        <f t="shared" si="307"/>
        <v>0001-00</v>
      </c>
    </row>
    <row r="394" spans="1:92" ht="15.75" thickBot="1" x14ac:dyDescent="0.3">
      <c r="A394" s="375" t="s">
        <v>161</v>
      </c>
      <c r="B394" s="375" t="s">
        <v>162</v>
      </c>
      <c r="C394" s="375" t="s">
        <v>1513</v>
      </c>
      <c r="D394" s="375" t="s">
        <v>1510</v>
      </c>
      <c r="E394" s="375" t="s">
        <v>165</v>
      </c>
      <c r="F394" s="376" t="s">
        <v>166</v>
      </c>
      <c r="G394" s="375" t="s">
        <v>1369</v>
      </c>
      <c r="H394" s="377"/>
      <c r="I394" s="377"/>
      <c r="J394" s="375" t="s">
        <v>168</v>
      </c>
      <c r="K394" s="375" t="s">
        <v>1511</v>
      </c>
      <c r="L394" s="375" t="s">
        <v>220</v>
      </c>
      <c r="M394" s="375" t="s">
        <v>177</v>
      </c>
      <c r="N394" s="375" t="s">
        <v>199</v>
      </c>
      <c r="O394" s="378">
        <v>1</v>
      </c>
      <c r="P394" s="384">
        <v>1</v>
      </c>
      <c r="Q394" s="384">
        <v>1</v>
      </c>
      <c r="R394" s="379">
        <v>80</v>
      </c>
      <c r="S394" s="384">
        <v>1</v>
      </c>
      <c r="T394" s="379">
        <v>60883.21</v>
      </c>
      <c r="U394" s="379">
        <v>0</v>
      </c>
      <c r="V394" s="379">
        <v>24076.45</v>
      </c>
      <c r="W394" s="379">
        <v>63294.400000000001</v>
      </c>
      <c r="X394" s="379">
        <v>25161.43</v>
      </c>
      <c r="Y394" s="379">
        <v>63294.400000000001</v>
      </c>
      <c r="Z394" s="379">
        <v>24857.62</v>
      </c>
      <c r="AA394" s="375" t="s">
        <v>1514</v>
      </c>
      <c r="AB394" s="375" t="s">
        <v>1515</v>
      </c>
      <c r="AC394" s="375" t="s">
        <v>315</v>
      </c>
      <c r="AD394" s="375" t="s">
        <v>316</v>
      </c>
      <c r="AE394" s="375" t="s">
        <v>1511</v>
      </c>
      <c r="AF394" s="375" t="s">
        <v>252</v>
      </c>
      <c r="AG394" s="375" t="s">
        <v>183</v>
      </c>
      <c r="AH394" s="380">
        <v>30.43</v>
      </c>
      <c r="AI394" s="380">
        <v>10167.5</v>
      </c>
      <c r="AJ394" s="375" t="s">
        <v>184</v>
      </c>
      <c r="AK394" s="375" t="s">
        <v>185</v>
      </c>
      <c r="AL394" s="375" t="s">
        <v>173</v>
      </c>
      <c r="AM394" s="375" t="s">
        <v>186</v>
      </c>
      <c r="AN394" s="375" t="s">
        <v>68</v>
      </c>
      <c r="AO394" s="378">
        <v>80</v>
      </c>
      <c r="AP394" s="384">
        <v>1</v>
      </c>
      <c r="AQ394" s="384">
        <v>1</v>
      </c>
      <c r="AR394" s="383" t="s">
        <v>187</v>
      </c>
      <c r="AS394" s="386">
        <f t="shared" si="291"/>
        <v>1</v>
      </c>
      <c r="AT394">
        <f t="shared" si="292"/>
        <v>1</v>
      </c>
      <c r="AU394" s="386">
        <f>IF(AT394=0,"",IF(AND(AT394=1,M394="F",SUMIF(C2:C557,C394,AS2:AS557)&lt;=1),SUMIF(C2:C557,C394,AS2:AS557),IF(AND(AT394=1,M394="F",SUMIF(C2:C557,C394,AS2:AS557)&gt;1),1,"")))</f>
        <v>1</v>
      </c>
      <c r="AV394" s="386" t="str">
        <f>IF(AT394=0,"",IF(AND(AT394=3,M394="F",SUMIF(C2:C557,C394,AS2:AS557)&lt;=1),SUMIF(C2:C557,C394,AS2:AS557),IF(AND(AT394=3,M394="F",SUMIF(C2:C557,C394,AS2:AS557)&gt;1),1,"")))</f>
        <v/>
      </c>
      <c r="AW394" s="386">
        <f>SUMIF(C2:C557,C394,O2:O557)</f>
        <v>1</v>
      </c>
      <c r="AX394" s="386">
        <f>IF(AND(M394="F",AS394&lt;&gt;0),SUMIF(C2:C557,C394,W2:W557),0)</f>
        <v>63294.400000000001</v>
      </c>
      <c r="AY394" s="386">
        <f t="shared" si="293"/>
        <v>63294.400000000001</v>
      </c>
      <c r="AZ394" s="386" t="str">
        <f t="shared" si="294"/>
        <v/>
      </c>
      <c r="BA394" s="386">
        <f t="shared" si="295"/>
        <v>0</v>
      </c>
      <c r="BB394" s="386">
        <f t="shared" si="264"/>
        <v>11650</v>
      </c>
      <c r="BC394" s="386">
        <f t="shared" si="265"/>
        <v>0</v>
      </c>
      <c r="BD394" s="386">
        <f t="shared" si="266"/>
        <v>3924.2528000000002</v>
      </c>
      <c r="BE394" s="386">
        <f t="shared" si="267"/>
        <v>917.76880000000006</v>
      </c>
      <c r="BF394" s="386">
        <f t="shared" si="268"/>
        <v>7557.3513600000006</v>
      </c>
      <c r="BG394" s="386">
        <f t="shared" si="269"/>
        <v>456.35262400000005</v>
      </c>
      <c r="BH394" s="386">
        <f t="shared" si="270"/>
        <v>310.14256</v>
      </c>
      <c r="BI394" s="386">
        <f t="shared" si="271"/>
        <v>193.68086399999999</v>
      </c>
      <c r="BJ394" s="386">
        <f t="shared" si="272"/>
        <v>151.90655999999998</v>
      </c>
      <c r="BK394" s="386">
        <f t="shared" si="273"/>
        <v>0</v>
      </c>
      <c r="BL394" s="386">
        <f t="shared" si="296"/>
        <v>13511.455567999999</v>
      </c>
      <c r="BM394" s="386">
        <f t="shared" si="297"/>
        <v>0</v>
      </c>
      <c r="BN394" s="386">
        <f t="shared" si="274"/>
        <v>11650</v>
      </c>
      <c r="BO394" s="386">
        <f t="shared" si="275"/>
        <v>0</v>
      </c>
      <c r="BP394" s="386">
        <f t="shared" si="276"/>
        <v>3924.2528000000002</v>
      </c>
      <c r="BQ394" s="386">
        <f t="shared" si="277"/>
        <v>917.76880000000006</v>
      </c>
      <c r="BR394" s="386">
        <f t="shared" si="278"/>
        <v>7557.3513600000006</v>
      </c>
      <c r="BS394" s="386">
        <f t="shared" si="279"/>
        <v>456.35262400000005</v>
      </c>
      <c r="BT394" s="386">
        <f t="shared" si="280"/>
        <v>0</v>
      </c>
      <c r="BU394" s="386">
        <f t="shared" si="281"/>
        <v>193.68086399999999</v>
      </c>
      <c r="BV394" s="386">
        <f t="shared" si="282"/>
        <v>158.23600000000002</v>
      </c>
      <c r="BW394" s="386">
        <f t="shared" si="283"/>
        <v>0</v>
      </c>
      <c r="BX394" s="386">
        <f t="shared" si="298"/>
        <v>13207.642448000001</v>
      </c>
      <c r="BY394" s="386">
        <f t="shared" si="299"/>
        <v>0</v>
      </c>
      <c r="BZ394" s="386">
        <f t="shared" si="300"/>
        <v>0</v>
      </c>
      <c r="CA394" s="386">
        <f t="shared" si="301"/>
        <v>0</v>
      </c>
      <c r="CB394" s="386">
        <f t="shared" si="302"/>
        <v>0</v>
      </c>
      <c r="CC394" s="386">
        <f t="shared" si="284"/>
        <v>0</v>
      </c>
      <c r="CD394" s="386">
        <f t="shared" si="285"/>
        <v>0</v>
      </c>
      <c r="CE394" s="386">
        <f t="shared" si="286"/>
        <v>0</v>
      </c>
      <c r="CF394" s="386">
        <f t="shared" si="287"/>
        <v>-310.14256</v>
      </c>
      <c r="CG394" s="386">
        <f t="shared" si="288"/>
        <v>0</v>
      </c>
      <c r="CH394" s="386">
        <f t="shared" si="289"/>
        <v>6.3294400000000168</v>
      </c>
      <c r="CI394" s="386">
        <f t="shared" si="290"/>
        <v>0</v>
      </c>
      <c r="CJ394" s="386">
        <f t="shared" si="303"/>
        <v>-303.81311999999997</v>
      </c>
      <c r="CK394" s="386" t="str">
        <f t="shared" si="304"/>
        <v/>
      </c>
      <c r="CL394" s="386" t="str">
        <f t="shared" si="305"/>
        <v/>
      </c>
      <c r="CM394" s="386" t="str">
        <f t="shared" si="306"/>
        <v/>
      </c>
      <c r="CN394" s="386" t="str">
        <f t="shared" si="307"/>
        <v>0001-00</v>
      </c>
    </row>
    <row r="395" spans="1:92" ht="15.75" thickBot="1" x14ac:dyDescent="0.3">
      <c r="A395" s="375" t="s">
        <v>161</v>
      </c>
      <c r="B395" s="375" t="s">
        <v>162</v>
      </c>
      <c r="C395" s="375" t="s">
        <v>1516</v>
      </c>
      <c r="D395" s="375" t="s">
        <v>1402</v>
      </c>
      <c r="E395" s="375" t="s">
        <v>165</v>
      </c>
      <c r="F395" s="376" t="s">
        <v>166</v>
      </c>
      <c r="G395" s="375" t="s">
        <v>1369</v>
      </c>
      <c r="H395" s="377"/>
      <c r="I395" s="377"/>
      <c r="J395" s="375" t="s">
        <v>168</v>
      </c>
      <c r="K395" s="375" t="s">
        <v>1403</v>
      </c>
      <c r="L395" s="375" t="s">
        <v>220</v>
      </c>
      <c r="M395" s="375" t="s">
        <v>177</v>
      </c>
      <c r="N395" s="375" t="s">
        <v>199</v>
      </c>
      <c r="O395" s="378">
        <v>1</v>
      </c>
      <c r="P395" s="384">
        <v>1</v>
      </c>
      <c r="Q395" s="384">
        <v>1</v>
      </c>
      <c r="R395" s="379">
        <v>80</v>
      </c>
      <c r="S395" s="384">
        <v>1</v>
      </c>
      <c r="T395" s="379">
        <v>66059.199999999997</v>
      </c>
      <c r="U395" s="379">
        <v>0</v>
      </c>
      <c r="V395" s="379">
        <v>25831.439999999999</v>
      </c>
      <c r="W395" s="379">
        <v>68452.800000000003</v>
      </c>
      <c r="X395" s="379">
        <v>26262.58</v>
      </c>
      <c r="Y395" s="379">
        <v>68452.800000000003</v>
      </c>
      <c r="Z395" s="379">
        <v>25934.02</v>
      </c>
      <c r="AA395" s="375" t="s">
        <v>1517</v>
      </c>
      <c r="AB395" s="375" t="s">
        <v>1518</v>
      </c>
      <c r="AC395" s="375" t="s">
        <v>597</v>
      </c>
      <c r="AD395" s="375" t="s">
        <v>233</v>
      </c>
      <c r="AE395" s="375" t="s">
        <v>1403</v>
      </c>
      <c r="AF395" s="375" t="s">
        <v>252</v>
      </c>
      <c r="AG395" s="375" t="s">
        <v>183</v>
      </c>
      <c r="AH395" s="380">
        <v>32.909999999999997</v>
      </c>
      <c r="AI395" s="378">
        <v>28272</v>
      </c>
      <c r="AJ395" s="375" t="s">
        <v>184</v>
      </c>
      <c r="AK395" s="375" t="s">
        <v>185</v>
      </c>
      <c r="AL395" s="375" t="s">
        <v>173</v>
      </c>
      <c r="AM395" s="375" t="s">
        <v>186</v>
      </c>
      <c r="AN395" s="375" t="s">
        <v>68</v>
      </c>
      <c r="AO395" s="378">
        <v>80</v>
      </c>
      <c r="AP395" s="384">
        <v>1</v>
      </c>
      <c r="AQ395" s="384">
        <v>1</v>
      </c>
      <c r="AR395" s="383" t="s">
        <v>187</v>
      </c>
      <c r="AS395" s="386">
        <f t="shared" si="291"/>
        <v>1</v>
      </c>
      <c r="AT395">
        <f t="shared" si="292"/>
        <v>1</v>
      </c>
      <c r="AU395" s="386">
        <f>IF(AT395=0,"",IF(AND(AT395=1,M395="F",SUMIF(C2:C557,C395,AS2:AS557)&lt;=1),SUMIF(C2:C557,C395,AS2:AS557),IF(AND(AT395=1,M395="F",SUMIF(C2:C557,C395,AS2:AS557)&gt;1),1,"")))</f>
        <v>1</v>
      </c>
      <c r="AV395" s="386" t="str">
        <f>IF(AT395=0,"",IF(AND(AT395=3,M395="F",SUMIF(C2:C557,C395,AS2:AS557)&lt;=1),SUMIF(C2:C557,C395,AS2:AS557),IF(AND(AT395=3,M395="F",SUMIF(C2:C557,C395,AS2:AS557)&gt;1),1,"")))</f>
        <v/>
      </c>
      <c r="AW395" s="386">
        <f>SUMIF(C2:C557,C395,O2:O557)</f>
        <v>1</v>
      </c>
      <c r="AX395" s="386">
        <f>IF(AND(M395="F",AS395&lt;&gt;0),SUMIF(C2:C557,C395,W2:W557),0)</f>
        <v>68452.800000000003</v>
      </c>
      <c r="AY395" s="386">
        <f t="shared" si="293"/>
        <v>68452.800000000003</v>
      </c>
      <c r="AZ395" s="386" t="str">
        <f t="shared" si="294"/>
        <v/>
      </c>
      <c r="BA395" s="386">
        <f t="shared" si="295"/>
        <v>0</v>
      </c>
      <c r="BB395" s="386">
        <f t="shared" si="264"/>
        <v>11650</v>
      </c>
      <c r="BC395" s="386">
        <f t="shared" si="265"/>
        <v>0</v>
      </c>
      <c r="BD395" s="386">
        <f t="shared" si="266"/>
        <v>4244.0735999999997</v>
      </c>
      <c r="BE395" s="386">
        <f t="shared" si="267"/>
        <v>992.56560000000013</v>
      </c>
      <c r="BF395" s="386">
        <f t="shared" si="268"/>
        <v>8173.2643200000011</v>
      </c>
      <c r="BG395" s="386">
        <f t="shared" si="269"/>
        <v>493.54468800000006</v>
      </c>
      <c r="BH395" s="386">
        <f t="shared" si="270"/>
        <v>335.41872000000001</v>
      </c>
      <c r="BI395" s="386">
        <f t="shared" si="271"/>
        <v>209.46556799999999</v>
      </c>
      <c r="BJ395" s="386">
        <f t="shared" si="272"/>
        <v>164.28672</v>
      </c>
      <c r="BK395" s="386">
        <f t="shared" si="273"/>
        <v>0</v>
      </c>
      <c r="BL395" s="386">
        <f t="shared" si="296"/>
        <v>14612.619215999999</v>
      </c>
      <c r="BM395" s="386">
        <f t="shared" si="297"/>
        <v>0</v>
      </c>
      <c r="BN395" s="386">
        <f t="shared" si="274"/>
        <v>11650</v>
      </c>
      <c r="BO395" s="386">
        <f t="shared" si="275"/>
        <v>0</v>
      </c>
      <c r="BP395" s="386">
        <f t="shared" si="276"/>
        <v>4244.0735999999997</v>
      </c>
      <c r="BQ395" s="386">
        <f t="shared" si="277"/>
        <v>992.56560000000013</v>
      </c>
      <c r="BR395" s="386">
        <f t="shared" si="278"/>
        <v>8173.2643200000011</v>
      </c>
      <c r="BS395" s="386">
        <f t="shared" si="279"/>
        <v>493.54468800000006</v>
      </c>
      <c r="BT395" s="386">
        <f t="shared" si="280"/>
        <v>0</v>
      </c>
      <c r="BU395" s="386">
        <f t="shared" si="281"/>
        <v>209.46556799999999</v>
      </c>
      <c r="BV395" s="386">
        <f t="shared" si="282"/>
        <v>171.13200000000001</v>
      </c>
      <c r="BW395" s="386">
        <f t="shared" si="283"/>
        <v>0</v>
      </c>
      <c r="BX395" s="386">
        <f t="shared" si="298"/>
        <v>14284.045775999999</v>
      </c>
      <c r="BY395" s="386">
        <f t="shared" si="299"/>
        <v>0</v>
      </c>
      <c r="BZ395" s="386">
        <f t="shared" si="300"/>
        <v>0</v>
      </c>
      <c r="CA395" s="386">
        <f t="shared" si="301"/>
        <v>0</v>
      </c>
      <c r="CB395" s="386">
        <f t="shared" si="302"/>
        <v>0</v>
      </c>
      <c r="CC395" s="386">
        <f t="shared" si="284"/>
        <v>0</v>
      </c>
      <c r="CD395" s="386">
        <f t="shared" si="285"/>
        <v>0</v>
      </c>
      <c r="CE395" s="386">
        <f t="shared" si="286"/>
        <v>0</v>
      </c>
      <c r="CF395" s="386">
        <f t="shared" si="287"/>
        <v>-335.41872000000001</v>
      </c>
      <c r="CG395" s="386">
        <f t="shared" si="288"/>
        <v>0</v>
      </c>
      <c r="CH395" s="386">
        <f t="shared" si="289"/>
        <v>6.8452800000000185</v>
      </c>
      <c r="CI395" s="386">
        <f t="shared" si="290"/>
        <v>0</v>
      </c>
      <c r="CJ395" s="386">
        <f t="shared" si="303"/>
        <v>-328.57344000000001</v>
      </c>
      <c r="CK395" s="386" t="str">
        <f t="shared" si="304"/>
        <v/>
      </c>
      <c r="CL395" s="386" t="str">
        <f t="shared" si="305"/>
        <v/>
      </c>
      <c r="CM395" s="386" t="str">
        <f t="shared" si="306"/>
        <v/>
      </c>
      <c r="CN395" s="386" t="str">
        <f t="shared" si="307"/>
        <v>0001-00</v>
      </c>
    </row>
    <row r="396" spans="1:92" ht="15.75" thickBot="1" x14ac:dyDescent="0.3">
      <c r="A396" s="375" t="s">
        <v>161</v>
      </c>
      <c r="B396" s="375" t="s">
        <v>162</v>
      </c>
      <c r="C396" s="375" t="s">
        <v>1519</v>
      </c>
      <c r="D396" s="375" t="s">
        <v>1402</v>
      </c>
      <c r="E396" s="375" t="s">
        <v>165</v>
      </c>
      <c r="F396" s="376" t="s">
        <v>166</v>
      </c>
      <c r="G396" s="375" t="s">
        <v>1369</v>
      </c>
      <c r="H396" s="377"/>
      <c r="I396" s="377"/>
      <c r="J396" s="375" t="s">
        <v>168</v>
      </c>
      <c r="K396" s="375" t="s">
        <v>1403</v>
      </c>
      <c r="L396" s="375" t="s">
        <v>220</v>
      </c>
      <c r="M396" s="375" t="s">
        <v>177</v>
      </c>
      <c r="N396" s="375" t="s">
        <v>199</v>
      </c>
      <c r="O396" s="378">
        <v>1</v>
      </c>
      <c r="P396" s="384">
        <v>1</v>
      </c>
      <c r="Q396" s="384">
        <v>1</v>
      </c>
      <c r="R396" s="379">
        <v>80</v>
      </c>
      <c r="S396" s="384">
        <v>1</v>
      </c>
      <c r="T396" s="379">
        <v>64760.9</v>
      </c>
      <c r="U396" s="379">
        <v>0</v>
      </c>
      <c r="V396" s="379">
        <v>23898.5</v>
      </c>
      <c r="W396" s="379">
        <v>56555.199999999997</v>
      </c>
      <c r="X396" s="379">
        <v>23722.82</v>
      </c>
      <c r="Y396" s="379">
        <v>56555.199999999997</v>
      </c>
      <c r="Z396" s="379">
        <v>23451.35</v>
      </c>
      <c r="AA396" s="375" t="s">
        <v>1520</v>
      </c>
      <c r="AB396" s="375" t="s">
        <v>1521</v>
      </c>
      <c r="AC396" s="375" t="s">
        <v>521</v>
      </c>
      <c r="AD396" s="375" t="s">
        <v>181</v>
      </c>
      <c r="AE396" s="375" t="s">
        <v>1403</v>
      </c>
      <c r="AF396" s="375" t="s">
        <v>252</v>
      </c>
      <c r="AG396" s="375" t="s">
        <v>183</v>
      </c>
      <c r="AH396" s="380">
        <v>27.19</v>
      </c>
      <c r="AI396" s="378">
        <v>1648</v>
      </c>
      <c r="AJ396" s="375" t="s">
        <v>184</v>
      </c>
      <c r="AK396" s="375" t="s">
        <v>185</v>
      </c>
      <c r="AL396" s="375" t="s">
        <v>173</v>
      </c>
      <c r="AM396" s="375" t="s">
        <v>186</v>
      </c>
      <c r="AN396" s="375" t="s">
        <v>68</v>
      </c>
      <c r="AO396" s="378">
        <v>80</v>
      </c>
      <c r="AP396" s="384">
        <v>1</v>
      </c>
      <c r="AQ396" s="384">
        <v>1</v>
      </c>
      <c r="AR396" s="383" t="s">
        <v>187</v>
      </c>
      <c r="AS396" s="386">
        <f t="shared" si="291"/>
        <v>1</v>
      </c>
      <c r="AT396">
        <f t="shared" si="292"/>
        <v>1</v>
      </c>
      <c r="AU396" s="386">
        <f>IF(AT396=0,"",IF(AND(AT396=1,M396="F",SUMIF(C2:C557,C396,AS2:AS557)&lt;=1),SUMIF(C2:C557,C396,AS2:AS557),IF(AND(AT396=1,M396="F",SUMIF(C2:C557,C396,AS2:AS557)&gt;1),1,"")))</f>
        <v>1</v>
      </c>
      <c r="AV396" s="386" t="str">
        <f>IF(AT396=0,"",IF(AND(AT396=3,M396="F",SUMIF(C2:C557,C396,AS2:AS557)&lt;=1),SUMIF(C2:C557,C396,AS2:AS557),IF(AND(AT396=3,M396="F",SUMIF(C2:C557,C396,AS2:AS557)&gt;1),1,"")))</f>
        <v/>
      </c>
      <c r="AW396" s="386">
        <f>SUMIF(C2:C557,C396,O2:O557)</f>
        <v>1</v>
      </c>
      <c r="AX396" s="386">
        <f>IF(AND(M396="F",AS396&lt;&gt;0),SUMIF(C2:C557,C396,W2:W557),0)</f>
        <v>56555.199999999997</v>
      </c>
      <c r="AY396" s="386">
        <f t="shared" si="293"/>
        <v>56555.199999999997</v>
      </c>
      <c r="AZ396" s="386" t="str">
        <f t="shared" si="294"/>
        <v/>
      </c>
      <c r="BA396" s="386">
        <f t="shared" si="295"/>
        <v>0</v>
      </c>
      <c r="BB396" s="386">
        <f t="shared" si="264"/>
        <v>11650</v>
      </c>
      <c r="BC396" s="386">
        <f t="shared" si="265"/>
        <v>0</v>
      </c>
      <c r="BD396" s="386">
        <f t="shared" si="266"/>
        <v>3506.4223999999999</v>
      </c>
      <c r="BE396" s="386">
        <f t="shared" si="267"/>
        <v>820.05039999999997</v>
      </c>
      <c r="BF396" s="386">
        <f t="shared" si="268"/>
        <v>6752.6908800000001</v>
      </c>
      <c r="BG396" s="386">
        <f t="shared" si="269"/>
        <v>407.762992</v>
      </c>
      <c r="BH396" s="386">
        <f t="shared" si="270"/>
        <v>277.12047999999999</v>
      </c>
      <c r="BI396" s="386">
        <f t="shared" si="271"/>
        <v>173.05891199999999</v>
      </c>
      <c r="BJ396" s="386">
        <f t="shared" si="272"/>
        <v>135.73247999999998</v>
      </c>
      <c r="BK396" s="386">
        <f t="shared" si="273"/>
        <v>0</v>
      </c>
      <c r="BL396" s="386">
        <f t="shared" si="296"/>
        <v>12072.838544</v>
      </c>
      <c r="BM396" s="386">
        <f t="shared" si="297"/>
        <v>0</v>
      </c>
      <c r="BN396" s="386">
        <f t="shared" si="274"/>
        <v>11650</v>
      </c>
      <c r="BO396" s="386">
        <f t="shared" si="275"/>
        <v>0</v>
      </c>
      <c r="BP396" s="386">
        <f t="shared" si="276"/>
        <v>3506.4223999999999</v>
      </c>
      <c r="BQ396" s="386">
        <f t="shared" si="277"/>
        <v>820.05039999999997</v>
      </c>
      <c r="BR396" s="386">
        <f t="shared" si="278"/>
        <v>6752.6908800000001</v>
      </c>
      <c r="BS396" s="386">
        <f t="shared" si="279"/>
        <v>407.762992</v>
      </c>
      <c r="BT396" s="386">
        <f t="shared" si="280"/>
        <v>0</v>
      </c>
      <c r="BU396" s="386">
        <f t="shared" si="281"/>
        <v>173.05891199999999</v>
      </c>
      <c r="BV396" s="386">
        <f t="shared" si="282"/>
        <v>141.38800000000001</v>
      </c>
      <c r="BW396" s="386">
        <f t="shared" si="283"/>
        <v>0</v>
      </c>
      <c r="BX396" s="386">
        <f t="shared" si="298"/>
        <v>11801.373584000001</v>
      </c>
      <c r="BY396" s="386">
        <f t="shared" si="299"/>
        <v>0</v>
      </c>
      <c r="BZ396" s="386">
        <f t="shared" si="300"/>
        <v>0</v>
      </c>
      <c r="CA396" s="386">
        <f t="shared" si="301"/>
        <v>0</v>
      </c>
      <c r="CB396" s="386">
        <f t="shared" si="302"/>
        <v>0</v>
      </c>
      <c r="CC396" s="386">
        <f t="shared" si="284"/>
        <v>0</v>
      </c>
      <c r="CD396" s="386">
        <f t="shared" si="285"/>
        <v>0</v>
      </c>
      <c r="CE396" s="386">
        <f t="shared" si="286"/>
        <v>0</v>
      </c>
      <c r="CF396" s="386">
        <f t="shared" si="287"/>
        <v>-277.12047999999999</v>
      </c>
      <c r="CG396" s="386">
        <f t="shared" si="288"/>
        <v>0</v>
      </c>
      <c r="CH396" s="386">
        <f t="shared" si="289"/>
        <v>5.6555200000000143</v>
      </c>
      <c r="CI396" s="386">
        <f t="shared" si="290"/>
        <v>0</v>
      </c>
      <c r="CJ396" s="386">
        <f t="shared" si="303"/>
        <v>-271.46495999999996</v>
      </c>
      <c r="CK396" s="386" t="str">
        <f t="shared" si="304"/>
        <v/>
      </c>
      <c r="CL396" s="386" t="str">
        <f t="shared" si="305"/>
        <v/>
      </c>
      <c r="CM396" s="386" t="str">
        <f t="shared" si="306"/>
        <v/>
      </c>
      <c r="CN396" s="386" t="str">
        <f t="shared" si="307"/>
        <v>0001-00</v>
      </c>
    </row>
    <row r="397" spans="1:92" ht="15.75" thickBot="1" x14ac:dyDescent="0.3">
      <c r="A397" s="375" t="s">
        <v>161</v>
      </c>
      <c r="B397" s="375" t="s">
        <v>162</v>
      </c>
      <c r="C397" s="375" t="s">
        <v>1522</v>
      </c>
      <c r="D397" s="375" t="s">
        <v>1402</v>
      </c>
      <c r="E397" s="375" t="s">
        <v>165</v>
      </c>
      <c r="F397" s="376" t="s">
        <v>166</v>
      </c>
      <c r="G397" s="375" t="s">
        <v>1369</v>
      </c>
      <c r="H397" s="377"/>
      <c r="I397" s="377"/>
      <c r="J397" s="375" t="s">
        <v>168</v>
      </c>
      <c r="K397" s="375" t="s">
        <v>1403</v>
      </c>
      <c r="L397" s="375" t="s">
        <v>220</v>
      </c>
      <c r="M397" s="375" t="s">
        <v>177</v>
      </c>
      <c r="N397" s="375" t="s">
        <v>199</v>
      </c>
      <c r="O397" s="378">
        <v>1</v>
      </c>
      <c r="P397" s="384">
        <v>1</v>
      </c>
      <c r="Q397" s="384">
        <v>1</v>
      </c>
      <c r="R397" s="379">
        <v>80</v>
      </c>
      <c r="S397" s="384">
        <v>1</v>
      </c>
      <c r="T397" s="379">
        <v>55616</v>
      </c>
      <c r="U397" s="379">
        <v>0</v>
      </c>
      <c r="V397" s="379">
        <v>23575.119999999999</v>
      </c>
      <c r="W397" s="379">
        <v>60403.199999999997</v>
      </c>
      <c r="X397" s="379">
        <v>24544.23</v>
      </c>
      <c r="Y397" s="379">
        <v>60403.199999999997</v>
      </c>
      <c r="Z397" s="379">
        <v>24254.3</v>
      </c>
      <c r="AA397" s="375" t="s">
        <v>1523</v>
      </c>
      <c r="AB397" s="375" t="s">
        <v>1524</v>
      </c>
      <c r="AC397" s="375" t="s">
        <v>1525</v>
      </c>
      <c r="AD397" s="375" t="s">
        <v>170</v>
      </c>
      <c r="AE397" s="375" t="s">
        <v>1403</v>
      </c>
      <c r="AF397" s="375" t="s">
        <v>252</v>
      </c>
      <c r="AG397" s="375" t="s">
        <v>183</v>
      </c>
      <c r="AH397" s="380">
        <v>29.04</v>
      </c>
      <c r="AI397" s="378">
        <v>11086</v>
      </c>
      <c r="AJ397" s="375" t="s">
        <v>184</v>
      </c>
      <c r="AK397" s="375" t="s">
        <v>185</v>
      </c>
      <c r="AL397" s="375" t="s">
        <v>173</v>
      </c>
      <c r="AM397" s="375" t="s">
        <v>186</v>
      </c>
      <c r="AN397" s="375" t="s">
        <v>68</v>
      </c>
      <c r="AO397" s="378">
        <v>80</v>
      </c>
      <c r="AP397" s="384">
        <v>1</v>
      </c>
      <c r="AQ397" s="384">
        <v>1</v>
      </c>
      <c r="AR397" s="383" t="s">
        <v>187</v>
      </c>
      <c r="AS397" s="386">
        <f t="shared" si="291"/>
        <v>1</v>
      </c>
      <c r="AT397">
        <f t="shared" si="292"/>
        <v>1</v>
      </c>
      <c r="AU397" s="386">
        <f>IF(AT397=0,"",IF(AND(AT397=1,M397="F",SUMIF(C2:C557,C397,AS2:AS557)&lt;=1),SUMIF(C2:C557,C397,AS2:AS557),IF(AND(AT397=1,M397="F",SUMIF(C2:C557,C397,AS2:AS557)&gt;1),1,"")))</f>
        <v>1</v>
      </c>
      <c r="AV397" s="386" t="str">
        <f>IF(AT397=0,"",IF(AND(AT397=3,M397="F",SUMIF(C2:C557,C397,AS2:AS557)&lt;=1),SUMIF(C2:C557,C397,AS2:AS557),IF(AND(AT397=3,M397="F",SUMIF(C2:C557,C397,AS2:AS557)&gt;1),1,"")))</f>
        <v/>
      </c>
      <c r="AW397" s="386">
        <f>SUMIF(C2:C557,C397,O2:O557)</f>
        <v>1</v>
      </c>
      <c r="AX397" s="386">
        <f>IF(AND(M397="F",AS397&lt;&gt;0),SUMIF(C2:C557,C397,W2:W557),0)</f>
        <v>60403.199999999997</v>
      </c>
      <c r="AY397" s="386">
        <f t="shared" si="293"/>
        <v>60403.199999999997</v>
      </c>
      <c r="AZ397" s="386" t="str">
        <f t="shared" si="294"/>
        <v/>
      </c>
      <c r="BA397" s="386">
        <f t="shared" si="295"/>
        <v>0</v>
      </c>
      <c r="BB397" s="386">
        <f t="shared" si="264"/>
        <v>11650</v>
      </c>
      <c r="BC397" s="386">
        <f t="shared" si="265"/>
        <v>0</v>
      </c>
      <c r="BD397" s="386">
        <f t="shared" si="266"/>
        <v>3744.9983999999999</v>
      </c>
      <c r="BE397" s="386">
        <f t="shared" si="267"/>
        <v>875.84640000000002</v>
      </c>
      <c r="BF397" s="386">
        <f t="shared" si="268"/>
        <v>7212.1420799999996</v>
      </c>
      <c r="BG397" s="386">
        <f t="shared" si="269"/>
        <v>435.50707199999999</v>
      </c>
      <c r="BH397" s="386">
        <f t="shared" si="270"/>
        <v>295.97567999999995</v>
      </c>
      <c r="BI397" s="386">
        <f t="shared" si="271"/>
        <v>184.83379199999999</v>
      </c>
      <c r="BJ397" s="386">
        <f t="shared" si="272"/>
        <v>144.96767999999997</v>
      </c>
      <c r="BK397" s="386">
        <f t="shared" si="273"/>
        <v>0</v>
      </c>
      <c r="BL397" s="386">
        <f t="shared" si="296"/>
        <v>12894.271103999999</v>
      </c>
      <c r="BM397" s="386">
        <f t="shared" si="297"/>
        <v>0</v>
      </c>
      <c r="BN397" s="386">
        <f t="shared" si="274"/>
        <v>11650</v>
      </c>
      <c r="BO397" s="386">
        <f t="shared" si="275"/>
        <v>0</v>
      </c>
      <c r="BP397" s="386">
        <f t="shared" si="276"/>
        <v>3744.9983999999999</v>
      </c>
      <c r="BQ397" s="386">
        <f t="shared" si="277"/>
        <v>875.84640000000002</v>
      </c>
      <c r="BR397" s="386">
        <f t="shared" si="278"/>
        <v>7212.1420799999996</v>
      </c>
      <c r="BS397" s="386">
        <f t="shared" si="279"/>
        <v>435.50707199999999</v>
      </c>
      <c r="BT397" s="386">
        <f t="shared" si="280"/>
        <v>0</v>
      </c>
      <c r="BU397" s="386">
        <f t="shared" si="281"/>
        <v>184.83379199999999</v>
      </c>
      <c r="BV397" s="386">
        <f t="shared" si="282"/>
        <v>151.00800000000001</v>
      </c>
      <c r="BW397" s="386">
        <f t="shared" si="283"/>
        <v>0</v>
      </c>
      <c r="BX397" s="386">
        <f t="shared" si="298"/>
        <v>12604.335744</v>
      </c>
      <c r="BY397" s="386">
        <f t="shared" si="299"/>
        <v>0</v>
      </c>
      <c r="BZ397" s="386">
        <f t="shared" si="300"/>
        <v>0</v>
      </c>
      <c r="CA397" s="386">
        <f t="shared" si="301"/>
        <v>0</v>
      </c>
      <c r="CB397" s="386">
        <f t="shared" si="302"/>
        <v>0</v>
      </c>
      <c r="CC397" s="386">
        <f t="shared" si="284"/>
        <v>0</v>
      </c>
      <c r="CD397" s="386">
        <f t="shared" si="285"/>
        <v>0</v>
      </c>
      <c r="CE397" s="386">
        <f t="shared" si="286"/>
        <v>0</v>
      </c>
      <c r="CF397" s="386">
        <f t="shared" si="287"/>
        <v>-295.97567999999995</v>
      </c>
      <c r="CG397" s="386">
        <f t="shared" si="288"/>
        <v>0</v>
      </c>
      <c r="CH397" s="386">
        <f t="shared" si="289"/>
        <v>6.0403200000000155</v>
      </c>
      <c r="CI397" s="386">
        <f t="shared" si="290"/>
        <v>0</v>
      </c>
      <c r="CJ397" s="386">
        <f t="shared" si="303"/>
        <v>-289.93535999999995</v>
      </c>
      <c r="CK397" s="386" t="str">
        <f t="shared" si="304"/>
        <v/>
      </c>
      <c r="CL397" s="386" t="str">
        <f t="shared" si="305"/>
        <v/>
      </c>
      <c r="CM397" s="386" t="str">
        <f t="shared" si="306"/>
        <v/>
      </c>
      <c r="CN397" s="386" t="str">
        <f t="shared" si="307"/>
        <v>0001-00</v>
      </c>
    </row>
    <row r="398" spans="1:92" ht="15.75" thickBot="1" x14ac:dyDescent="0.3">
      <c r="A398" s="375" t="s">
        <v>161</v>
      </c>
      <c r="B398" s="375" t="s">
        <v>162</v>
      </c>
      <c r="C398" s="375" t="s">
        <v>1526</v>
      </c>
      <c r="D398" s="375" t="s">
        <v>1402</v>
      </c>
      <c r="E398" s="375" t="s">
        <v>165</v>
      </c>
      <c r="F398" s="376" t="s">
        <v>166</v>
      </c>
      <c r="G398" s="375" t="s">
        <v>1369</v>
      </c>
      <c r="H398" s="377"/>
      <c r="I398" s="377"/>
      <c r="J398" s="375" t="s">
        <v>168</v>
      </c>
      <c r="K398" s="375" t="s">
        <v>1403</v>
      </c>
      <c r="L398" s="375" t="s">
        <v>220</v>
      </c>
      <c r="M398" s="375" t="s">
        <v>177</v>
      </c>
      <c r="N398" s="375" t="s">
        <v>199</v>
      </c>
      <c r="O398" s="378">
        <v>1</v>
      </c>
      <c r="P398" s="384">
        <v>1</v>
      </c>
      <c r="Q398" s="384">
        <v>1</v>
      </c>
      <c r="R398" s="379">
        <v>80</v>
      </c>
      <c r="S398" s="384">
        <v>1</v>
      </c>
      <c r="T398" s="379">
        <v>61342.400000000001</v>
      </c>
      <c r="U398" s="379">
        <v>0</v>
      </c>
      <c r="V398" s="379">
        <v>24694.66</v>
      </c>
      <c r="W398" s="379">
        <v>62961.599999999999</v>
      </c>
      <c r="X398" s="379">
        <v>25090.38</v>
      </c>
      <c r="Y398" s="379">
        <v>62961.599999999999</v>
      </c>
      <c r="Z398" s="379">
        <v>24788.17</v>
      </c>
      <c r="AA398" s="375" t="s">
        <v>1527</v>
      </c>
      <c r="AB398" s="375" t="s">
        <v>1528</v>
      </c>
      <c r="AC398" s="375" t="s">
        <v>1529</v>
      </c>
      <c r="AD398" s="375" t="s">
        <v>214</v>
      </c>
      <c r="AE398" s="375" t="s">
        <v>1403</v>
      </c>
      <c r="AF398" s="375" t="s">
        <v>252</v>
      </c>
      <c r="AG398" s="375" t="s">
        <v>183</v>
      </c>
      <c r="AH398" s="380">
        <v>30.27</v>
      </c>
      <c r="AI398" s="378">
        <v>8398</v>
      </c>
      <c r="AJ398" s="375" t="s">
        <v>184</v>
      </c>
      <c r="AK398" s="375" t="s">
        <v>185</v>
      </c>
      <c r="AL398" s="375" t="s">
        <v>173</v>
      </c>
      <c r="AM398" s="375" t="s">
        <v>186</v>
      </c>
      <c r="AN398" s="375" t="s">
        <v>68</v>
      </c>
      <c r="AO398" s="378">
        <v>80</v>
      </c>
      <c r="AP398" s="384">
        <v>1</v>
      </c>
      <c r="AQ398" s="384">
        <v>1</v>
      </c>
      <c r="AR398" s="383" t="s">
        <v>187</v>
      </c>
      <c r="AS398" s="386">
        <f t="shared" si="291"/>
        <v>1</v>
      </c>
      <c r="AT398">
        <f t="shared" si="292"/>
        <v>1</v>
      </c>
      <c r="AU398" s="386">
        <f>IF(AT398=0,"",IF(AND(AT398=1,M398="F",SUMIF(C2:C557,C398,AS2:AS557)&lt;=1),SUMIF(C2:C557,C398,AS2:AS557),IF(AND(AT398=1,M398="F",SUMIF(C2:C557,C398,AS2:AS557)&gt;1),1,"")))</f>
        <v>1</v>
      </c>
      <c r="AV398" s="386" t="str">
        <f>IF(AT398=0,"",IF(AND(AT398=3,M398="F",SUMIF(C2:C557,C398,AS2:AS557)&lt;=1),SUMIF(C2:C557,C398,AS2:AS557),IF(AND(AT398=3,M398="F",SUMIF(C2:C557,C398,AS2:AS557)&gt;1),1,"")))</f>
        <v/>
      </c>
      <c r="AW398" s="386">
        <f>SUMIF(C2:C557,C398,O2:O557)</f>
        <v>1</v>
      </c>
      <c r="AX398" s="386">
        <f>IF(AND(M398="F",AS398&lt;&gt;0),SUMIF(C2:C557,C398,W2:W557),0)</f>
        <v>62961.599999999999</v>
      </c>
      <c r="AY398" s="386">
        <f t="shared" si="293"/>
        <v>62961.599999999999</v>
      </c>
      <c r="AZ398" s="386" t="str">
        <f t="shared" si="294"/>
        <v/>
      </c>
      <c r="BA398" s="386">
        <f t="shared" si="295"/>
        <v>0</v>
      </c>
      <c r="BB398" s="386">
        <f t="shared" si="264"/>
        <v>11650</v>
      </c>
      <c r="BC398" s="386">
        <f t="shared" si="265"/>
        <v>0</v>
      </c>
      <c r="BD398" s="386">
        <f t="shared" si="266"/>
        <v>3903.6192000000001</v>
      </c>
      <c r="BE398" s="386">
        <f t="shared" si="267"/>
        <v>912.94320000000005</v>
      </c>
      <c r="BF398" s="386">
        <f t="shared" si="268"/>
        <v>7517.6150400000006</v>
      </c>
      <c r="BG398" s="386">
        <f t="shared" si="269"/>
        <v>453.95313600000003</v>
      </c>
      <c r="BH398" s="386">
        <f t="shared" si="270"/>
        <v>308.51184000000001</v>
      </c>
      <c r="BI398" s="386">
        <f t="shared" si="271"/>
        <v>192.66249599999998</v>
      </c>
      <c r="BJ398" s="386">
        <f t="shared" si="272"/>
        <v>151.10783999999998</v>
      </c>
      <c r="BK398" s="386">
        <f t="shared" si="273"/>
        <v>0</v>
      </c>
      <c r="BL398" s="386">
        <f t="shared" si="296"/>
        <v>13440.412752</v>
      </c>
      <c r="BM398" s="386">
        <f t="shared" si="297"/>
        <v>0</v>
      </c>
      <c r="BN398" s="386">
        <f t="shared" si="274"/>
        <v>11650</v>
      </c>
      <c r="BO398" s="386">
        <f t="shared" si="275"/>
        <v>0</v>
      </c>
      <c r="BP398" s="386">
        <f t="shared" si="276"/>
        <v>3903.6192000000001</v>
      </c>
      <c r="BQ398" s="386">
        <f t="shared" si="277"/>
        <v>912.94320000000005</v>
      </c>
      <c r="BR398" s="386">
        <f t="shared" si="278"/>
        <v>7517.6150400000006</v>
      </c>
      <c r="BS398" s="386">
        <f t="shared" si="279"/>
        <v>453.95313600000003</v>
      </c>
      <c r="BT398" s="386">
        <f t="shared" si="280"/>
        <v>0</v>
      </c>
      <c r="BU398" s="386">
        <f t="shared" si="281"/>
        <v>192.66249599999998</v>
      </c>
      <c r="BV398" s="386">
        <f t="shared" si="282"/>
        <v>157.404</v>
      </c>
      <c r="BW398" s="386">
        <f t="shared" si="283"/>
        <v>0</v>
      </c>
      <c r="BX398" s="386">
        <f t="shared" si="298"/>
        <v>13138.197072000001</v>
      </c>
      <c r="BY398" s="386">
        <f t="shared" si="299"/>
        <v>0</v>
      </c>
      <c r="BZ398" s="386">
        <f t="shared" si="300"/>
        <v>0</v>
      </c>
      <c r="CA398" s="386">
        <f t="shared" si="301"/>
        <v>0</v>
      </c>
      <c r="CB398" s="386">
        <f t="shared" si="302"/>
        <v>0</v>
      </c>
      <c r="CC398" s="386">
        <f t="shared" si="284"/>
        <v>0</v>
      </c>
      <c r="CD398" s="386">
        <f t="shared" si="285"/>
        <v>0</v>
      </c>
      <c r="CE398" s="386">
        <f t="shared" si="286"/>
        <v>0</v>
      </c>
      <c r="CF398" s="386">
        <f t="shared" si="287"/>
        <v>-308.51184000000001</v>
      </c>
      <c r="CG398" s="386">
        <f t="shared" si="288"/>
        <v>0</v>
      </c>
      <c r="CH398" s="386">
        <f t="shared" si="289"/>
        <v>6.2961600000000164</v>
      </c>
      <c r="CI398" s="386">
        <f t="shared" si="290"/>
        <v>0</v>
      </c>
      <c r="CJ398" s="386">
        <f t="shared" si="303"/>
        <v>-302.21567999999996</v>
      </c>
      <c r="CK398" s="386" t="str">
        <f t="shared" si="304"/>
        <v/>
      </c>
      <c r="CL398" s="386" t="str">
        <f t="shared" si="305"/>
        <v/>
      </c>
      <c r="CM398" s="386" t="str">
        <f t="shared" si="306"/>
        <v/>
      </c>
      <c r="CN398" s="386" t="str">
        <f t="shared" si="307"/>
        <v>0001-00</v>
      </c>
    </row>
    <row r="399" spans="1:92" ht="15.75" thickBot="1" x14ac:dyDescent="0.3">
      <c r="A399" s="375" t="s">
        <v>161</v>
      </c>
      <c r="B399" s="375" t="s">
        <v>162</v>
      </c>
      <c r="C399" s="375" t="s">
        <v>1530</v>
      </c>
      <c r="D399" s="375" t="s">
        <v>1531</v>
      </c>
      <c r="E399" s="375" t="s">
        <v>165</v>
      </c>
      <c r="F399" s="376" t="s">
        <v>166</v>
      </c>
      <c r="G399" s="375" t="s">
        <v>1369</v>
      </c>
      <c r="H399" s="377"/>
      <c r="I399" s="377"/>
      <c r="J399" s="375" t="s">
        <v>168</v>
      </c>
      <c r="K399" s="375" t="s">
        <v>1532</v>
      </c>
      <c r="L399" s="375" t="s">
        <v>274</v>
      </c>
      <c r="M399" s="375" t="s">
        <v>177</v>
      </c>
      <c r="N399" s="375" t="s">
        <v>199</v>
      </c>
      <c r="O399" s="378">
        <v>1</v>
      </c>
      <c r="P399" s="384">
        <v>1</v>
      </c>
      <c r="Q399" s="384">
        <v>1</v>
      </c>
      <c r="R399" s="379">
        <v>80</v>
      </c>
      <c r="S399" s="384">
        <v>1</v>
      </c>
      <c r="T399" s="379">
        <v>74993.61</v>
      </c>
      <c r="U399" s="379">
        <v>0</v>
      </c>
      <c r="V399" s="379">
        <v>26717.65</v>
      </c>
      <c r="W399" s="379">
        <v>77792</v>
      </c>
      <c r="X399" s="379">
        <v>28256.240000000002</v>
      </c>
      <c r="Y399" s="379">
        <v>77792</v>
      </c>
      <c r="Z399" s="379">
        <v>27882.84</v>
      </c>
      <c r="AA399" s="375" t="s">
        <v>1533</v>
      </c>
      <c r="AB399" s="375" t="s">
        <v>1534</v>
      </c>
      <c r="AC399" s="375" t="s">
        <v>1535</v>
      </c>
      <c r="AD399" s="375" t="s">
        <v>177</v>
      </c>
      <c r="AE399" s="375" t="s">
        <v>1532</v>
      </c>
      <c r="AF399" s="375" t="s">
        <v>388</v>
      </c>
      <c r="AG399" s="375" t="s">
        <v>183</v>
      </c>
      <c r="AH399" s="380">
        <v>37.4</v>
      </c>
      <c r="AI399" s="380">
        <v>34905.300000000003</v>
      </c>
      <c r="AJ399" s="375" t="s">
        <v>184</v>
      </c>
      <c r="AK399" s="375" t="s">
        <v>185</v>
      </c>
      <c r="AL399" s="375" t="s">
        <v>173</v>
      </c>
      <c r="AM399" s="375" t="s">
        <v>186</v>
      </c>
      <c r="AN399" s="375" t="s">
        <v>68</v>
      </c>
      <c r="AO399" s="378">
        <v>80</v>
      </c>
      <c r="AP399" s="384">
        <v>1</v>
      </c>
      <c r="AQ399" s="384">
        <v>1</v>
      </c>
      <c r="AR399" s="383" t="s">
        <v>187</v>
      </c>
      <c r="AS399" s="386">
        <f t="shared" si="291"/>
        <v>1</v>
      </c>
      <c r="AT399">
        <f t="shared" si="292"/>
        <v>1</v>
      </c>
      <c r="AU399" s="386">
        <f>IF(AT399=0,"",IF(AND(AT399=1,M399="F",SUMIF(C2:C557,C399,AS2:AS557)&lt;=1),SUMIF(C2:C557,C399,AS2:AS557),IF(AND(AT399=1,M399="F",SUMIF(C2:C557,C399,AS2:AS557)&gt;1),1,"")))</f>
        <v>1</v>
      </c>
      <c r="AV399" s="386" t="str">
        <f>IF(AT399=0,"",IF(AND(AT399=3,M399="F",SUMIF(C2:C557,C399,AS2:AS557)&lt;=1),SUMIF(C2:C557,C399,AS2:AS557),IF(AND(AT399=3,M399="F",SUMIF(C2:C557,C399,AS2:AS557)&gt;1),1,"")))</f>
        <v/>
      </c>
      <c r="AW399" s="386">
        <f>SUMIF(C2:C557,C399,O2:O557)</f>
        <v>1</v>
      </c>
      <c r="AX399" s="386">
        <f>IF(AND(M399="F",AS399&lt;&gt;0),SUMIF(C2:C557,C399,W2:W557),0)</f>
        <v>77792</v>
      </c>
      <c r="AY399" s="386">
        <f t="shared" si="293"/>
        <v>77792</v>
      </c>
      <c r="AZ399" s="386" t="str">
        <f t="shared" si="294"/>
        <v/>
      </c>
      <c r="BA399" s="386">
        <f t="shared" si="295"/>
        <v>0</v>
      </c>
      <c r="BB399" s="386">
        <f t="shared" si="264"/>
        <v>11650</v>
      </c>
      <c r="BC399" s="386">
        <f t="shared" si="265"/>
        <v>0</v>
      </c>
      <c r="BD399" s="386">
        <f t="shared" si="266"/>
        <v>4823.1040000000003</v>
      </c>
      <c r="BE399" s="386">
        <f t="shared" si="267"/>
        <v>1127.9840000000002</v>
      </c>
      <c r="BF399" s="386">
        <f t="shared" si="268"/>
        <v>9288.3648000000012</v>
      </c>
      <c r="BG399" s="386">
        <f t="shared" si="269"/>
        <v>560.88031999999998</v>
      </c>
      <c r="BH399" s="386">
        <f t="shared" si="270"/>
        <v>381.18079999999998</v>
      </c>
      <c r="BI399" s="386">
        <f t="shared" si="271"/>
        <v>238.04351999999997</v>
      </c>
      <c r="BJ399" s="386">
        <f t="shared" si="272"/>
        <v>186.70079999999999</v>
      </c>
      <c r="BK399" s="386">
        <f t="shared" si="273"/>
        <v>0</v>
      </c>
      <c r="BL399" s="386">
        <f t="shared" si="296"/>
        <v>16606.258240000003</v>
      </c>
      <c r="BM399" s="386">
        <f t="shared" si="297"/>
        <v>0</v>
      </c>
      <c r="BN399" s="386">
        <f t="shared" si="274"/>
        <v>11650</v>
      </c>
      <c r="BO399" s="386">
        <f t="shared" si="275"/>
        <v>0</v>
      </c>
      <c r="BP399" s="386">
        <f t="shared" si="276"/>
        <v>4823.1040000000003</v>
      </c>
      <c r="BQ399" s="386">
        <f t="shared" si="277"/>
        <v>1127.9840000000002</v>
      </c>
      <c r="BR399" s="386">
        <f t="shared" si="278"/>
        <v>9288.3648000000012</v>
      </c>
      <c r="BS399" s="386">
        <f t="shared" si="279"/>
        <v>560.88031999999998</v>
      </c>
      <c r="BT399" s="386">
        <f t="shared" si="280"/>
        <v>0</v>
      </c>
      <c r="BU399" s="386">
        <f t="shared" si="281"/>
        <v>238.04351999999997</v>
      </c>
      <c r="BV399" s="386">
        <f t="shared" si="282"/>
        <v>194.48000000000002</v>
      </c>
      <c r="BW399" s="386">
        <f t="shared" si="283"/>
        <v>0</v>
      </c>
      <c r="BX399" s="386">
        <f t="shared" si="298"/>
        <v>16232.856640000002</v>
      </c>
      <c r="BY399" s="386">
        <f t="shared" si="299"/>
        <v>0</v>
      </c>
      <c r="BZ399" s="386">
        <f t="shared" si="300"/>
        <v>0</v>
      </c>
      <c r="CA399" s="386">
        <f t="shared" si="301"/>
        <v>0</v>
      </c>
      <c r="CB399" s="386">
        <f t="shared" si="302"/>
        <v>0</v>
      </c>
      <c r="CC399" s="386">
        <f t="shared" si="284"/>
        <v>0</v>
      </c>
      <c r="CD399" s="386">
        <f t="shared" si="285"/>
        <v>0</v>
      </c>
      <c r="CE399" s="386">
        <f t="shared" si="286"/>
        <v>0</v>
      </c>
      <c r="CF399" s="386">
        <f t="shared" si="287"/>
        <v>-381.18079999999998</v>
      </c>
      <c r="CG399" s="386">
        <f t="shared" si="288"/>
        <v>0</v>
      </c>
      <c r="CH399" s="386">
        <f t="shared" si="289"/>
        <v>7.7792000000000208</v>
      </c>
      <c r="CI399" s="386">
        <f t="shared" si="290"/>
        <v>0</v>
      </c>
      <c r="CJ399" s="386">
        <f t="shared" si="303"/>
        <v>-373.40159999999997</v>
      </c>
      <c r="CK399" s="386" t="str">
        <f t="shared" si="304"/>
        <v/>
      </c>
      <c r="CL399" s="386" t="str">
        <f t="shared" si="305"/>
        <v/>
      </c>
      <c r="CM399" s="386" t="str">
        <f t="shared" si="306"/>
        <v/>
      </c>
      <c r="CN399" s="386" t="str">
        <f t="shared" si="307"/>
        <v>0001-00</v>
      </c>
    </row>
    <row r="400" spans="1:92" ht="15.75" thickBot="1" x14ac:dyDescent="0.3">
      <c r="A400" s="375" t="s">
        <v>161</v>
      </c>
      <c r="B400" s="375" t="s">
        <v>162</v>
      </c>
      <c r="C400" s="375" t="s">
        <v>1536</v>
      </c>
      <c r="D400" s="375" t="s">
        <v>555</v>
      </c>
      <c r="E400" s="375" t="s">
        <v>1537</v>
      </c>
      <c r="F400" s="376" t="s">
        <v>166</v>
      </c>
      <c r="G400" s="375" t="s">
        <v>1538</v>
      </c>
      <c r="H400" s="377"/>
      <c r="I400" s="377"/>
      <c r="J400" s="375" t="s">
        <v>168</v>
      </c>
      <c r="K400" s="375" t="s">
        <v>556</v>
      </c>
      <c r="L400" s="375" t="s">
        <v>220</v>
      </c>
      <c r="M400" s="375" t="s">
        <v>177</v>
      </c>
      <c r="N400" s="375" t="s">
        <v>199</v>
      </c>
      <c r="O400" s="378">
        <v>1</v>
      </c>
      <c r="P400" s="384">
        <v>1</v>
      </c>
      <c r="Q400" s="384">
        <v>1</v>
      </c>
      <c r="R400" s="379">
        <v>80</v>
      </c>
      <c r="S400" s="384">
        <v>1</v>
      </c>
      <c r="T400" s="379">
        <v>60694.239999999998</v>
      </c>
      <c r="U400" s="379">
        <v>0</v>
      </c>
      <c r="V400" s="379">
        <v>23912.17</v>
      </c>
      <c r="W400" s="379">
        <v>64979.199999999997</v>
      </c>
      <c r="X400" s="379">
        <v>25521.08</v>
      </c>
      <c r="Y400" s="379">
        <v>64979.199999999997</v>
      </c>
      <c r="Z400" s="379">
        <v>25209.18</v>
      </c>
      <c r="AA400" s="375" t="s">
        <v>1539</v>
      </c>
      <c r="AB400" s="375" t="s">
        <v>1540</v>
      </c>
      <c r="AC400" s="375" t="s">
        <v>1541</v>
      </c>
      <c r="AD400" s="375" t="s">
        <v>185</v>
      </c>
      <c r="AE400" s="375" t="s">
        <v>556</v>
      </c>
      <c r="AF400" s="375" t="s">
        <v>252</v>
      </c>
      <c r="AG400" s="375" t="s">
        <v>183</v>
      </c>
      <c r="AH400" s="380">
        <v>31.24</v>
      </c>
      <c r="AI400" s="380">
        <v>12430.4</v>
      </c>
      <c r="AJ400" s="375" t="s">
        <v>184</v>
      </c>
      <c r="AK400" s="375" t="s">
        <v>185</v>
      </c>
      <c r="AL400" s="375" t="s">
        <v>173</v>
      </c>
      <c r="AM400" s="375" t="s">
        <v>186</v>
      </c>
      <c r="AN400" s="375" t="s">
        <v>68</v>
      </c>
      <c r="AO400" s="378">
        <v>80</v>
      </c>
      <c r="AP400" s="384">
        <v>1</v>
      </c>
      <c r="AQ400" s="384">
        <v>1</v>
      </c>
      <c r="AR400" s="383" t="s">
        <v>187</v>
      </c>
      <c r="AS400" s="386">
        <f t="shared" si="291"/>
        <v>1</v>
      </c>
      <c r="AT400">
        <f t="shared" si="292"/>
        <v>1</v>
      </c>
      <c r="AU400" s="386">
        <f>IF(AT400=0,"",IF(AND(AT400=1,M400="F",SUMIF(C2:C557,C400,AS2:AS557)&lt;=1),SUMIF(C2:C557,C400,AS2:AS557),IF(AND(AT400=1,M400="F",SUMIF(C2:C557,C400,AS2:AS557)&gt;1),1,"")))</f>
        <v>1</v>
      </c>
      <c r="AV400" s="386" t="str">
        <f>IF(AT400=0,"",IF(AND(AT400=3,M400="F",SUMIF(C2:C557,C400,AS2:AS557)&lt;=1),SUMIF(C2:C557,C400,AS2:AS557),IF(AND(AT400=3,M400="F",SUMIF(C2:C557,C400,AS2:AS557)&gt;1),1,"")))</f>
        <v/>
      </c>
      <c r="AW400" s="386">
        <f>SUMIF(C2:C557,C400,O2:O557)</f>
        <v>1</v>
      </c>
      <c r="AX400" s="386">
        <f>IF(AND(M400="F",AS400&lt;&gt;0),SUMIF(C2:C557,C400,W2:W557),0)</f>
        <v>64979.199999999997</v>
      </c>
      <c r="AY400" s="386">
        <f t="shared" si="293"/>
        <v>64979.199999999997</v>
      </c>
      <c r="AZ400" s="386" t="str">
        <f t="shared" si="294"/>
        <v/>
      </c>
      <c r="BA400" s="386">
        <f t="shared" si="295"/>
        <v>0</v>
      </c>
      <c r="BB400" s="386">
        <f t="shared" si="264"/>
        <v>11650</v>
      </c>
      <c r="BC400" s="386">
        <f t="shared" si="265"/>
        <v>0</v>
      </c>
      <c r="BD400" s="386">
        <f t="shared" si="266"/>
        <v>4028.7103999999999</v>
      </c>
      <c r="BE400" s="386">
        <f t="shared" si="267"/>
        <v>942.19839999999999</v>
      </c>
      <c r="BF400" s="386">
        <f t="shared" si="268"/>
        <v>7758.5164800000002</v>
      </c>
      <c r="BG400" s="386">
        <f t="shared" si="269"/>
        <v>468.50003199999998</v>
      </c>
      <c r="BH400" s="386">
        <f t="shared" si="270"/>
        <v>318.39807999999999</v>
      </c>
      <c r="BI400" s="386">
        <f t="shared" si="271"/>
        <v>198.83635199999998</v>
      </c>
      <c r="BJ400" s="386">
        <f t="shared" si="272"/>
        <v>155.95007999999999</v>
      </c>
      <c r="BK400" s="386">
        <f t="shared" si="273"/>
        <v>0</v>
      </c>
      <c r="BL400" s="386">
        <f t="shared" si="296"/>
        <v>13871.109824000001</v>
      </c>
      <c r="BM400" s="386">
        <f t="shared" si="297"/>
        <v>0</v>
      </c>
      <c r="BN400" s="386">
        <f t="shared" si="274"/>
        <v>11650</v>
      </c>
      <c r="BO400" s="386">
        <f t="shared" si="275"/>
        <v>0</v>
      </c>
      <c r="BP400" s="386">
        <f t="shared" si="276"/>
        <v>4028.7103999999999</v>
      </c>
      <c r="BQ400" s="386">
        <f t="shared" si="277"/>
        <v>942.19839999999999</v>
      </c>
      <c r="BR400" s="386">
        <f t="shared" si="278"/>
        <v>7758.5164800000002</v>
      </c>
      <c r="BS400" s="386">
        <f t="shared" si="279"/>
        <v>468.50003199999998</v>
      </c>
      <c r="BT400" s="386">
        <f t="shared" si="280"/>
        <v>0</v>
      </c>
      <c r="BU400" s="386">
        <f t="shared" si="281"/>
        <v>198.83635199999998</v>
      </c>
      <c r="BV400" s="386">
        <f t="shared" si="282"/>
        <v>162.44800000000001</v>
      </c>
      <c r="BW400" s="386">
        <f t="shared" si="283"/>
        <v>0</v>
      </c>
      <c r="BX400" s="386">
        <f t="shared" si="298"/>
        <v>13559.209664</v>
      </c>
      <c r="BY400" s="386">
        <f t="shared" si="299"/>
        <v>0</v>
      </c>
      <c r="BZ400" s="386">
        <f t="shared" si="300"/>
        <v>0</v>
      </c>
      <c r="CA400" s="386">
        <f t="shared" si="301"/>
        <v>0</v>
      </c>
      <c r="CB400" s="386">
        <f t="shared" si="302"/>
        <v>0</v>
      </c>
      <c r="CC400" s="386">
        <f t="shared" si="284"/>
        <v>0</v>
      </c>
      <c r="CD400" s="386">
        <f t="shared" si="285"/>
        <v>0</v>
      </c>
      <c r="CE400" s="386">
        <f t="shared" si="286"/>
        <v>0</v>
      </c>
      <c r="CF400" s="386">
        <f t="shared" si="287"/>
        <v>-318.39807999999999</v>
      </c>
      <c r="CG400" s="386">
        <f t="shared" si="288"/>
        <v>0</v>
      </c>
      <c r="CH400" s="386">
        <f t="shared" si="289"/>
        <v>6.4979200000000166</v>
      </c>
      <c r="CI400" s="386">
        <f t="shared" si="290"/>
        <v>0</v>
      </c>
      <c r="CJ400" s="386">
        <f t="shared" si="303"/>
        <v>-311.90015999999997</v>
      </c>
      <c r="CK400" s="386" t="str">
        <f t="shared" si="304"/>
        <v/>
      </c>
      <c r="CL400" s="386" t="str">
        <f t="shared" si="305"/>
        <v/>
      </c>
      <c r="CM400" s="386" t="str">
        <f t="shared" si="306"/>
        <v/>
      </c>
      <c r="CN400" s="386" t="str">
        <f t="shared" si="307"/>
        <v>0276-00</v>
      </c>
    </row>
    <row r="401" spans="1:92" ht="15.75" thickBot="1" x14ac:dyDescent="0.3">
      <c r="A401" s="375" t="s">
        <v>161</v>
      </c>
      <c r="B401" s="375" t="s">
        <v>162</v>
      </c>
      <c r="C401" s="375" t="s">
        <v>722</v>
      </c>
      <c r="D401" s="375" t="s">
        <v>617</v>
      </c>
      <c r="E401" s="375" t="s">
        <v>1537</v>
      </c>
      <c r="F401" s="376" t="s">
        <v>166</v>
      </c>
      <c r="G401" s="375" t="s">
        <v>1538</v>
      </c>
      <c r="H401" s="377"/>
      <c r="I401" s="377"/>
      <c r="J401" s="375" t="s">
        <v>272</v>
      </c>
      <c r="K401" s="375" t="s">
        <v>618</v>
      </c>
      <c r="L401" s="375" t="s">
        <v>173</v>
      </c>
      <c r="M401" s="375" t="s">
        <v>177</v>
      </c>
      <c r="N401" s="375" t="s">
        <v>199</v>
      </c>
      <c r="O401" s="378">
        <v>1</v>
      </c>
      <c r="P401" s="384">
        <v>0.1</v>
      </c>
      <c r="Q401" s="384">
        <v>0.1</v>
      </c>
      <c r="R401" s="379">
        <v>80</v>
      </c>
      <c r="S401" s="384">
        <v>0.1</v>
      </c>
      <c r="T401" s="379">
        <v>6165.4</v>
      </c>
      <c r="U401" s="379">
        <v>0</v>
      </c>
      <c r="V401" s="379">
        <v>2435.19</v>
      </c>
      <c r="W401" s="379">
        <v>6396</v>
      </c>
      <c r="X401" s="379">
        <v>2530.35</v>
      </c>
      <c r="Y401" s="379">
        <v>6396</v>
      </c>
      <c r="Z401" s="379">
        <v>2499.65</v>
      </c>
      <c r="AA401" s="375" t="s">
        <v>723</v>
      </c>
      <c r="AB401" s="375" t="s">
        <v>471</v>
      </c>
      <c r="AC401" s="375" t="s">
        <v>724</v>
      </c>
      <c r="AD401" s="375" t="s">
        <v>233</v>
      </c>
      <c r="AE401" s="375" t="s">
        <v>618</v>
      </c>
      <c r="AF401" s="375" t="s">
        <v>305</v>
      </c>
      <c r="AG401" s="375" t="s">
        <v>183</v>
      </c>
      <c r="AH401" s="380">
        <v>30.75</v>
      </c>
      <c r="AI401" s="380">
        <v>51663.7</v>
      </c>
      <c r="AJ401" s="375" t="s">
        <v>184</v>
      </c>
      <c r="AK401" s="375" t="s">
        <v>185</v>
      </c>
      <c r="AL401" s="375" t="s">
        <v>173</v>
      </c>
      <c r="AM401" s="375" t="s">
        <v>186</v>
      </c>
      <c r="AN401" s="375" t="s">
        <v>68</v>
      </c>
      <c r="AO401" s="378">
        <v>80</v>
      </c>
      <c r="AP401" s="384">
        <v>1</v>
      </c>
      <c r="AQ401" s="384">
        <v>0.1</v>
      </c>
      <c r="AR401" s="383" t="s">
        <v>187</v>
      </c>
      <c r="AS401" s="386">
        <f t="shared" si="291"/>
        <v>0.1</v>
      </c>
      <c r="AT401">
        <f t="shared" si="292"/>
        <v>1</v>
      </c>
      <c r="AU401" s="386">
        <f>IF(AT401=0,"",IF(AND(AT401=1,M401="F",SUMIF(C2:C557,C401,AS2:AS557)&lt;=1),SUMIF(C2:C557,C401,AS2:AS557),IF(AND(AT401=1,M401="F",SUMIF(C2:C557,C401,AS2:AS557)&gt;1),1,"")))</f>
        <v>1</v>
      </c>
      <c r="AV401" s="386" t="str">
        <f>IF(AT401=0,"",IF(AND(AT401=3,M401="F",SUMIF(C2:C557,C401,AS2:AS557)&lt;=1),SUMIF(C2:C557,C401,AS2:AS557),IF(AND(AT401=3,M401="F",SUMIF(C2:C557,C401,AS2:AS557)&gt;1),1,"")))</f>
        <v/>
      </c>
      <c r="AW401" s="386">
        <f>SUMIF(C2:C557,C401,O2:O557)</f>
        <v>3</v>
      </c>
      <c r="AX401" s="386">
        <f>IF(AND(M401="F",AS401&lt;&gt;0),SUMIF(C2:C557,C401,W2:W557),0)</f>
        <v>63960</v>
      </c>
      <c r="AY401" s="386">
        <f t="shared" si="293"/>
        <v>6396</v>
      </c>
      <c r="AZ401" s="386" t="str">
        <f t="shared" si="294"/>
        <v/>
      </c>
      <c r="BA401" s="386">
        <f t="shared" si="295"/>
        <v>0</v>
      </c>
      <c r="BB401" s="386">
        <f t="shared" si="264"/>
        <v>1165</v>
      </c>
      <c r="BC401" s="386">
        <f t="shared" si="265"/>
        <v>0</v>
      </c>
      <c r="BD401" s="386">
        <f t="shared" si="266"/>
        <v>396.55200000000002</v>
      </c>
      <c r="BE401" s="386">
        <f t="shared" si="267"/>
        <v>92.742000000000004</v>
      </c>
      <c r="BF401" s="386">
        <f t="shared" si="268"/>
        <v>763.68240000000003</v>
      </c>
      <c r="BG401" s="386">
        <f t="shared" si="269"/>
        <v>46.115160000000003</v>
      </c>
      <c r="BH401" s="386">
        <f t="shared" si="270"/>
        <v>31.340399999999999</v>
      </c>
      <c r="BI401" s="386">
        <f t="shared" si="271"/>
        <v>19.571759999999998</v>
      </c>
      <c r="BJ401" s="386">
        <f t="shared" si="272"/>
        <v>15.350399999999999</v>
      </c>
      <c r="BK401" s="386">
        <f t="shared" si="273"/>
        <v>0</v>
      </c>
      <c r="BL401" s="386">
        <f t="shared" si="296"/>
        <v>1365.3541200000002</v>
      </c>
      <c r="BM401" s="386">
        <f t="shared" si="297"/>
        <v>0</v>
      </c>
      <c r="BN401" s="386">
        <f t="shared" si="274"/>
        <v>1165</v>
      </c>
      <c r="BO401" s="386">
        <f t="shared" si="275"/>
        <v>0</v>
      </c>
      <c r="BP401" s="386">
        <f t="shared" si="276"/>
        <v>396.55200000000002</v>
      </c>
      <c r="BQ401" s="386">
        <f t="shared" si="277"/>
        <v>92.742000000000004</v>
      </c>
      <c r="BR401" s="386">
        <f t="shared" si="278"/>
        <v>763.68240000000003</v>
      </c>
      <c r="BS401" s="386">
        <f t="shared" si="279"/>
        <v>46.115160000000003</v>
      </c>
      <c r="BT401" s="386">
        <f t="shared" si="280"/>
        <v>0</v>
      </c>
      <c r="BU401" s="386">
        <f t="shared" si="281"/>
        <v>19.571759999999998</v>
      </c>
      <c r="BV401" s="386">
        <f t="shared" si="282"/>
        <v>15.99</v>
      </c>
      <c r="BW401" s="386">
        <f t="shared" si="283"/>
        <v>0</v>
      </c>
      <c r="BX401" s="386">
        <f t="shared" si="298"/>
        <v>1334.6533200000001</v>
      </c>
      <c r="BY401" s="386">
        <f t="shared" si="299"/>
        <v>0</v>
      </c>
      <c r="BZ401" s="386">
        <f t="shared" si="300"/>
        <v>0</v>
      </c>
      <c r="CA401" s="386">
        <f t="shared" si="301"/>
        <v>0</v>
      </c>
      <c r="CB401" s="386">
        <f t="shared" si="302"/>
        <v>0</v>
      </c>
      <c r="CC401" s="386">
        <f t="shared" si="284"/>
        <v>0</v>
      </c>
      <c r="CD401" s="386">
        <f t="shared" si="285"/>
        <v>0</v>
      </c>
      <c r="CE401" s="386">
        <f t="shared" si="286"/>
        <v>0</v>
      </c>
      <c r="CF401" s="386">
        <f t="shared" si="287"/>
        <v>-31.340399999999999</v>
      </c>
      <c r="CG401" s="386">
        <f t="shared" si="288"/>
        <v>0</v>
      </c>
      <c r="CH401" s="386">
        <f t="shared" si="289"/>
        <v>0.63960000000000172</v>
      </c>
      <c r="CI401" s="386">
        <f t="shared" si="290"/>
        <v>0</v>
      </c>
      <c r="CJ401" s="386">
        <f t="shared" si="303"/>
        <v>-30.700799999999997</v>
      </c>
      <c r="CK401" s="386" t="str">
        <f t="shared" si="304"/>
        <v/>
      </c>
      <c r="CL401" s="386" t="str">
        <f t="shared" si="305"/>
        <v/>
      </c>
      <c r="CM401" s="386" t="str">
        <f t="shared" si="306"/>
        <v/>
      </c>
      <c r="CN401" s="386" t="str">
        <f t="shared" si="307"/>
        <v>0276-00</v>
      </c>
    </row>
    <row r="402" spans="1:92" ht="15.75" thickBot="1" x14ac:dyDescent="0.3">
      <c r="A402" s="375" t="s">
        <v>161</v>
      </c>
      <c r="B402" s="375" t="s">
        <v>162</v>
      </c>
      <c r="C402" s="375" t="s">
        <v>759</v>
      </c>
      <c r="D402" s="375" t="s">
        <v>628</v>
      </c>
      <c r="E402" s="375" t="s">
        <v>1537</v>
      </c>
      <c r="F402" s="376" t="s">
        <v>166</v>
      </c>
      <c r="G402" s="375" t="s">
        <v>1538</v>
      </c>
      <c r="H402" s="377"/>
      <c r="I402" s="377"/>
      <c r="J402" s="375" t="s">
        <v>218</v>
      </c>
      <c r="K402" s="375" t="s">
        <v>629</v>
      </c>
      <c r="L402" s="375" t="s">
        <v>173</v>
      </c>
      <c r="M402" s="375" t="s">
        <v>177</v>
      </c>
      <c r="N402" s="375" t="s">
        <v>199</v>
      </c>
      <c r="O402" s="378">
        <v>1</v>
      </c>
      <c r="P402" s="384">
        <v>0.5</v>
      </c>
      <c r="Q402" s="384">
        <v>0.5</v>
      </c>
      <c r="R402" s="379">
        <v>80</v>
      </c>
      <c r="S402" s="384">
        <v>0.5</v>
      </c>
      <c r="T402" s="379">
        <v>34596.81</v>
      </c>
      <c r="U402" s="379">
        <v>0</v>
      </c>
      <c r="V402" s="379">
        <v>12840.81</v>
      </c>
      <c r="W402" s="379">
        <v>35890.400000000001</v>
      </c>
      <c r="X402" s="379">
        <v>13486.5</v>
      </c>
      <c r="Y402" s="379">
        <v>35890.400000000001</v>
      </c>
      <c r="Z402" s="379">
        <v>13314.23</v>
      </c>
      <c r="AA402" s="375" t="s">
        <v>760</v>
      </c>
      <c r="AB402" s="375" t="s">
        <v>761</v>
      </c>
      <c r="AC402" s="375" t="s">
        <v>762</v>
      </c>
      <c r="AD402" s="375" t="s">
        <v>214</v>
      </c>
      <c r="AE402" s="375" t="s">
        <v>629</v>
      </c>
      <c r="AF402" s="375" t="s">
        <v>305</v>
      </c>
      <c r="AG402" s="375" t="s">
        <v>183</v>
      </c>
      <c r="AH402" s="380">
        <v>34.51</v>
      </c>
      <c r="AI402" s="380">
        <v>34273.699999999997</v>
      </c>
      <c r="AJ402" s="375" t="s">
        <v>184</v>
      </c>
      <c r="AK402" s="375" t="s">
        <v>185</v>
      </c>
      <c r="AL402" s="375" t="s">
        <v>173</v>
      </c>
      <c r="AM402" s="375" t="s">
        <v>186</v>
      </c>
      <c r="AN402" s="375" t="s">
        <v>68</v>
      </c>
      <c r="AO402" s="378">
        <v>80</v>
      </c>
      <c r="AP402" s="384">
        <v>1</v>
      </c>
      <c r="AQ402" s="384">
        <v>0.5</v>
      </c>
      <c r="AR402" s="383" t="s">
        <v>187</v>
      </c>
      <c r="AS402" s="386">
        <f t="shared" si="291"/>
        <v>0.5</v>
      </c>
      <c r="AT402">
        <f t="shared" si="292"/>
        <v>1</v>
      </c>
      <c r="AU402" s="386">
        <f>IF(AT402=0,"",IF(AND(AT402=1,M402="F",SUMIF(C2:C557,C402,AS2:AS557)&lt;=1),SUMIF(C2:C557,C402,AS2:AS557),IF(AND(AT402=1,M402="F",SUMIF(C2:C557,C402,AS2:AS557)&gt;1),1,"")))</f>
        <v>1</v>
      </c>
      <c r="AV402" s="386" t="str">
        <f>IF(AT402=0,"",IF(AND(AT402=3,M402="F",SUMIF(C2:C557,C402,AS2:AS557)&lt;=1),SUMIF(C2:C557,C402,AS2:AS557),IF(AND(AT402=3,M402="F",SUMIF(C2:C557,C402,AS2:AS557)&gt;1),1,"")))</f>
        <v/>
      </c>
      <c r="AW402" s="386">
        <f>SUMIF(C2:C557,C402,O2:O557)</f>
        <v>2</v>
      </c>
      <c r="AX402" s="386">
        <f>IF(AND(M402="F",AS402&lt;&gt;0),SUMIF(C2:C557,C402,W2:W557),0)</f>
        <v>71780.800000000003</v>
      </c>
      <c r="AY402" s="386">
        <f t="shared" si="293"/>
        <v>35890.400000000001</v>
      </c>
      <c r="AZ402" s="386" t="str">
        <f t="shared" si="294"/>
        <v/>
      </c>
      <c r="BA402" s="386">
        <f t="shared" si="295"/>
        <v>0</v>
      </c>
      <c r="BB402" s="386">
        <f t="shared" si="264"/>
        <v>5825</v>
      </c>
      <c r="BC402" s="386">
        <f t="shared" si="265"/>
        <v>0</v>
      </c>
      <c r="BD402" s="386">
        <f t="shared" si="266"/>
        <v>2225.2048</v>
      </c>
      <c r="BE402" s="386">
        <f t="shared" si="267"/>
        <v>520.41079999999999</v>
      </c>
      <c r="BF402" s="386">
        <f t="shared" si="268"/>
        <v>4285.31376</v>
      </c>
      <c r="BG402" s="386">
        <f t="shared" si="269"/>
        <v>258.76978400000002</v>
      </c>
      <c r="BH402" s="386">
        <f t="shared" si="270"/>
        <v>175.86296000000002</v>
      </c>
      <c r="BI402" s="386">
        <f t="shared" si="271"/>
        <v>109.824624</v>
      </c>
      <c r="BJ402" s="386">
        <f t="shared" si="272"/>
        <v>86.136960000000002</v>
      </c>
      <c r="BK402" s="386">
        <f t="shared" si="273"/>
        <v>0</v>
      </c>
      <c r="BL402" s="386">
        <f t="shared" si="296"/>
        <v>7661.5236880000002</v>
      </c>
      <c r="BM402" s="386">
        <f t="shared" si="297"/>
        <v>0</v>
      </c>
      <c r="BN402" s="386">
        <f t="shared" si="274"/>
        <v>5825</v>
      </c>
      <c r="BO402" s="386">
        <f t="shared" si="275"/>
        <v>0</v>
      </c>
      <c r="BP402" s="386">
        <f t="shared" si="276"/>
        <v>2225.2048</v>
      </c>
      <c r="BQ402" s="386">
        <f t="shared" si="277"/>
        <v>520.41079999999999</v>
      </c>
      <c r="BR402" s="386">
        <f t="shared" si="278"/>
        <v>4285.31376</v>
      </c>
      <c r="BS402" s="386">
        <f t="shared" si="279"/>
        <v>258.76978400000002</v>
      </c>
      <c r="BT402" s="386">
        <f t="shared" si="280"/>
        <v>0</v>
      </c>
      <c r="BU402" s="386">
        <f t="shared" si="281"/>
        <v>109.824624</v>
      </c>
      <c r="BV402" s="386">
        <f t="shared" si="282"/>
        <v>89.725999999999999</v>
      </c>
      <c r="BW402" s="386">
        <f t="shared" si="283"/>
        <v>0</v>
      </c>
      <c r="BX402" s="386">
        <f t="shared" si="298"/>
        <v>7489.2497679999997</v>
      </c>
      <c r="BY402" s="386">
        <f t="shared" si="299"/>
        <v>0</v>
      </c>
      <c r="BZ402" s="386">
        <f t="shared" si="300"/>
        <v>0</v>
      </c>
      <c r="CA402" s="386">
        <f t="shared" si="301"/>
        <v>0</v>
      </c>
      <c r="CB402" s="386">
        <f t="shared" si="302"/>
        <v>0</v>
      </c>
      <c r="CC402" s="386">
        <f t="shared" si="284"/>
        <v>0</v>
      </c>
      <c r="CD402" s="386">
        <f t="shared" si="285"/>
        <v>0</v>
      </c>
      <c r="CE402" s="386">
        <f t="shared" si="286"/>
        <v>0</v>
      </c>
      <c r="CF402" s="386">
        <f t="shared" si="287"/>
        <v>-175.86296000000002</v>
      </c>
      <c r="CG402" s="386">
        <f t="shared" si="288"/>
        <v>0</v>
      </c>
      <c r="CH402" s="386">
        <f t="shared" si="289"/>
        <v>3.5890400000000096</v>
      </c>
      <c r="CI402" s="386">
        <f t="shared" si="290"/>
        <v>0</v>
      </c>
      <c r="CJ402" s="386">
        <f t="shared" si="303"/>
        <v>-172.27392</v>
      </c>
      <c r="CK402" s="386" t="str">
        <f t="shared" si="304"/>
        <v/>
      </c>
      <c r="CL402" s="386" t="str">
        <f t="shared" si="305"/>
        <v/>
      </c>
      <c r="CM402" s="386" t="str">
        <f t="shared" si="306"/>
        <v/>
      </c>
      <c r="CN402" s="386" t="str">
        <f t="shared" si="307"/>
        <v>0276-00</v>
      </c>
    </row>
    <row r="403" spans="1:92" ht="15.75" thickBot="1" x14ac:dyDescent="0.3">
      <c r="A403" s="375" t="s">
        <v>161</v>
      </c>
      <c r="B403" s="375" t="s">
        <v>162</v>
      </c>
      <c r="C403" s="375" t="s">
        <v>837</v>
      </c>
      <c r="D403" s="375" t="s">
        <v>555</v>
      </c>
      <c r="E403" s="375" t="s">
        <v>1537</v>
      </c>
      <c r="F403" s="376" t="s">
        <v>166</v>
      </c>
      <c r="G403" s="375" t="s">
        <v>1538</v>
      </c>
      <c r="H403" s="377"/>
      <c r="I403" s="377"/>
      <c r="J403" s="375" t="s">
        <v>272</v>
      </c>
      <c r="K403" s="375" t="s">
        <v>556</v>
      </c>
      <c r="L403" s="375" t="s">
        <v>220</v>
      </c>
      <c r="M403" s="375" t="s">
        <v>177</v>
      </c>
      <c r="N403" s="375" t="s">
        <v>199</v>
      </c>
      <c r="O403" s="378">
        <v>1</v>
      </c>
      <c r="P403" s="384">
        <v>0.1</v>
      </c>
      <c r="Q403" s="384">
        <v>0.1</v>
      </c>
      <c r="R403" s="379">
        <v>80</v>
      </c>
      <c r="S403" s="384">
        <v>0.1</v>
      </c>
      <c r="T403" s="379">
        <v>4746.67</v>
      </c>
      <c r="U403" s="379">
        <v>0</v>
      </c>
      <c r="V403" s="379">
        <v>2133.89</v>
      </c>
      <c r="W403" s="379">
        <v>5632.64</v>
      </c>
      <c r="X403" s="379">
        <v>2367.39</v>
      </c>
      <c r="Y403" s="379">
        <v>5632.64</v>
      </c>
      <c r="Z403" s="379">
        <v>2340.36</v>
      </c>
      <c r="AA403" s="375" t="s">
        <v>838</v>
      </c>
      <c r="AB403" s="375" t="s">
        <v>839</v>
      </c>
      <c r="AC403" s="375" t="s">
        <v>840</v>
      </c>
      <c r="AD403" s="375" t="s">
        <v>352</v>
      </c>
      <c r="AE403" s="375" t="s">
        <v>556</v>
      </c>
      <c r="AF403" s="375" t="s">
        <v>252</v>
      </c>
      <c r="AG403" s="375" t="s">
        <v>183</v>
      </c>
      <c r="AH403" s="380">
        <v>27.08</v>
      </c>
      <c r="AI403" s="378">
        <v>8493</v>
      </c>
      <c r="AJ403" s="375" t="s">
        <v>184</v>
      </c>
      <c r="AK403" s="375" t="s">
        <v>185</v>
      </c>
      <c r="AL403" s="375" t="s">
        <v>173</v>
      </c>
      <c r="AM403" s="375" t="s">
        <v>186</v>
      </c>
      <c r="AN403" s="375" t="s">
        <v>68</v>
      </c>
      <c r="AO403" s="378">
        <v>80</v>
      </c>
      <c r="AP403" s="384">
        <v>1</v>
      </c>
      <c r="AQ403" s="384">
        <v>0.1</v>
      </c>
      <c r="AR403" s="383" t="s">
        <v>187</v>
      </c>
      <c r="AS403" s="386">
        <f t="shared" si="291"/>
        <v>0.1</v>
      </c>
      <c r="AT403">
        <f t="shared" si="292"/>
        <v>1</v>
      </c>
      <c r="AU403" s="386">
        <f>IF(AT403=0,"",IF(AND(AT403=1,M403="F",SUMIF(C2:C557,C403,AS2:AS557)&lt;=1),SUMIF(C2:C557,C403,AS2:AS557),IF(AND(AT403=1,M403="F",SUMIF(C2:C557,C403,AS2:AS557)&gt;1),1,"")))</f>
        <v>1</v>
      </c>
      <c r="AV403" s="386" t="str">
        <f>IF(AT403=0,"",IF(AND(AT403=3,M403="F",SUMIF(C2:C557,C403,AS2:AS557)&lt;=1),SUMIF(C2:C557,C403,AS2:AS557),IF(AND(AT403=3,M403="F",SUMIF(C2:C557,C403,AS2:AS557)&gt;1),1,"")))</f>
        <v/>
      </c>
      <c r="AW403" s="386">
        <f>SUMIF(C2:C557,C403,O2:O557)</f>
        <v>3</v>
      </c>
      <c r="AX403" s="386">
        <f>IF(AND(M403="F",AS403&lt;&gt;0),SUMIF(C2:C557,C403,W2:W557),0)</f>
        <v>56326.400000000001</v>
      </c>
      <c r="AY403" s="386">
        <f t="shared" si="293"/>
        <v>5632.64</v>
      </c>
      <c r="AZ403" s="386" t="str">
        <f t="shared" si="294"/>
        <v/>
      </c>
      <c r="BA403" s="386">
        <f t="shared" si="295"/>
        <v>0</v>
      </c>
      <c r="BB403" s="386">
        <f t="shared" si="264"/>
        <v>1165</v>
      </c>
      <c r="BC403" s="386">
        <f t="shared" si="265"/>
        <v>0</v>
      </c>
      <c r="BD403" s="386">
        <f t="shared" si="266"/>
        <v>349.22368</v>
      </c>
      <c r="BE403" s="386">
        <f t="shared" si="267"/>
        <v>81.673280000000005</v>
      </c>
      <c r="BF403" s="386">
        <f t="shared" si="268"/>
        <v>672.53721600000006</v>
      </c>
      <c r="BG403" s="386">
        <f t="shared" si="269"/>
        <v>40.611334400000004</v>
      </c>
      <c r="BH403" s="386">
        <f t="shared" si="270"/>
        <v>27.599936</v>
      </c>
      <c r="BI403" s="386">
        <f t="shared" si="271"/>
        <v>17.235878400000001</v>
      </c>
      <c r="BJ403" s="386">
        <f t="shared" si="272"/>
        <v>13.518336</v>
      </c>
      <c r="BK403" s="386">
        <f t="shared" si="273"/>
        <v>0</v>
      </c>
      <c r="BL403" s="386">
        <f t="shared" si="296"/>
        <v>1202.3996608000004</v>
      </c>
      <c r="BM403" s="386">
        <f t="shared" si="297"/>
        <v>0</v>
      </c>
      <c r="BN403" s="386">
        <f t="shared" si="274"/>
        <v>1165</v>
      </c>
      <c r="BO403" s="386">
        <f t="shared" si="275"/>
        <v>0</v>
      </c>
      <c r="BP403" s="386">
        <f t="shared" si="276"/>
        <v>349.22368</v>
      </c>
      <c r="BQ403" s="386">
        <f t="shared" si="277"/>
        <v>81.673280000000005</v>
      </c>
      <c r="BR403" s="386">
        <f t="shared" si="278"/>
        <v>672.53721600000006</v>
      </c>
      <c r="BS403" s="386">
        <f t="shared" si="279"/>
        <v>40.611334400000004</v>
      </c>
      <c r="BT403" s="386">
        <f t="shared" si="280"/>
        <v>0</v>
      </c>
      <c r="BU403" s="386">
        <f t="shared" si="281"/>
        <v>17.235878400000001</v>
      </c>
      <c r="BV403" s="386">
        <f t="shared" si="282"/>
        <v>14.081600000000002</v>
      </c>
      <c r="BW403" s="386">
        <f t="shared" si="283"/>
        <v>0</v>
      </c>
      <c r="BX403" s="386">
        <f t="shared" si="298"/>
        <v>1175.3629888000003</v>
      </c>
      <c r="BY403" s="386">
        <f t="shared" si="299"/>
        <v>0</v>
      </c>
      <c r="BZ403" s="386">
        <f t="shared" si="300"/>
        <v>0</v>
      </c>
      <c r="CA403" s="386">
        <f t="shared" si="301"/>
        <v>0</v>
      </c>
      <c r="CB403" s="386">
        <f t="shared" si="302"/>
        <v>0</v>
      </c>
      <c r="CC403" s="386">
        <f t="shared" si="284"/>
        <v>0</v>
      </c>
      <c r="CD403" s="386">
        <f t="shared" si="285"/>
        <v>0</v>
      </c>
      <c r="CE403" s="386">
        <f t="shared" si="286"/>
        <v>0</v>
      </c>
      <c r="CF403" s="386">
        <f t="shared" si="287"/>
        <v>-27.599936</v>
      </c>
      <c r="CG403" s="386">
        <f t="shared" si="288"/>
        <v>0</v>
      </c>
      <c r="CH403" s="386">
        <f t="shared" si="289"/>
        <v>0.56326400000000154</v>
      </c>
      <c r="CI403" s="386">
        <f t="shared" si="290"/>
        <v>0</v>
      </c>
      <c r="CJ403" s="386">
        <f t="shared" si="303"/>
        <v>-27.036671999999999</v>
      </c>
      <c r="CK403" s="386" t="str">
        <f t="shared" si="304"/>
        <v/>
      </c>
      <c r="CL403" s="386" t="str">
        <f t="shared" si="305"/>
        <v/>
      </c>
      <c r="CM403" s="386" t="str">
        <f t="shared" si="306"/>
        <v/>
      </c>
      <c r="CN403" s="386" t="str">
        <f t="shared" si="307"/>
        <v>0276-00</v>
      </c>
    </row>
    <row r="404" spans="1:92" ht="15.75" thickBot="1" x14ac:dyDescent="0.3">
      <c r="A404" s="375" t="s">
        <v>161</v>
      </c>
      <c r="B404" s="375" t="s">
        <v>162</v>
      </c>
      <c r="C404" s="375" t="s">
        <v>1542</v>
      </c>
      <c r="D404" s="375" t="s">
        <v>710</v>
      </c>
      <c r="E404" s="375" t="s">
        <v>1537</v>
      </c>
      <c r="F404" s="376" t="s">
        <v>166</v>
      </c>
      <c r="G404" s="375" t="s">
        <v>1538</v>
      </c>
      <c r="H404" s="377"/>
      <c r="I404" s="377"/>
      <c r="J404" s="375" t="s">
        <v>168</v>
      </c>
      <c r="K404" s="375" t="s">
        <v>711</v>
      </c>
      <c r="L404" s="375" t="s">
        <v>183</v>
      </c>
      <c r="M404" s="375" t="s">
        <v>177</v>
      </c>
      <c r="N404" s="375" t="s">
        <v>262</v>
      </c>
      <c r="O404" s="378">
        <v>0</v>
      </c>
      <c r="P404" s="384">
        <v>1</v>
      </c>
      <c r="Q404" s="384">
        <v>0</v>
      </c>
      <c r="R404" s="379">
        <v>0</v>
      </c>
      <c r="S404" s="384">
        <v>0</v>
      </c>
      <c r="T404" s="379">
        <v>53174.87</v>
      </c>
      <c r="U404" s="379">
        <v>0</v>
      </c>
      <c r="V404" s="379">
        <v>4153.5</v>
      </c>
      <c r="W404" s="379">
        <v>53174.87</v>
      </c>
      <c r="X404" s="379">
        <v>4153.5</v>
      </c>
      <c r="Y404" s="379">
        <v>53174.87</v>
      </c>
      <c r="Z404" s="379">
        <v>4153.5</v>
      </c>
      <c r="AA404" s="377"/>
      <c r="AB404" s="375" t="s">
        <v>45</v>
      </c>
      <c r="AC404" s="375" t="s">
        <v>45</v>
      </c>
      <c r="AD404" s="377"/>
      <c r="AE404" s="377"/>
      <c r="AF404" s="377"/>
      <c r="AG404" s="377"/>
      <c r="AH404" s="378">
        <v>0</v>
      </c>
      <c r="AI404" s="378">
        <v>0</v>
      </c>
      <c r="AJ404" s="377"/>
      <c r="AK404" s="377"/>
      <c r="AL404" s="375" t="s">
        <v>173</v>
      </c>
      <c r="AM404" s="377"/>
      <c r="AN404" s="377"/>
      <c r="AO404" s="378">
        <v>0</v>
      </c>
      <c r="AP404" s="384">
        <v>0</v>
      </c>
      <c r="AQ404" s="384">
        <v>0</v>
      </c>
      <c r="AR404" s="382"/>
      <c r="AS404" s="386">
        <f t="shared" si="291"/>
        <v>0</v>
      </c>
      <c r="AT404">
        <f t="shared" si="292"/>
        <v>0</v>
      </c>
      <c r="AU404" s="386" t="str">
        <f>IF(AT404=0,"",IF(AND(AT404=1,M404="F",SUMIF(C2:C557,C404,AS2:AS557)&lt;=1),SUMIF(C2:C557,C404,AS2:AS557),IF(AND(AT404=1,M404="F",SUMIF(C2:C557,C404,AS2:AS557)&gt;1),1,"")))</f>
        <v/>
      </c>
      <c r="AV404" s="386" t="str">
        <f>IF(AT404=0,"",IF(AND(AT404=3,M404="F",SUMIF(C2:C557,C404,AS2:AS557)&lt;=1),SUMIF(C2:C557,C404,AS2:AS557),IF(AND(AT404=3,M404="F",SUMIF(C2:C557,C404,AS2:AS557)&gt;1),1,"")))</f>
        <v/>
      </c>
      <c r="AW404" s="386">
        <f>SUMIF(C2:C557,C404,O2:O557)</f>
        <v>0</v>
      </c>
      <c r="AX404" s="386">
        <f>IF(AND(M404="F",AS404&lt;&gt;0),SUMIF(C2:C557,C404,W2:W557),0)</f>
        <v>0</v>
      </c>
      <c r="AY404" s="386" t="str">
        <f t="shared" si="293"/>
        <v/>
      </c>
      <c r="AZ404" s="386" t="str">
        <f t="shared" si="294"/>
        <v/>
      </c>
      <c r="BA404" s="386">
        <f t="shared" si="295"/>
        <v>0</v>
      </c>
      <c r="BB404" s="386">
        <f t="shared" si="264"/>
        <v>0</v>
      </c>
      <c r="BC404" s="386">
        <f t="shared" si="265"/>
        <v>0</v>
      </c>
      <c r="BD404" s="386">
        <f t="shared" si="266"/>
        <v>0</v>
      </c>
      <c r="BE404" s="386">
        <f t="shared" si="267"/>
        <v>0</v>
      </c>
      <c r="BF404" s="386">
        <f t="shared" si="268"/>
        <v>0</v>
      </c>
      <c r="BG404" s="386">
        <f t="shared" si="269"/>
        <v>0</v>
      </c>
      <c r="BH404" s="386">
        <f t="shared" si="270"/>
        <v>0</v>
      </c>
      <c r="BI404" s="386">
        <f t="shared" si="271"/>
        <v>0</v>
      </c>
      <c r="BJ404" s="386">
        <f t="shared" si="272"/>
        <v>0</v>
      </c>
      <c r="BK404" s="386">
        <f t="shared" si="273"/>
        <v>0</v>
      </c>
      <c r="BL404" s="386">
        <f t="shared" si="296"/>
        <v>0</v>
      </c>
      <c r="BM404" s="386">
        <f t="shared" si="297"/>
        <v>0</v>
      </c>
      <c r="BN404" s="386">
        <f t="shared" si="274"/>
        <v>0</v>
      </c>
      <c r="BO404" s="386">
        <f t="shared" si="275"/>
        <v>0</v>
      </c>
      <c r="BP404" s="386">
        <f t="shared" si="276"/>
        <v>0</v>
      </c>
      <c r="BQ404" s="386">
        <f t="shared" si="277"/>
        <v>0</v>
      </c>
      <c r="BR404" s="386">
        <f t="shared" si="278"/>
        <v>0</v>
      </c>
      <c r="BS404" s="386">
        <f t="shared" si="279"/>
        <v>0</v>
      </c>
      <c r="BT404" s="386">
        <f t="shared" si="280"/>
        <v>0</v>
      </c>
      <c r="BU404" s="386">
        <f t="shared" si="281"/>
        <v>0</v>
      </c>
      <c r="BV404" s="386">
        <f t="shared" si="282"/>
        <v>0</v>
      </c>
      <c r="BW404" s="386">
        <f t="shared" si="283"/>
        <v>0</v>
      </c>
      <c r="BX404" s="386">
        <f t="shared" si="298"/>
        <v>0</v>
      </c>
      <c r="BY404" s="386">
        <f t="shared" si="299"/>
        <v>0</v>
      </c>
      <c r="BZ404" s="386">
        <f t="shared" si="300"/>
        <v>0</v>
      </c>
      <c r="CA404" s="386">
        <f t="shared" si="301"/>
        <v>0</v>
      </c>
      <c r="CB404" s="386">
        <f t="shared" si="302"/>
        <v>0</v>
      </c>
      <c r="CC404" s="386">
        <f t="shared" si="284"/>
        <v>0</v>
      </c>
      <c r="CD404" s="386">
        <f t="shared" si="285"/>
        <v>0</v>
      </c>
      <c r="CE404" s="386">
        <f t="shared" si="286"/>
        <v>0</v>
      </c>
      <c r="CF404" s="386">
        <f t="shared" si="287"/>
        <v>0</v>
      </c>
      <c r="CG404" s="386">
        <f t="shared" si="288"/>
        <v>0</v>
      </c>
      <c r="CH404" s="386">
        <f t="shared" si="289"/>
        <v>0</v>
      </c>
      <c r="CI404" s="386">
        <f t="shared" si="290"/>
        <v>0</v>
      </c>
      <c r="CJ404" s="386">
        <f t="shared" si="303"/>
        <v>0</v>
      </c>
      <c r="CK404" s="386" t="str">
        <f t="shared" si="304"/>
        <v/>
      </c>
      <c r="CL404" s="386">
        <f t="shared" si="305"/>
        <v>53174.87</v>
      </c>
      <c r="CM404" s="386">
        <f t="shared" si="306"/>
        <v>4153.5</v>
      </c>
      <c r="CN404" s="386" t="str">
        <f t="shared" si="307"/>
        <v>0276-00</v>
      </c>
    </row>
    <row r="405" spans="1:92" ht="15.75" thickBot="1" x14ac:dyDescent="0.3">
      <c r="A405" s="375" t="s">
        <v>161</v>
      </c>
      <c r="B405" s="375" t="s">
        <v>162</v>
      </c>
      <c r="C405" s="375" t="s">
        <v>1543</v>
      </c>
      <c r="D405" s="375" t="s">
        <v>555</v>
      </c>
      <c r="E405" s="375" t="s">
        <v>1537</v>
      </c>
      <c r="F405" s="376" t="s">
        <v>166</v>
      </c>
      <c r="G405" s="375" t="s">
        <v>1538</v>
      </c>
      <c r="H405" s="377"/>
      <c r="I405" s="377"/>
      <c r="J405" s="375" t="s">
        <v>168</v>
      </c>
      <c r="K405" s="375" t="s">
        <v>556</v>
      </c>
      <c r="L405" s="375" t="s">
        <v>220</v>
      </c>
      <c r="M405" s="375" t="s">
        <v>177</v>
      </c>
      <c r="N405" s="375" t="s">
        <v>199</v>
      </c>
      <c r="O405" s="378">
        <v>1</v>
      </c>
      <c r="P405" s="384">
        <v>1</v>
      </c>
      <c r="Q405" s="384">
        <v>1</v>
      </c>
      <c r="R405" s="379">
        <v>80</v>
      </c>
      <c r="S405" s="384">
        <v>1</v>
      </c>
      <c r="T405" s="379">
        <v>55593.39</v>
      </c>
      <c r="U405" s="379">
        <v>0</v>
      </c>
      <c r="V405" s="379">
        <v>22934.74</v>
      </c>
      <c r="W405" s="379">
        <v>57720</v>
      </c>
      <c r="X405" s="379">
        <v>23971.46</v>
      </c>
      <c r="Y405" s="379">
        <v>57720</v>
      </c>
      <c r="Z405" s="379">
        <v>23694.42</v>
      </c>
      <c r="AA405" s="375" t="s">
        <v>1544</v>
      </c>
      <c r="AB405" s="375" t="s">
        <v>1545</v>
      </c>
      <c r="AC405" s="375" t="s">
        <v>1089</v>
      </c>
      <c r="AD405" s="375" t="s">
        <v>185</v>
      </c>
      <c r="AE405" s="375" t="s">
        <v>556</v>
      </c>
      <c r="AF405" s="375" t="s">
        <v>252</v>
      </c>
      <c r="AG405" s="375" t="s">
        <v>183</v>
      </c>
      <c r="AH405" s="380">
        <v>27.75</v>
      </c>
      <c r="AI405" s="380">
        <v>21475.8</v>
      </c>
      <c r="AJ405" s="375" t="s">
        <v>184</v>
      </c>
      <c r="AK405" s="375" t="s">
        <v>185</v>
      </c>
      <c r="AL405" s="375" t="s">
        <v>173</v>
      </c>
      <c r="AM405" s="375" t="s">
        <v>186</v>
      </c>
      <c r="AN405" s="375" t="s">
        <v>68</v>
      </c>
      <c r="AO405" s="378">
        <v>80</v>
      </c>
      <c r="AP405" s="384">
        <v>1</v>
      </c>
      <c r="AQ405" s="384">
        <v>1</v>
      </c>
      <c r="AR405" s="383" t="s">
        <v>187</v>
      </c>
      <c r="AS405" s="386">
        <f t="shared" si="291"/>
        <v>1</v>
      </c>
      <c r="AT405">
        <f t="shared" si="292"/>
        <v>1</v>
      </c>
      <c r="AU405" s="386">
        <f>IF(AT405=0,"",IF(AND(AT405=1,M405="F",SUMIF(C2:C557,C405,AS2:AS557)&lt;=1),SUMIF(C2:C557,C405,AS2:AS557),IF(AND(AT405=1,M405="F",SUMIF(C2:C557,C405,AS2:AS557)&gt;1),1,"")))</f>
        <v>1</v>
      </c>
      <c r="AV405" s="386" t="str">
        <f>IF(AT405=0,"",IF(AND(AT405=3,M405="F",SUMIF(C2:C557,C405,AS2:AS557)&lt;=1),SUMIF(C2:C557,C405,AS2:AS557),IF(AND(AT405=3,M405="F",SUMIF(C2:C557,C405,AS2:AS557)&gt;1),1,"")))</f>
        <v/>
      </c>
      <c r="AW405" s="386">
        <f>SUMIF(C2:C557,C405,O2:O557)</f>
        <v>1</v>
      </c>
      <c r="AX405" s="386">
        <f>IF(AND(M405="F",AS405&lt;&gt;0),SUMIF(C2:C557,C405,W2:W557),0)</f>
        <v>57720</v>
      </c>
      <c r="AY405" s="386">
        <f t="shared" si="293"/>
        <v>57720</v>
      </c>
      <c r="AZ405" s="386" t="str">
        <f t="shared" si="294"/>
        <v/>
      </c>
      <c r="BA405" s="386">
        <f t="shared" si="295"/>
        <v>0</v>
      </c>
      <c r="BB405" s="386">
        <f t="shared" si="264"/>
        <v>11650</v>
      </c>
      <c r="BC405" s="386">
        <f t="shared" si="265"/>
        <v>0</v>
      </c>
      <c r="BD405" s="386">
        <f t="shared" si="266"/>
        <v>3578.64</v>
      </c>
      <c r="BE405" s="386">
        <f t="shared" si="267"/>
        <v>836.94</v>
      </c>
      <c r="BF405" s="386">
        <f t="shared" si="268"/>
        <v>6891.768</v>
      </c>
      <c r="BG405" s="386">
        <f t="shared" si="269"/>
        <v>416.16120000000001</v>
      </c>
      <c r="BH405" s="386">
        <f t="shared" si="270"/>
        <v>282.82799999999997</v>
      </c>
      <c r="BI405" s="386">
        <f t="shared" si="271"/>
        <v>176.6232</v>
      </c>
      <c r="BJ405" s="386">
        <f t="shared" si="272"/>
        <v>138.52799999999999</v>
      </c>
      <c r="BK405" s="386">
        <f t="shared" si="273"/>
        <v>0</v>
      </c>
      <c r="BL405" s="386">
        <f t="shared" si="296"/>
        <v>12321.4884</v>
      </c>
      <c r="BM405" s="386">
        <f t="shared" si="297"/>
        <v>0</v>
      </c>
      <c r="BN405" s="386">
        <f t="shared" si="274"/>
        <v>11650</v>
      </c>
      <c r="BO405" s="386">
        <f t="shared" si="275"/>
        <v>0</v>
      </c>
      <c r="BP405" s="386">
        <f t="shared" si="276"/>
        <v>3578.64</v>
      </c>
      <c r="BQ405" s="386">
        <f t="shared" si="277"/>
        <v>836.94</v>
      </c>
      <c r="BR405" s="386">
        <f t="shared" si="278"/>
        <v>6891.768</v>
      </c>
      <c r="BS405" s="386">
        <f t="shared" si="279"/>
        <v>416.16120000000001</v>
      </c>
      <c r="BT405" s="386">
        <f t="shared" si="280"/>
        <v>0</v>
      </c>
      <c r="BU405" s="386">
        <f t="shared" si="281"/>
        <v>176.6232</v>
      </c>
      <c r="BV405" s="386">
        <f t="shared" si="282"/>
        <v>144.30000000000001</v>
      </c>
      <c r="BW405" s="386">
        <f t="shared" si="283"/>
        <v>0</v>
      </c>
      <c r="BX405" s="386">
        <f t="shared" si="298"/>
        <v>12044.4324</v>
      </c>
      <c r="BY405" s="386">
        <f t="shared" si="299"/>
        <v>0</v>
      </c>
      <c r="BZ405" s="386">
        <f t="shared" si="300"/>
        <v>0</v>
      </c>
      <c r="CA405" s="386">
        <f t="shared" si="301"/>
        <v>0</v>
      </c>
      <c r="CB405" s="386">
        <f t="shared" si="302"/>
        <v>0</v>
      </c>
      <c r="CC405" s="386">
        <f t="shared" si="284"/>
        <v>0</v>
      </c>
      <c r="CD405" s="386">
        <f t="shared" si="285"/>
        <v>0</v>
      </c>
      <c r="CE405" s="386">
        <f t="shared" si="286"/>
        <v>0</v>
      </c>
      <c r="CF405" s="386">
        <f t="shared" si="287"/>
        <v>-282.82799999999997</v>
      </c>
      <c r="CG405" s="386">
        <f t="shared" si="288"/>
        <v>0</v>
      </c>
      <c r="CH405" s="386">
        <f t="shared" si="289"/>
        <v>5.7720000000000153</v>
      </c>
      <c r="CI405" s="386">
        <f t="shared" si="290"/>
        <v>0</v>
      </c>
      <c r="CJ405" s="386">
        <f t="shared" si="303"/>
        <v>-277.05599999999998</v>
      </c>
      <c r="CK405" s="386" t="str">
        <f t="shared" si="304"/>
        <v/>
      </c>
      <c r="CL405" s="386" t="str">
        <f t="shared" si="305"/>
        <v/>
      </c>
      <c r="CM405" s="386" t="str">
        <f t="shared" si="306"/>
        <v/>
      </c>
      <c r="CN405" s="386" t="str">
        <f t="shared" si="307"/>
        <v>0276-00</v>
      </c>
    </row>
    <row r="406" spans="1:92" ht="15.75" thickBot="1" x14ac:dyDescent="0.3">
      <c r="A406" s="375" t="s">
        <v>161</v>
      </c>
      <c r="B406" s="375" t="s">
        <v>162</v>
      </c>
      <c r="C406" s="375" t="s">
        <v>1546</v>
      </c>
      <c r="D406" s="375" t="s">
        <v>561</v>
      </c>
      <c r="E406" s="375" t="s">
        <v>1537</v>
      </c>
      <c r="F406" s="376" t="s">
        <v>166</v>
      </c>
      <c r="G406" s="375" t="s">
        <v>1538</v>
      </c>
      <c r="H406" s="377"/>
      <c r="I406" s="377"/>
      <c r="J406" s="375" t="s">
        <v>168</v>
      </c>
      <c r="K406" s="375" t="s">
        <v>562</v>
      </c>
      <c r="L406" s="375" t="s">
        <v>170</v>
      </c>
      <c r="M406" s="375" t="s">
        <v>177</v>
      </c>
      <c r="N406" s="375" t="s">
        <v>199</v>
      </c>
      <c r="O406" s="378">
        <v>1</v>
      </c>
      <c r="P406" s="384">
        <v>1</v>
      </c>
      <c r="Q406" s="384">
        <v>1</v>
      </c>
      <c r="R406" s="379">
        <v>80</v>
      </c>
      <c r="S406" s="384">
        <v>1</v>
      </c>
      <c r="T406" s="379">
        <v>48409.31</v>
      </c>
      <c r="U406" s="379">
        <v>0</v>
      </c>
      <c r="V406" s="379">
        <v>21499.58</v>
      </c>
      <c r="W406" s="379">
        <v>52416</v>
      </c>
      <c r="X406" s="379">
        <v>22839.21</v>
      </c>
      <c r="Y406" s="379">
        <v>52416</v>
      </c>
      <c r="Z406" s="379">
        <v>22587.63</v>
      </c>
      <c r="AA406" s="375" t="s">
        <v>1547</v>
      </c>
      <c r="AB406" s="375" t="s">
        <v>1548</v>
      </c>
      <c r="AC406" s="375" t="s">
        <v>1549</v>
      </c>
      <c r="AD406" s="375" t="s">
        <v>739</v>
      </c>
      <c r="AE406" s="375" t="s">
        <v>562</v>
      </c>
      <c r="AF406" s="375" t="s">
        <v>269</v>
      </c>
      <c r="AG406" s="375" t="s">
        <v>183</v>
      </c>
      <c r="AH406" s="380">
        <v>25.2</v>
      </c>
      <c r="AI406" s="380">
        <v>13854.7</v>
      </c>
      <c r="AJ406" s="375" t="s">
        <v>184</v>
      </c>
      <c r="AK406" s="375" t="s">
        <v>185</v>
      </c>
      <c r="AL406" s="375" t="s">
        <v>173</v>
      </c>
      <c r="AM406" s="375" t="s">
        <v>186</v>
      </c>
      <c r="AN406" s="375" t="s">
        <v>68</v>
      </c>
      <c r="AO406" s="378">
        <v>80</v>
      </c>
      <c r="AP406" s="384">
        <v>1</v>
      </c>
      <c r="AQ406" s="384">
        <v>1</v>
      </c>
      <c r="AR406" s="383" t="s">
        <v>187</v>
      </c>
      <c r="AS406" s="386">
        <f t="shared" si="291"/>
        <v>1</v>
      </c>
      <c r="AT406">
        <f t="shared" si="292"/>
        <v>1</v>
      </c>
      <c r="AU406" s="386">
        <f>IF(AT406=0,"",IF(AND(AT406=1,M406="F",SUMIF(C2:C557,C406,AS2:AS557)&lt;=1),SUMIF(C2:C557,C406,AS2:AS557),IF(AND(AT406=1,M406="F",SUMIF(C2:C557,C406,AS2:AS557)&gt;1),1,"")))</f>
        <v>1</v>
      </c>
      <c r="AV406" s="386" t="str">
        <f>IF(AT406=0,"",IF(AND(AT406=3,M406="F",SUMIF(C2:C557,C406,AS2:AS557)&lt;=1),SUMIF(C2:C557,C406,AS2:AS557),IF(AND(AT406=3,M406="F",SUMIF(C2:C557,C406,AS2:AS557)&gt;1),1,"")))</f>
        <v/>
      </c>
      <c r="AW406" s="386">
        <f>SUMIF(C2:C557,C406,O2:O557)</f>
        <v>1</v>
      </c>
      <c r="AX406" s="386">
        <f>IF(AND(M406="F",AS406&lt;&gt;0),SUMIF(C2:C557,C406,W2:W557),0)</f>
        <v>52416</v>
      </c>
      <c r="AY406" s="386">
        <f t="shared" si="293"/>
        <v>52416</v>
      </c>
      <c r="AZ406" s="386" t="str">
        <f t="shared" si="294"/>
        <v/>
      </c>
      <c r="BA406" s="386">
        <f t="shared" si="295"/>
        <v>0</v>
      </c>
      <c r="BB406" s="386">
        <f t="shared" si="264"/>
        <v>11650</v>
      </c>
      <c r="BC406" s="386">
        <f t="shared" si="265"/>
        <v>0</v>
      </c>
      <c r="BD406" s="386">
        <f t="shared" si="266"/>
        <v>3249.7919999999999</v>
      </c>
      <c r="BE406" s="386">
        <f t="shared" si="267"/>
        <v>760.03200000000004</v>
      </c>
      <c r="BF406" s="386">
        <f t="shared" si="268"/>
        <v>6258.4704000000002</v>
      </c>
      <c r="BG406" s="386">
        <f t="shared" si="269"/>
        <v>377.91936000000004</v>
      </c>
      <c r="BH406" s="386">
        <f t="shared" si="270"/>
        <v>256.83839999999998</v>
      </c>
      <c r="BI406" s="386">
        <f t="shared" si="271"/>
        <v>160.39295999999999</v>
      </c>
      <c r="BJ406" s="386">
        <f t="shared" si="272"/>
        <v>125.79839999999999</v>
      </c>
      <c r="BK406" s="386">
        <f t="shared" si="273"/>
        <v>0</v>
      </c>
      <c r="BL406" s="386">
        <f t="shared" si="296"/>
        <v>11189.24352</v>
      </c>
      <c r="BM406" s="386">
        <f t="shared" si="297"/>
        <v>0</v>
      </c>
      <c r="BN406" s="386">
        <f t="shared" si="274"/>
        <v>11650</v>
      </c>
      <c r="BO406" s="386">
        <f t="shared" si="275"/>
        <v>0</v>
      </c>
      <c r="BP406" s="386">
        <f t="shared" si="276"/>
        <v>3249.7919999999999</v>
      </c>
      <c r="BQ406" s="386">
        <f t="shared" si="277"/>
        <v>760.03200000000004</v>
      </c>
      <c r="BR406" s="386">
        <f t="shared" si="278"/>
        <v>6258.4704000000002</v>
      </c>
      <c r="BS406" s="386">
        <f t="shared" si="279"/>
        <v>377.91936000000004</v>
      </c>
      <c r="BT406" s="386">
        <f t="shared" si="280"/>
        <v>0</v>
      </c>
      <c r="BU406" s="386">
        <f t="shared" si="281"/>
        <v>160.39295999999999</v>
      </c>
      <c r="BV406" s="386">
        <f t="shared" si="282"/>
        <v>131.04</v>
      </c>
      <c r="BW406" s="386">
        <f t="shared" si="283"/>
        <v>0</v>
      </c>
      <c r="BX406" s="386">
        <f t="shared" si="298"/>
        <v>10937.646720000001</v>
      </c>
      <c r="BY406" s="386">
        <f t="shared" si="299"/>
        <v>0</v>
      </c>
      <c r="BZ406" s="386">
        <f t="shared" si="300"/>
        <v>0</v>
      </c>
      <c r="CA406" s="386">
        <f t="shared" si="301"/>
        <v>0</v>
      </c>
      <c r="CB406" s="386">
        <f t="shared" si="302"/>
        <v>0</v>
      </c>
      <c r="CC406" s="386">
        <f t="shared" si="284"/>
        <v>0</v>
      </c>
      <c r="CD406" s="386">
        <f t="shared" si="285"/>
        <v>0</v>
      </c>
      <c r="CE406" s="386">
        <f t="shared" si="286"/>
        <v>0</v>
      </c>
      <c r="CF406" s="386">
        <f t="shared" si="287"/>
        <v>-256.83839999999998</v>
      </c>
      <c r="CG406" s="386">
        <f t="shared" si="288"/>
        <v>0</v>
      </c>
      <c r="CH406" s="386">
        <f t="shared" si="289"/>
        <v>5.2416000000000134</v>
      </c>
      <c r="CI406" s="386">
        <f t="shared" si="290"/>
        <v>0</v>
      </c>
      <c r="CJ406" s="386">
        <f t="shared" si="303"/>
        <v>-251.59679999999997</v>
      </c>
      <c r="CK406" s="386" t="str">
        <f t="shared" si="304"/>
        <v/>
      </c>
      <c r="CL406" s="386" t="str">
        <f t="shared" si="305"/>
        <v/>
      </c>
      <c r="CM406" s="386" t="str">
        <f t="shared" si="306"/>
        <v/>
      </c>
      <c r="CN406" s="386" t="str">
        <f t="shared" si="307"/>
        <v>0276-00</v>
      </c>
    </row>
    <row r="407" spans="1:92" ht="15.75" thickBot="1" x14ac:dyDescent="0.3">
      <c r="A407" s="375" t="s">
        <v>161</v>
      </c>
      <c r="B407" s="375" t="s">
        <v>162</v>
      </c>
      <c r="C407" s="375" t="s">
        <v>1550</v>
      </c>
      <c r="D407" s="375" t="s">
        <v>561</v>
      </c>
      <c r="E407" s="375" t="s">
        <v>1537</v>
      </c>
      <c r="F407" s="376" t="s">
        <v>166</v>
      </c>
      <c r="G407" s="375" t="s">
        <v>1538</v>
      </c>
      <c r="H407" s="377"/>
      <c r="I407" s="377"/>
      <c r="J407" s="375" t="s">
        <v>168</v>
      </c>
      <c r="K407" s="375" t="s">
        <v>562</v>
      </c>
      <c r="L407" s="375" t="s">
        <v>170</v>
      </c>
      <c r="M407" s="375" t="s">
        <v>177</v>
      </c>
      <c r="N407" s="375" t="s">
        <v>199</v>
      </c>
      <c r="O407" s="378">
        <v>1</v>
      </c>
      <c r="P407" s="384">
        <v>1</v>
      </c>
      <c r="Q407" s="384">
        <v>1</v>
      </c>
      <c r="R407" s="379">
        <v>80</v>
      </c>
      <c r="S407" s="384">
        <v>1</v>
      </c>
      <c r="T407" s="379">
        <v>48707.28</v>
      </c>
      <c r="U407" s="379">
        <v>0</v>
      </c>
      <c r="V407" s="379">
        <v>21345.59</v>
      </c>
      <c r="W407" s="379">
        <v>53081.599999999999</v>
      </c>
      <c r="X407" s="379">
        <v>22981.279999999999</v>
      </c>
      <c r="Y407" s="379">
        <v>53081.599999999999</v>
      </c>
      <c r="Z407" s="379">
        <v>22726.5</v>
      </c>
      <c r="AA407" s="375" t="s">
        <v>1551</v>
      </c>
      <c r="AB407" s="375" t="s">
        <v>1552</v>
      </c>
      <c r="AC407" s="375" t="s">
        <v>1553</v>
      </c>
      <c r="AD407" s="375" t="s">
        <v>352</v>
      </c>
      <c r="AE407" s="375" t="s">
        <v>562</v>
      </c>
      <c r="AF407" s="375" t="s">
        <v>269</v>
      </c>
      <c r="AG407" s="375" t="s">
        <v>183</v>
      </c>
      <c r="AH407" s="380">
        <v>25.52</v>
      </c>
      <c r="AI407" s="378">
        <v>9648</v>
      </c>
      <c r="AJ407" s="375" t="s">
        <v>184</v>
      </c>
      <c r="AK407" s="375" t="s">
        <v>185</v>
      </c>
      <c r="AL407" s="375" t="s">
        <v>173</v>
      </c>
      <c r="AM407" s="375" t="s">
        <v>186</v>
      </c>
      <c r="AN407" s="375" t="s">
        <v>68</v>
      </c>
      <c r="AO407" s="378">
        <v>80</v>
      </c>
      <c r="AP407" s="384">
        <v>1</v>
      </c>
      <c r="AQ407" s="384">
        <v>1</v>
      </c>
      <c r="AR407" s="383" t="s">
        <v>187</v>
      </c>
      <c r="AS407" s="386">
        <f t="shared" si="291"/>
        <v>1</v>
      </c>
      <c r="AT407">
        <f t="shared" si="292"/>
        <v>1</v>
      </c>
      <c r="AU407" s="386">
        <f>IF(AT407=0,"",IF(AND(AT407=1,M407="F",SUMIF(C2:C557,C407,AS2:AS557)&lt;=1),SUMIF(C2:C557,C407,AS2:AS557),IF(AND(AT407=1,M407="F",SUMIF(C2:C557,C407,AS2:AS557)&gt;1),1,"")))</f>
        <v>1</v>
      </c>
      <c r="AV407" s="386" t="str">
        <f>IF(AT407=0,"",IF(AND(AT407=3,M407="F",SUMIF(C2:C557,C407,AS2:AS557)&lt;=1),SUMIF(C2:C557,C407,AS2:AS557),IF(AND(AT407=3,M407="F",SUMIF(C2:C557,C407,AS2:AS557)&gt;1),1,"")))</f>
        <v/>
      </c>
      <c r="AW407" s="386">
        <f>SUMIF(C2:C557,C407,O2:O557)</f>
        <v>1</v>
      </c>
      <c r="AX407" s="386">
        <f>IF(AND(M407="F",AS407&lt;&gt;0),SUMIF(C2:C557,C407,W2:W557),0)</f>
        <v>53081.599999999999</v>
      </c>
      <c r="AY407" s="386">
        <f t="shared" si="293"/>
        <v>53081.599999999999</v>
      </c>
      <c r="AZ407" s="386" t="str">
        <f t="shared" si="294"/>
        <v/>
      </c>
      <c r="BA407" s="386">
        <f t="shared" si="295"/>
        <v>0</v>
      </c>
      <c r="BB407" s="386">
        <f t="shared" si="264"/>
        <v>11650</v>
      </c>
      <c r="BC407" s="386">
        <f t="shared" si="265"/>
        <v>0</v>
      </c>
      <c r="BD407" s="386">
        <f t="shared" si="266"/>
        <v>3291.0591999999997</v>
      </c>
      <c r="BE407" s="386">
        <f t="shared" si="267"/>
        <v>769.68320000000006</v>
      </c>
      <c r="BF407" s="386">
        <f t="shared" si="268"/>
        <v>6337.9430400000001</v>
      </c>
      <c r="BG407" s="386">
        <f t="shared" si="269"/>
        <v>382.71833600000002</v>
      </c>
      <c r="BH407" s="386">
        <f t="shared" si="270"/>
        <v>260.09983999999997</v>
      </c>
      <c r="BI407" s="386">
        <f t="shared" si="271"/>
        <v>162.42969599999998</v>
      </c>
      <c r="BJ407" s="386">
        <f t="shared" si="272"/>
        <v>127.39583999999998</v>
      </c>
      <c r="BK407" s="386">
        <f t="shared" si="273"/>
        <v>0</v>
      </c>
      <c r="BL407" s="386">
        <f t="shared" si="296"/>
        <v>11331.329151999998</v>
      </c>
      <c r="BM407" s="386">
        <f t="shared" si="297"/>
        <v>0</v>
      </c>
      <c r="BN407" s="386">
        <f t="shared" si="274"/>
        <v>11650</v>
      </c>
      <c r="BO407" s="386">
        <f t="shared" si="275"/>
        <v>0</v>
      </c>
      <c r="BP407" s="386">
        <f t="shared" si="276"/>
        <v>3291.0591999999997</v>
      </c>
      <c r="BQ407" s="386">
        <f t="shared" si="277"/>
        <v>769.68320000000006</v>
      </c>
      <c r="BR407" s="386">
        <f t="shared" si="278"/>
        <v>6337.9430400000001</v>
      </c>
      <c r="BS407" s="386">
        <f t="shared" si="279"/>
        <v>382.71833600000002</v>
      </c>
      <c r="BT407" s="386">
        <f t="shared" si="280"/>
        <v>0</v>
      </c>
      <c r="BU407" s="386">
        <f t="shared" si="281"/>
        <v>162.42969599999998</v>
      </c>
      <c r="BV407" s="386">
        <f t="shared" si="282"/>
        <v>132.70400000000001</v>
      </c>
      <c r="BW407" s="386">
        <f t="shared" si="283"/>
        <v>0</v>
      </c>
      <c r="BX407" s="386">
        <f t="shared" si="298"/>
        <v>11076.537471999998</v>
      </c>
      <c r="BY407" s="386">
        <f t="shared" si="299"/>
        <v>0</v>
      </c>
      <c r="BZ407" s="386">
        <f t="shared" si="300"/>
        <v>0</v>
      </c>
      <c r="CA407" s="386">
        <f t="shared" si="301"/>
        <v>0</v>
      </c>
      <c r="CB407" s="386">
        <f t="shared" si="302"/>
        <v>0</v>
      </c>
      <c r="CC407" s="386">
        <f t="shared" si="284"/>
        <v>0</v>
      </c>
      <c r="CD407" s="386">
        <f t="shared" si="285"/>
        <v>0</v>
      </c>
      <c r="CE407" s="386">
        <f t="shared" si="286"/>
        <v>0</v>
      </c>
      <c r="CF407" s="386">
        <f t="shared" si="287"/>
        <v>-260.09983999999997</v>
      </c>
      <c r="CG407" s="386">
        <f t="shared" si="288"/>
        <v>0</v>
      </c>
      <c r="CH407" s="386">
        <f t="shared" si="289"/>
        <v>5.3081600000000142</v>
      </c>
      <c r="CI407" s="386">
        <f t="shared" si="290"/>
        <v>0</v>
      </c>
      <c r="CJ407" s="386">
        <f t="shared" si="303"/>
        <v>-254.79167999999996</v>
      </c>
      <c r="CK407" s="386" t="str">
        <f t="shared" si="304"/>
        <v/>
      </c>
      <c r="CL407" s="386" t="str">
        <f t="shared" si="305"/>
        <v/>
      </c>
      <c r="CM407" s="386" t="str">
        <f t="shared" si="306"/>
        <v/>
      </c>
      <c r="CN407" s="386" t="str">
        <f t="shared" si="307"/>
        <v>0276-00</v>
      </c>
    </row>
    <row r="408" spans="1:92" ht="15.75" thickBot="1" x14ac:dyDescent="0.3">
      <c r="A408" s="375" t="s">
        <v>161</v>
      </c>
      <c r="B408" s="375" t="s">
        <v>162</v>
      </c>
      <c r="C408" s="375" t="s">
        <v>1554</v>
      </c>
      <c r="D408" s="375" t="s">
        <v>555</v>
      </c>
      <c r="E408" s="375" t="s">
        <v>1537</v>
      </c>
      <c r="F408" s="376" t="s">
        <v>166</v>
      </c>
      <c r="G408" s="375" t="s">
        <v>1538</v>
      </c>
      <c r="H408" s="377"/>
      <c r="I408" s="377"/>
      <c r="J408" s="375" t="s">
        <v>168</v>
      </c>
      <c r="K408" s="375" t="s">
        <v>556</v>
      </c>
      <c r="L408" s="375" t="s">
        <v>220</v>
      </c>
      <c r="M408" s="375" t="s">
        <v>177</v>
      </c>
      <c r="N408" s="375" t="s">
        <v>199</v>
      </c>
      <c r="O408" s="378">
        <v>1</v>
      </c>
      <c r="P408" s="384">
        <v>1</v>
      </c>
      <c r="Q408" s="384">
        <v>1</v>
      </c>
      <c r="R408" s="379">
        <v>80</v>
      </c>
      <c r="S408" s="384">
        <v>1</v>
      </c>
      <c r="T408" s="379">
        <v>60671.86</v>
      </c>
      <c r="U408" s="379">
        <v>0</v>
      </c>
      <c r="V408" s="379">
        <v>23702.21</v>
      </c>
      <c r="W408" s="379">
        <v>64833.599999999999</v>
      </c>
      <c r="X408" s="379">
        <v>25490.01</v>
      </c>
      <c r="Y408" s="379">
        <v>64833.599999999999</v>
      </c>
      <c r="Z408" s="379">
        <v>25178.81</v>
      </c>
      <c r="AA408" s="375" t="s">
        <v>1555</v>
      </c>
      <c r="AB408" s="375" t="s">
        <v>1556</v>
      </c>
      <c r="AC408" s="375" t="s">
        <v>1341</v>
      </c>
      <c r="AD408" s="375" t="s">
        <v>195</v>
      </c>
      <c r="AE408" s="375" t="s">
        <v>556</v>
      </c>
      <c r="AF408" s="375" t="s">
        <v>252</v>
      </c>
      <c r="AG408" s="375" t="s">
        <v>183</v>
      </c>
      <c r="AH408" s="380">
        <v>31.17</v>
      </c>
      <c r="AI408" s="378">
        <v>32647</v>
      </c>
      <c r="AJ408" s="375" t="s">
        <v>184</v>
      </c>
      <c r="AK408" s="375" t="s">
        <v>185</v>
      </c>
      <c r="AL408" s="375" t="s">
        <v>173</v>
      </c>
      <c r="AM408" s="375" t="s">
        <v>186</v>
      </c>
      <c r="AN408" s="375" t="s">
        <v>68</v>
      </c>
      <c r="AO408" s="378">
        <v>80</v>
      </c>
      <c r="AP408" s="384">
        <v>1</v>
      </c>
      <c r="AQ408" s="384">
        <v>1</v>
      </c>
      <c r="AR408" s="383" t="s">
        <v>187</v>
      </c>
      <c r="AS408" s="386">
        <f t="shared" si="291"/>
        <v>1</v>
      </c>
      <c r="AT408">
        <f t="shared" si="292"/>
        <v>1</v>
      </c>
      <c r="AU408" s="386">
        <f>IF(AT408=0,"",IF(AND(AT408=1,M408="F",SUMIF(C2:C557,C408,AS2:AS557)&lt;=1),SUMIF(C2:C557,C408,AS2:AS557),IF(AND(AT408=1,M408="F",SUMIF(C2:C557,C408,AS2:AS557)&gt;1),1,"")))</f>
        <v>1</v>
      </c>
      <c r="AV408" s="386" t="str">
        <f>IF(AT408=0,"",IF(AND(AT408=3,M408="F",SUMIF(C2:C557,C408,AS2:AS557)&lt;=1),SUMIF(C2:C557,C408,AS2:AS557),IF(AND(AT408=3,M408="F",SUMIF(C2:C557,C408,AS2:AS557)&gt;1),1,"")))</f>
        <v/>
      </c>
      <c r="AW408" s="386">
        <f>SUMIF(C2:C557,C408,O2:O557)</f>
        <v>1</v>
      </c>
      <c r="AX408" s="386">
        <f>IF(AND(M408="F",AS408&lt;&gt;0),SUMIF(C2:C557,C408,W2:W557),0)</f>
        <v>64833.599999999999</v>
      </c>
      <c r="AY408" s="386">
        <f t="shared" si="293"/>
        <v>64833.599999999999</v>
      </c>
      <c r="AZ408" s="386" t="str">
        <f t="shared" si="294"/>
        <v/>
      </c>
      <c r="BA408" s="386">
        <f t="shared" si="295"/>
        <v>0</v>
      </c>
      <c r="BB408" s="386">
        <f t="shared" si="264"/>
        <v>11650</v>
      </c>
      <c r="BC408" s="386">
        <f t="shared" si="265"/>
        <v>0</v>
      </c>
      <c r="BD408" s="386">
        <f t="shared" si="266"/>
        <v>4019.6831999999999</v>
      </c>
      <c r="BE408" s="386">
        <f t="shared" si="267"/>
        <v>940.08720000000005</v>
      </c>
      <c r="BF408" s="386">
        <f t="shared" si="268"/>
        <v>7741.13184</v>
      </c>
      <c r="BG408" s="386">
        <f t="shared" si="269"/>
        <v>467.45025600000002</v>
      </c>
      <c r="BH408" s="386">
        <f t="shared" si="270"/>
        <v>317.68464</v>
      </c>
      <c r="BI408" s="386">
        <f t="shared" si="271"/>
        <v>198.39081599999997</v>
      </c>
      <c r="BJ408" s="386">
        <f t="shared" si="272"/>
        <v>155.60063999999997</v>
      </c>
      <c r="BK408" s="386">
        <f t="shared" si="273"/>
        <v>0</v>
      </c>
      <c r="BL408" s="386">
        <f t="shared" si="296"/>
        <v>13840.028591999999</v>
      </c>
      <c r="BM408" s="386">
        <f t="shared" si="297"/>
        <v>0</v>
      </c>
      <c r="BN408" s="386">
        <f t="shared" si="274"/>
        <v>11650</v>
      </c>
      <c r="BO408" s="386">
        <f t="shared" si="275"/>
        <v>0</v>
      </c>
      <c r="BP408" s="386">
        <f t="shared" si="276"/>
        <v>4019.6831999999999</v>
      </c>
      <c r="BQ408" s="386">
        <f t="shared" si="277"/>
        <v>940.08720000000005</v>
      </c>
      <c r="BR408" s="386">
        <f t="shared" si="278"/>
        <v>7741.13184</v>
      </c>
      <c r="BS408" s="386">
        <f t="shared" si="279"/>
        <v>467.45025600000002</v>
      </c>
      <c r="BT408" s="386">
        <f t="shared" si="280"/>
        <v>0</v>
      </c>
      <c r="BU408" s="386">
        <f t="shared" si="281"/>
        <v>198.39081599999997</v>
      </c>
      <c r="BV408" s="386">
        <f t="shared" si="282"/>
        <v>162.084</v>
      </c>
      <c r="BW408" s="386">
        <f t="shared" si="283"/>
        <v>0</v>
      </c>
      <c r="BX408" s="386">
        <f t="shared" si="298"/>
        <v>13528.827311999999</v>
      </c>
      <c r="BY408" s="386">
        <f t="shared" si="299"/>
        <v>0</v>
      </c>
      <c r="BZ408" s="386">
        <f t="shared" si="300"/>
        <v>0</v>
      </c>
      <c r="CA408" s="386">
        <f t="shared" si="301"/>
        <v>0</v>
      </c>
      <c r="CB408" s="386">
        <f t="shared" si="302"/>
        <v>0</v>
      </c>
      <c r="CC408" s="386">
        <f t="shared" si="284"/>
        <v>0</v>
      </c>
      <c r="CD408" s="386">
        <f t="shared" si="285"/>
        <v>0</v>
      </c>
      <c r="CE408" s="386">
        <f t="shared" si="286"/>
        <v>0</v>
      </c>
      <c r="CF408" s="386">
        <f t="shared" si="287"/>
        <v>-317.68464</v>
      </c>
      <c r="CG408" s="386">
        <f t="shared" si="288"/>
        <v>0</v>
      </c>
      <c r="CH408" s="386">
        <f t="shared" si="289"/>
        <v>6.4833600000000171</v>
      </c>
      <c r="CI408" s="386">
        <f t="shared" si="290"/>
        <v>0</v>
      </c>
      <c r="CJ408" s="386">
        <f t="shared" si="303"/>
        <v>-311.20128</v>
      </c>
      <c r="CK408" s="386" t="str">
        <f t="shared" si="304"/>
        <v/>
      </c>
      <c r="CL408" s="386" t="str">
        <f t="shared" si="305"/>
        <v/>
      </c>
      <c r="CM408" s="386" t="str">
        <f t="shared" si="306"/>
        <v/>
      </c>
      <c r="CN408" s="386" t="str">
        <f t="shared" si="307"/>
        <v>0276-00</v>
      </c>
    </row>
    <row r="409" spans="1:92" ht="15.75" thickBot="1" x14ac:dyDescent="0.3">
      <c r="A409" s="375" t="s">
        <v>161</v>
      </c>
      <c r="B409" s="375" t="s">
        <v>162</v>
      </c>
      <c r="C409" s="375" t="s">
        <v>1557</v>
      </c>
      <c r="D409" s="375" t="s">
        <v>555</v>
      </c>
      <c r="E409" s="375" t="s">
        <v>1537</v>
      </c>
      <c r="F409" s="376" t="s">
        <v>166</v>
      </c>
      <c r="G409" s="375" t="s">
        <v>1538</v>
      </c>
      <c r="H409" s="377"/>
      <c r="I409" s="377"/>
      <c r="J409" s="375" t="s">
        <v>168</v>
      </c>
      <c r="K409" s="375" t="s">
        <v>556</v>
      </c>
      <c r="L409" s="375" t="s">
        <v>220</v>
      </c>
      <c r="M409" s="375" t="s">
        <v>177</v>
      </c>
      <c r="N409" s="375" t="s">
        <v>199</v>
      </c>
      <c r="O409" s="378">
        <v>1</v>
      </c>
      <c r="P409" s="384">
        <v>1</v>
      </c>
      <c r="Q409" s="384">
        <v>1</v>
      </c>
      <c r="R409" s="379">
        <v>80</v>
      </c>
      <c r="S409" s="384">
        <v>1</v>
      </c>
      <c r="T409" s="379">
        <v>52659.59</v>
      </c>
      <c r="U409" s="379">
        <v>0</v>
      </c>
      <c r="V409" s="379">
        <v>22590.71</v>
      </c>
      <c r="W409" s="379">
        <v>61672</v>
      </c>
      <c r="X409" s="379">
        <v>24815.09</v>
      </c>
      <c r="Y409" s="379">
        <v>61672</v>
      </c>
      <c r="Z409" s="379">
        <v>24519.07</v>
      </c>
      <c r="AA409" s="375" t="s">
        <v>1558</v>
      </c>
      <c r="AB409" s="375" t="s">
        <v>1559</v>
      </c>
      <c r="AC409" s="375" t="s">
        <v>1560</v>
      </c>
      <c r="AD409" s="375" t="s">
        <v>183</v>
      </c>
      <c r="AE409" s="375" t="s">
        <v>556</v>
      </c>
      <c r="AF409" s="375" t="s">
        <v>252</v>
      </c>
      <c r="AG409" s="375" t="s">
        <v>183</v>
      </c>
      <c r="AH409" s="380">
        <v>29.65</v>
      </c>
      <c r="AI409" s="378">
        <v>8087</v>
      </c>
      <c r="AJ409" s="375" t="s">
        <v>184</v>
      </c>
      <c r="AK409" s="375" t="s">
        <v>185</v>
      </c>
      <c r="AL409" s="375" t="s">
        <v>173</v>
      </c>
      <c r="AM409" s="375" t="s">
        <v>186</v>
      </c>
      <c r="AN409" s="375" t="s">
        <v>68</v>
      </c>
      <c r="AO409" s="378">
        <v>80</v>
      </c>
      <c r="AP409" s="384">
        <v>1</v>
      </c>
      <c r="AQ409" s="384">
        <v>1</v>
      </c>
      <c r="AR409" s="383" t="s">
        <v>187</v>
      </c>
      <c r="AS409" s="386">
        <f t="shared" si="291"/>
        <v>1</v>
      </c>
      <c r="AT409">
        <f t="shared" si="292"/>
        <v>1</v>
      </c>
      <c r="AU409" s="386">
        <f>IF(AT409=0,"",IF(AND(AT409=1,M409="F",SUMIF(C2:C557,C409,AS2:AS557)&lt;=1),SUMIF(C2:C557,C409,AS2:AS557),IF(AND(AT409=1,M409="F",SUMIF(C2:C557,C409,AS2:AS557)&gt;1),1,"")))</f>
        <v>1</v>
      </c>
      <c r="AV409" s="386" t="str">
        <f>IF(AT409=0,"",IF(AND(AT409=3,M409="F",SUMIF(C2:C557,C409,AS2:AS557)&lt;=1),SUMIF(C2:C557,C409,AS2:AS557),IF(AND(AT409=3,M409="F",SUMIF(C2:C557,C409,AS2:AS557)&gt;1),1,"")))</f>
        <v/>
      </c>
      <c r="AW409" s="386">
        <f>SUMIF(C2:C557,C409,O2:O557)</f>
        <v>1</v>
      </c>
      <c r="AX409" s="386">
        <f>IF(AND(M409="F",AS409&lt;&gt;0),SUMIF(C2:C557,C409,W2:W557),0)</f>
        <v>61672</v>
      </c>
      <c r="AY409" s="386">
        <f t="shared" si="293"/>
        <v>61672</v>
      </c>
      <c r="AZ409" s="386" t="str">
        <f t="shared" si="294"/>
        <v/>
      </c>
      <c r="BA409" s="386">
        <f t="shared" si="295"/>
        <v>0</v>
      </c>
      <c r="BB409" s="386">
        <f t="shared" si="264"/>
        <v>11650</v>
      </c>
      <c r="BC409" s="386">
        <f t="shared" si="265"/>
        <v>0</v>
      </c>
      <c r="BD409" s="386">
        <f t="shared" si="266"/>
        <v>3823.6639999999998</v>
      </c>
      <c r="BE409" s="386">
        <f t="shared" si="267"/>
        <v>894.24400000000003</v>
      </c>
      <c r="BF409" s="386">
        <f t="shared" si="268"/>
        <v>7363.6368000000002</v>
      </c>
      <c r="BG409" s="386">
        <f t="shared" si="269"/>
        <v>444.65512000000001</v>
      </c>
      <c r="BH409" s="386">
        <f t="shared" si="270"/>
        <v>302.19279999999998</v>
      </c>
      <c r="BI409" s="386">
        <f t="shared" si="271"/>
        <v>188.71632</v>
      </c>
      <c r="BJ409" s="386">
        <f t="shared" si="272"/>
        <v>148.0128</v>
      </c>
      <c r="BK409" s="386">
        <f t="shared" si="273"/>
        <v>0</v>
      </c>
      <c r="BL409" s="386">
        <f t="shared" si="296"/>
        <v>13165.12184</v>
      </c>
      <c r="BM409" s="386">
        <f t="shared" si="297"/>
        <v>0</v>
      </c>
      <c r="BN409" s="386">
        <f t="shared" si="274"/>
        <v>11650</v>
      </c>
      <c r="BO409" s="386">
        <f t="shared" si="275"/>
        <v>0</v>
      </c>
      <c r="BP409" s="386">
        <f t="shared" si="276"/>
        <v>3823.6639999999998</v>
      </c>
      <c r="BQ409" s="386">
        <f t="shared" si="277"/>
        <v>894.24400000000003</v>
      </c>
      <c r="BR409" s="386">
        <f t="shared" si="278"/>
        <v>7363.6368000000002</v>
      </c>
      <c r="BS409" s="386">
        <f t="shared" si="279"/>
        <v>444.65512000000001</v>
      </c>
      <c r="BT409" s="386">
        <f t="shared" si="280"/>
        <v>0</v>
      </c>
      <c r="BU409" s="386">
        <f t="shared" si="281"/>
        <v>188.71632</v>
      </c>
      <c r="BV409" s="386">
        <f t="shared" si="282"/>
        <v>154.18</v>
      </c>
      <c r="BW409" s="386">
        <f t="shared" si="283"/>
        <v>0</v>
      </c>
      <c r="BX409" s="386">
        <f t="shared" si="298"/>
        <v>12869.096239999999</v>
      </c>
      <c r="BY409" s="386">
        <f t="shared" si="299"/>
        <v>0</v>
      </c>
      <c r="BZ409" s="386">
        <f t="shared" si="300"/>
        <v>0</v>
      </c>
      <c r="CA409" s="386">
        <f t="shared" si="301"/>
        <v>0</v>
      </c>
      <c r="CB409" s="386">
        <f t="shared" si="302"/>
        <v>0</v>
      </c>
      <c r="CC409" s="386">
        <f t="shared" si="284"/>
        <v>0</v>
      </c>
      <c r="CD409" s="386">
        <f t="shared" si="285"/>
        <v>0</v>
      </c>
      <c r="CE409" s="386">
        <f t="shared" si="286"/>
        <v>0</v>
      </c>
      <c r="CF409" s="386">
        <f t="shared" si="287"/>
        <v>-302.19279999999998</v>
      </c>
      <c r="CG409" s="386">
        <f t="shared" si="288"/>
        <v>0</v>
      </c>
      <c r="CH409" s="386">
        <f t="shared" si="289"/>
        <v>6.1672000000000162</v>
      </c>
      <c r="CI409" s="386">
        <f t="shared" si="290"/>
        <v>0</v>
      </c>
      <c r="CJ409" s="386">
        <f t="shared" si="303"/>
        <v>-296.02559999999994</v>
      </c>
      <c r="CK409" s="386" t="str">
        <f t="shared" si="304"/>
        <v/>
      </c>
      <c r="CL409" s="386" t="str">
        <f t="shared" si="305"/>
        <v/>
      </c>
      <c r="CM409" s="386" t="str">
        <f t="shared" si="306"/>
        <v/>
      </c>
      <c r="CN409" s="386" t="str">
        <f t="shared" si="307"/>
        <v>0276-00</v>
      </c>
    </row>
    <row r="410" spans="1:92" ht="15.75" thickBot="1" x14ac:dyDescent="0.3">
      <c r="A410" s="375" t="s">
        <v>161</v>
      </c>
      <c r="B410" s="375" t="s">
        <v>162</v>
      </c>
      <c r="C410" s="375" t="s">
        <v>1561</v>
      </c>
      <c r="D410" s="375" t="s">
        <v>555</v>
      </c>
      <c r="E410" s="375" t="s">
        <v>1537</v>
      </c>
      <c r="F410" s="376" t="s">
        <v>166</v>
      </c>
      <c r="G410" s="375" t="s">
        <v>1538</v>
      </c>
      <c r="H410" s="377"/>
      <c r="I410" s="377"/>
      <c r="J410" s="375" t="s">
        <v>168</v>
      </c>
      <c r="K410" s="375" t="s">
        <v>556</v>
      </c>
      <c r="L410" s="375" t="s">
        <v>220</v>
      </c>
      <c r="M410" s="375" t="s">
        <v>171</v>
      </c>
      <c r="N410" s="375" t="s">
        <v>199</v>
      </c>
      <c r="O410" s="378">
        <v>0</v>
      </c>
      <c r="P410" s="384">
        <v>1</v>
      </c>
      <c r="Q410" s="384">
        <v>1</v>
      </c>
      <c r="R410" s="379">
        <v>80</v>
      </c>
      <c r="S410" s="384">
        <v>1</v>
      </c>
      <c r="T410" s="379">
        <v>15235.12</v>
      </c>
      <c r="U410" s="379">
        <v>0</v>
      </c>
      <c r="V410" s="379">
        <v>5041.5</v>
      </c>
      <c r="W410" s="379">
        <v>60465.599999999999</v>
      </c>
      <c r="X410" s="379">
        <v>26483.93</v>
      </c>
      <c r="Y410" s="379">
        <v>60465.599999999999</v>
      </c>
      <c r="Z410" s="379">
        <v>26181.599999999999</v>
      </c>
      <c r="AA410" s="377"/>
      <c r="AB410" s="375" t="s">
        <v>45</v>
      </c>
      <c r="AC410" s="375" t="s">
        <v>45</v>
      </c>
      <c r="AD410" s="377"/>
      <c r="AE410" s="377"/>
      <c r="AF410" s="377"/>
      <c r="AG410" s="377"/>
      <c r="AH410" s="378">
        <v>0</v>
      </c>
      <c r="AI410" s="378">
        <v>0</v>
      </c>
      <c r="AJ410" s="377"/>
      <c r="AK410" s="377"/>
      <c r="AL410" s="375" t="s">
        <v>173</v>
      </c>
      <c r="AM410" s="377"/>
      <c r="AN410" s="377"/>
      <c r="AO410" s="378">
        <v>0</v>
      </c>
      <c r="AP410" s="384">
        <v>0</v>
      </c>
      <c r="AQ410" s="384">
        <v>0</v>
      </c>
      <c r="AR410" s="382"/>
      <c r="AS410" s="386">
        <f t="shared" si="291"/>
        <v>0</v>
      </c>
      <c r="AT410">
        <f t="shared" si="292"/>
        <v>0</v>
      </c>
      <c r="AU410" s="386" t="str">
        <f>IF(AT410=0,"",IF(AND(AT410=1,M410="F",SUMIF(C2:C557,C410,AS2:AS557)&lt;=1),SUMIF(C2:C557,C410,AS2:AS557),IF(AND(AT410=1,M410="F",SUMIF(C2:C557,C410,AS2:AS557)&gt;1),1,"")))</f>
        <v/>
      </c>
      <c r="AV410" s="386" t="str">
        <f>IF(AT410=0,"",IF(AND(AT410=3,M410="F",SUMIF(C2:C557,C410,AS2:AS557)&lt;=1),SUMIF(C2:C557,C410,AS2:AS557),IF(AND(AT410=3,M410="F",SUMIF(C2:C557,C410,AS2:AS557)&gt;1),1,"")))</f>
        <v/>
      </c>
      <c r="AW410" s="386">
        <f>SUMIF(C2:C557,C410,O2:O557)</f>
        <v>0</v>
      </c>
      <c r="AX410" s="386">
        <f>IF(AND(M410="F",AS410&lt;&gt;0),SUMIF(C2:C557,C410,W2:W557),0)</f>
        <v>0</v>
      </c>
      <c r="AY410" s="386" t="str">
        <f t="shared" si="293"/>
        <v/>
      </c>
      <c r="AZ410" s="386" t="str">
        <f t="shared" si="294"/>
        <v/>
      </c>
      <c r="BA410" s="386">
        <f t="shared" si="295"/>
        <v>0</v>
      </c>
      <c r="BB410" s="386">
        <f t="shared" si="264"/>
        <v>0</v>
      </c>
      <c r="BC410" s="386">
        <f t="shared" si="265"/>
        <v>0</v>
      </c>
      <c r="BD410" s="386">
        <f t="shared" si="266"/>
        <v>0</v>
      </c>
      <c r="BE410" s="386">
        <f t="shared" si="267"/>
        <v>0</v>
      </c>
      <c r="BF410" s="386">
        <f t="shared" si="268"/>
        <v>0</v>
      </c>
      <c r="BG410" s="386">
        <f t="shared" si="269"/>
        <v>0</v>
      </c>
      <c r="BH410" s="386">
        <f t="shared" si="270"/>
        <v>0</v>
      </c>
      <c r="BI410" s="386">
        <f t="shared" si="271"/>
        <v>0</v>
      </c>
      <c r="BJ410" s="386">
        <f t="shared" si="272"/>
        <v>0</v>
      </c>
      <c r="BK410" s="386">
        <f t="shared" si="273"/>
        <v>0</v>
      </c>
      <c r="BL410" s="386">
        <f t="shared" si="296"/>
        <v>0</v>
      </c>
      <c r="BM410" s="386">
        <f t="shared" si="297"/>
        <v>0</v>
      </c>
      <c r="BN410" s="386">
        <f t="shared" si="274"/>
        <v>0</v>
      </c>
      <c r="BO410" s="386">
        <f t="shared" si="275"/>
        <v>0</v>
      </c>
      <c r="BP410" s="386">
        <f t="shared" si="276"/>
        <v>0</v>
      </c>
      <c r="BQ410" s="386">
        <f t="shared" si="277"/>
        <v>0</v>
      </c>
      <c r="BR410" s="386">
        <f t="shared" si="278"/>
        <v>0</v>
      </c>
      <c r="BS410" s="386">
        <f t="shared" si="279"/>
        <v>0</v>
      </c>
      <c r="BT410" s="386">
        <f t="shared" si="280"/>
        <v>0</v>
      </c>
      <c r="BU410" s="386">
        <f t="shared" si="281"/>
        <v>0</v>
      </c>
      <c r="BV410" s="386">
        <f t="shared" si="282"/>
        <v>0</v>
      </c>
      <c r="BW410" s="386">
        <f t="shared" si="283"/>
        <v>0</v>
      </c>
      <c r="BX410" s="386">
        <f t="shared" si="298"/>
        <v>0</v>
      </c>
      <c r="BY410" s="386">
        <f t="shared" si="299"/>
        <v>0</v>
      </c>
      <c r="BZ410" s="386">
        <f t="shared" si="300"/>
        <v>0</v>
      </c>
      <c r="CA410" s="386">
        <f t="shared" si="301"/>
        <v>0</v>
      </c>
      <c r="CB410" s="386">
        <f t="shared" si="302"/>
        <v>0</v>
      </c>
      <c r="CC410" s="386">
        <f t="shared" si="284"/>
        <v>0</v>
      </c>
      <c r="CD410" s="386">
        <f t="shared" si="285"/>
        <v>0</v>
      </c>
      <c r="CE410" s="386">
        <f t="shared" si="286"/>
        <v>0</v>
      </c>
      <c r="CF410" s="386">
        <f t="shared" si="287"/>
        <v>0</v>
      </c>
      <c r="CG410" s="386">
        <f t="shared" si="288"/>
        <v>0</v>
      </c>
      <c r="CH410" s="386">
        <f t="shared" si="289"/>
        <v>0</v>
      </c>
      <c r="CI410" s="386">
        <f t="shared" si="290"/>
        <v>0</v>
      </c>
      <c r="CJ410" s="386">
        <f t="shared" si="303"/>
        <v>0</v>
      </c>
      <c r="CK410" s="386" t="str">
        <f t="shared" si="304"/>
        <v/>
      </c>
      <c r="CL410" s="386" t="str">
        <f t="shared" si="305"/>
        <v/>
      </c>
      <c r="CM410" s="386" t="str">
        <f t="shared" si="306"/>
        <v/>
      </c>
      <c r="CN410" s="386" t="str">
        <f t="shared" si="307"/>
        <v>0276-00</v>
      </c>
    </row>
    <row r="411" spans="1:92" ht="15.75" thickBot="1" x14ac:dyDescent="0.3">
      <c r="A411" s="375" t="s">
        <v>161</v>
      </c>
      <c r="B411" s="375" t="s">
        <v>162</v>
      </c>
      <c r="C411" s="375" t="s">
        <v>1562</v>
      </c>
      <c r="D411" s="375" t="s">
        <v>710</v>
      </c>
      <c r="E411" s="375" t="s">
        <v>1537</v>
      </c>
      <c r="F411" s="376" t="s">
        <v>166</v>
      </c>
      <c r="G411" s="375" t="s">
        <v>1538</v>
      </c>
      <c r="H411" s="377"/>
      <c r="I411" s="377"/>
      <c r="J411" s="375" t="s">
        <v>168</v>
      </c>
      <c r="K411" s="375" t="s">
        <v>711</v>
      </c>
      <c r="L411" s="375" t="s">
        <v>183</v>
      </c>
      <c r="M411" s="375" t="s">
        <v>171</v>
      </c>
      <c r="N411" s="375" t="s">
        <v>262</v>
      </c>
      <c r="O411" s="378">
        <v>0</v>
      </c>
      <c r="P411" s="384">
        <v>1</v>
      </c>
      <c r="Q411" s="384">
        <v>0</v>
      </c>
      <c r="R411" s="379">
        <v>0</v>
      </c>
      <c r="S411" s="384">
        <v>0</v>
      </c>
      <c r="T411" s="379">
        <v>0</v>
      </c>
      <c r="U411" s="379">
        <v>0</v>
      </c>
      <c r="V411" s="379">
        <v>0</v>
      </c>
      <c r="W411" s="379">
        <v>0</v>
      </c>
      <c r="X411" s="379">
        <v>0</v>
      </c>
      <c r="Y411" s="379">
        <v>0</v>
      </c>
      <c r="Z411" s="379">
        <v>0</v>
      </c>
      <c r="AA411" s="377"/>
      <c r="AB411" s="375" t="s">
        <v>45</v>
      </c>
      <c r="AC411" s="375" t="s">
        <v>45</v>
      </c>
      <c r="AD411" s="377"/>
      <c r="AE411" s="377"/>
      <c r="AF411" s="377"/>
      <c r="AG411" s="377"/>
      <c r="AH411" s="378">
        <v>0</v>
      </c>
      <c r="AI411" s="378">
        <v>0</v>
      </c>
      <c r="AJ411" s="377"/>
      <c r="AK411" s="377"/>
      <c r="AL411" s="375" t="s">
        <v>173</v>
      </c>
      <c r="AM411" s="377"/>
      <c r="AN411" s="377"/>
      <c r="AO411" s="378">
        <v>0</v>
      </c>
      <c r="AP411" s="384">
        <v>0</v>
      </c>
      <c r="AQ411" s="384">
        <v>0</v>
      </c>
      <c r="AR411" s="382"/>
      <c r="AS411" s="386">
        <f t="shared" si="291"/>
        <v>0</v>
      </c>
      <c r="AT411">
        <f t="shared" si="292"/>
        <v>0</v>
      </c>
      <c r="AU411" s="386" t="str">
        <f>IF(AT411=0,"",IF(AND(AT411=1,M411="F",SUMIF(C2:C557,C411,AS2:AS557)&lt;=1),SUMIF(C2:C557,C411,AS2:AS557),IF(AND(AT411=1,M411="F",SUMIF(C2:C557,C411,AS2:AS557)&gt;1),1,"")))</f>
        <v/>
      </c>
      <c r="AV411" s="386" t="str">
        <f>IF(AT411=0,"",IF(AND(AT411=3,M411="F",SUMIF(C2:C557,C411,AS2:AS557)&lt;=1),SUMIF(C2:C557,C411,AS2:AS557),IF(AND(AT411=3,M411="F",SUMIF(C2:C557,C411,AS2:AS557)&gt;1),1,"")))</f>
        <v/>
      </c>
      <c r="AW411" s="386">
        <f>SUMIF(C2:C557,C411,O2:O557)</f>
        <v>0</v>
      </c>
      <c r="AX411" s="386">
        <f>IF(AND(M411="F",AS411&lt;&gt;0),SUMIF(C2:C557,C411,W2:W557),0)</f>
        <v>0</v>
      </c>
      <c r="AY411" s="386" t="str">
        <f t="shared" si="293"/>
        <v/>
      </c>
      <c r="AZ411" s="386" t="str">
        <f t="shared" si="294"/>
        <v/>
      </c>
      <c r="BA411" s="386">
        <f t="shared" si="295"/>
        <v>0</v>
      </c>
      <c r="BB411" s="386">
        <f t="shared" si="264"/>
        <v>0</v>
      </c>
      <c r="BC411" s="386">
        <f t="shared" si="265"/>
        <v>0</v>
      </c>
      <c r="BD411" s="386">
        <f t="shared" si="266"/>
        <v>0</v>
      </c>
      <c r="BE411" s="386">
        <f t="shared" si="267"/>
        <v>0</v>
      </c>
      <c r="BF411" s="386">
        <f t="shared" si="268"/>
        <v>0</v>
      </c>
      <c r="BG411" s="386">
        <f t="shared" si="269"/>
        <v>0</v>
      </c>
      <c r="BH411" s="386">
        <f t="shared" si="270"/>
        <v>0</v>
      </c>
      <c r="BI411" s="386">
        <f t="shared" si="271"/>
        <v>0</v>
      </c>
      <c r="BJ411" s="386">
        <f t="shared" si="272"/>
        <v>0</v>
      </c>
      <c r="BK411" s="386">
        <f t="shared" si="273"/>
        <v>0</v>
      </c>
      <c r="BL411" s="386">
        <f t="shared" si="296"/>
        <v>0</v>
      </c>
      <c r="BM411" s="386">
        <f t="shared" si="297"/>
        <v>0</v>
      </c>
      <c r="BN411" s="386">
        <f t="shared" si="274"/>
        <v>0</v>
      </c>
      <c r="BO411" s="386">
        <f t="shared" si="275"/>
        <v>0</v>
      </c>
      <c r="BP411" s="386">
        <f t="shared" si="276"/>
        <v>0</v>
      </c>
      <c r="BQ411" s="386">
        <f t="shared" si="277"/>
        <v>0</v>
      </c>
      <c r="BR411" s="386">
        <f t="shared" si="278"/>
        <v>0</v>
      </c>
      <c r="BS411" s="386">
        <f t="shared" si="279"/>
        <v>0</v>
      </c>
      <c r="BT411" s="386">
        <f t="shared" si="280"/>
        <v>0</v>
      </c>
      <c r="BU411" s="386">
        <f t="shared" si="281"/>
        <v>0</v>
      </c>
      <c r="BV411" s="386">
        <f t="shared" si="282"/>
        <v>0</v>
      </c>
      <c r="BW411" s="386">
        <f t="shared" si="283"/>
        <v>0</v>
      </c>
      <c r="BX411" s="386">
        <f t="shared" si="298"/>
        <v>0</v>
      </c>
      <c r="BY411" s="386">
        <f t="shared" si="299"/>
        <v>0</v>
      </c>
      <c r="BZ411" s="386">
        <f t="shared" si="300"/>
        <v>0</v>
      </c>
      <c r="CA411" s="386">
        <f t="shared" si="301"/>
        <v>0</v>
      </c>
      <c r="CB411" s="386">
        <f t="shared" si="302"/>
        <v>0</v>
      </c>
      <c r="CC411" s="386">
        <f t="shared" si="284"/>
        <v>0</v>
      </c>
      <c r="CD411" s="386">
        <f t="shared" si="285"/>
        <v>0</v>
      </c>
      <c r="CE411" s="386">
        <f t="shared" si="286"/>
        <v>0</v>
      </c>
      <c r="CF411" s="386">
        <f t="shared" si="287"/>
        <v>0</v>
      </c>
      <c r="CG411" s="386">
        <f t="shared" si="288"/>
        <v>0</v>
      </c>
      <c r="CH411" s="386">
        <f t="shared" si="289"/>
        <v>0</v>
      </c>
      <c r="CI411" s="386">
        <f t="shared" si="290"/>
        <v>0</v>
      </c>
      <c r="CJ411" s="386">
        <f t="shared" si="303"/>
        <v>0</v>
      </c>
      <c r="CK411" s="386" t="str">
        <f t="shared" si="304"/>
        <v/>
      </c>
      <c r="CL411" s="386">
        <f t="shared" si="305"/>
        <v>0</v>
      </c>
      <c r="CM411" s="386">
        <f t="shared" si="306"/>
        <v>0</v>
      </c>
      <c r="CN411" s="386" t="str">
        <f t="shared" si="307"/>
        <v>0276-00</v>
      </c>
    </row>
    <row r="412" spans="1:92" ht="15.75" thickBot="1" x14ac:dyDescent="0.3">
      <c r="A412" s="375" t="s">
        <v>161</v>
      </c>
      <c r="B412" s="375" t="s">
        <v>162</v>
      </c>
      <c r="C412" s="375" t="s">
        <v>1563</v>
      </c>
      <c r="D412" s="375" t="s">
        <v>555</v>
      </c>
      <c r="E412" s="375" t="s">
        <v>1537</v>
      </c>
      <c r="F412" s="376" t="s">
        <v>166</v>
      </c>
      <c r="G412" s="375" t="s">
        <v>1538</v>
      </c>
      <c r="H412" s="377"/>
      <c r="I412" s="377"/>
      <c r="J412" s="375" t="s">
        <v>168</v>
      </c>
      <c r="K412" s="375" t="s">
        <v>556</v>
      </c>
      <c r="L412" s="375" t="s">
        <v>220</v>
      </c>
      <c r="M412" s="375" t="s">
        <v>177</v>
      </c>
      <c r="N412" s="375" t="s">
        <v>199</v>
      </c>
      <c r="O412" s="378">
        <v>1</v>
      </c>
      <c r="P412" s="384">
        <v>1</v>
      </c>
      <c r="Q412" s="384">
        <v>1</v>
      </c>
      <c r="R412" s="379">
        <v>80</v>
      </c>
      <c r="S412" s="384">
        <v>1</v>
      </c>
      <c r="T412" s="379">
        <v>68112.81</v>
      </c>
      <c r="U412" s="379">
        <v>0</v>
      </c>
      <c r="V412" s="379">
        <v>25387.759999999998</v>
      </c>
      <c r="W412" s="379">
        <v>70491.199999999997</v>
      </c>
      <c r="X412" s="379">
        <v>26697.72</v>
      </c>
      <c r="Y412" s="379">
        <v>70491.199999999997</v>
      </c>
      <c r="Z412" s="379">
        <v>26359.37</v>
      </c>
      <c r="AA412" s="375" t="s">
        <v>1564</v>
      </c>
      <c r="AB412" s="375" t="s">
        <v>1565</v>
      </c>
      <c r="AC412" s="375" t="s">
        <v>1566</v>
      </c>
      <c r="AD412" s="375" t="s">
        <v>352</v>
      </c>
      <c r="AE412" s="375" t="s">
        <v>556</v>
      </c>
      <c r="AF412" s="375" t="s">
        <v>252</v>
      </c>
      <c r="AG412" s="375" t="s">
        <v>183</v>
      </c>
      <c r="AH412" s="380">
        <v>33.89</v>
      </c>
      <c r="AI412" s="380">
        <v>24269.1</v>
      </c>
      <c r="AJ412" s="375" t="s">
        <v>184</v>
      </c>
      <c r="AK412" s="375" t="s">
        <v>185</v>
      </c>
      <c r="AL412" s="375" t="s">
        <v>173</v>
      </c>
      <c r="AM412" s="375" t="s">
        <v>186</v>
      </c>
      <c r="AN412" s="375" t="s">
        <v>68</v>
      </c>
      <c r="AO412" s="378">
        <v>80</v>
      </c>
      <c r="AP412" s="384">
        <v>1</v>
      </c>
      <c r="AQ412" s="384">
        <v>1</v>
      </c>
      <c r="AR412" s="383" t="s">
        <v>187</v>
      </c>
      <c r="AS412" s="386">
        <f t="shared" si="291"/>
        <v>1</v>
      </c>
      <c r="AT412">
        <f t="shared" si="292"/>
        <v>1</v>
      </c>
      <c r="AU412" s="386">
        <f>IF(AT412=0,"",IF(AND(AT412=1,M412="F",SUMIF(C2:C557,C412,AS2:AS557)&lt;=1),SUMIF(C2:C557,C412,AS2:AS557),IF(AND(AT412=1,M412="F",SUMIF(C2:C557,C412,AS2:AS557)&gt;1),1,"")))</f>
        <v>1</v>
      </c>
      <c r="AV412" s="386" t="str">
        <f>IF(AT412=0,"",IF(AND(AT412=3,M412="F",SUMIF(C2:C557,C412,AS2:AS557)&lt;=1),SUMIF(C2:C557,C412,AS2:AS557),IF(AND(AT412=3,M412="F",SUMIF(C2:C557,C412,AS2:AS557)&gt;1),1,"")))</f>
        <v/>
      </c>
      <c r="AW412" s="386">
        <f>SUMIF(C2:C557,C412,O2:O557)</f>
        <v>1</v>
      </c>
      <c r="AX412" s="386">
        <f>IF(AND(M412="F",AS412&lt;&gt;0),SUMIF(C2:C557,C412,W2:W557),0)</f>
        <v>70491.199999999997</v>
      </c>
      <c r="AY412" s="386">
        <f t="shared" si="293"/>
        <v>70491.199999999997</v>
      </c>
      <c r="AZ412" s="386" t="str">
        <f t="shared" si="294"/>
        <v/>
      </c>
      <c r="BA412" s="386">
        <f t="shared" si="295"/>
        <v>0</v>
      </c>
      <c r="BB412" s="386">
        <f t="shared" si="264"/>
        <v>11650</v>
      </c>
      <c r="BC412" s="386">
        <f t="shared" si="265"/>
        <v>0</v>
      </c>
      <c r="BD412" s="386">
        <f t="shared" si="266"/>
        <v>4370.4543999999996</v>
      </c>
      <c r="BE412" s="386">
        <f t="shared" si="267"/>
        <v>1022.1224</v>
      </c>
      <c r="BF412" s="386">
        <f t="shared" si="268"/>
        <v>8416.6492799999996</v>
      </c>
      <c r="BG412" s="386">
        <f t="shared" si="269"/>
        <v>508.24155200000001</v>
      </c>
      <c r="BH412" s="386">
        <f t="shared" si="270"/>
        <v>345.40688</v>
      </c>
      <c r="BI412" s="386">
        <f t="shared" si="271"/>
        <v>215.70307199999996</v>
      </c>
      <c r="BJ412" s="386">
        <f t="shared" si="272"/>
        <v>169.17887999999999</v>
      </c>
      <c r="BK412" s="386">
        <f t="shared" si="273"/>
        <v>0</v>
      </c>
      <c r="BL412" s="386">
        <f t="shared" si="296"/>
        <v>15047.756464</v>
      </c>
      <c r="BM412" s="386">
        <f t="shared" si="297"/>
        <v>0</v>
      </c>
      <c r="BN412" s="386">
        <f t="shared" si="274"/>
        <v>11650</v>
      </c>
      <c r="BO412" s="386">
        <f t="shared" si="275"/>
        <v>0</v>
      </c>
      <c r="BP412" s="386">
        <f t="shared" si="276"/>
        <v>4370.4543999999996</v>
      </c>
      <c r="BQ412" s="386">
        <f t="shared" si="277"/>
        <v>1022.1224</v>
      </c>
      <c r="BR412" s="386">
        <f t="shared" si="278"/>
        <v>8416.6492799999996</v>
      </c>
      <c r="BS412" s="386">
        <f t="shared" si="279"/>
        <v>508.24155200000001</v>
      </c>
      <c r="BT412" s="386">
        <f t="shared" si="280"/>
        <v>0</v>
      </c>
      <c r="BU412" s="386">
        <f t="shared" si="281"/>
        <v>215.70307199999996</v>
      </c>
      <c r="BV412" s="386">
        <f t="shared" si="282"/>
        <v>176.22800000000001</v>
      </c>
      <c r="BW412" s="386">
        <f t="shared" si="283"/>
        <v>0</v>
      </c>
      <c r="BX412" s="386">
        <f t="shared" si="298"/>
        <v>14709.398703999999</v>
      </c>
      <c r="BY412" s="386">
        <f t="shared" si="299"/>
        <v>0</v>
      </c>
      <c r="BZ412" s="386">
        <f t="shared" si="300"/>
        <v>0</v>
      </c>
      <c r="CA412" s="386">
        <f t="shared" si="301"/>
        <v>0</v>
      </c>
      <c r="CB412" s="386">
        <f t="shared" si="302"/>
        <v>0</v>
      </c>
      <c r="CC412" s="386">
        <f t="shared" si="284"/>
        <v>0</v>
      </c>
      <c r="CD412" s="386">
        <f t="shared" si="285"/>
        <v>0</v>
      </c>
      <c r="CE412" s="386">
        <f t="shared" si="286"/>
        <v>0</v>
      </c>
      <c r="CF412" s="386">
        <f t="shared" si="287"/>
        <v>-345.40688</v>
      </c>
      <c r="CG412" s="386">
        <f t="shared" si="288"/>
        <v>0</v>
      </c>
      <c r="CH412" s="386">
        <f t="shared" si="289"/>
        <v>7.049120000000018</v>
      </c>
      <c r="CI412" s="386">
        <f t="shared" si="290"/>
        <v>0</v>
      </c>
      <c r="CJ412" s="386">
        <f t="shared" si="303"/>
        <v>-338.35775999999998</v>
      </c>
      <c r="CK412" s="386" t="str">
        <f t="shared" si="304"/>
        <v/>
      </c>
      <c r="CL412" s="386" t="str">
        <f t="shared" si="305"/>
        <v/>
      </c>
      <c r="CM412" s="386" t="str">
        <f t="shared" si="306"/>
        <v/>
      </c>
      <c r="CN412" s="386" t="str">
        <f t="shared" si="307"/>
        <v>0276-00</v>
      </c>
    </row>
    <row r="413" spans="1:92" ht="15.75" thickBot="1" x14ac:dyDescent="0.3">
      <c r="A413" s="375" t="s">
        <v>161</v>
      </c>
      <c r="B413" s="375" t="s">
        <v>162</v>
      </c>
      <c r="C413" s="375" t="s">
        <v>735</v>
      </c>
      <c r="D413" s="375" t="s">
        <v>561</v>
      </c>
      <c r="E413" s="375" t="s">
        <v>1537</v>
      </c>
      <c r="F413" s="376" t="s">
        <v>166</v>
      </c>
      <c r="G413" s="375" t="s">
        <v>1538</v>
      </c>
      <c r="H413" s="377"/>
      <c r="I413" s="377"/>
      <c r="J413" s="375" t="s">
        <v>168</v>
      </c>
      <c r="K413" s="375" t="s">
        <v>562</v>
      </c>
      <c r="L413" s="375" t="s">
        <v>170</v>
      </c>
      <c r="M413" s="375" t="s">
        <v>177</v>
      </c>
      <c r="N413" s="375" t="s">
        <v>199</v>
      </c>
      <c r="O413" s="378">
        <v>1</v>
      </c>
      <c r="P413" s="384">
        <v>1</v>
      </c>
      <c r="Q413" s="384">
        <v>1</v>
      </c>
      <c r="R413" s="379">
        <v>80</v>
      </c>
      <c r="S413" s="384">
        <v>1</v>
      </c>
      <c r="T413" s="379">
        <v>0</v>
      </c>
      <c r="U413" s="379">
        <v>0</v>
      </c>
      <c r="V413" s="379">
        <v>0</v>
      </c>
      <c r="W413" s="379">
        <v>44657.599999999999</v>
      </c>
      <c r="X413" s="379">
        <v>21183.03</v>
      </c>
      <c r="Y413" s="379">
        <v>44657.599999999999</v>
      </c>
      <c r="Z413" s="379">
        <v>20968.68</v>
      </c>
      <c r="AA413" s="375" t="s">
        <v>736</v>
      </c>
      <c r="AB413" s="375" t="s">
        <v>737</v>
      </c>
      <c r="AC413" s="375" t="s">
        <v>738</v>
      </c>
      <c r="AD413" s="375" t="s">
        <v>739</v>
      </c>
      <c r="AE413" s="375" t="s">
        <v>550</v>
      </c>
      <c r="AF413" s="375" t="s">
        <v>245</v>
      </c>
      <c r="AG413" s="375" t="s">
        <v>183</v>
      </c>
      <c r="AH413" s="380">
        <v>21.47</v>
      </c>
      <c r="AI413" s="378">
        <v>6080</v>
      </c>
      <c r="AJ413" s="375" t="s">
        <v>184</v>
      </c>
      <c r="AK413" s="375" t="s">
        <v>185</v>
      </c>
      <c r="AL413" s="375" t="s">
        <v>173</v>
      </c>
      <c r="AM413" s="375" t="s">
        <v>186</v>
      </c>
      <c r="AN413" s="375" t="s">
        <v>68</v>
      </c>
      <c r="AO413" s="378">
        <v>80</v>
      </c>
      <c r="AP413" s="384">
        <v>1</v>
      </c>
      <c r="AQ413" s="384">
        <v>1</v>
      </c>
      <c r="AR413" s="383">
        <v>3</v>
      </c>
      <c r="AS413" s="386">
        <f t="shared" si="291"/>
        <v>1</v>
      </c>
      <c r="AT413">
        <f t="shared" si="292"/>
        <v>1</v>
      </c>
      <c r="AU413" s="386">
        <f>IF(AT413=0,"",IF(AND(AT413=1,M413="F",SUMIF(C2:C557,C413,AS2:AS557)&lt;=1),SUMIF(C2:C557,C413,AS2:AS557),IF(AND(AT413=1,M413="F",SUMIF(C2:C557,C413,AS2:AS557)&gt;1),1,"")))</f>
        <v>1</v>
      </c>
      <c r="AV413" s="386" t="str">
        <f>IF(AT413=0,"",IF(AND(AT413=3,M413="F",SUMIF(C2:C557,C413,AS2:AS557)&lt;=1),SUMIF(C2:C557,C413,AS2:AS557),IF(AND(AT413=3,M413="F",SUMIF(C2:C557,C413,AS2:AS557)&gt;1),1,"")))</f>
        <v/>
      </c>
      <c r="AW413" s="386">
        <f>SUMIF(C2:C557,C413,O2:O557)</f>
        <v>2</v>
      </c>
      <c r="AX413" s="386">
        <f>IF(AND(M413="F",AS413&lt;&gt;0),SUMIF(C2:C557,C413,W2:W557),0)</f>
        <v>44657.599999999999</v>
      </c>
      <c r="AY413" s="386">
        <f t="shared" si="293"/>
        <v>44657.599999999999</v>
      </c>
      <c r="AZ413" s="386" t="str">
        <f t="shared" si="294"/>
        <v/>
      </c>
      <c r="BA413" s="386">
        <f t="shared" si="295"/>
        <v>0</v>
      </c>
      <c r="BB413" s="386">
        <f t="shared" si="264"/>
        <v>11650</v>
      </c>
      <c r="BC413" s="386">
        <f t="shared" si="265"/>
        <v>0</v>
      </c>
      <c r="BD413" s="386">
        <f t="shared" si="266"/>
        <v>2768.7711999999997</v>
      </c>
      <c r="BE413" s="386">
        <f t="shared" si="267"/>
        <v>647.53520000000003</v>
      </c>
      <c r="BF413" s="386">
        <f t="shared" si="268"/>
        <v>5332.11744</v>
      </c>
      <c r="BG413" s="386">
        <f t="shared" si="269"/>
        <v>321.98129599999999</v>
      </c>
      <c r="BH413" s="386">
        <f t="shared" si="270"/>
        <v>218.82223999999999</v>
      </c>
      <c r="BI413" s="386">
        <f t="shared" si="271"/>
        <v>136.65225599999999</v>
      </c>
      <c r="BJ413" s="386">
        <f t="shared" si="272"/>
        <v>107.17823999999999</v>
      </c>
      <c r="BK413" s="386">
        <f t="shared" si="273"/>
        <v>0</v>
      </c>
      <c r="BL413" s="386">
        <f t="shared" si="296"/>
        <v>9533.0578719999976</v>
      </c>
      <c r="BM413" s="386">
        <f t="shared" si="297"/>
        <v>0</v>
      </c>
      <c r="BN413" s="386">
        <f t="shared" si="274"/>
        <v>11650</v>
      </c>
      <c r="BO413" s="386">
        <f t="shared" si="275"/>
        <v>0</v>
      </c>
      <c r="BP413" s="386">
        <f t="shared" si="276"/>
        <v>2768.7711999999997</v>
      </c>
      <c r="BQ413" s="386">
        <f t="shared" si="277"/>
        <v>647.53520000000003</v>
      </c>
      <c r="BR413" s="386">
        <f t="shared" si="278"/>
        <v>5332.11744</v>
      </c>
      <c r="BS413" s="386">
        <f t="shared" si="279"/>
        <v>321.98129599999999</v>
      </c>
      <c r="BT413" s="386">
        <f t="shared" si="280"/>
        <v>0</v>
      </c>
      <c r="BU413" s="386">
        <f t="shared" si="281"/>
        <v>136.65225599999999</v>
      </c>
      <c r="BV413" s="386">
        <f t="shared" si="282"/>
        <v>111.64400000000001</v>
      </c>
      <c r="BW413" s="386">
        <f t="shared" si="283"/>
        <v>0</v>
      </c>
      <c r="BX413" s="386">
        <f t="shared" si="298"/>
        <v>9318.701391999999</v>
      </c>
      <c r="BY413" s="386">
        <f t="shared" si="299"/>
        <v>0</v>
      </c>
      <c r="BZ413" s="386">
        <f t="shared" si="300"/>
        <v>0</v>
      </c>
      <c r="CA413" s="386">
        <f t="shared" si="301"/>
        <v>0</v>
      </c>
      <c r="CB413" s="386">
        <f t="shared" si="302"/>
        <v>0</v>
      </c>
      <c r="CC413" s="386">
        <f t="shared" si="284"/>
        <v>0</v>
      </c>
      <c r="CD413" s="386">
        <f t="shared" si="285"/>
        <v>0</v>
      </c>
      <c r="CE413" s="386">
        <f t="shared" si="286"/>
        <v>0</v>
      </c>
      <c r="CF413" s="386">
        <f t="shared" si="287"/>
        <v>-218.82223999999999</v>
      </c>
      <c r="CG413" s="386">
        <f t="shared" si="288"/>
        <v>0</v>
      </c>
      <c r="CH413" s="386">
        <f t="shared" si="289"/>
        <v>4.4657600000000119</v>
      </c>
      <c r="CI413" s="386">
        <f t="shared" si="290"/>
        <v>0</v>
      </c>
      <c r="CJ413" s="386">
        <f t="shared" si="303"/>
        <v>-214.35647999999998</v>
      </c>
      <c r="CK413" s="386" t="str">
        <f t="shared" si="304"/>
        <v/>
      </c>
      <c r="CL413" s="386" t="str">
        <f t="shared" si="305"/>
        <v/>
      </c>
      <c r="CM413" s="386" t="str">
        <f t="shared" si="306"/>
        <v/>
      </c>
      <c r="CN413" s="386" t="str">
        <f t="shared" si="307"/>
        <v>0276-00</v>
      </c>
    </row>
    <row r="414" spans="1:92" ht="15.75" thickBot="1" x14ac:dyDescent="0.3">
      <c r="A414" s="375" t="s">
        <v>161</v>
      </c>
      <c r="B414" s="375" t="s">
        <v>162</v>
      </c>
      <c r="C414" s="375" t="s">
        <v>1567</v>
      </c>
      <c r="D414" s="375" t="s">
        <v>555</v>
      </c>
      <c r="E414" s="375" t="s">
        <v>1537</v>
      </c>
      <c r="F414" s="376" t="s">
        <v>166</v>
      </c>
      <c r="G414" s="375" t="s">
        <v>1538</v>
      </c>
      <c r="H414" s="377"/>
      <c r="I414" s="377"/>
      <c r="J414" s="375" t="s">
        <v>168</v>
      </c>
      <c r="K414" s="375" t="s">
        <v>556</v>
      </c>
      <c r="L414" s="375" t="s">
        <v>220</v>
      </c>
      <c r="M414" s="375" t="s">
        <v>177</v>
      </c>
      <c r="N414" s="375" t="s">
        <v>199</v>
      </c>
      <c r="O414" s="378">
        <v>1</v>
      </c>
      <c r="P414" s="384">
        <v>1</v>
      </c>
      <c r="Q414" s="384">
        <v>1</v>
      </c>
      <c r="R414" s="379">
        <v>80</v>
      </c>
      <c r="S414" s="384">
        <v>1</v>
      </c>
      <c r="T414" s="379">
        <v>71369.289999999994</v>
      </c>
      <c r="U414" s="379">
        <v>0</v>
      </c>
      <c r="V414" s="379">
        <v>26130.240000000002</v>
      </c>
      <c r="W414" s="379">
        <v>73923.199999999997</v>
      </c>
      <c r="X414" s="379">
        <v>27430.35</v>
      </c>
      <c r="Y414" s="379">
        <v>73923.199999999997</v>
      </c>
      <c r="Z414" s="379">
        <v>27075.52</v>
      </c>
      <c r="AA414" s="375" t="s">
        <v>1568</v>
      </c>
      <c r="AB414" s="375" t="s">
        <v>1569</v>
      </c>
      <c r="AC414" s="375" t="s">
        <v>1570</v>
      </c>
      <c r="AD414" s="375" t="s">
        <v>177</v>
      </c>
      <c r="AE414" s="375" t="s">
        <v>556</v>
      </c>
      <c r="AF414" s="375" t="s">
        <v>252</v>
      </c>
      <c r="AG414" s="375" t="s">
        <v>183</v>
      </c>
      <c r="AH414" s="380">
        <v>35.54</v>
      </c>
      <c r="AI414" s="380">
        <v>40941.4</v>
      </c>
      <c r="AJ414" s="375" t="s">
        <v>184</v>
      </c>
      <c r="AK414" s="375" t="s">
        <v>185</v>
      </c>
      <c r="AL414" s="375" t="s">
        <v>173</v>
      </c>
      <c r="AM414" s="375" t="s">
        <v>186</v>
      </c>
      <c r="AN414" s="375" t="s">
        <v>68</v>
      </c>
      <c r="AO414" s="378">
        <v>80</v>
      </c>
      <c r="AP414" s="384">
        <v>1</v>
      </c>
      <c r="AQ414" s="384">
        <v>1</v>
      </c>
      <c r="AR414" s="383" t="s">
        <v>187</v>
      </c>
      <c r="AS414" s="386">
        <f t="shared" si="291"/>
        <v>1</v>
      </c>
      <c r="AT414">
        <f t="shared" si="292"/>
        <v>1</v>
      </c>
      <c r="AU414" s="386">
        <f>IF(AT414=0,"",IF(AND(AT414=1,M414="F",SUMIF(C2:C557,C414,AS2:AS557)&lt;=1),SUMIF(C2:C557,C414,AS2:AS557),IF(AND(AT414=1,M414="F",SUMIF(C2:C557,C414,AS2:AS557)&gt;1),1,"")))</f>
        <v>1</v>
      </c>
      <c r="AV414" s="386" t="str">
        <f>IF(AT414=0,"",IF(AND(AT414=3,M414="F",SUMIF(C2:C557,C414,AS2:AS557)&lt;=1),SUMIF(C2:C557,C414,AS2:AS557),IF(AND(AT414=3,M414="F",SUMIF(C2:C557,C414,AS2:AS557)&gt;1),1,"")))</f>
        <v/>
      </c>
      <c r="AW414" s="386">
        <f>SUMIF(C2:C557,C414,O2:O557)</f>
        <v>1</v>
      </c>
      <c r="AX414" s="386">
        <f>IF(AND(M414="F",AS414&lt;&gt;0),SUMIF(C2:C557,C414,W2:W557),0)</f>
        <v>73923.199999999997</v>
      </c>
      <c r="AY414" s="386">
        <f t="shared" si="293"/>
        <v>73923.199999999997</v>
      </c>
      <c r="AZ414" s="386" t="str">
        <f t="shared" si="294"/>
        <v/>
      </c>
      <c r="BA414" s="386">
        <f t="shared" si="295"/>
        <v>0</v>
      </c>
      <c r="BB414" s="386">
        <f t="shared" si="264"/>
        <v>11650</v>
      </c>
      <c r="BC414" s="386">
        <f t="shared" si="265"/>
        <v>0</v>
      </c>
      <c r="BD414" s="386">
        <f t="shared" si="266"/>
        <v>4583.2384000000002</v>
      </c>
      <c r="BE414" s="386">
        <f t="shared" si="267"/>
        <v>1071.8864000000001</v>
      </c>
      <c r="BF414" s="386">
        <f t="shared" si="268"/>
        <v>8826.4300800000001</v>
      </c>
      <c r="BG414" s="386">
        <f t="shared" si="269"/>
        <v>532.98627199999999</v>
      </c>
      <c r="BH414" s="386">
        <f t="shared" si="270"/>
        <v>362.22368</v>
      </c>
      <c r="BI414" s="386">
        <f t="shared" si="271"/>
        <v>226.20499199999998</v>
      </c>
      <c r="BJ414" s="386">
        <f t="shared" si="272"/>
        <v>177.41567999999998</v>
      </c>
      <c r="BK414" s="386">
        <f t="shared" si="273"/>
        <v>0</v>
      </c>
      <c r="BL414" s="386">
        <f t="shared" si="296"/>
        <v>15780.385504</v>
      </c>
      <c r="BM414" s="386">
        <f t="shared" si="297"/>
        <v>0</v>
      </c>
      <c r="BN414" s="386">
        <f t="shared" si="274"/>
        <v>11650</v>
      </c>
      <c r="BO414" s="386">
        <f t="shared" si="275"/>
        <v>0</v>
      </c>
      <c r="BP414" s="386">
        <f t="shared" si="276"/>
        <v>4583.2384000000002</v>
      </c>
      <c r="BQ414" s="386">
        <f t="shared" si="277"/>
        <v>1071.8864000000001</v>
      </c>
      <c r="BR414" s="386">
        <f t="shared" si="278"/>
        <v>8826.4300800000001</v>
      </c>
      <c r="BS414" s="386">
        <f t="shared" si="279"/>
        <v>532.98627199999999</v>
      </c>
      <c r="BT414" s="386">
        <f t="shared" si="280"/>
        <v>0</v>
      </c>
      <c r="BU414" s="386">
        <f t="shared" si="281"/>
        <v>226.20499199999998</v>
      </c>
      <c r="BV414" s="386">
        <f t="shared" si="282"/>
        <v>184.80799999999999</v>
      </c>
      <c r="BW414" s="386">
        <f t="shared" si="283"/>
        <v>0</v>
      </c>
      <c r="BX414" s="386">
        <f t="shared" si="298"/>
        <v>15425.554144000002</v>
      </c>
      <c r="BY414" s="386">
        <f t="shared" si="299"/>
        <v>0</v>
      </c>
      <c r="BZ414" s="386">
        <f t="shared" si="300"/>
        <v>0</v>
      </c>
      <c r="CA414" s="386">
        <f t="shared" si="301"/>
        <v>0</v>
      </c>
      <c r="CB414" s="386">
        <f t="shared" si="302"/>
        <v>0</v>
      </c>
      <c r="CC414" s="386">
        <f t="shared" si="284"/>
        <v>0</v>
      </c>
      <c r="CD414" s="386">
        <f t="shared" si="285"/>
        <v>0</v>
      </c>
      <c r="CE414" s="386">
        <f t="shared" si="286"/>
        <v>0</v>
      </c>
      <c r="CF414" s="386">
        <f t="shared" si="287"/>
        <v>-362.22368</v>
      </c>
      <c r="CG414" s="386">
        <f t="shared" si="288"/>
        <v>0</v>
      </c>
      <c r="CH414" s="386">
        <f t="shared" si="289"/>
        <v>7.3923200000000193</v>
      </c>
      <c r="CI414" s="386">
        <f t="shared" si="290"/>
        <v>0</v>
      </c>
      <c r="CJ414" s="386">
        <f t="shared" si="303"/>
        <v>-354.83135999999996</v>
      </c>
      <c r="CK414" s="386" t="str">
        <f t="shared" si="304"/>
        <v/>
      </c>
      <c r="CL414" s="386" t="str">
        <f t="shared" si="305"/>
        <v/>
      </c>
      <c r="CM414" s="386" t="str">
        <f t="shared" si="306"/>
        <v/>
      </c>
      <c r="CN414" s="386" t="str">
        <f t="shared" si="307"/>
        <v>0276-00</v>
      </c>
    </row>
    <row r="415" spans="1:92" ht="15.75" thickBot="1" x14ac:dyDescent="0.3">
      <c r="A415" s="375" t="s">
        <v>161</v>
      </c>
      <c r="B415" s="375" t="s">
        <v>162</v>
      </c>
      <c r="C415" s="375" t="s">
        <v>1571</v>
      </c>
      <c r="D415" s="375" t="s">
        <v>617</v>
      </c>
      <c r="E415" s="375" t="s">
        <v>1537</v>
      </c>
      <c r="F415" s="376" t="s">
        <v>166</v>
      </c>
      <c r="G415" s="375" t="s">
        <v>1538</v>
      </c>
      <c r="H415" s="377"/>
      <c r="I415" s="377"/>
      <c r="J415" s="375" t="s">
        <v>168</v>
      </c>
      <c r="K415" s="375" t="s">
        <v>618</v>
      </c>
      <c r="L415" s="375" t="s">
        <v>173</v>
      </c>
      <c r="M415" s="375" t="s">
        <v>171</v>
      </c>
      <c r="N415" s="375" t="s">
        <v>199</v>
      </c>
      <c r="O415" s="378">
        <v>0</v>
      </c>
      <c r="P415" s="384">
        <v>1</v>
      </c>
      <c r="Q415" s="384">
        <v>1</v>
      </c>
      <c r="R415" s="379">
        <v>80</v>
      </c>
      <c r="S415" s="384">
        <v>1</v>
      </c>
      <c r="T415" s="379">
        <v>72939.22</v>
      </c>
      <c r="U415" s="379">
        <v>0</v>
      </c>
      <c r="V415" s="379">
        <v>26510.240000000002</v>
      </c>
      <c r="W415" s="379">
        <v>66788.800000000003</v>
      </c>
      <c r="X415" s="379">
        <v>29253.49</v>
      </c>
      <c r="Y415" s="379">
        <v>66788.800000000003</v>
      </c>
      <c r="Z415" s="379">
        <v>28919.55</v>
      </c>
      <c r="AA415" s="377"/>
      <c r="AB415" s="375" t="s">
        <v>45</v>
      </c>
      <c r="AC415" s="375" t="s">
        <v>45</v>
      </c>
      <c r="AD415" s="377"/>
      <c r="AE415" s="377"/>
      <c r="AF415" s="377"/>
      <c r="AG415" s="377"/>
      <c r="AH415" s="378">
        <v>0</v>
      </c>
      <c r="AI415" s="378">
        <v>0</v>
      </c>
      <c r="AJ415" s="377"/>
      <c r="AK415" s="377"/>
      <c r="AL415" s="375" t="s">
        <v>173</v>
      </c>
      <c r="AM415" s="377"/>
      <c r="AN415" s="377"/>
      <c r="AO415" s="378">
        <v>0</v>
      </c>
      <c r="AP415" s="384">
        <v>0</v>
      </c>
      <c r="AQ415" s="384">
        <v>0</v>
      </c>
      <c r="AR415" s="382"/>
      <c r="AS415" s="386">
        <f t="shared" si="291"/>
        <v>0</v>
      </c>
      <c r="AT415">
        <f t="shared" si="292"/>
        <v>0</v>
      </c>
      <c r="AU415" s="386" t="str">
        <f>IF(AT415=0,"",IF(AND(AT415=1,M415="F",SUMIF(C2:C557,C415,AS2:AS557)&lt;=1),SUMIF(C2:C557,C415,AS2:AS557),IF(AND(AT415=1,M415="F",SUMIF(C2:C557,C415,AS2:AS557)&gt;1),1,"")))</f>
        <v/>
      </c>
      <c r="AV415" s="386" t="str">
        <f>IF(AT415=0,"",IF(AND(AT415=3,M415="F",SUMIF(C2:C557,C415,AS2:AS557)&lt;=1),SUMIF(C2:C557,C415,AS2:AS557),IF(AND(AT415=3,M415="F",SUMIF(C2:C557,C415,AS2:AS557)&gt;1),1,"")))</f>
        <v/>
      </c>
      <c r="AW415" s="386">
        <f>SUMIF(C2:C557,C415,O2:O557)</f>
        <v>0</v>
      </c>
      <c r="AX415" s="386">
        <f>IF(AND(M415="F",AS415&lt;&gt;0),SUMIF(C2:C557,C415,W2:W557),0)</f>
        <v>0</v>
      </c>
      <c r="AY415" s="386" t="str">
        <f t="shared" si="293"/>
        <v/>
      </c>
      <c r="AZ415" s="386" t="str">
        <f t="shared" si="294"/>
        <v/>
      </c>
      <c r="BA415" s="386">
        <f t="shared" si="295"/>
        <v>0</v>
      </c>
      <c r="BB415" s="386">
        <f t="shared" si="264"/>
        <v>0</v>
      </c>
      <c r="BC415" s="386">
        <f t="shared" si="265"/>
        <v>0</v>
      </c>
      <c r="BD415" s="386">
        <f t="shared" si="266"/>
        <v>0</v>
      </c>
      <c r="BE415" s="386">
        <f t="shared" si="267"/>
        <v>0</v>
      </c>
      <c r="BF415" s="386">
        <f t="shared" si="268"/>
        <v>0</v>
      </c>
      <c r="BG415" s="386">
        <f t="shared" si="269"/>
        <v>0</v>
      </c>
      <c r="BH415" s="386">
        <f t="shared" si="270"/>
        <v>0</v>
      </c>
      <c r="BI415" s="386">
        <f t="shared" si="271"/>
        <v>0</v>
      </c>
      <c r="BJ415" s="386">
        <f t="shared" si="272"/>
        <v>0</v>
      </c>
      <c r="BK415" s="386">
        <f t="shared" si="273"/>
        <v>0</v>
      </c>
      <c r="BL415" s="386">
        <f t="shared" si="296"/>
        <v>0</v>
      </c>
      <c r="BM415" s="386">
        <f t="shared" si="297"/>
        <v>0</v>
      </c>
      <c r="BN415" s="386">
        <f t="shared" si="274"/>
        <v>0</v>
      </c>
      <c r="BO415" s="386">
        <f t="shared" si="275"/>
        <v>0</v>
      </c>
      <c r="BP415" s="386">
        <f t="shared" si="276"/>
        <v>0</v>
      </c>
      <c r="BQ415" s="386">
        <f t="shared" si="277"/>
        <v>0</v>
      </c>
      <c r="BR415" s="386">
        <f t="shared" si="278"/>
        <v>0</v>
      </c>
      <c r="BS415" s="386">
        <f t="shared" si="279"/>
        <v>0</v>
      </c>
      <c r="BT415" s="386">
        <f t="shared" si="280"/>
        <v>0</v>
      </c>
      <c r="BU415" s="386">
        <f t="shared" si="281"/>
        <v>0</v>
      </c>
      <c r="BV415" s="386">
        <f t="shared" si="282"/>
        <v>0</v>
      </c>
      <c r="BW415" s="386">
        <f t="shared" si="283"/>
        <v>0</v>
      </c>
      <c r="BX415" s="386">
        <f t="shared" si="298"/>
        <v>0</v>
      </c>
      <c r="BY415" s="386">
        <f t="shared" si="299"/>
        <v>0</v>
      </c>
      <c r="BZ415" s="386">
        <f t="shared" si="300"/>
        <v>0</v>
      </c>
      <c r="CA415" s="386">
        <f t="shared" si="301"/>
        <v>0</v>
      </c>
      <c r="CB415" s="386">
        <f t="shared" si="302"/>
        <v>0</v>
      </c>
      <c r="CC415" s="386">
        <f t="shared" si="284"/>
        <v>0</v>
      </c>
      <c r="CD415" s="386">
        <f t="shared" si="285"/>
        <v>0</v>
      </c>
      <c r="CE415" s="386">
        <f t="shared" si="286"/>
        <v>0</v>
      </c>
      <c r="CF415" s="386">
        <f t="shared" si="287"/>
        <v>0</v>
      </c>
      <c r="CG415" s="386">
        <f t="shared" si="288"/>
        <v>0</v>
      </c>
      <c r="CH415" s="386">
        <f t="shared" si="289"/>
        <v>0</v>
      </c>
      <c r="CI415" s="386">
        <f t="shared" si="290"/>
        <v>0</v>
      </c>
      <c r="CJ415" s="386">
        <f t="shared" si="303"/>
        <v>0</v>
      </c>
      <c r="CK415" s="386" t="str">
        <f t="shared" si="304"/>
        <v/>
      </c>
      <c r="CL415" s="386" t="str">
        <f t="shared" si="305"/>
        <v/>
      </c>
      <c r="CM415" s="386" t="str">
        <f t="shared" si="306"/>
        <v/>
      </c>
      <c r="CN415" s="386" t="str">
        <f t="shared" si="307"/>
        <v>0276-00</v>
      </c>
    </row>
    <row r="416" spans="1:92" ht="15.75" thickBot="1" x14ac:dyDescent="0.3">
      <c r="A416" s="375" t="s">
        <v>161</v>
      </c>
      <c r="B416" s="375" t="s">
        <v>162</v>
      </c>
      <c r="C416" s="375" t="s">
        <v>1572</v>
      </c>
      <c r="D416" s="375" t="s">
        <v>555</v>
      </c>
      <c r="E416" s="375" t="s">
        <v>1537</v>
      </c>
      <c r="F416" s="376" t="s">
        <v>166</v>
      </c>
      <c r="G416" s="375" t="s">
        <v>1538</v>
      </c>
      <c r="H416" s="377"/>
      <c r="I416" s="377"/>
      <c r="J416" s="375" t="s">
        <v>168</v>
      </c>
      <c r="K416" s="375" t="s">
        <v>556</v>
      </c>
      <c r="L416" s="375" t="s">
        <v>220</v>
      </c>
      <c r="M416" s="375" t="s">
        <v>177</v>
      </c>
      <c r="N416" s="375" t="s">
        <v>199</v>
      </c>
      <c r="O416" s="378">
        <v>1</v>
      </c>
      <c r="P416" s="384">
        <v>1</v>
      </c>
      <c r="Q416" s="384">
        <v>1</v>
      </c>
      <c r="R416" s="379">
        <v>80</v>
      </c>
      <c r="S416" s="384">
        <v>1</v>
      </c>
      <c r="T416" s="379">
        <v>52299.4</v>
      </c>
      <c r="U416" s="379">
        <v>0</v>
      </c>
      <c r="V416" s="379">
        <v>20033.66</v>
      </c>
      <c r="W416" s="379">
        <v>73320</v>
      </c>
      <c r="X416" s="379">
        <v>27301.58</v>
      </c>
      <c r="Y416" s="379">
        <v>73320</v>
      </c>
      <c r="Z416" s="379">
        <v>26949.66</v>
      </c>
      <c r="AA416" s="375" t="s">
        <v>1573</v>
      </c>
      <c r="AB416" s="375" t="s">
        <v>1574</v>
      </c>
      <c r="AC416" s="375" t="s">
        <v>1460</v>
      </c>
      <c r="AD416" s="375" t="s">
        <v>185</v>
      </c>
      <c r="AE416" s="375" t="s">
        <v>556</v>
      </c>
      <c r="AF416" s="375" t="s">
        <v>252</v>
      </c>
      <c r="AG416" s="375" t="s">
        <v>183</v>
      </c>
      <c r="AH416" s="380">
        <v>35.25</v>
      </c>
      <c r="AI416" s="378">
        <v>70389</v>
      </c>
      <c r="AJ416" s="375" t="s">
        <v>184</v>
      </c>
      <c r="AK416" s="375" t="s">
        <v>185</v>
      </c>
      <c r="AL416" s="375" t="s">
        <v>173</v>
      </c>
      <c r="AM416" s="375" t="s">
        <v>186</v>
      </c>
      <c r="AN416" s="375" t="s">
        <v>68</v>
      </c>
      <c r="AO416" s="378">
        <v>80</v>
      </c>
      <c r="AP416" s="384">
        <v>1</v>
      </c>
      <c r="AQ416" s="384">
        <v>1</v>
      </c>
      <c r="AR416" s="383" t="s">
        <v>187</v>
      </c>
      <c r="AS416" s="386">
        <f t="shared" si="291"/>
        <v>1</v>
      </c>
      <c r="AT416">
        <f t="shared" si="292"/>
        <v>1</v>
      </c>
      <c r="AU416" s="386">
        <f>IF(AT416=0,"",IF(AND(AT416=1,M416="F",SUMIF(C2:C557,C416,AS2:AS557)&lt;=1),SUMIF(C2:C557,C416,AS2:AS557),IF(AND(AT416=1,M416="F",SUMIF(C2:C557,C416,AS2:AS557)&gt;1),1,"")))</f>
        <v>1</v>
      </c>
      <c r="AV416" s="386" t="str">
        <f>IF(AT416=0,"",IF(AND(AT416=3,M416="F",SUMIF(C2:C557,C416,AS2:AS557)&lt;=1),SUMIF(C2:C557,C416,AS2:AS557),IF(AND(AT416=3,M416="F",SUMIF(C2:C557,C416,AS2:AS557)&gt;1),1,"")))</f>
        <v/>
      </c>
      <c r="AW416" s="386">
        <f>SUMIF(C2:C557,C416,O2:O557)</f>
        <v>1</v>
      </c>
      <c r="AX416" s="386">
        <f>IF(AND(M416="F",AS416&lt;&gt;0),SUMIF(C2:C557,C416,W2:W557),0)</f>
        <v>73320</v>
      </c>
      <c r="AY416" s="386">
        <f t="shared" si="293"/>
        <v>73320</v>
      </c>
      <c r="AZ416" s="386" t="str">
        <f t="shared" si="294"/>
        <v/>
      </c>
      <c r="BA416" s="386">
        <f t="shared" si="295"/>
        <v>0</v>
      </c>
      <c r="BB416" s="386">
        <f t="shared" si="264"/>
        <v>11650</v>
      </c>
      <c r="BC416" s="386">
        <f t="shared" si="265"/>
        <v>0</v>
      </c>
      <c r="BD416" s="386">
        <f t="shared" si="266"/>
        <v>4545.84</v>
      </c>
      <c r="BE416" s="386">
        <f t="shared" si="267"/>
        <v>1063.1400000000001</v>
      </c>
      <c r="BF416" s="386">
        <f t="shared" si="268"/>
        <v>8754.4080000000013</v>
      </c>
      <c r="BG416" s="386">
        <f t="shared" si="269"/>
        <v>528.63720000000001</v>
      </c>
      <c r="BH416" s="386">
        <f t="shared" si="270"/>
        <v>359.26799999999997</v>
      </c>
      <c r="BI416" s="386">
        <f t="shared" si="271"/>
        <v>224.35919999999999</v>
      </c>
      <c r="BJ416" s="386">
        <f t="shared" si="272"/>
        <v>175.96799999999999</v>
      </c>
      <c r="BK416" s="386">
        <f t="shared" si="273"/>
        <v>0</v>
      </c>
      <c r="BL416" s="386">
        <f t="shared" si="296"/>
        <v>15651.620400000003</v>
      </c>
      <c r="BM416" s="386">
        <f t="shared" si="297"/>
        <v>0</v>
      </c>
      <c r="BN416" s="386">
        <f t="shared" si="274"/>
        <v>11650</v>
      </c>
      <c r="BO416" s="386">
        <f t="shared" si="275"/>
        <v>0</v>
      </c>
      <c r="BP416" s="386">
        <f t="shared" si="276"/>
        <v>4545.84</v>
      </c>
      <c r="BQ416" s="386">
        <f t="shared" si="277"/>
        <v>1063.1400000000001</v>
      </c>
      <c r="BR416" s="386">
        <f t="shared" si="278"/>
        <v>8754.4080000000013</v>
      </c>
      <c r="BS416" s="386">
        <f t="shared" si="279"/>
        <v>528.63720000000001</v>
      </c>
      <c r="BT416" s="386">
        <f t="shared" si="280"/>
        <v>0</v>
      </c>
      <c r="BU416" s="386">
        <f t="shared" si="281"/>
        <v>224.35919999999999</v>
      </c>
      <c r="BV416" s="386">
        <f t="shared" si="282"/>
        <v>183.3</v>
      </c>
      <c r="BW416" s="386">
        <f t="shared" si="283"/>
        <v>0</v>
      </c>
      <c r="BX416" s="386">
        <f t="shared" si="298"/>
        <v>15299.684400000002</v>
      </c>
      <c r="BY416" s="386">
        <f t="shared" si="299"/>
        <v>0</v>
      </c>
      <c r="BZ416" s="386">
        <f t="shared" si="300"/>
        <v>0</v>
      </c>
      <c r="CA416" s="386">
        <f t="shared" si="301"/>
        <v>0</v>
      </c>
      <c r="CB416" s="386">
        <f t="shared" si="302"/>
        <v>0</v>
      </c>
      <c r="CC416" s="386">
        <f t="shared" si="284"/>
        <v>0</v>
      </c>
      <c r="CD416" s="386">
        <f t="shared" si="285"/>
        <v>0</v>
      </c>
      <c r="CE416" s="386">
        <f t="shared" si="286"/>
        <v>0</v>
      </c>
      <c r="CF416" s="386">
        <f t="shared" si="287"/>
        <v>-359.26799999999997</v>
      </c>
      <c r="CG416" s="386">
        <f t="shared" si="288"/>
        <v>0</v>
      </c>
      <c r="CH416" s="386">
        <f t="shared" si="289"/>
        <v>7.3320000000000194</v>
      </c>
      <c r="CI416" s="386">
        <f t="shared" si="290"/>
        <v>0</v>
      </c>
      <c r="CJ416" s="386">
        <f t="shared" si="303"/>
        <v>-351.93599999999998</v>
      </c>
      <c r="CK416" s="386" t="str">
        <f t="shared" si="304"/>
        <v/>
      </c>
      <c r="CL416" s="386" t="str">
        <f t="shared" si="305"/>
        <v/>
      </c>
      <c r="CM416" s="386" t="str">
        <f t="shared" si="306"/>
        <v/>
      </c>
      <c r="CN416" s="386" t="str">
        <f t="shared" si="307"/>
        <v>0276-00</v>
      </c>
    </row>
    <row r="417" spans="1:92" ht="15.75" thickBot="1" x14ac:dyDescent="0.3">
      <c r="A417" s="375" t="s">
        <v>161</v>
      </c>
      <c r="B417" s="375" t="s">
        <v>162</v>
      </c>
      <c r="C417" s="375" t="s">
        <v>1575</v>
      </c>
      <c r="D417" s="375" t="s">
        <v>561</v>
      </c>
      <c r="E417" s="375" t="s">
        <v>1537</v>
      </c>
      <c r="F417" s="376" t="s">
        <v>166</v>
      </c>
      <c r="G417" s="375" t="s">
        <v>1538</v>
      </c>
      <c r="H417" s="377"/>
      <c r="I417" s="377"/>
      <c r="J417" s="375" t="s">
        <v>168</v>
      </c>
      <c r="K417" s="375" t="s">
        <v>562</v>
      </c>
      <c r="L417" s="375" t="s">
        <v>170</v>
      </c>
      <c r="M417" s="375" t="s">
        <v>171</v>
      </c>
      <c r="N417" s="375" t="s">
        <v>199</v>
      </c>
      <c r="O417" s="378">
        <v>0</v>
      </c>
      <c r="P417" s="384">
        <v>1</v>
      </c>
      <c r="Q417" s="384">
        <v>1</v>
      </c>
      <c r="R417" s="379">
        <v>80</v>
      </c>
      <c r="S417" s="384">
        <v>1</v>
      </c>
      <c r="T417" s="379">
        <v>42147.02</v>
      </c>
      <c r="U417" s="379">
        <v>0</v>
      </c>
      <c r="V417" s="379">
        <v>18451.240000000002</v>
      </c>
      <c r="W417" s="379">
        <v>53476.800000000003</v>
      </c>
      <c r="X417" s="379">
        <v>23422.83</v>
      </c>
      <c r="Y417" s="379">
        <v>53476.800000000003</v>
      </c>
      <c r="Z417" s="379">
        <v>23155.45</v>
      </c>
      <c r="AA417" s="377"/>
      <c r="AB417" s="375" t="s">
        <v>45</v>
      </c>
      <c r="AC417" s="375" t="s">
        <v>45</v>
      </c>
      <c r="AD417" s="377"/>
      <c r="AE417" s="377"/>
      <c r="AF417" s="377"/>
      <c r="AG417" s="377"/>
      <c r="AH417" s="378">
        <v>0</v>
      </c>
      <c r="AI417" s="378">
        <v>0</v>
      </c>
      <c r="AJ417" s="377"/>
      <c r="AK417" s="377"/>
      <c r="AL417" s="375" t="s">
        <v>173</v>
      </c>
      <c r="AM417" s="377"/>
      <c r="AN417" s="377"/>
      <c r="AO417" s="378">
        <v>0</v>
      </c>
      <c r="AP417" s="384">
        <v>0</v>
      </c>
      <c r="AQ417" s="384">
        <v>0</v>
      </c>
      <c r="AR417" s="382"/>
      <c r="AS417" s="386">
        <f t="shared" si="291"/>
        <v>0</v>
      </c>
      <c r="AT417">
        <f t="shared" si="292"/>
        <v>0</v>
      </c>
      <c r="AU417" s="386" t="str">
        <f>IF(AT417=0,"",IF(AND(AT417=1,M417="F",SUMIF(C2:C557,C417,AS2:AS557)&lt;=1),SUMIF(C2:C557,C417,AS2:AS557),IF(AND(AT417=1,M417="F",SUMIF(C2:C557,C417,AS2:AS557)&gt;1),1,"")))</f>
        <v/>
      </c>
      <c r="AV417" s="386" t="str">
        <f>IF(AT417=0,"",IF(AND(AT417=3,M417="F",SUMIF(C2:C557,C417,AS2:AS557)&lt;=1),SUMIF(C2:C557,C417,AS2:AS557),IF(AND(AT417=3,M417="F",SUMIF(C2:C557,C417,AS2:AS557)&gt;1),1,"")))</f>
        <v/>
      </c>
      <c r="AW417" s="386">
        <f>SUMIF(C2:C557,C417,O2:O557)</f>
        <v>0</v>
      </c>
      <c r="AX417" s="386">
        <f>IF(AND(M417="F",AS417&lt;&gt;0),SUMIF(C2:C557,C417,W2:W557),0)</f>
        <v>0</v>
      </c>
      <c r="AY417" s="386" t="str">
        <f t="shared" si="293"/>
        <v/>
      </c>
      <c r="AZ417" s="386" t="str">
        <f t="shared" si="294"/>
        <v/>
      </c>
      <c r="BA417" s="386">
        <f t="shared" si="295"/>
        <v>0</v>
      </c>
      <c r="BB417" s="386">
        <f t="shared" si="264"/>
        <v>0</v>
      </c>
      <c r="BC417" s="386">
        <f t="shared" si="265"/>
        <v>0</v>
      </c>
      <c r="BD417" s="386">
        <f t="shared" si="266"/>
        <v>0</v>
      </c>
      <c r="BE417" s="386">
        <f t="shared" si="267"/>
        <v>0</v>
      </c>
      <c r="BF417" s="386">
        <f t="shared" si="268"/>
        <v>0</v>
      </c>
      <c r="BG417" s="386">
        <f t="shared" si="269"/>
        <v>0</v>
      </c>
      <c r="BH417" s="386">
        <f t="shared" si="270"/>
        <v>0</v>
      </c>
      <c r="BI417" s="386">
        <f t="shared" si="271"/>
        <v>0</v>
      </c>
      <c r="BJ417" s="386">
        <f t="shared" si="272"/>
        <v>0</v>
      </c>
      <c r="BK417" s="386">
        <f t="shared" si="273"/>
        <v>0</v>
      </c>
      <c r="BL417" s="386">
        <f t="shared" si="296"/>
        <v>0</v>
      </c>
      <c r="BM417" s="386">
        <f t="shared" si="297"/>
        <v>0</v>
      </c>
      <c r="BN417" s="386">
        <f t="shared" si="274"/>
        <v>0</v>
      </c>
      <c r="BO417" s="386">
        <f t="shared" si="275"/>
        <v>0</v>
      </c>
      <c r="BP417" s="386">
        <f t="shared" si="276"/>
        <v>0</v>
      </c>
      <c r="BQ417" s="386">
        <f t="shared" si="277"/>
        <v>0</v>
      </c>
      <c r="BR417" s="386">
        <f t="shared" si="278"/>
        <v>0</v>
      </c>
      <c r="BS417" s="386">
        <f t="shared" si="279"/>
        <v>0</v>
      </c>
      <c r="BT417" s="386">
        <f t="shared" si="280"/>
        <v>0</v>
      </c>
      <c r="BU417" s="386">
        <f t="shared" si="281"/>
        <v>0</v>
      </c>
      <c r="BV417" s="386">
        <f t="shared" si="282"/>
        <v>0</v>
      </c>
      <c r="BW417" s="386">
        <f t="shared" si="283"/>
        <v>0</v>
      </c>
      <c r="BX417" s="386">
        <f t="shared" si="298"/>
        <v>0</v>
      </c>
      <c r="BY417" s="386">
        <f t="shared" si="299"/>
        <v>0</v>
      </c>
      <c r="BZ417" s="386">
        <f t="shared" si="300"/>
        <v>0</v>
      </c>
      <c r="CA417" s="386">
        <f t="shared" si="301"/>
        <v>0</v>
      </c>
      <c r="CB417" s="386">
        <f t="shared" si="302"/>
        <v>0</v>
      </c>
      <c r="CC417" s="386">
        <f t="shared" si="284"/>
        <v>0</v>
      </c>
      <c r="CD417" s="386">
        <f t="shared" si="285"/>
        <v>0</v>
      </c>
      <c r="CE417" s="386">
        <f t="shared" si="286"/>
        <v>0</v>
      </c>
      <c r="CF417" s="386">
        <f t="shared" si="287"/>
        <v>0</v>
      </c>
      <c r="CG417" s="386">
        <f t="shared" si="288"/>
        <v>0</v>
      </c>
      <c r="CH417" s="386">
        <f t="shared" si="289"/>
        <v>0</v>
      </c>
      <c r="CI417" s="386">
        <f t="shared" si="290"/>
        <v>0</v>
      </c>
      <c r="CJ417" s="386">
        <f t="shared" si="303"/>
        <v>0</v>
      </c>
      <c r="CK417" s="386" t="str">
        <f t="shared" si="304"/>
        <v/>
      </c>
      <c r="CL417" s="386" t="str">
        <f t="shared" si="305"/>
        <v/>
      </c>
      <c r="CM417" s="386" t="str">
        <f t="shared" si="306"/>
        <v/>
      </c>
      <c r="CN417" s="386" t="str">
        <f t="shared" si="307"/>
        <v>0276-00</v>
      </c>
    </row>
    <row r="418" spans="1:92" ht="15.75" thickBot="1" x14ac:dyDescent="0.3">
      <c r="A418" s="375" t="s">
        <v>161</v>
      </c>
      <c r="B418" s="375" t="s">
        <v>162</v>
      </c>
      <c r="C418" s="375" t="s">
        <v>713</v>
      </c>
      <c r="D418" s="375" t="s">
        <v>611</v>
      </c>
      <c r="E418" s="375" t="s">
        <v>1537</v>
      </c>
      <c r="F418" s="376" t="s">
        <v>166</v>
      </c>
      <c r="G418" s="375" t="s">
        <v>1538</v>
      </c>
      <c r="H418" s="377"/>
      <c r="I418" s="377"/>
      <c r="J418" s="375" t="s">
        <v>218</v>
      </c>
      <c r="K418" s="375" t="s">
        <v>612</v>
      </c>
      <c r="L418" s="375" t="s">
        <v>316</v>
      </c>
      <c r="M418" s="375" t="s">
        <v>177</v>
      </c>
      <c r="N418" s="375" t="s">
        <v>199</v>
      </c>
      <c r="O418" s="378">
        <v>1</v>
      </c>
      <c r="P418" s="384">
        <v>0.2</v>
      </c>
      <c r="Q418" s="384">
        <v>0.2</v>
      </c>
      <c r="R418" s="379">
        <v>80</v>
      </c>
      <c r="S418" s="384">
        <v>0.2</v>
      </c>
      <c r="T418" s="379">
        <v>20483.53</v>
      </c>
      <c r="U418" s="379">
        <v>0</v>
      </c>
      <c r="V418" s="379">
        <v>6552.29</v>
      </c>
      <c r="W418" s="379">
        <v>21191.040000000001</v>
      </c>
      <c r="X418" s="379">
        <v>6853.64</v>
      </c>
      <c r="Y418" s="379">
        <v>21191.040000000001</v>
      </c>
      <c r="Z418" s="379">
        <v>6751.93</v>
      </c>
      <c r="AA418" s="375" t="s">
        <v>714</v>
      </c>
      <c r="AB418" s="375" t="s">
        <v>715</v>
      </c>
      <c r="AC418" s="375" t="s">
        <v>716</v>
      </c>
      <c r="AD418" s="375" t="s">
        <v>170</v>
      </c>
      <c r="AE418" s="375" t="s">
        <v>612</v>
      </c>
      <c r="AF418" s="375" t="s">
        <v>374</v>
      </c>
      <c r="AG418" s="375" t="s">
        <v>183</v>
      </c>
      <c r="AH418" s="380">
        <v>50.94</v>
      </c>
      <c r="AI418" s="380">
        <v>70789.399999999994</v>
      </c>
      <c r="AJ418" s="375" t="s">
        <v>184</v>
      </c>
      <c r="AK418" s="375" t="s">
        <v>185</v>
      </c>
      <c r="AL418" s="375" t="s">
        <v>173</v>
      </c>
      <c r="AM418" s="375" t="s">
        <v>186</v>
      </c>
      <c r="AN418" s="375" t="s">
        <v>68</v>
      </c>
      <c r="AO418" s="378">
        <v>80</v>
      </c>
      <c r="AP418" s="384">
        <v>1</v>
      </c>
      <c r="AQ418" s="384">
        <v>0.2</v>
      </c>
      <c r="AR418" s="383" t="s">
        <v>187</v>
      </c>
      <c r="AS418" s="386">
        <f t="shared" si="291"/>
        <v>0.2</v>
      </c>
      <c r="AT418">
        <f t="shared" si="292"/>
        <v>1</v>
      </c>
      <c r="AU418" s="386">
        <f>IF(AT418=0,"",IF(AND(AT418=1,M418="F",SUMIF(C2:C557,C418,AS2:AS557)&lt;=1),SUMIF(C2:C557,C418,AS2:AS557),IF(AND(AT418=1,M418="F",SUMIF(C2:C557,C418,AS2:AS557)&gt;1),1,"")))</f>
        <v>1</v>
      </c>
      <c r="AV418" s="386" t="str">
        <f>IF(AT418=0,"",IF(AND(AT418=3,M418="F",SUMIF(C2:C557,C418,AS2:AS557)&lt;=1),SUMIF(C2:C557,C418,AS2:AS557),IF(AND(AT418=3,M418="F",SUMIF(C2:C557,C418,AS2:AS557)&gt;1),1,"")))</f>
        <v/>
      </c>
      <c r="AW418" s="386">
        <f>SUMIF(C2:C557,C418,O2:O557)</f>
        <v>2</v>
      </c>
      <c r="AX418" s="386">
        <f>IF(AND(M418="F",AS418&lt;&gt;0),SUMIF(C2:C557,C418,W2:W557),0)</f>
        <v>105955.20000000001</v>
      </c>
      <c r="AY418" s="386">
        <f t="shared" si="293"/>
        <v>21191.040000000001</v>
      </c>
      <c r="AZ418" s="386" t="str">
        <f t="shared" si="294"/>
        <v/>
      </c>
      <c r="BA418" s="386">
        <f t="shared" si="295"/>
        <v>0</v>
      </c>
      <c r="BB418" s="386">
        <f t="shared" si="264"/>
        <v>2330</v>
      </c>
      <c r="BC418" s="386">
        <f t="shared" si="265"/>
        <v>0</v>
      </c>
      <c r="BD418" s="386">
        <f t="shared" si="266"/>
        <v>1313.84448</v>
      </c>
      <c r="BE418" s="386">
        <f t="shared" si="267"/>
        <v>307.27008000000001</v>
      </c>
      <c r="BF418" s="386">
        <f t="shared" si="268"/>
        <v>2530.210176</v>
      </c>
      <c r="BG418" s="386">
        <f t="shared" si="269"/>
        <v>152.7873984</v>
      </c>
      <c r="BH418" s="386">
        <f t="shared" si="270"/>
        <v>103.836096</v>
      </c>
      <c r="BI418" s="386">
        <f t="shared" si="271"/>
        <v>64.844582399999993</v>
      </c>
      <c r="BJ418" s="386">
        <f t="shared" si="272"/>
        <v>50.858495999999995</v>
      </c>
      <c r="BK418" s="386">
        <f t="shared" si="273"/>
        <v>0</v>
      </c>
      <c r="BL418" s="386">
        <f t="shared" si="296"/>
        <v>4523.6513088000002</v>
      </c>
      <c r="BM418" s="386">
        <f t="shared" si="297"/>
        <v>0</v>
      </c>
      <c r="BN418" s="386">
        <f t="shared" si="274"/>
        <v>2330</v>
      </c>
      <c r="BO418" s="386">
        <f t="shared" si="275"/>
        <v>0</v>
      </c>
      <c r="BP418" s="386">
        <f t="shared" si="276"/>
        <v>1313.84448</v>
      </c>
      <c r="BQ418" s="386">
        <f t="shared" si="277"/>
        <v>307.27008000000001</v>
      </c>
      <c r="BR418" s="386">
        <f t="shared" si="278"/>
        <v>2530.210176</v>
      </c>
      <c r="BS418" s="386">
        <f t="shared" si="279"/>
        <v>152.7873984</v>
      </c>
      <c r="BT418" s="386">
        <f t="shared" si="280"/>
        <v>0</v>
      </c>
      <c r="BU418" s="386">
        <f t="shared" si="281"/>
        <v>64.844582399999993</v>
      </c>
      <c r="BV418" s="386">
        <f t="shared" si="282"/>
        <v>52.977600000000002</v>
      </c>
      <c r="BW418" s="386">
        <f t="shared" si="283"/>
        <v>0</v>
      </c>
      <c r="BX418" s="386">
        <f t="shared" si="298"/>
        <v>4421.9343168000005</v>
      </c>
      <c r="BY418" s="386">
        <f t="shared" si="299"/>
        <v>0</v>
      </c>
      <c r="BZ418" s="386">
        <f t="shared" si="300"/>
        <v>0</v>
      </c>
      <c r="CA418" s="386">
        <f t="shared" si="301"/>
        <v>0</v>
      </c>
      <c r="CB418" s="386">
        <f t="shared" si="302"/>
        <v>0</v>
      </c>
      <c r="CC418" s="386">
        <f t="shared" si="284"/>
        <v>0</v>
      </c>
      <c r="CD418" s="386">
        <f t="shared" si="285"/>
        <v>0</v>
      </c>
      <c r="CE418" s="386">
        <f t="shared" si="286"/>
        <v>0</v>
      </c>
      <c r="CF418" s="386">
        <f t="shared" si="287"/>
        <v>-103.836096</v>
      </c>
      <c r="CG418" s="386">
        <f t="shared" si="288"/>
        <v>0</v>
      </c>
      <c r="CH418" s="386">
        <f t="shared" si="289"/>
        <v>2.1191040000000054</v>
      </c>
      <c r="CI418" s="386">
        <f t="shared" si="290"/>
        <v>0</v>
      </c>
      <c r="CJ418" s="386">
        <f t="shared" si="303"/>
        <v>-101.71699199999999</v>
      </c>
      <c r="CK418" s="386" t="str">
        <f t="shared" si="304"/>
        <v/>
      </c>
      <c r="CL418" s="386" t="str">
        <f t="shared" si="305"/>
        <v/>
      </c>
      <c r="CM418" s="386" t="str">
        <f t="shared" si="306"/>
        <v/>
      </c>
      <c r="CN418" s="386" t="str">
        <f t="shared" si="307"/>
        <v>0276-00</v>
      </c>
    </row>
    <row r="419" spans="1:92" ht="15.75" thickBot="1" x14ac:dyDescent="0.3">
      <c r="A419" s="375" t="s">
        <v>161</v>
      </c>
      <c r="B419" s="375" t="s">
        <v>162</v>
      </c>
      <c r="C419" s="375" t="s">
        <v>905</v>
      </c>
      <c r="D419" s="375" t="s">
        <v>555</v>
      </c>
      <c r="E419" s="375" t="s">
        <v>1537</v>
      </c>
      <c r="F419" s="376" t="s">
        <v>166</v>
      </c>
      <c r="G419" s="375" t="s">
        <v>1538</v>
      </c>
      <c r="H419" s="377"/>
      <c r="I419" s="377"/>
      <c r="J419" s="375" t="s">
        <v>272</v>
      </c>
      <c r="K419" s="375" t="s">
        <v>556</v>
      </c>
      <c r="L419" s="375" t="s">
        <v>220</v>
      </c>
      <c r="M419" s="375" t="s">
        <v>177</v>
      </c>
      <c r="N419" s="375" t="s">
        <v>199</v>
      </c>
      <c r="O419" s="378">
        <v>1</v>
      </c>
      <c r="P419" s="384">
        <v>0.2</v>
      </c>
      <c r="Q419" s="384">
        <v>0.2</v>
      </c>
      <c r="R419" s="379">
        <v>80</v>
      </c>
      <c r="S419" s="384">
        <v>0.2</v>
      </c>
      <c r="T419" s="379">
        <v>12518.22</v>
      </c>
      <c r="U419" s="379">
        <v>0</v>
      </c>
      <c r="V419" s="379">
        <v>4877.5</v>
      </c>
      <c r="W419" s="379">
        <v>12987.52</v>
      </c>
      <c r="X419" s="379">
        <v>5102.4399999999996</v>
      </c>
      <c r="Y419" s="379">
        <v>12987.52</v>
      </c>
      <c r="Z419" s="379">
        <v>5040.1000000000004</v>
      </c>
      <c r="AA419" s="375" t="s">
        <v>906</v>
      </c>
      <c r="AB419" s="375" t="s">
        <v>907</v>
      </c>
      <c r="AC419" s="375" t="s">
        <v>815</v>
      </c>
      <c r="AD419" s="375" t="s">
        <v>170</v>
      </c>
      <c r="AE419" s="375" t="s">
        <v>556</v>
      </c>
      <c r="AF419" s="375" t="s">
        <v>252</v>
      </c>
      <c r="AG419" s="375" t="s">
        <v>183</v>
      </c>
      <c r="AH419" s="380">
        <v>31.22</v>
      </c>
      <c r="AI419" s="380">
        <v>30095.5</v>
      </c>
      <c r="AJ419" s="375" t="s">
        <v>184</v>
      </c>
      <c r="AK419" s="375" t="s">
        <v>185</v>
      </c>
      <c r="AL419" s="375" t="s">
        <v>173</v>
      </c>
      <c r="AM419" s="375" t="s">
        <v>186</v>
      </c>
      <c r="AN419" s="375" t="s">
        <v>68</v>
      </c>
      <c r="AO419" s="378">
        <v>80</v>
      </c>
      <c r="AP419" s="384">
        <v>1</v>
      </c>
      <c r="AQ419" s="384">
        <v>0.2</v>
      </c>
      <c r="AR419" s="383" t="s">
        <v>187</v>
      </c>
      <c r="AS419" s="386">
        <f t="shared" si="291"/>
        <v>0.2</v>
      </c>
      <c r="AT419">
        <f t="shared" si="292"/>
        <v>1</v>
      </c>
      <c r="AU419" s="386">
        <f>IF(AT419=0,"",IF(AND(AT419=1,M419="F",SUMIF(C2:C557,C419,AS2:AS557)&lt;=1),SUMIF(C2:C557,C419,AS2:AS557),IF(AND(AT419=1,M419="F",SUMIF(C2:C557,C419,AS2:AS557)&gt;1),1,"")))</f>
        <v>1</v>
      </c>
      <c r="AV419" s="386" t="str">
        <f>IF(AT419=0,"",IF(AND(AT419=3,M419="F",SUMIF(C2:C557,C419,AS2:AS557)&lt;=1),SUMIF(C2:C557,C419,AS2:AS557),IF(AND(AT419=3,M419="F",SUMIF(C2:C557,C419,AS2:AS557)&gt;1),1,"")))</f>
        <v/>
      </c>
      <c r="AW419" s="386">
        <f>SUMIF(C2:C557,C419,O2:O557)</f>
        <v>3</v>
      </c>
      <c r="AX419" s="386">
        <f>IF(AND(M419="F",AS419&lt;&gt;0),SUMIF(C2:C557,C419,W2:W557),0)</f>
        <v>64937.599999999991</v>
      </c>
      <c r="AY419" s="386">
        <f t="shared" si="293"/>
        <v>12987.52</v>
      </c>
      <c r="AZ419" s="386" t="str">
        <f t="shared" si="294"/>
        <v/>
      </c>
      <c r="BA419" s="386">
        <f t="shared" si="295"/>
        <v>0</v>
      </c>
      <c r="BB419" s="386">
        <f t="shared" si="264"/>
        <v>2330</v>
      </c>
      <c r="BC419" s="386">
        <f t="shared" si="265"/>
        <v>0</v>
      </c>
      <c r="BD419" s="386">
        <f t="shared" si="266"/>
        <v>805.22624000000008</v>
      </c>
      <c r="BE419" s="386">
        <f t="shared" si="267"/>
        <v>188.31904000000003</v>
      </c>
      <c r="BF419" s="386">
        <f t="shared" si="268"/>
        <v>1550.7098880000001</v>
      </c>
      <c r="BG419" s="386">
        <f t="shared" si="269"/>
        <v>93.640019200000012</v>
      </c>
      <c r="BH419" s="386">
        <f t="shared" si="270"/>
        <v>63.638848000000003</v>
      </c>
      <c r="BI419" s="386">
        <f t="shared" si="271"/>
        <v>39.741811200000001</v>
      </c>
      <c r="BJ419" s="386">
        <f t="shared" si="272"/>
        <v>31.170047999999998</v>
      </c>
      <c r="BK419" s="386">
        <f t="shared" si="273"/>
        <v>0</v>
      </c>
      <c r="BL419" s="386">
        <f t="shared" si="296"/>
        <v>2772.4458944000003</v>
      </c>
      <c r="BM419" s="386">
        <f t="shared" si="297"/>
        <v>0</v>
      </c>
      <c r="BN419" s="386">
        <f t="shared" si="274"/>
        <v>2330</v>
      </c>
      <c r="BO419" s="386">
        <f t="shared" si="275"/>
        <v>0</v>
      </c>
      <c r="BP419" s="386">
        <f t="shared" si="276"/>
        <v>805.22624000000008</v>
      </c>
      <c r="BQ419" s="386">
        <f t="shared" si="277"/>
        <v>188.31904000000003</v>
      </c>
      <c r="BR419" s="386">
        <f t="shared" si="278"/>
        <v>1550.7098880000001</v>
      </c>
      <c r="BS419" s="386">
        <f t="shared" si="279"/>
        <v>93.640019200000012</v>
      </c>
      <c r="BT419" s="386">
        <f t="shared" si="280"/>
        <v>0</v>
      </c>
      <c r="BU419" s="386">
        <f t="shared" si="281"/>
        <v>39.741811200000001</v>
      </c>
      <c r="BV419" s="386">
        <f t="shared" si="282"/>
        <v>32.468800000000002</v>
      </c>
      <c r="BW419" s="386">
        <f t="shared" si="283"/>
        <v>0</v>
      </c>
      <c r="BX419" s="386">
        <f t="shared" si="298"/>
        <v>2710.1057984000004</v>
      </c>
      <c r="BY419" s="386">
        <f t="shared" si="299"/>
        <v>0</v>
      </c>
      <c r="BZ419" s="386">
        <f t="shared" si="300"/>
        <v>0</v>
      </c>
      <c r="CA419" s="386">
        <f t="shared" si="301"/>
        <v>0</v>
      </c>
      <c r="CB419" s="386">
        <f t="shared" si="302"/>
        <v>0</v>
      </c>
      <c r="CC419" s="386">
        <f t="shared" si="284"/>
        <v>0</v>
      </c>
      <c r="CD419" s="386">
        <f t="shared" si="285"/>
        <v>0</v>
      </c>
      <c r="CE419" s="386">
        <f t="shared" si="286"/>
        <v>0</v>
      </c>
      <c r="CF419" s="386">
        <f t="shared" si="287"/>
        <v>-63.638848000000003</v>
      </c>
      <c r="CG419" s="386">
        <f t="shared" si="288"/>
        <v>0</v>
      </c>
      <c r="CH419" s="386">
        <f t="shared" si="289"/>
        <v>1.2987520000000035</v>
      </c>
      <c r="CI419" s="386">
        <f t="shared" si="290"/>
        <v>0</v>
      </c>
      <c r="CJ419" s="386">
        <f t="shared" si="303"/>
        <v>-62.340096000000003</v>
      </c>
      <c r="CK419" s="386" t="str">
        <f t="shared" si="304"/>
        <v/>
      </c>
      <c r="CL419" s="386" t="str">
        <f t="shared" si="305"/>
        <v/>
      </c>
      <c r="CM419" s="386" t="str">
        <f t="shared" si="306"/>
        <v/>
      </c>
      <c r="CN419" s="386" t="str">
        <f t="shared" si="307"/>
        <v>0276-00</v>
      </c>
    </row>
    <row r="420" spans="1:92" ht="15.75" thickBot="1" x14ac:dyDescent="0.3">
      <c r="A420" s="375" t="s">
        <v>161</v>
      </c>
      <c r="B420" s="375" t="s">
        <v>162</v>
      </c>
      <c r="C420" s="375" t="s">
        <v>932</v>
      </c>
      <c r="D420" s="375" t="s">
        <v>746</v>
      </c>
      <c r="E420" s="375" t="s">
        <v>1537</v>
      </c>
      <c r="F420" s="376" t="s">
        <v>166</v>
      </c>
      <c r="G420" s="375" t="s">
        <v>1538</v>
      </c>
      <c r="H420" s="377"/>
      <c r="I420" s="377"/>
      <c r="J420" s="375" t="s">
        <v>218</v>
      </c>
      <c r="K420" s="375" t="s">
        <v>747</v>
      </c>
      <c r="L420" s="375" t="s">
        <v>210</v>
      </c>
      <c r="M420" s="375" t="s">
        <v>177</v>
      </c>
      <c r="N420" s="375" t="s">
        <v>199</v>
      </c>
      <c r="O420" s="378">
        <v>1</v>
      </c>
      <c r="P420" s="384">
        <v>0.25</v>
      </c>
      <c r="Q420" s="384">
        <v>0.25</v>
      </c>
      <c r="R420" s="379">
        <v>80</v>
      </c>
      <c r="S420" s="384">
        <v>0.25</v>
      </c>
      <c r="T420" s="379">
        <v>9289.1200000000008</v>
      </c>
      <c r="U420" s="379">
        <v>0</v>
      </c>
      <c r="V420" s="379">
        <v>4674.13</v>
      </c>
      <c r="W420" s="379">
        <v>8507.2000000000007</v>
      </c>
      <c r="X420" s="379">
        <v>4728.5200000000004</v>
      </c>
      <c r="Y420" s="379">
        <v>8507.2000000000007</v>
      </c>
      <c r="Z420" s="379">
        <v>4687.68</v>
      </c>
      <c r="AA420" s="375" t="s">
        <v>933</v>
      </c>
      <c r="AB420" s="375" t="s">
        <v>934</v>
      </c>
      <c r="AC420" s="375" t="s">
        <v>574</v>
      </c>
      <c r="AD420" s="375" t="s">
        <v>220</v>
      </c>
      <c r="AE420" s="375" t="s">
        <v>747</v>
      </c>
      <c r="AF420" s="375" t="s">
        <v>215</v>
      </c>
      <c r="AG420" s="375" t="s">
        <v>183</v>
      </c>
      <c r="AH420" s="380">
        <v>16.36</v>
      </c>
      <c r="AI420" s="380">
        <v>39032.9</v>
      </c>
      <c r="AJ420" s="375" t="s">
        <v>184</v>
      </c>
      <c r="AK420" s="375" t="s">
        <v>185</v>
      </c>
      <c r="AL420" s="375" t="s">
        <v>173</v>
      </c>
      <c r="AM420" s="375" t="s">
        <v>186</v>
      </c>
      <c r="AN420" s="375" t="s">
        <v>68</v>
      </c>
      <c r="AO420" s="378">
        <v>80</v>
      </c>
      <c r="AP420" s="384">
        <v>1</v>
      </c>
      <c r="AQ420" s="384">
        <v>0.25</v>
      </c>
      <c r="AR420" s="383" t="s">
        <v>187</v>
      </c>
      <c r="AS420" s="386">
        <f t="shared" si="291"/>
        <v>0.25</v>
      </c>
      <c r="AT420">
        <f t="shared" si="292"/>
        <v>1</v>
      </c>
      <c r="AU420" s="386">
        <f>IF(AT420=0,"",IF(AND(AT420=1,M420="F",SUMIF(C2:C557,C420,AS2:AS557)&lt;=1),SUMIF(C2:C557,C420,AS2:AS557),IF(AND(AT420=1,M420="F",SUMIF(C2:C557,C420,AS2:AS557)&gt;1),1,"")))</f>
        <v>1</v>
      </c>
      <c r="AV420" s="386" t="str">
        <f>IF(AT420=0,"",IF(AND(AT420=3,M420="F",SUMIF(C2:C557,C420,AS2:AS557)&lt;=1),SUMIF(C2:C557,C420,AS2:AS557),IF(AND(AT420=3,M420="F",SUMIF(C2:C557,C420,AS2:AS557)&gt;1),1,"")))</f>
        <v/>
      </c>
      <c r="AW420" s="386">
        <f>SUMIF(C2:C557,C420,O2:O557)</f>
        <v>2</v>
      </c>
      <c r="AX420" s="386">
        <f>IF(AND(M420="F",AS420&lt;&gt;0),SUMIF(C2:C557,C420,W2:W557),0)</f>
        <v>34028.800000000003</v>
      </c>
      <c r="AY420" s="386">
        <f t="shared" si="293"/>
        <v>8507.2000000000007</v>
      </c>
      <c r="AZ420" s="386" t="str">
        <f t="shared" si="294"/>
        <v/>
      </c>
      <c r="BA420" s="386">
        <f t="shared" si="295"/>
        <v>0</v>
      </c>
      <c r="BB420" s="386">
        <f t="shared" si="264"/>
        <v>2912.5</v>
      </c>
      <c r="BC420" s="386">
        <f t="shared" si="265"/>
        <v>0</v>
      </c>
      <c r="BD420" s="386">
        <f t="shared" si="266"/>
        <v>527.44640000000004</v>
      </c>
      <c r="BE420" s="386">
        <f t="shared" si="267"/>
        <v>123.35440000000001</v>
      </c>
      <c r="BF420" s="386">
        <f t="shared" si="268"/>
        <v>1015.7596800000001</v>
      </c>
      <c r="BG420" s="386">
        <f t="shared" si="269"/>
        <v>61.336912000000005</v>
      </c>
      <c r="BH420" s="386">
        <f t="shared" si="270"/>
        <v>41.685279999999999</v>
      </c>
      <c r="BI420" s="386">
        <f t="shared" si="271"/>
        <v>26.032032000000001</v>
      </c>
      <c r="BJ420" s="386">
        <f t="shared" si="272"/>
        <v>20.417280000000002</v>
      </c>
      <c r="BK420" s="386">
        <f t="shared" si="273"/>
        <v>0</v>
      </c>
      <c r="BL420" s="386">
        <f t="shared" si="296"/>
        <v>1816.031984</v>
      </c>
      <c r="BM420" s="386">
        <f t="shared" si="297"/>
        <v>0</v>
      </c>
      <c r="BN420" s="386">
        <f t="shared" si="274"/>
        <v>2912.5</v>
      </c>
      <c r="BO420" s="386">
        <f t="shared" si="275"/>
        <v>0</v>
      </c>
      <c r="BP420" s="386">
        <f t="shared" si="276"/>
        <v>527.44640000000004</v>
      </c>
      <c r="BQ420" s="386">
        <f t="shared" si="277"/>
        <v>123.35440000000001</v>
      </c>
      <c r="BR420" s="386">
        <f t="shared" si="278"/>
        <v>1015.7596800000001</v>
      </c>
      <c r="BS420" s="386">
        <f t="shared" si="279"/>
        <v>61.336912000000005</v>
      </c>
      <c r="BT420" s="386">
        <f t="shared" si="280"/>
        <v>0</v>
      </c>
      <c r="BU420" s="386">
        <f t="shared" si="281"/>
        <v>26.032032000000001</v>
      </c>
      <c r="BV420" s="386">
        <f t="shared" si="282"/>
        <v>21.268000000000001</v>
      </c>
      <c r="BW420" s="386">
        <f t="shared" si="283"/>
        <v>0</v>
      </c>
      <c r="BX420" s="386">
        <f t="shared" si="298"/>
        <v>1775.1974240000002</v>
      </c>
      <c r="BY420" s="386">
        <f t="shared" si="299"/>
        <v>0</v>
      </c>
      <c r="BZ420" s="386">
        <f t="shared" si="300"/>
        <v>0</v>
      </c>
      <c r="CA420" s="386">
        <f t="shared" si="301"/>
        <v>0</v>
      </c>
      <c r="CB420" s="386">
        <f t="shared" si="302"/>
        <v>0</v>
      </c>
      <c r="CC420" s="386">
        <f t="shared" si="284"/>
        <v>0</v>
      </c>
      <c r="CD420" s="386">
        <f t="shared" si="285"/>
        <v>0</v>
      </c>
      <c r="CE420" s="386">
        <f t="shared" si="286"/>
        <v>0</v>
      </c>
      <c r="CF420" s="386">
        <f t="shared" si="287"/>
        <v>-41.685279999999999</v>
      </c>
      <c r="CG420" s="386">
        <f t="shared" si="288"/>
        <v>0</v>
      </c>
      <c r="CH420" s="386">
        <f t="shared" si="289"/>
        <v>0.85072000000000225</v>
      </c>
      <c r="CI420" s="386">
        <f t="shared" si="290"/>
        <v>0</v>
      </c>
      <c r="CJ420" s="386">
        <f t="shared" si="303"/>
        <v>-40.834559999999996</v>
      </c>
      <c r="CK420" s="386" t="str">
        <f t="shared" si="304"/>
        <v/>
      </c>
      <c r="CL420" s="386" t="str">
        <f t="shared" si="305"/>
        <v/>
      </c>
      <c r="CM420" s="386" t="str">
        <f t="shared" si="306"/>
        <v/>
      </c>
      <c r="CN420" s="386" t="str">
        <f t="shared" si="307"/>
        <v>0276-00</v>
      </c>
    </row>
    <row r="421" spans="1:92" ht="15.75" thickBot="1" x14ac:dyDescent="0.3">
      <c r="A421" s="375" t="s">
        <v>161</v>
      </c>
      <c r="B421" s="375" t="s">
        <v>162</v>
      </c>
      <c r="C421" s="375" t="s">
        <v>1576</v>
      </c>
      <c r="D421" s="375" t="s">
        <v>628</v>
      </c>
      <c r="E421" s="375" t="s">
        <v>1537</v>
      </c>
      <c r="F421" s="376" t="s">
        <v>166</v>
      </c>
      <c r="G421" s="375" t="s">
        <v>1538</v>
      </c>
      <c r="H421" s="377"/>
      <c r="I421" s="377"/>
      <c r="J421" s="375" t="s">
        <v>168</v>
      </c>
      <c r="K421" s="375" t="s">
        <v>629</v>
      </c>
      <c r="L421" s="375" t="s">
        <v>173</v>
      </c>
      <c r="M421" s="375" t="s">
        <v>177</v>
      </c>
      <c r="N421" s="375" t="s">
        <v>199</v>
      </c>
      <c r="O421" s="378">
        <v>1</v>
      </c>
      <c r="P421" s="384">
        <v>1</v>
      </c>
      <c r="Q421" s="384">
        <v>1</v>
      </c>
      <c r="R421" s="379">
        <v>80</v>
      </c>
      <c r="S421" s="384">
        <v>1</v>
      </c>
      <c r="T421" s="379">
        <v>75080.070000000007</v>
      </c>
      <c r="U421" s="379">
        <v>0</v>
      </c>
      <c r="V421" s="379">
        <v>26762.49</v>
      </c>
      <c r="W421" s="379">
        <v>80184</v>
      </c>
      <c r="X421" s="379">
        <v>28766.84</v>
      </c>
      <c r="Y421" s="379">
        <v>80184</v>
      </c>
      <c r="Z421" s="379">
        <v>28381.96</v>
      </c>
      <c r="AA421" s="375" t="s">
        <v>1577</v>
      </c>
      <c r="AB421" s="375" t="s">
        <v>1578</v>
      </c>
      <c r="AC421" s="375" t="s">
        <v>1579</v>
      </c>
      <c r="AD421" s="375" t="s">
        <v>1580</v>
      </c>
      <c r="AE421" s="375" t="s">
        <v>629</v>
      </c>
      <c r="AF421" s="375" t="s">
        <v>305</v>
      </c>
      <c r="AG421" s="375" t="s">
        <v>183</v>
      </c>
      <c r="AH421" s="380">
        <v>38.549999999999997</v>
      </c>
      <c r="AI421" s="380">
        <v>30712.5</v>
      </c>
      <c r="AJ421" s="375" t="s">
        <v>184</v>
      </c>
      <c r="AK421" s="375" t="s">
        <v>185</v>
      </c>
      <c r="AL421" s="375" t="s">
        <v>173</v>
      </c>
      <c r="AM421" s="375" t="s">
        <v>186</v>
      </c>
      <c r="AN421" s="375" t="s">
        <v>68</v>
      </c>
      <c r="AO421" s="378">
        <v>80</v>
      </c>
      <c r="AP421" s="384">
        <v>1</v>
      </c>
      <c r="AQ421" s="384">
        <v>1</v>
      </c>
      <c r="AR421" s="383" t="s">
        <v>187</v>
      </c>
      <c r="AS421" s="386">
        <f t="shared" si="291"/>
        <v>1</v>
      </c>
      <c r="AT421">
        <f t="shared" si="292"/>
        <v>1</v>
      </c>
      <c r="AU421" s="386">
        <f>IF(AT421=0,"",IF(AND(AT421=1,M421="F",SUMIF(C2:C557,C421,AS2:AS557)&lt;=1),SUMIF(C2:C557,C421,AS2:AS557),IF(AND(AT421=1,M421="F",SUMIF(C2:C557,C421,AS2:AS557)&gt;1),1,"")))</f>
        <v>1</v>
      </c>
      <c r="AV421" s="386" t="str">
        <f>IF(AT421=0,"",IF(AND(AT421=3,M421="F",SUMIF(C2:C557,C421,AS2:AS557)&lt;=1),SUMIF(C2:C557,C421,AS2:AS557),IF(AND(AT421=3,M421="F",SUMIF(C2:C557,C421,AS2:AS557)&gt;1),1,"")))</f>
        <v/>
      </c>
      <c r="AW421" s="386">
        <f>SUMIF(C2:C557,C421,O2:O557)</f>
        <v>1</v>
      </c>
      <c r="AX421" s="386">
        <f>IF(AND(M421="F",AS421&lt;&gt;0),SUMIF(C2:C557,C421,W2:W557),0)</f>
        <v>80184</v>
      </c>
      <c r="AY421" s="386">
        <f t="shared" si="293"/>
        <v>80184</v>
      </c>
      <c r="AZ421" s="386" t="str">
        <f t="shared" si="294"/>
        <v/>
      </c>
      <c r="BA421" s="386">
        <f t="shared" si="295"/>
        <v>0</v>
      </c>
      <c r="BB421" s="386">
        <f t="shared" si="264"/>
        <v>11650</v>
      </c>
      <c r="BC421" s="386">
        <f t="shared" si="265"/>
        <v>0</v>
      </c>
      <c r="BD421" s="386">
        <f t="shared" si="266"/>
        <v>4971.4080000000004</v>
      </c>
      <c r="BE421" s="386">
        <f t="shared" si="267"/>
        <v>1162.6680000000001</v>
      </c>
      <c r="BF421" s="386">
        <f t="shared" si="268"/>
        <v>9573.9696000000004</v>
      </c>
      <c r="BG421" s="386">
        <f t="shared" si="269"/>
        <v>578.12664000000007</v>
      </c>
      <c r="BH421" s="386">
        <f t="shared" si="270"/>
        <v>392.90159999999997</v>
      </c>
      <c r="BI421" s="386">
        <f t="shared" si="271"/>
        <v>245.36303999999998</v>
      </c>
      <c r="BJ421" s="386">
        <f t="shared" si="272"/>
        <v>192.44159999999999</v>
      </c>
      <c r="BK421" s="386">
        <f t="shared" si="273"/>
        <v>0</v>
      </c>
      <c r="BL421" s="386">
        <f t="shared" si="296"/>
        <v>17116.878479999999</v>
      </c>
      <c r="BM421" s="386">
        <f t="shared" si="297"/>
        <v>0</v>
      </c>
      <c r="BN421" s="386">
        <f t="shared" si="274"/>
        <v>11650</v>
      </c>
      <c r="BO421" s="386">
        <f t="shared" si="275"/>
        <v>0</v>
      </c>
      <c r="BP421" s="386">
        <f t="shared" si="276"/>
        <v>4971.4080000000004</v>
      </c>
      <c r="BQ421" s="386">
        <f t="shared" si="277"/>
        <v>1162.6680000000001</v>
      </c>
      <c r="BR421" s="386">
        <f t="shared" si="278"/>
        <v>9573.9696000000004</v>
      </c>
      <c r="BS421" s="386">
        <f t="shared" si="279"/>
        <v>578.12664000000007</v>
      </c>
      <c r="BT421" s="386">
        <f t="shared" si="280"/>
        <v>0</v>
      </c>
      <c r="BU421" s="386">
        <f t="shared" si="281"/>
        <v>245.36303999999998</v>
      </c>
      <c r="BV421" s="386">
        <f t="shared" si="282"/>
        <v>200.46</v>
      </c>
      <c r="BW421" s="386">
        <f t="shared" si="283"/>
        <v>0</v>
      </c>
      <c r="BX421" s="386">
        <f t="shared" si="298"/>
        <v>16731.995279999999</v>
      </c>
      <c r="BY421" s="386">
        <f t="shared" si="299"/>
        <v>0</v>
      </c>
      <c r="BZ421" s="386">
        <f t="shared" si="300"/>
        <v>0</v>
      </c>
      <c r="CA421" s="386">
        <f t="shared" si="301"/>
        <v>0</v>
      </c>
      <c r="CB421" s="386">
        <f t="shared" si="302"/>
        <v>0</v>
      </c>
      <c r="CC421" s="386">
        <f t="shared" si="284"/>
        <v>0</v>
      </c>
      <c r="CD421" s="386">
        <f t="shared" si="285"/>
        <v>0</v>
      </c>
      <c r="CE421" s="386">
        <f t="shared" si="286"/>
        <v>0</v>
      </c>
      <c r="CF421" s="386">
        <f t="shared" si="287"/>
        <v>-392.90159999999997</v>
      </c>
      <c r="CG421" s="386">
        <f t="shared" si="288"/>
        <v>0</v>
      </c>
      <c r="CH421" s="386">
        <f t="shared" si="289"/>
        <v>8.0184000000000211</v>
      </c>
      <c r="CI421" s="386">
        <f t="shared" si="290"/>
        <v>0</v>
      </c>
      <c r="CJ421" s="386">
        <f t="shared" si="303"/>
        <v>-384.88319999999993</v>
      </c>
      <c r="CK421" s="386" t="str">
        <f t="shared" si="304"/>
        <v/>
      </c>
      <c r="CL421" s="386" t="str">
        <f t="shared" si="305"/>
        <v/>
      </c>
      <c r="CM421" s="386" t="str">
        <f t="shared" si="306"/>
        <v/>
      </c>
      <c r="CN421" s="386" t="str">
        <f t="shared" si="307"/>
        <v>0276-00</v>
      </c>
    </row>
    <row r="422" spans="1:92" ht="15.75" thickBot="1" x14ac:dyDescent="0.3">
      <c r="A422" s="375" t="s">
        <v>161</v>
      </c>
      <c r="B422" s="375" t="s">
        <v>162</v>
      </c>
      <c r="C422" s="375" t="s">
        <v>329</v>
      </c>
      <c r="D422" s="375" t="s">
        <v>330</v>
      </c>
      <c r="E422" s="375" t="s">
        <v>1537</v>
      </c>
      <c r="F422" s="376" t="s">
        <v>166</v>
      </c>
      <c r="G422" s="375" t="s">
        <v>1538</v>
      </c>
      <c r="H422" s="377"/>
      <c r="I422" s="377"/>
      <c r="J422" s="375" t="s">
        <v>218</v>
      </c>
      <c r="K422" s="375" t="s">
        <v>331</v>
      </c>
      <c r="L422" s="375" t="s">
        <v>173</v>
      </c>
      <c r="M422" s="375" t="s">
        <v>177</v>
      </c>
      <c r="N422" s="375" t="s">
        <v>199</v>
      </c>
      <c r="O422" s="378">
        <v>1</v>
      </c>
      <c r="P422" s="384">
        <v>0</v>
      </c>
      <c r="Q422" s="384">
        <v>0</v>
      </c>
      <c r="R422" s="379">
        <v>80</v>
      </c>
      <c r="S422" s="384">
        <v>0</v>
      </c>
      <c r="T422" s="379">
        <v>7446.05</v>
      </c>
      <c r="U422" s="379">
        <v>0</v>
      </c>
      <c r="V422" s="379">
        <v>2685.75</v>
      </c>
      <c r="W422" s="379">
        <v>0</v>
      </c>
      <c r="X422" s="379">
        <v>0</v>
      </c>
      <c r="Y422" s="379">
        <v>0</v>
      </c>
      <c r="Z422" s="379">
        <v>0</v>
      </c>
      <c r="AA422" s="375" t="s">
        <v>332</v>
      </c>
      <c r="AB422" s="375" t="s">
        <v>333</v>
      </c>
      <c r="AC422" s="375" t="s">
        <v>257</v>
      </c>
      <c r="AD422" s="375" t="s">
        <v>195</v>
      </c>
      <c r="AE422" s="375" t="s">
        <v>331</v>
      </c>
      <c r="AF422" s="375" t="s">
        <v>305</v>
      </c>
      <c r="AG422" s="375" t="s">
        <v>183</v>
      </c>
      <c r="AH422" s="380">
        <v>37.450000000000003</v>
      </c>
      <c r="AI422" s="380">
        <v>16447.5</v>
      </c>
      <c r="AJ422" s="375" t="s">
        <v>184</v>
      </c>
      <c r="AK422" s="375" t="s">
        <v>185</v>
      </c>
      <c r="AL422" s="375" t="s">
        <v>173</v>
      </c>
      <c r="AM422" s="375" t="s">
        <v>186</v>
      </c>
      <c r="AN422" s="375" t="s">
        <v>68</v>
      </c>
      <c r="AO422" s="378">
        <v>80</v>
      </c>
      <c r="AP422" s="384">
        <v>1</v>
      </c>
      <c r="AQ422" s="384">
        <v>0</v>
      </c>
      <c r="AR422" s="383" t="s">
        <v>187</v>
      </c>
      <c r="AS422" s="386">
        <f t="shared" si="291"/>
        <v>0</v>
      </c>
      <c r="AT422">
        <f t="shared" si="292"/>
        <v>0</v>
      </c>
      <c r="AU422" s="386" t="str">
        <f>IF(AT422=0,"",IF(AND(AT422=1,M422="F",SUMIF(C2:C557,C422,AS2:AS557)&lt;=1),SUMIF(C2:C557,C422,AS2:AS557),IF(AND(AT422=1,M422="F",SUMIF(C2:C557,C422,AS2:AS557)&gt;1),1,"")))</f>
        <v/>
      </c>
      <c r="AV422" s="386" t="str">
        <f>IF(AT422=0,"",IF(AND(AT422=3,M422="F",SUMIF(C2:C557,C422,AS2:AS557)&lt;=1),SUMIF(C2:C557,C422,AS2:AS557),IF(AND(AT422=3,M422="F",SUMIF(C2:C557,C422,AS2:AS557)&gt;1),1,"")))</f>
        <v/>
      </c>
      <c r="AW422" s="386">
        <f>SUMIF(C2:C557,C422,O2:O557)</f>
        <v>4</v>
      </c>
      <c r="AX422" s="386">
        <f>IF(AND(M422="F",AS422&lt;&gt;0),SUMIF(C2:C557,C422,W2:W557),0)</f>
        <v>0</v>
      </c>
      <c r="AY422" s="386" t="str">
        <f t="shared" si="293"/>
        <v/>
      </c>
      <c r="AZ422" s="386" t="str">
        <f t="shared" si="294"/>
        <v/>
      </c>
      <c r="BA422" s="386">
        <f t="shared" si="295"/>
        <v>0</v>
      </c>
      <c r="BB422" s="386">
        <f t="shared" si="264"/>
        <v>0</v>
      </c>
      <c r="BC422" s="386">
        <f t="shared" si="265"/>
        <v>0</v>
      </c>
      <c r="BD422" s="386">
        <f t="shared" si="266"/>
        <v>0</v>
      </c>
      <c r="BE422" s="386">
        <f t="shared" si="267"/>
        <v>0</v>
      </c>
      <c r="BF422" s="386">
        <f t="shared" si="268"/>
        <v>0</v>
      </c>
      <c r="BG422" s="386">
        <f t="shared" si="269"/>
        <v>0</v>
      </c>
      <c r="BH422" s="386">
        <f t="shared" si="270"/>
        <v>0</v>
      </c>
      <c r="BI422" s="386">
        <f t="shared" si="271"/>
        <v>0</v>
      </c>
      <c r="BJ422" s="386">
        <f t="shared" si="272"/>
        <v>0</v>
      </c>
      <c r="BK422" s="386">
        <f t="shared" si="273"/>
        <v>0</v>
      </c>
      <c r="BL422" s="386">
        <f t="shared" si="296"/>
        <v>0</v>
      </c>
      <c r="BM422" s="386">
        <f t="shared" si="297"/>
        <v>0</v>
      </c>
      <c r="BN422" s="386">
        <f t="shared" si="274"/>
        <v>0</v>
      </c>
      <c r="BO422" s="386">
        <f t="shared" si="275"/>
        <v>0</v>
      </c>
      <c r="BP422" s="386">
        <f t="shared" si="276"/>
        <v>0</v>
      </c>
      <c r="BQ422" s="386">
        <f t="shared" si="277"/>
        <v>0</v>
      </c>
      <c r="BR422" s="386">
        <f t="shared" si="278"/>
        <v>0</v>
      </c>
      <c r="BS422" s="386">
        <f t="shared" si="279"/>
        <v>0</v>
      </c>
      <c r="BT422" s="386">
        <f t="shared" si="280"/>
        <v>0</v>
      </c>
      <c r="BU422" s="386">
        <f t="shared" si="281"/>
        <v>0</v>
      </c>
      <c r="BV422" s="386">
        <f t="shared" si="282"/>
        <v>0</v>
      </c>
      <c r="BW422" s="386">
        <f t="shared" si="283"/>
        <v>0</v>
      </c>
      <c r="BX422" s="386">
        <f t="shared" si="298"/>
        <v>0</v>
      </c>
      <c r="BY422" s="386">
        <f t="shared" si="299"/>
        <v>0</v>
      </c>
      <c r="BZ422" s="386">
        <f t="shared" si="300"/>
        <v>0</v>
      </c>
      <c r="CA422" s="386">
        <f t="shared" si="301"/>
        <v>0</v>
      </c>
      <c r="CB422" s="386">
        <f t="shared" si="302"/>
        <v>0</v>
      </c>
      <c r="CC422" s="386">
        <f t="shared" si="284"/>
        <v>0</v>
      </c>
      <c r="CD422" s="386">
        <f t="shared" si="285"/>
        <v>0</v>
      </c>
      <c r="CE422" s="386">
        <f t="shared" si="286"/>
        <v>0</v>
      </c>
      <c r="CF422" s="386">
        <f t="shared" si="287"/>
        <v>0</v>
      </c>
      <c r="CG422" s="386">
        <f t="shared" si="288"/>
        <v>0</v>
      </c>
      <c r="CH422" s="386">
        <f t="shared" si="289"/>
        <v>0</v>
      </c>
      <c r="CI422" s="386">
        <f t="shared" si="290"/>
        <v>0</v>
      </c>
      <c r="CJ422" s="386">
        <f t="shared" si="303"/>
        <v>0</v>
      </c>
      <c r="CK422" s="386" t="str">
        <f t="shared" si="304"/>
        <v/>
      </c>
      <c r="CL422" s="386" t="str">
        <f t="shared" si="305"/>
        <v/>
      </c>
      <c r="CM422" s="386" t="str">
        <f t="shared" si="306"/>
        <v/>
      </c>
      <c r="CN422" s="386" t="str">
        <f t="shared" si="307"/>
        <v>0276-00</v>
      </c>
    </row>
    <row r="423" spans="1:92" ht="15.75" thickBot="1" x14ac:dyDescent="0.3">
      <c r="A423" s="375" t="s">
        <v>161</v>
      </c>
      <c r="B423" s="375" t="s">
        <v>162</v>
      </c>
      <c r="C423" s="375" t="s">
        <v>900</v>
      </c>
      <c r="D423" s="375" t="s">
        <v>555</v>
      </c>
      <c r="E423" s="375" t="s">
        <v>1537</v>
      </c>
      <c r="F423" s="376" t="s">
        <v>166</v>
      </c>
      <c r="G423" s="375" t="s">
        <v>1538</v>
      </c>
      <c r="H423" s="377"/>
      <c r="I423" s="377"/>
      <c r="J423" s="375" t="s">
        <v>218</v>
      </c>
      <c r="K423" s="375" t="s">
        <v>556</v>
      </c>
      <c r="L423" s="375" t="s">
        <v>220</v>
      </c>
      <c r="M423" s="375" t="s">
        <v>177</v>
      </c>
      <c r="N423" s="375" t="s">
        <v>199</v>
      </c>
      <c r="O423" s="378">
        <v>1</v>
      </c>
      <c r="P423" s="384">
        <v>0.45</v>
      </c>
      <c r="Q423" s="384">
        <v>0.45</v>
      </c>
      <c r="R423" s="379">
        <v>80</v>
      </c>
      <c r="S423" s="384">
        <v>0.45</v>
      </c>
      <c r="T423" s="379">
        <v>28300.59</v>
      </c>
      <c r="U423" s="379">
        <v>0</v>
      </c>
      <c r="V423" s="379">
        <v>10983.4</v>
      </c>
      <c r="W423" s="379">
        <v>30410.639999999999</v>
      </c>
      <c r="X423" s="379">
        <v>11734.24</v>
      </c>
      <c r="Y423" s="379">
        <v>30410.639999999999</v>
      </c>
      <c r="Z423" s="379">
        <v>11588.27</v>
      </c>
      <c r="AA423" s="375" t="s">
        <v>901</v>
      </c>
      <c r="AB423" s="375" t="s">
        <v>902</v>
      </c>
      <c r="AC423" s="375" t="s">
        <v>903</v>
      </c>
      <c r="AD423" s="375" t="s">
        <v>904</v>
      </c>
      <c r="AE423" s="375" t="s">
        <v>556</v>
      </c>
      <c r="AF423" s="375" t="s">
        <v>252</v>
      </c>
      <c r="AG423" s="375" t="s">
        <v>183</v>
      </c>
      <c r="AH423" s="380">
        <v>32.49</v>
      </c>
      <c r="AI423" s="380">
        <v>51307.1</v>
      </c>
      <c r="AJ423" s="375" t="s">
        <v>184</v>
      </c>
      <c r="AK423" s="375" t="s">
        <v>185</v>
      </c>
      <c r="AL423" s="375" t="s">
        <v>173</v>
      </c>
      <c r="AM423" s="375" t="s">
        <v>186</v>
      </c>
      <c r="AN423" s="375" t="s">
        <v>68</v>
      </c>
      <c r="AO423" s="378">
        <v>80</v>
      </c>
      <c r="AP423" s="384">
        <v>1</v>
      </c>
      <c r="AQ423" s="384">
        <v>0.45</v>
      </c>
      <c r="AR423" s="383" t="s">
        <v>187</v>
      </c>
      <c r="AS423" s="386">
        <f t="shared" si="291"/>
        <v>0.45</v>
      </c>
      <c r="AT423">
        <f t="shared" si="292"/>
        <v>1</v>
      </c>
      <c r="AU423" s="386">
        <f>IF(AT423=0,"",IF(AND(AT423=1,M423="F",SUMIF(C2:C557,C423,AS2:AS557)&lt;=1),SUMIF(C2:C557,C423,AS2:AS557),IF(AND(AT423=1,M423="F",SUMIF(C2:C557,C423,AS2:AS557)&gt;1),1,"")))</f>
        <v>1</v>
      </c>
      <c r="AV423" s="386" t="str">
        <f>IF(AT423=0,"",IF(AND(AT423=3,M423="F",SUMIF(C2:C557,C423,AS2:AS557)&lt;=1),SUMIF(C2:C557,C423,AS2:AS557),IF(AND(AT423=3,M423="F",SUMIF(C2:C557,C423,AS2:AS557)&gt;1),1,"")))</f>
        <v/>
      </c>
      <c r="AW423" s="386">
        <f>SUMIF(C2:C557,C423,O2:O557)</f>
        <v>2</v>
      </c>
      <c r="AX423" s="386">
        <f>IF(AND(M423="F",AS423&lt;&gt;0),SUMIF(C2:C557,C423,W2:W557),0)</f>
        <v>67579.199999999997</v>
      </c>
      <c r="AY423" s="386">
        <f t="shared" si="293"/>
        <v>30410.639999999999</v>
      </c>
      <c r="AZ423" s="386" t="str">
        <f t="shared" si="294"/>
        <v/>
      </c>
      <c r="BA423" s="386">
        <f t="shared" si="295"/>
        <v>0</v>
      </c>
      <c r="BB423" s="386">
        <f t="shared" si="264"/>
        <v>5242.5</v>
      </c>
      <c r="BC423" s="386">
        <f t="shared" si="265"/>
        <v>0</v>
      </c>
      <c r="BD423" s="386">
        <f t="shared" si="266"/>
        <v>1885.4596799999999</v>
      </c>
      <c r="BE423" s="386">
        <f t="shared" si="267"/>
        <v>440.95428000000004</v>
      </c>
      <c r="BF423" s="386">
        <f t="shared" si="268"/>
        <v>3631.0304160000001</v>
      </c>
      <c r="BG423" s="386">
        <f t="shared" si="269"/>
        <v>219.26071440000001</v>
      </c>
      <c r="BH423" s="386">
        <f t="shared" si="270"/>
        <v>149.012136</v>
      </c>
      <c r="BI423" s="386">
        <f t="shared" si="271"/>
        <v>93.056558399999986</v>
      </c>
      <c r="BJ423" s="386">
        <f t="shared" si="272"/>
        <v>72.985535999999996</v>
      </c>
      <c r="BK423" s="386">
        <f t="shared" si="273"/>
        <v>0</v>
      </c>
      <c r="BL423" s="386">
        <f t="shared" si="296"/>
        <v>6491.7593207999998</v>
      </c>
      <c r="BM423" s="386">
        <f t="shared" si="297"/>
        <v>0</v>
      </c>
      <c r="BN423" s="386">
        <f t="shared" si="274"/>
        <v>5242.5</v>
      </c>
      <c r="BO423" s="386">
        <f t="shared" si="275"/>
        <v>0</v>
      </c>
      <c r="BP423" s="386">
        <f t="shared" si="276"/>
        <v>1885.4596799999999</v>
      </c>
      <c r="BQ423" s="386">
        <f t="shared" si="277"/>
        <v>440.95428000000004</v>
      </c>
      <c r="BR423" s="386">
        <f t="shared" si="278"/>
        <v>3631.0304160000001</v>
      </c>
      <c r="BS423" s="386">
        <f t="shared" si="279"/>
        <v>219.26071440000001</v>
      </c>
      <c r="BT423" s="386">
        <f t="shared" si="280"/>
        <v>0</v>
      </c>
      <c r="BU423" s="386">
        <f t="shared" si="281"/>
        <v>93.056558399999986</v>
      </c>
      <c r="BV423" s="386">
        <f t="shared" si="282"/>
        <v>76.026600000000002</v>
      </c>
      <c r="BW423" s="386">
        <f t="shared" si="283"/>
        <v>0</v>
      </c>
      <c r="BX423" s="386">
        <f t="shared" si="298"/>
        <v>6345.7882487999996</v>
      </c>
      <c r="BY423" s="386">
        <f t="shared" si="299"/>
        <v>0</v>
      </c>
      <c r="BZ423" s="386">
        <f t="shared" si="300"/>
        <v>0</v>
      </c>
      <c r="CA423" s="386">
        <f t="shared" si="301"/>
        <v>0</v>
      </c>
      <c r="CB423" s="386">
        <f t="shared" si="302"/>
        <v>0</v>
      </c>
      <c r="CC423" s="386">
        <f t="shared" si="284"/>
        <v>0</v>
      </c>
      <c r="CD423" s="386">
        <f t="shared" si="285"/>
        <v>0</v>
      </c>
      <c r="CE423" s="386">
        <f t="shared" si="286"/>
        <v>0</v>
      </c>
      <c r="CF423" s="386">
        <f t="shared" si="287"/>
        <v>-149.012136</v>
      </c>
      <c r="CG423" s="386">
        <f t="shared" si="288"/>
        <v>0</v>
      </c>
      <c r="CH423" s="386">
        <f t="shared" si="289"/>
        <v>3.041064000000008</v>
      </c>
      <c r="CI423" s="386">
        <f t="shared" si="290"/>
        <v>0</v>
      </c>
      <c r="CJ423" s="386">
        <f t="shared" si="303"/>
        <v>-145.97107199999999</v>
      </c>
      <c r="CK423" s="386" t="str">
        <f t="shared" si="304"/>
        <v/>
      </c>
      <c r="CL423" s="386" t="str">
        <f t="shared" si="305"/>
        <v/>
      </c>
      <c r="CM423" s="386" t="str">
        <f t="shared" si="306"/>
        <v/>
      </c>
      <c r="CN423" s="386" t="str">
        <f t="shared" si="307"/>
        <v>0276-00</v>
      </c>
    </row>
    <row r="424" spans="1:92" ht="15.75" thickBot="1" x14ac:dyDescent="0.3">
      <c r="A424" s="375" t="s">
        <v>161</v>
      </c>
      <c r="B424" s="375" t="s">
        <v>162</v>
      </c>
      <c r="C424" s="375" t="s">
        <v>1581</v>
      </c>
      <c r="D424" s="375" t="s">
        <v>555</v>
      </c>
      <c r="E424" s="375" t="s">
        <v>1537</v>
      </c>
      <c r="F424" s="376" t="s">
        <v>166</v>
      </c>
      <c r="G424" s="375" t="s">
        <v>1538</v>
      </c>
      <c r="H424" s="377"/>
      <c r="I424" s="377"/>
      <c r="J424" s="375" t="s">
        <v>168</v>
      </c>
      <c r="K424" s="375" t="s">
        <v>556</v>
      </c>
      <c r="L424" s="375" t="s">
        <v>220</v>
      </c>
      <c r="M424" s="375" t="s">
        <v>177</v>
      </c>
      <c r="N424" s="375" t="s">
        <v>199</v>
      </c>
      <c r="O424" s="378">
        <v>1</v>
      </c>
      <c r="P424" s="384">
        <v>1</v>
      </c>
      <c r="Q424" s="384">
        <v>1</v>
      </c>
      <c r="R424" s="379">
        <v>80</v>
      </c>
      <c r="S424" s="384">
        <v>1</v>
      </c>
      <c r="T424" s="379">
        <v>57032.58</v>
      </c>
      <c r="U424" s="379">
        <v>0</v>
      </c>
      <c r="V424" s="379">
        <v>23159.94</v>
      </c>
      <c r="W424" s="379">
        <v>60444.800000000003</v>
      </c>
      <c r="X424" s="379">
        <v>24553.1</v>
      </c>
      <c r="Y424" s="379">
        <v>60444.800000000003</v>
      </c>
      <c r="Z424" s="379">
        <v>24262.98</v>
      </c>
      <c r="AA424" s="375" t="s">
        <v>1582</v>
      </c>
      <c r="AB424" s="375" t="s">
        <v>1583</v>
      </c>
      <c r="AC424" s="375" t="s">
        <v>938</v>
      </c>
      <c r="AD424" s="375" t="s">
        <v>366</v>
      </c>
      <c r="AE424" s="375" t="s">
        <v>556</v>
      </c>
      <c r="AF424" s="375" t="s">
        <v>252</v>
      </c>
      <c r="AG424" s="375" t="s">
        <v>183</v>
      </c>
      <c r="AH424" s="380">
        <v>29.06</v>
      </c>
      <c r="AI424" s="380">
        <v>19313.900000000001</v>
      </c>
      <c r="AJ424" s="375" t="s">
        <v>184</v>
      </c>
      <c r="AK424" s="375" t="s">
        <v>185</v>
      </c>
      <c r="AL424" s="375" t="s">
        <v>173</v>
      </c>
      <c r="AM424" s="375" t="s">
        <v>186</v>
      </c>
      <c r="AN424" s="375" t="s">
        <v>68</v>
      </c>
      <c r="AO424" s="378">
        <v>80</v>
      </c>
      <c r="AP424" s="384">
        <v>1</v>
      </c>
      <c r="AQ424" s="384">
        <v>1</v>
      </c>
      <c r="AR424" s="383" t="s">
        <v>187</v>
      </c>
      <c r="AS424" s="386">
        <f t="shared" si="291"/>
        <v>1</v>
      </c>
      <c r="AT424">
        <f t="shared" si="292"/>
        <v>1</v>
      </c>
      <c r="AU424" s="386">
        <f>IF(AT424=0,"",IF(AND(AT424=1,M424="F",SUMIF(C2:C557,C424,AS2:AS557)&lt;=1),SUMIF(C2:C557,C424,AS2:AS557),IF(AND(AT424=1,M424="F",SUMIF(C2:C557,C424,AS2:AS557)&gt;1),1,"")))</f>
        <v>1</v>
      </c>
      <c r="AV424" s="386" t="str">
        <f>IF(AT424=0,"",IF(AND(AT424=3,M424="F",SUMIF(C2:C557,C424,AS2:AS557)&lt;=1),SUMIF(C2:C557,C424,AS2:AS557),IF(AND(AT424=3,M424="F",SUMIF(C2:C557,C424,AS2:AS557)&gt;1),1,"")))</f>
        <v/>
      </c>
      <c r="AW424" s="386">
        <f>SUMIF(C2:C557,C424,O2:O557)</f>
        <v>1</v>
      </c>
      <c r="AX424" s="386">
        <f>IF(AND(M424="F",AS424&lt;&gt;0),SUMIF(C2:C557,C424,W2:W557),0)</f>
        <v>60444.800000000003</v>
      </c>
      <c r="AY424" s="386">
        <f t="shared" si="293"/>
        <v>60444.800000000003</v>
      </c>
      <c r="AZ424" s="386" t="str">
        <f t="shared" si="294"/>
        <v/>
      </c>
      <c r="BA424" s="386">
        <f t="shared" si="295"/>
        <v>0</v>
      </c>
      <c r="BB424" s="386">
        <f t="shared" si="264"/>
        <v>11650</v>
      </c>
      <c r="BC424" s="386">
        <f t="shared" si="265"/>
        <v>0</v>
      </c>
      <c r="BD424" s="386">
        <f t="shared" si="266"/>
        <v>3747.5776000000001</v>
      </c>
      <c r="BE424" s="386">
        <f t="shared" si="267"/>
        <v>876.44960000000003</v>
      </c>
      <c r="BF424" s="386">
        <f t="shared" si="268"/>
        <v>7217.109120000001</v>
      </c>
      <c r="BG424" s="386">
        <f t="shared" si="269"/>
        <v>435.80700800000005</v>
      </c>
      <c r="BH424" s="386">
        <f t="shared" si="270"/>
        <v>296.17952000000002</v>
      </c>
      <c r="BI424" s="386">
        <f t="shared" si="271"/>
        <v>184.96108799999999</v>
      </c>
      <c r="BJ424" s="386">
        <f t="shared" si="272"/>
        <v>145.06752</v>
      </c>
      <c r="BK424" s="386">
        <f t="shared" si="273"/>
        <v>0</v>
      </c>
      <c r="BL424" s="386">
        <f t="shared" si="296"/>
        <v>12903.151456000001</v>
      </c>
      <c r="BM424" s="386">
        <f t="shared" si="297"/>
        <v>0</v>
      </c>
      <c r="BN424" s="386">
        <f t="shared" si="274"/>
        <v>11650</v>
      </c>
      <c r="BO424" s="386">
        <f t="shared" si="275"/>
        <v>0</v>
      </c>
      <c r="BP424" s="386">
        <f t="shared" si="276"/>
        <v>3747.5776000000001</v>
      </c>
      <c r="BQ424" s="386">
        <f t="shared" si="277"/>
        <v>876.44960000000003</v>
      </c>
      <c r="BR424" s="386">
        <f t="shared" si="278"/>
        <v>7217.109120000001</v>
      </c>
      <c r="BS424" s="386">
        <f t="shared" si="279"/>
        <v>435.80700800000005</v>
      </c>
      <c r="BT424" s="386">
        <f t="shared" si="280"/>
        <v>0</v>
      </c>
      <c r="BU424" s="386">
        <f t="shared" si="281"/>
        <v>184.96108799999999</v>
      </c>
      <c r="BV424" s="386">
        <f t="shared" si="282"/>
        <v>151.11200000000002</v>
      </c>
      <c r="BW424" s="386">
        <f t="shared" si="283"/>
        <v>0</v>
      </c>
      <c r="BX424" s="386">
        <f t="shared" si="298"/>
        <v>12613.016416</v>
      </c>
      <c r="BY424" s="386">
        <f t="shared" si="299"/>
        <v>0</v>
      </c>
      <c r="BZ424" s="386">
        <f t="shared" si="300"/>
        <v>0</v>
      </c>
      <c r="CA424" s="386">
        <f t="shared" si="301"/>
        <v>0</v>
      </c>
      <c r="CB424" s="386">
        <f t="shared" si="302"/>
        <v>0</v>
      </c>
      <c r="CC424" s="386">
        <f t="shared" si="284"/>
        <v>0</v>
      </c>
      <c r="CD424" s="386">
        <f t="shared" si="285"/>
        <v>0</v>
      </c>
      <c r="CE424" s="386">
        <f t="shared" si="286"/>
        <v>0</v>
      </c>
      <c r="CF424" s="386">
        <f t="shared" si="287"/>
        <v>-296.17952000000002</v>
      </c>
      <c r="CG424" s="386">
        <f t="shared" si="288"/>
        <v>0</v>
      </c>
      <c r="CH424" s="386">
        <f t="shared" si="289"/>
        <v>6.0444800000000161</v>
      </c>
      <c r="CI424" s="386">
        <f t="shared" si="290"/>
        <v>0</v>
      </c>
      <c r="CJ424" s="386">
        <f t="shared" si="303"/>
        <v>-290.13504</v>
      </c>
      <c r="CK424" s="386" t="str">
        <f t="shared" si="304"/>
        <v/>
      </c>
      <c r="CL424" s="386" t="str">
        <f t="shared" si="305"/>
        <v/>
      </c>
      <c r="CM424" s="386" t="str">
        <f t="shared" si="306"/>
        <v/>
      </c>
      <c r="CN424" s="386" t="str">
        <f t="shared" si="307"/>
        <v>0276-00</v>
      </c>
    </row>
    <row r="425" spans="1:92" ht="15.75" thickBot="1" x14ac:dyDescent="0.3">
      <c r="A425" s="375" t="s">
        <v>161</v>
      </c>
      <c r="B425" s="375" t="s">
        <v>162</v>
      </c>
      <c r="C425" s="375" t="s">
        <v>1584</v>
      </c>
      <c r="D425" s="375" t="s">
        <v>555</v>
      </c>
      <c r="E425" s="375" t="s">
        <v>1537</v>
      </c>
      <c r="F425" s="376" t="s">
        <v>166</v>
      </c>
      <c r="G425" s="375" t="s">
        <v>1538</v>
      </c>
      <c r="H425" s="377"/>
      <c r="I425" s="377"/>
      <c r="J425" s="375" t="s">
        <v>168</v>
      </c>
      <c r="K425" s="375" t="s">
        <v>556</v>
      </c>
      <c r="L425" s="375" t="s">
        <v>220</v>
      </c>
      <c r="M425" s="375" t="s">
        <v>177</v>
      </c>
      <c r="N425" s="375" t="s">
        <v>199</v>
      </c>
      <c r="O425" s="378">
        <v>1</v>
      </c>
      <c r="P425" s="384">
        <v>1</v>
      </c>
      <c r="Q425" s="384">
        <v>1</v>
      </c>
      <c r="R425" s="379">
        <v>80</v>
      </c>
      <c r="S425" s="384">
        <v>1</v>
      </c>
      <c r="T425" s="379">
        <v>57952.9</v>
      </c>
      <c r="U425" s="379">
        <v>0</v>
      </c>
      <c r="V425" s="379">
        <v>23575</v>
      </c>
      <c r="W425" s="379">
        <v>61984</v>
      </c>
      <c r="X425" s="379">
        <v>24881.69</v>
      </c>
      <c r="Y425" s="379">
        <v>61984</v>
      </c>
      <c r="Z425" s="379">
        <v>24584.17</v>
      </c>
      <c r="AA425" s="375" t="s">
        <v>1585</v>
      </c>
      <c r="AB425" s="375" t="s">
        <v>1586</v>
      </c>
      <c r="AC425" s="375" t="s">
        <v>1089</v>
      </c>
      <c r="AD425" s="375" t="s">
        <v>195</v>
      </c>
      <c r="AE425" s="375" t="s">
        <v>556</v>
      </c>
      <c r="AF425" s="375" t="s">
        <v>252</v>
      </c>
      <c r="AG425" s="375" t="s">
        <v>183</v>
      </c>
      <c r="AH425" s="380">
        <v>29.8</v>
      </c>
      <c r="AI425" s="378">
        <v>27907</v>
      </c>
      <c r="AJ425" s="375" t="s">
        <v>184</v>
      </c>
      <c r="AK425" s="375" t="s">
        <v>185</v>
      </c>
      <c r="AL425" s="375" t="s">
        <v>173</v>
      </c>
      <c r="AM425" s="375" t="s">
        <v>186</v>
      </c>
      <c r="AN425" s="375" t="s">
        <v>68</v>
      </c>
      <c r="AO425" s="378">
        <v>80</v>
      </c>
      <c r="AP425" s="384">
        <v>1</v>
      </c>
      <c r="AQ425" s="384">
        <v>1</v>
      </c>
      <c r="AR425" s="383" t="s">
        <v>187</v>
      </c>
      <c r="AS425" s="386">
        <f t="shared" si="291"/>
        <v>1</v>
      </c>
      <c r="AT425">
        <f t="shared" si="292"/>
        <v>1</v>
      </c>
      <c r="AU425" s="386">
        <f>IF(AT425=0,"",IF(AND(AT425=1,M425="F",SUMIF(C2:C557,C425,AS2:AS557)&lt;=1),SUMIF(C2:C557,C425,AS2:AS557),IF(AND(AT425=1,M425="F",SUMIF(C2:C557,C425,AS2:AS557)&gt;1),1,"")))</f>
        <v>1</v>
      </c>
      <c r="AV425" s="386" t="str">
        <f>IF(AT425=0,"",IF(AND(AT425=3,M425="F",SUMIF(C2:C557,C425,AS2:AS557)&lt;=1),SUMIF(C2:C557,C425,AS2:AS557),IF(AND(AT425=3,M425="F",SUMIF(C2:C557,C425,AS2:AS557)&gt;1),1,"")))</f>
        <v/>
      </c>
      <c r="AW425" s="386">
        <f>SUMIF(C2:C557,C425,O2:O557)</f>
        <v>1</v>
      </c>
      <c r="AX425" s="386">
        <f>IF(AND(M425="F",AS425&lt;&gt;0),SUMIF(C2:C557,C425,W2:W557),0)</f>
        <v>61984</v>
      </c>
      <c r="AY425" s="386">
        <f t="shared" si="293"/>
        <v>61984</v>
      </c>
      <c r="AZ425" s="386" t="str">
        <f t="shared" si="294"/>
        <v/>
      </c>
      <c r="BA425" s="386">
        <f t="shared" si="295"/>
        <v>0</v>
      </c>
      <c r="BB425" s="386">
        <f t="shared" si="264"/>
        <v>11650</v>
      </c>
      <c r="BC425" s="386">
        <f t="shared" si="265"/>
        <v>0</v>
      </c>
      <c r="BD425" s="386">
        <f t="shared" si="266"/>
        <v>3843.0079999999998</v>
      </c>
      <c r="BE425" s="386">
        <f t="shared" si="267"/>
        <v>898.76800000000003</v>
      </c>
      <c r="BF425" s="386">
        <f t="shared" si="268"/>
        <v>7400.8896000000004</v>
      </c>
      <c r="BG425" s="386">
        <f t="shared" si="269"/>
        <v>446.90464000000003</v>
      </c>
      <c r="BH425" s="386">
        <f t="shared" si="270"/>
        <v>303.72159999999997</v>
      </c>
      <c r="BI425" s="386">
        <f t="shared" si="271"/>
        <v>189.67103999999998</v>
      </c>
      <c r="BJ425" s="386">
        <f t="shared" si="272"/>
        <v>148.76159999999999</v>
      </c>
      <c r="BK425" s="386">
        <f t="shared" si="273"/>
        <v>0</v>
      </c>
      <c r="BL425" s="386">
        <f t="shared" si="296"/>
        <v>13231.724480000001</v>
      </c>
      <c r="BM425" s="386">
        <f t="shared" si="297"/>
        <v>0</v>
      </c>
      <c r="BN425" s="386">
        <f t="shared" si="274"/>
        <v>11650</v>
      </c>
      <c r="BO425" s="386">
        <f t="shared" si="275"/>
        <v>0</v>
      </c>
      <c r="BP425" s="386">
        <f t="shared" si="276"/>
        <v>3843.0079999999998</v>
      </c>
      <c r="BQ425" s="386">
        <f t="shared" si="277"/>
        <v>898.76800000000003</v>
      </c>
      <c r="BR425" s="386">
        <f t="shared" si="278"/>
        <v>7400.8896000000004</v>
      </c>
      <c r="BS425" s="386">
        <f t="shared" si="279"/>
        <v>446.90464000000003</v>
      </c>
      <c r="BT425" s="386">
        <f t="shared" si="280"/>
        <v>0</v>
      </c>
      <c r="BU425" s="386">
        <f t="shared" si="281"/>
        <v>189.67103999999998</v>
      </c>
      <c r="BV425" s="386">
        <f t="shared" si="282"/>
        <v>154.96</v>
      </c>
      <c r="BW425" s="386">
        <f t="shared" si="283"/>
        <v>0</v>
      </c>
      <c r="BX425" s="386">
        <f t="shared" si="298"/>
        <v>12934.201279999999</v>
      </c>
      <c r="BY425" s="386">
        <f t="shared" si="299"/>
        <v>0</v>
      </c>
      <c r="BZ425" s="386">
        <f t="shared" si="300"/>
        <v>0</v>
      </c>
      <c r="CA425" s="386">
        <f t="shared" si="301"/>
        <v>0</v>
      </c>
      <c r="CB425" s="386">
        <f t="shared" si="302"/>
        <v>0</v>
      </c>
      <c r="CC425" s="386">
        <f t="shared" si="284"/>
        <v>0</v>
      </c>
      <c r="CD425" s="386">
        <f t="shared" si="285"/>
        <v>0</v>
      </c>
      <c r="CE425" s="386">
        <f t="shared" si="286"/>
        <v>0</v>
      </c>
      <c r="CF425" s="386">
        <f t="shared" si="287"/>
        <v>-303.72159999999997</v>
      </c>
      <c r="CG425" s="386">
        <f t="shared" si="288"/>
        <v>0</v>
      </c>
      <c r="CH425" s="386">
        <f t="shared" si="289"/>
        <v>6.1984000000000163</v>
      </c>
      <c r="CI425" s="386">
        <f t="shared" si="290"/>
        <v>0</v>
      </c>
      <c r="CJ425" s="386">
        <f t="shared" si="303"/>
        <v>-297.52319999999997</v>
      </c>
      <c r="CK425" s="386" t="str">
        <f t="shared" si="304"/>
        <v/>
      </c>
      <c r="CL425" s="386" t="str">
        <f t="shared" si="305"/>
        <v/>
      </c>
      <c r="CM425" s="386" t="str">
        <f t="shared" si="306"/>
        <v/>
      </c>
      <c r="CN425" s="386" t="str">
        <f t="shared" si="307"/>
        <v>0276-00</v>
      </c>
    </row>
    <row r="426" spans="1:92" ht="15.75" thickBot="1" x14ac:dyDescent="0.3">
      <c r="A426" s="375" t="s">
        <v>161</v>
      </c>
      <c r="B426" s="375" t="s">
        <v>162</v>
      </c>
      <c r="C426" s="375" t="s">
        <v>1587</v>
      </c>
      <c r="D426" s="375" t="s">
        <v>259</v>
      </c>
      <c r="E426" s="375" t="s">
        <v>1537</v>
      </c>
      <c r="F426" s="376" t="s">
        <v>166</v>
      </c>
      <c r="G426" s="375" t="s">
        <v>1538</v>
      </c>
      <c r="H426" s="377"/>
      <c r="I426" s="377"/>
      <c r="J426" s="375" t="s">
        <v>168</v>
      </c>
      <c r="K426" s="375" t="s">
        <v>260</v>
      </c>
      <c r="L426" s="375" t="s">
        <v>261</v>
      </c>
      <c r="M426" s="375" t="s">
        <v>171</v>
      </c>
      <c r="N426" s="375" t="s">
        <v>262</v>
      </c>
      <c r="O426" s="378">
        <v>0</v>
      </c>
      <c r="P426" s="384">
        <v>1</v>
      </c>
      <c r="Q426" s="384">
        <v>0</v>
      </c>
      <c r="R426" s="379">
        <v>0</v>
      </c>
      <c r="S426" s="384">
        <v>0</v>
      </c>
      <c r="T426" s="379">
        <v>1801.1</v>
      </c>
      <c r="U426" s="379">
        <v>0</v>
      </c>
      <c r="V426" s="379">
        <v>142.21</v>
      </c>
      <c r="W426" s="379">
        <v>1801.1</v>
      </c>
      <c r="X426" s="379">
        <v>142.21</v>
      </c>
      <c r="Y426" s="379">
        <v>1801.1</v>
      </c>
      <c r="Z426" s="379">
        <v>142.21</v>
      </c>
      <c r="AA426" s="377"/>
      <c r="AB426" s="375" t="s">
        <v>45</v>
      </c>
      <c r="AC426" s="375" t="s">
        <v>45</v>
      </c>
      <c r="AD426" s="377"/>
      <c r="AE426" s="377"/>
      <c r="AF426" s="377"/>
      <c r="AG426" s="377"/>
      <c r="AH426" s="378">
        <v>0</v>
      </c>
      <c r="AI426" s="378">
        <v>0</v>
      </c>
      <c r="AJ426" s="377"/>
      <c r="AK426" s="377"/>
      <c r="AL426" s="375" t="s">
        <v>173</v>
      </c>
      <c r="AM426" s="377"/>
      <c r="AN426" s="377"/>
      <c r="AO426" s="378">
        <v>0</v>
      </c>
      <c r="AP426" s="384">
        <v>0</v>
      </c>
      <c r="AQ426" s="384">
        <v>0</v>
      </c>
      <c r="AR426" s="382"/>
      <c r="AS426" s="386">
        <f t="shared" si="291"/>
        <v>0</v>
      </c>
      <c r="AT426">
        <f t="shared" si="292"/>
        <v>0</v>
      </c>
      <c r="AU426" s="386" t="str">
        <f>IF(AT426=0,"",IF(AND(AT426=1,M426="F",SUMIF(C2:C557,C426,AS2:AS557)&lt;=1),SUMIF(C2:C557,C426,AS2:AS557),IF(AND(AT426=1,M426="F",SUMIF(C2:C557,C426,AS2:AS557)&gt;1),1,"")))</f>
        <v/>
      </c>
      <c r="AV426" s="386" t="str">
        <f>IF(AT426=0,"",IF(AND(AT426=3,M426="F",SUMIF(C2:C557,C426,AS2:AS557)&lt;=1),SUMIF(C2:C557,C426,AS2:AS557),IF(AND(AT426=3,M426="F",SUMIF(C2:C557,C426,AS2:AS557)&gt;1),1,"")))</f>
        <v/>
      </c>
      <c r="AW426" s="386">
        <f>SUMIF(C2:C557,C426,O2:O557)</f>
        <v>0</v>
      </c>
      <c r="AX426" s="386">
        <f>IF(AND(M426="F",AS426&lt;&gt;0),SUMIF(C2:C557,C426,W2:W557),0)</f>
        <v>0</v>
      </c>
      <c r="AY426" s="386" t="str">
        <f t="shared" si="293"/>
        <v/>
      </c>
      <c r="AZ426" s="386" t="str">
        <f t="shared" si="294"/>
        <v/>
      </c>
      <c r="BA426" s="386">
        <f t="shared" si="295"/>
        <v>0</v>
      </c>
      <c r="BB426" s="386">
        <f t="shared" si="264"/>
        <v>0</v>
      </c>
      <c r="BC426" s="386">
        <f t="shared" si="265"/>
        <v>0</v>
      </c>
      <c r="BD426" s="386">
        <f t="shared" si="266"/>
        <v>0</v>
      </c>
      <c r="BE426" s="386">
        <f t="shared" si="267"/>
        <v>0</v>
      </c>
      <c r="BF426" s="386">
        <f t="shared" si="268"/>
        <v>0</v>
      </c>
      <c r="BG426" s="386">
        <f t="shared" si="269"/>
        <v>0</v>
      </c>
      <c r="BH426" s="386">
        <f t="shared" si="270"/>
        <v>0</v>
      </c>
      <c r="BI426" s="386">
        <f t="shared" si="271"/>
        <v>0</v>
      </c>
      <c r="BJ426" s="386">
        <f t="shared" si="272"/>
        <v>0</v>
      </c>
      <c r="BK426" s="386">
        <f t="shared" si="273"/>
        <v>0</v>
      </c>
      <c r="BL426" s="386">
        <f t="shared" si="296"/>
        <v>0</v>
      </c>
      <c r="BM426" s="386">
        <f t="shared" si="297"/>
        <v>0</v>
      </c>
      <c r="BN426" s="386">
        <f t="shared" si="274"/>
        <v>0</v>
      </c>
      <c r="BO426" s="386">
        <f t="shared" si="275"/>
        <v>0</v>
      </c>
      <c r="BP426" s="386">
        <f t="shared" si="276"/>
        <v>0</v>
      </c>
      <c r="BQ426" s="386">
        <f t="shared" si="277"/>
        <v>0</v>
      </c>
      <c r="BR426" s="386">
        <f t="shared" si="278"/>
        <v>0</v>
      </c>
      <c r="BS426" s="386">
        <f t="shared" si="279"/>
        <v>0</v>
      </c>
      <c r="BT426" s="386">
        <f t="shared" si="280"/>
        <v>0</v>
      </c>
      <c r="BU426" s="386">
        <f t="shared" si="281"/>
        <v>0</v>
      </c>
      <c r="BV426" s="386">
        <f t="shared" si="282"/>
        <v>0</v>
      </c>
      <c r="BW426" s="386">
        <f t="shared" si="283"/>
        <v>0</v>
      </c>
      <c r="BX426" s="386">
        <f t="shared" si="298"/>
        <v>0</v>
      </c>
      <c r="BY426" s="386">
        <f t="shared" si="299"/>
        <v>0</v>
      </c>
      <c r="BZ426" s="386">
        <f t="shared" si="300"/>
        <v>0</v>
      </c>
      <c r="CA426" s="386">
        <f t="shared" si="301"/>
        <v>0</v>
      </c>
      <c r="CB426" s="386">
        <f t="shared" si="302"/>
        <v>0</v>
      </c>
      <c r="CC426" s="386">
        <f t="shared" si="284"/>
        <v>0</v>
      </c>
      <c r="CD426" s="386">
        <f t="shared" si="285"/>
        <v>0</v>
      </c>
      <c r="CE426" s="386">
        <f t="shared" si="286"/>
        <v>0</v>
      </c>
      <c r="CF426" s="386">
        <f t="shared" si="287"/>
        <v>0</v>
      </c>
      <c r="CG426" s="386">
        <f t="shared" si="288"/>
        <v>0</v>
      </c>
      <c r="CH426" s="386">
        <f t="shared" si="289"/>
        <v>0</v>
      </c>
      <c r="CI426" s="386">
        <f t="shared" si="290"/>
        <v>0</v>
      </c>
      <c r="CJ426" s="386">
        <f t="shared" si="303"/>
        <v>0</v>
      </c>
      <c r="CK426" s="386" t="str">
        <f t="shared" si="304"/>
        <v/>
      </c>
      <c r="CL426" s="386">
        <f t="shared" si="305"/>
        <v>1801.1</v>
      </c>
      <c r="CM426" s="386">
        <f t="shared" si="306"/>
        <v>142.21</v>
      </c>
      <c r="CN426" s="386" t="str">
        <f t="shared" si="307"/>
        <v>0276-00</v>
      </c>
    </row>
    <row r="427" spans="1:92" ht="15.75" thickBot="1" x14ac:dyDescent="0.3">
      <c r="A427" s="375" t="s">
        <v>161</v>
      </c>
      <c r="B427" s="375" t="s">
        <v>162</v>
      </c>
      <c r="C427" s="375" t="s">
        <v>1588</v>
      </c>
      <c r="D427" s="375" t="s">
        <v>555</v>
      </c>
      <c r="E427" s="375" t="s">
        <v>1537</v>
      </c>
      <c r="F427" s="376" t="s">
        <v>166</v>
      </c>
      <c r="G427" s="375" t="s">
        <v>1538</v>
      </c>
      <c r="H427" s="377"/>
      <c r="I427" s="377"/>
      <c r="J427" s="375" t="s">
        <v>168</v>
      </c>
      <c r="K427" s="375" t="s">
        <v>556</v>
      </c>
      <c r="L427" s="375" t="s">
        <v>220</v>
      </c>
      <c r="M427" s="375" t="s">
        <v>177</v>
      </c>
      <c r="N427" s="375" t="s">
        <v>199</v>
      </c>
      <c r="O427" s="378">
        <v>1</v>
      </c>
      <c r="P427" s="384">
        <v>1</v>
      </c>
      <c r="Q427" s="384">
        <v>1</v>
      </c>
      <c r="R427" s="379">
        <v>80</v>
      </c>
      <c r="S427" s="384">
        <v>1</v>
      </c>
      <c r="T427" s="379">
        <v>53974.73</v>
      </c>
      <c r="U427" s="379">
        <v>0</v>
      </c>
      <c r="V427" s="379">
        <v>22802.26</v>
      </c>
      <c r="W427" s="379">
        <v>57678.400000000001</v>
      </c>
      <c r="X427" s="379">
        <v>23962.58</v>
      </c>
      <c r="Y427" s="379">
        <v>57678.400000000001</v>
      </c>
      <c r="Z427" s="379">
        <v>23685.73</v>
      </c>
      <c r="AA427" s="375" t="s">
        <v>1589</v>
      </c>
      <c r="AB427" s="375" t="s">
        <v>1590</v>
      </c>
      <c r="AC427" s="375" t="s">
        <v>1591</v>
      </c>
      <c r="AD427" s="375" t="s">
        <v>195</v>
      </c>
      <c r="AE427" s="375" t="s">
        <v>556</v>
      </c>
      <c r="AF427" s="375" t="s">
        <v>252</v>
      </c>
      <c r="AG427" s="375" t="s">
        <v>183</v>
      </c>
      <c r="AH427" s="380">
        <v>27.73</v>
      </c>
      <c r="AI427" s="380">
        <v>44076.9</v>
      </c>
      <c r="AJ427" s="375" t="s">
        <v>184</v>
      </c>
      <c r="AK427" s="375" t="s">
        <v>185</v>
      </c>
      <c r="AL427" s="375" t="s">
        <v>173</v>
      </c>
      <c r="AM427" s="375" t="s">
        <v>186</v>
      </c>
      <c r="AN427" s="375" t="s">
        <v>68</v>
      </c>
      <c r="AO427" s="378">
        <v>80</v>
      </c>
      <c r="AP427" s="384">
        <v>1</v>
      </c>
      <c r="AQ427" s="384">
        <v>1</v>
      </c>
      <c r="AR427" s="383" t="s">
        <v>187</v>
      </c>
      <c r="AS427" s="386">
        <f t="shared" si="291"/>
        <v>1</v>
      </c>
      <c r="AT427">
        <f t="shared" si="292"/>
        <v>1</v>
      </c>
      <c r="AU427" s="386">
        <f>IF(AT427=0,"",IF(AND(AT427=1,M427="F",SUMIF(C2:C557,C427,AS2:AS557)&lt;=1),SUMIF(C2:C557,C427,AS2:AS557),IF(AND(AT427=1,M427="F",SUMIF(C2:C557,C427,AS2:AS557)&gt;1),1,"")))</f>
        <v>1</v>
      </c>
      <c r="AV427" s="386" t="str">
        <f>IF(AT427=0,"",IF(AND(AT427=3,M427="F",SUMIF(C2:C557,C427,AS2:AS557)&lt;=1),SUMIF(C2:C557,C427,AS2:AS557),IF(AND(AT427=3,M427="F",SUMIF(C2:C557,C427,AS2:AS557)&gt;1),1,"")))</f>
        <v/>
      </c>
      <c r="AW427" s="386">
        <f>SUMIF(C2:C557,C427,O2:O557)</f>
        <v>1</v>
      </c>
      <c r="AX427" s="386">
        <f>IF(AND(M427="F",AS427&lt;&gt;0),SUMIF(C2:C557,C427,W2:W557),0)</f>
        <v>57678.400000000001</v>
      </c>
      <c r="AY427" s="386">
        <f t="shared" si="293"/>
        <v>57678.400000000001</v>
      </c>
      <c r="AZ427" s="386" t="str">
        <f t="shared" si="294"/>
        <v/>
      </c>
      <c r="BA427" s="386">
        <f t="shared" si="295"/>
        <v>0</v>
      </c>
      <c r="BB427" s="386">
        <f t="shared" si="264"/>
        <v>11650</v>
      </c>
      <c r="BC427" s="386">
        <f t="shared" si="265"/>
        <v>0</v>
      </c>
      <c r="BD427" s="386">
        <f t="shared" si="266"/>
        <v>3576.0608000000002</v>
      </c>
      <c r="BE427" s="386">
        <f t="shared" si="267"/>
        <v>836.33680000000004</v>
      </c>
      <c r="BF427" s="386">
        <f t="shared" si="268"/>
        <v>6886.8009600000005</v>
      </c>
      <c r="BG427" s="386">
        <f t="shared" si="269"/>
        <v>415.86126400000001</v>
      </c>
      <c r="BH427" s="386">
        <f t="shared" si="270"/>
        <v>282.62416000000002</v>
      </c>
      <c r="BI427" s="386">
        <f t="shared" si="271"/>
        <v>176.495904</v>
      </c>
      <c r="BJ427" s="386">
        <f t="shared" si="272"/>
        <v>138.42815999999999</v>
      </c>
      <c r="BK427" s="386">
        <f t="shared" si="273"/>
        <v>0</v>
      </c>
      <c r="BL427" s="386">
        <f t="shared" si="296"/>
        <v>12312.608047999998</v>
      </c>
      <c r="BM427" s="386">
        <f t="shared" si="297"/>
        <v>0</v>
      </c>
      <c r="BN427" s="386">
        <f t="shared" si="274"/>
        <v>11650</v>
      </c>
      <c r="BO427" s="386">
        <f t="shared" si="275"/>
        <v>0</v>
      </c>
      <c r="BP427" s="386">
        <f t="shared" si="276"/>
        <v>3576.0608000000002</v>
      </c>
      <c r="BQ427" s="386">
        <f t="shared" si="277"/>
        <v>836.33680000000004</v>
      </c>
      <c r="BR427" s="386">
        <f t="shared" si="278"/>
        <v>6886.8009600000005</v>
      </c>
      <c r="BS427" s="386">
        <f t="shared" si="279"/>
        <v>415.86126400000001</v>
      </c>
      <c r="BT427" s="386">
        <f t="shared" si="280"/>
        <v>0</v>
      </c>
      <c r="BU427" s="386">
        <f t="shared" si="281"/>
        <v>176.495904</v>
      </c>
      <c r="BV427" s="386">
        <f t="shared" si="282"/>
        <v>144.196</v>
      </c>
      <c r="BW427" s="386">
        <f t="shared" si="283"/>
        <v>0</v>
      </c>
      <c r="BX427" s="386">
        <f t="shared" si="298"/>
        <v>12035.751727999999</v>
      </c>
      <c r="BY427" s="386">
        <f t="shared" si="299"/>
        <v>0</v>
      </c>
      <c r="BZ427" s="386">
        <f t="shared" si="300"/>
        <v>0</v>
      </c>
      <c r="CA427" s="386">
        <f t="shared" si="301"/>
        <v>0</v>
      </c>
      <c r="CB427" s="386">
        <f t="shared" si="302"/>
        <v>0</v>
      </c>
      <c r="CC427" s="386">
        <f t="shared" si="284"/>
        <v>0</v>
      </c>
      <c r="CD427" s="386">
        <f t="shared" si="285"/>
        <v>0</v>
      </c>
      <c r="CE427" s="386">
        <f t="shared" si="286"/>
        <v>0</v>
      </c>
      <c r="CF427" s="386">
        <f t="shared" si="287"/>
        <v>-282.62416000000002</v>
      </c>
      <c r="CG427" s="386">
        <f t="shared" si="288"/>
        <v>0</v>
      </c>
      <c r="CH427" s="386">
        <f t="shared" si="289"/>
        <v>5.7678400000000156</v>
      </c>
      <c r="CI427" s="386">
        <f t="shared" si="290"/>
        <v>0</v>
      </c>
      <c r="CJ427" s="386">
        <f t="shared" si="303"/>
        <v>-276.85631999999998</v>
      </c>
      <c r="CK427" s="386" t="str">
        <f t="shared" si="304"/>
        <v/>
      </c>
      <c r="CL427" s="386" t="str">
        <f t="shared" si="305"/>
        <v/>
      </c>
      <c r="CM427" s="386" t="str">
        <f t="shared" si="306"/>
        <v/>
      </c>
      <c r="CN427" s="386" t="str">
        <f t="shared" si="307"/>
        <v>0276-00</v>
      </c>
    </row>
    <row r="428" spans="1:92" ht="15.75" thickBot="1" x14ac:dyDescent="0.3">
      <c r="A428" s="375" t="s">
        <v>161</v>
      </c>
      <c r="B428" s="375" t="s">
        <v>162</v>
      </c>
      <c r="C428" s="375" t="s">
        <v>1592</v>
      </c>
      <c r="D428" s="375" t="s">
        <v>555</v>
      </c>
      <c r="E428" s="375" t="s">
        <v>1537</v>
      </c>
      <c r="F428" s="376" t="s">
        <v>166</v>
      </c>
      <c r="G428" s="375" t="s">
        <v>1538</v>
      </c>
      <c r="H428" s="377"/>
      <c r="I428" s="377"/>
      <c r="J428" s="375" t="s">
        <v>168</v>
      </c>
      <c r="K428" s="375" t="s">
        <v>556</v>
      </c>
      <c r="L428" s="375" t="s">
        <v>220</v>
      </c>
      <c r="M428" s="375" t="s">
        <v>177</v>
      </c>
      <c r="N428" s="375" t="s">
        <v>199</v>
      </c>
      <c r="O428" s="378">
        <v>1</v>
      </c>
      <c r="P428" s="384">
        <v>1</v>
      </c>
      <c r="Q428" s="384">
        <v>1</v>
      </c>
      <c r="R428" s="379">
        <v>80</v>
      </c>
      <c r="S428" s="384">
        <v>1</v>
      </c>
      <c r="T428" s="379">
        <v>74505.119999999995</v>
      </c>
      <c r="U428" s="379">
        <v>0</v>
      </c>
      <c r="V428" s="379">
        <v>26709.73</v>
      </c>
      <c r="W428" s="379">
        <v>76107.199999999997</v>
      </c>
      <c r="X428" s="379">
        <v>27896.560000000001</v>
      </c>
      <c r="Y428" s="379">
        <v>76107.199999999997</v>
      </c>
      <c r="Z428" s="379">
        <v>27531.25</v>
      </c>
      <c r="AA428" s="375" t="s">
        <v>1593</v>
      </c>
      <c r="AB428" s="375" t="s">
        <v>1594</v>
      </c>
      <c r="AC428" s="375" t="s">
        <v>1595</v>
      </c>
      <c r="AD428" s="375" t="s">
        <v>366</v>
      </c>
      <c r="AE428" s="375" t="s">
        <v>556</v>
      </c>
      <c r="AF428" s="375" t="s">
        <v>252</v>
      </c>
      <c r="AG428" s="375" t="s">
        <v>183</v>
      </c>
      <c r="AH428" s="380">
        <v>36.590000000000003</v>
      </c>
      <c r="AI428" s="380">
        <v>85582.9</v>
      </c>
      <c r="AJ428" s="375" t="s">
        <v>184</v>
      </c>
      <c r="AK428" s="375" t="s">
        <v>185</v>
      </c>
      <c r="AL428" s="375" t="s">
        <v>173</v>
      </c>
      <c r="AM428" s="375" t="s">
        <v>186</v>
      </c>
      <c r="AN428" s="375" t="s">
        <v>68</v>
      </c>
      <c r="AO428" s="378">
        <v>80</v>
      </c>
      <c r="AP428" s="384">
        <v>1</v>
      </c>
      <c r="AQ428" s="384">
        <v>1</v>
      </c>
      <c r="AR428" s="383" t="s">
        <v>187</v>
      </c>
      <c r="AS428" s="386">
        <f t="shared" si="291"/>
        <v>1</v>
      </c>
      <c r="AT428">
        <f t="shared" si="292"/>
        <v>1</v>
      </c>
      <c r="AU428" s="386">
        <f>IF(AT428=0,"",IF(AND(AT428=1,M428="F",SUMIF(C2:C557,C428,AS2:AS557)&lt;=1),SUMIF(C2:C557,C428,AS2:AS557),IF(AND(AT428=1,M428="F",SUMIF(C2:C557,C428,AS2:AS557)&gt;1),1,"")))</f>
        <v>1</v>
      </c>
      <c r="AV428" s="386" t="str">
        <f>IF(AT428=0,"",IF(AND(AT428=3,M428="F",SUMIF(C2:C557,C428,AS2:AS557)&lt;=1),SUMIF(C2:C557,C428,AS2:AS557),IF(AND(AT428=3,M428="F",SUMIF(C2:C557,C428,AS2:AS557)&gt;1),1,"")))</f>
        <v/>
      </c>
      <c r="AW428" s="386">
        <f>SUMIF(C2:C557,C428,O2:O557)</f>
        <v>1</v>
      </c>
      <c r="AX428" s="386">
        <f>IF(AND(M428="F",AS428&lt;&gt;0),SUMIF(C2:C557,C428,W2:W557),0)</f>
        <v>76107.199999999997</v>
      </c>
      <c r="AY428" s="386">
        <f t="shared" si="293"/>
        <v>76107.199999999997</v>
      </c>
      <c r="AZ428" s="386" t="str">
        <f t="shared" si="294"/>
        <v/>
      </c>
      <c r="BA428" s="386">
        <f t="shared" si="295"/>
        <v>0</v>
      </c>
      <c r="BB428" s="386">
        <f t="shared" si="264"/>
        <v>11650</v>
      </c>
      <c r="BC428" s="386">
        <f t="shared" si="265"/>
        <v>0</v>
      </c>
      <c r="BD428" s="386">
        <f t="shared" si="266"/>
        <v>4718.6463999999996</v>
      </c>
      <c r="BE428" s="386">
        <f t="shared" si="267"/>
        <v>1103.5544</v>
      </c>
      <c r="BF428" s="386">
        <f t="shared" si="268"/>
        <v>9087.1996799999997</v>
      </c>
      <c r="BG428" s="386">
        <f t="shared" si="269"/>
        <v>548.73291200000006</v>
      </c>
      <c r="BH428" s="386">
        <f t="shared" si="270"/>
        <v>372.92527999999999</v>
      </c>
      <c r="BI428" s="386">
        <f t="shared" si="271"/>
        <v>232.88803199999998</v>
      </c>
      <c r="BJ428" s="386">
        <f t="shared" si="272"/>
        <v>182.65727999999999</v>
      </c>
      <c r="BK428" s="386">
        <f t="shared" si="273"/>
        <v>0</v>
      </c>
      <c r="BL428" s="386">
        <f t="shared" si="296"/>
        <v>16246.603983999999</v>
      </c>
      <c r="BM428" s="386">
        <f t="shared" si="297"/>
        <v>0</v>
      </c>
      <c r="BN428" s="386">
        <f t="shared" si="274"/>
        <v>11650</v>
      </c>
      <c r="BO428" s="386">
        <f t="shared" si="275"/>
        <v>0</v>
      </c>
      <c r="BP428" s="386">
        <f t="shared" si="276"/>
        <v>4718.6463999999996</v>
      </c>
      <c r="BQ428" s="386">
        <f t="shared" si="277"/>
        <v>1103.5544</v>
      </c>
      <c r="BR428" s="386">
        <f t="shared" si="278"/>
        <v>9087.1996799999997</v>
      </c>
      <c r="BS428" s="386">
        <f t="shared" si="279"/>
        <v>548.73291200000006</v>
      </c>
      <c r="BT428" s="386">
        <f t="shared" si="280"/>
        <v>0</v>
      </c>
      <c r="BU428" s="386">
        <f t="shared" si="281"/>
        <v>232.88803199999998</v>
      </c>
      <c r="BV428" s="386">
        <f t="shared" si="282"/>
        <v>190.268</v>
      </c>
      <c r="BW428" s="386">
        <f t="shared" si="283"/>
        <v>0</v>
      </c>
      <c r="BX428" s="386">
        <f t="shared" si="298"/>
        <v>15881.289424000001</v>
      </c>
      <c r="BY428" s="386">
        <f t="shared" si="299"/>
        <v>0</v>
      </c>
      <c r="BZ428" s="386">
        <f t="shared" si="300"/>
        <v>0</v>
      </c>
      <c r="CA428" s="386">
        <f t="shared" si="301"/>
        <v>0</v>
      </c>
      <c r="CB428" s="386">
        <f t="shared" si="302"/>
        <v>0</v>
      </c>
      <c r="CC428" s="386">
        <f t="shared" si="284"/>
        <v>0</v>
      </c>
      <c r="CD428" s="386">
        <f t="shared" si="285"/>
        <v>0</v>
      </c>
      <c r="CE428" s="386">
        <f t="shared" si="286"/>
        <v>0</v>
      </c>
      <c r="CF428" s="386">
        <f t="shared" si="287"/>
        <v>-372.92527999999999</v>
      </c>
      <c r="CG428" s="386">
        <f t="shared" si="288"/>
        <v>0</v>
      </c>
      <c r="CH428" s="386">
        <f t="shared" si="289"/>
        <v>7.6107200000000192</v>
      </c>
      <c r="CI428" s="386">
        <f t="shared" si="290"/>
        <v>0</v>
      </c>
      <c r="CJ428" s="386">
        <f t="shared" si="303"/>
        <v>-365.31455999999997</v>
      </c>
      <c r="CK428" s="386" t="str">
        <f t="shared" si="304"/>
        <v/>
      </c>
      <c r="CL428" s="386" t="str">
        <f t="shared" si="305"/>
        <v/>
      </c>
      <c r="CM428" s="386" t="str">
        <f t="shared" si="306"/>
        <v/>
      </c>
      <c r="CN428" s="386" t="str">
        <f t="shared" si="307"/>
        <v>0276-00</v>
      </c>
    </row>
    <row r="429" spans="1:92" ht="15.75" thickBot="1" x14ac:dyDescent="0.3">
      <c r="A429" s="375" t="s">
        <v>161</v>
      </c>
      <c r="B429" s="375" t="s">
        <v>162</v>
      </c>
      <c r="C429" s="375" t="s">
        <v>664</v>
      </c>
      <c r="D429" s="375" t="s">
        <v>665</v>
      </c>
      <c r="E429" s="375" t="s">
        <v>1537</v>
      </c>
      <c r="F429" s="376" t="s">
        <v>166</v>
      </c>
      <c r="G429" s="375" t="s">
        <v>1538</v>
      </c>
      <c r="H429" s="377"/>
      <c r="I429" s="377"/>
      <c r="J429" s="375" t="s">
        <v>218</v>
      </c>
      <c r="K429" s="375" t="s">
        <v>666</v>
      </c>
      <c r="L429" s="375" t="s">
        <v>183</v>
      </c>
      <c r="M429" s="375" t="s">
        <v>177</v>
      </c>
      <c r="N429" s="375" t="s">
        <v>199</v>
      </c>
      <c r="O429" s="378">
        <v>1</v>
      </c>
      <c r="P429" s="384">
        <v>0.15</v>
      </c>
      <c r="Q429" s="384">
        <v>0.15</v>
      </c>
      <c r="R429" s="379">
        <v>80</v>
      </c>
      <c r="S429" s="384">
        <v>0.15</v>
      </c>
      <c r="T429" s="379">
        <v>5598.51</v>
      </c>
      <c r="U429" s="379">
        <v>0</v>
      </c>
      <c r="V429" s="379">
        <v>2905.29</v>
      </c>
      <c r="W429" s="379">
        <v>5793.84</v>
      </c>
      <c r="X429" s="379">
        <v>2984.3</v>
      </c>
      <c r="Y429" s="379">
        <v>5793.84</v>
      </c>
      <c r="Z429" s="379">
        <v>2956.49</v>
      </c>
      <c r="AA429" s="375" t="s">
        <v>667</v>
      </c>
      <c r="AB429" s="375" t="s">
        <v>668</v>
      </c>
      <c r="AC429" s="375" t="s">
        <v>669</v>
      </c>
      <c r="AD429" s="375" t="s">
        <v>670</v>
      </c>
      <c r="AE429" s="375" t="s">
        <v>666</v>
      </c>
      <c r="AF429" s="375" t="s">
        <v>206</v>
      </c>
      <c r="AG429" s="375" t="s">
        <v>183</v>
      </c>
      <c r="AH429" s="380">
        <v>18.57</v>
      </c>
      <c r="AI429" s="380">
        <v>56696.1</v>
      </c>
      <c r="AJ429" s="375" t="s">
        <v>184</v>
      </c>
      <c r="AK429" s="375" t="s">
        <v>185</v>
      </c>
      <c r="AL429" s="375" t="s">
        <v>173</v>
      </c>
      <c r="AM429" s="375" t="s">
        <v>186</v>
      </c>
      <c r="AN429" s="375" t="s">
        <v>68</v>
      </c>
      <c r="AO429" s="378">
        <v>80</v>
      </c>
      <c r="AP429" s="384">
        <v>1</v>
      </c>
      <c r="AQ429" s="384">
        <v>0.15</v>
      </c>
      <c r="AR429" s="383" t="s">
        <v>187</v>
      </c>
      <c r="AS429" s="386">
        <f t="shared" si="291"/>
        <v>0.15</v>
      </c>
      <c r="AT429">
        <f t="shared" si="292"/>
        <v>1</v>
      </c>
      <c r="AU429" s="386">
        <f>IF(AT429=0,"",IF(AND(AT429=1,M429="F",SUMIF(C2:C557,C429,AS2:AS557)&lt;=1),SUMIF(C2:C557,C429,AS2:AS557),IF(AND(AT429=1,M429="F",SUMIF(C2:C557,C429,AS2:AS557)&gt;1),1,"")))</f>
        <v>1</v>
      </c>
      <c r="AV429" s="386" t="str">
        <f>IF(AT429=0,"",IF(AND(AT429=3,M429="F",SUMIF(C2:C557,C429,AS2:AS557)&lt;=1),SUMIF(C2:C557,C429,AS2:AS557),IF(AND(AT429=3,M429="F",SUMIF(C2:C557,C429,AS2:AS557)&gt;1),1,"")))</f>
        <v/>
      </c>
      <c r="AW429" s="386">
        <f>SUMIF(C2:C557,C429,O2:O557)</f>
        <v>2</v>
      </c>
      <c r="AX429" s="386">
        <f>IF(AND(M429="F",AS429&lt;&gt;0),SUMIF(C2:C557,C429,W2:W557),0)</f>
        <v>38625.600000000006</v>
      </c>
      <c r="AY429" s="386">
        <f t="shared" si="293"/>
        <v>5793.84</v>
      </c>
      <c r="AZ429" s="386" t="str">
        <f t="shared" si="294"/>
        <v/>
      </c>
      <c r="BA429" s="386">
        <f t="shared" si="295"/>
        <v>0</v>
      </c>
      <c r="BB429" s="386">
        <f t="shared" si="264"/>
        <v>1747.5</v>
      </c>
      <c r="BC429" s="386">
        <f t="shared" si="265"/>
        <v>0</v>
      </c>
      <c r="BD429" s="386">
        <f t="shared" si="266"/>
        <v>359.21807999999999</v>
      </c>
      <c r="BE429" s="386">
        <f t="shared" si="267"/>
        <v>84.010680000000008</v>
      </c>
      <c r="BF429" s="386">
        <f t="shared" si="268"/>
        <v>691.7844960000001</v>
      </c>
      <c r="BG429" s="386">
        <f t="shared" si="269"/>
        <v>41.773586399999999</v>
      </c>
      <c r="BH429" s="386">
        <f t="shared" si="270"/>
        <v>28.389816</v>
      </c>
      <c r="BI429" s="386">
        <f t="shared" si="271"/>
        <v>17.729150399999998</v>
      </c>
      <c r="BJ429" s="386">
        <f t="shared" si="272"/>
        <v>13.905215999999999</v>
      </c>
      <c r="BK429" s="386">
        <f t="shared" si="273"/>
        <v>0</v>
      </c>
      <c r="BL429" s="386">
        <f t="shared" si="296"/>
        <v>1236.8110248000005</v>
      </c>
      <c r="BM429" s="386">
        <f t="shared" si="297"/>
        <v>0</v>
      </c>
      <c r="BN429" s="386">
        <f t="shared" si="274"/>
        <v>1747.5</v>
      </c>
      <c r="BO429" s="386">
        <f t="shared" si="275"/>
        <v>0</v>
      </c>
      <c r="BP429" s="386">
        <f t="shared" si="276"/>
        <v>359.21807999999999</v>
      </c>
      <c r="BQ429" s="386">
        <f t="shared" si="277"/>
        <v>84.010680000000008</v>
      </c>
      <c r="BR429" s="386">
        <f t="shared" si="278"/>
        <v>691.7844960000001</v>
      </c>
      <c r="BS429" s="386">
        <f t="shared" si="279"/>
        <v>41.773586399999999</v>
      </c>
      <c r="BT429" s="386">
        <f t="shared" si="280"/>
        <v>0</v>
      </c>
      <c r="BU429" s="386">
        <f t="shared" si="281"/>
        <v>17.729150399999998</v>
      </c>
      <c r="BV429" s="386">
        <f t="shared" si="282"/>
        <v>14.4846</v>
      </c>
      <c r="BW429" s="386">
        <f t="shared" si="283"/>
        <v>0</v>
      </c>
      <c r="BX429" s="386">
        <f t="shared" si="298"/>
        <v>1209.0005928000003</v>
      </c>
      <c r="BY429" s="386">
        <f t="shared" si="299"/>
        <v>0</v>
      </c>
      <c r="BZ429" s="386">
        <f t="shared" si="300"/>
        <v>0</v>
      </c>
      <c r="CA429" s="386">
        <f t="shared" si="301"/>
        <v>0</v>
      </c>
      <c r="CB429" s="386">
        <f t="shared" si="302"/>
        <v>0</v>
      </c>
      <c r="CC429" s="386">
        <f t="shared" si="284"/>
        <v>0</v>
      </c>
      <c r="CD429" s="386">
        <f t="shared" si="285"/>
        <v>0</v>
      </c>
      <c r="CE429" s="386">
        <f t="shared" si="286"/>
        <v>0</v>
      </c>
      <c r="CF429" s="386">
        <f t="shared" si="287"/>
        <v>-28.389816</v>
      </c>
      <c r="CG429" s="386">
        <f t="shared" si="288"/>
        <v>0</v>
      </c>
      <c r="CH429" s="386">
        <f t="shared" si="289"/>
        <v>0.57938400000000156</v>
      </c>
      <c r="CI429" s="386">
        <f t="shared" si="290"/>
        <v>0</v>
      </c>
      <c r="CJ429" s="386">
        <f t="shared" si="303"/>
        <v>-27.810431999999999</v>
      </c>
      <c r="CK429" s="386" t="str">
        <f t="shared" si="304"/>
        <v/>
      </c>
      <c r="CL429" s="386" t="str">
        <f t="shared" si="305"/>
        <v/>
      </c>
      <c r="CM429" s="386" t="str">
        <f t="shared" si="306"/>
        <v/>
      </c>
      <c r="CN429" s="386" t="str">
        <f t="shared" si="307"/>
        <v>0276-00</v>
      </c>
    </row>
    <row r="430" spans="1:92" ht="15.75" thickBot="1" x14ac:dyDescent="0.3">
      <c r="A430" s="375" t="s">
        <v>161</v>
      </c>
      <c r="B430" s="375" t="s">
        <v>162</v>
      </c>
      <c r="C430" s="375" t="s">
        <v>679</v>
      </c>
      <c r="D430" s="375" t="s">
        <v>665</v>
      </c>
      <c r="E430" s="375" t="s">
        <v>1537</v>
      </c>
      <c r="F430" s="376" t="s">
        <v>166</v>
      </c>
      <c r="G430" s="375" t="s">
        <v>1538</v>
      </c>
      <c r="H430" s="377"/>
      <c r="I430" s="377"/>
      <c r="J430" s="375" t="s">
        <v>218</v>
      </c>
      <c r="K430" s="375" t="s">
        <v>666</v>
      </c>
      <c r="L430" s="375" t="s">
        <v>183</v>
      </c>
      <c r="M430" s="375" t="s">
        <v>177</v>
      </c>
      <c r="N430" s="375" t="s">
        <v>199</v>
      </c>
      <c r="O430" s="378">
        <v>1</v>
      </c>
      <c r="P430" s="384">
        <v>0.1</v>
      </c>
      <c r="Q430" s="384">
        <v>0.1</v>
      </c>
      <c r="R430" s="379">
        <v>80</v>
      </c>
      <c r="S430" s="384">
        <v>0.1</v>
      </c>
      <c r="T430" s="379">
        <v>3327.82</v>
      </c>
      <c r="U430" s="379">
        <v>0</v>
      </c>
      <c r="V430" s="379">
        <v>1853.2</v>
      </c>
      <c r="W430" s="379">
        <v>3452.8</v>
      </c>
      <c r="X430" s="379">
        <v>1902.06</v>
      </c>
      <c r="Y430" s="379">
        <v>3452.8</v>
      </c>
      <c r="Z430" s="379">
        <v>1885.49</v>
      </c>
      <c r="AA430" s="375" t="s">
        <v>680</v>
      </c>
      <c r="AB430" s="375" t="s">
        <v>681</v>
      </c>
      <c r="AC430" s="375" t="s">
        <v>682</v>
      </c>
      <c r="AD430" s="375" t="s">
        <v>220</v>
      </c>
      <c r="AE430" s="375" t="s">
        <v>666</v>
      </c>
      <c r="AF430" s="375" t="s">
        <v>206</v>
      </c>
      <c r="AG430" s="375" t="s">
        <v>183</v>
      </c>
      <c r="AH430" s="380">
        <v>16.600000000000001</v>
      </c>
      <c r="AI430" s="378">
        <v>19354</v>
      </c>
      <c r="AJ430" s="375" t="s">
        <v>184</v>
      </c>
      <c r="AK430" s="375" t="s">
        <v>185</v>
      </c>
      <c r="AL430" s="375" t="s">
        <v>173</v>
      </c>
      <c r="AM430" s="375" t="s">
        <v>186</v>
      </c>
      <c r="AN430" s="375" t="s">
        <v>68</v>
      </c>
      <c r="AO430" s="378">
        <v>80</v>
      </c>
      <c r="AP430" s="384">
        <v>1</v>
      </c>
      <c r="AQ430" s="384">
        <v>0.1</v>
      </c>
      <c r="AR430" s="383" t="s">
        <v>187</v>
      </c>
      <c r="AS430" s="386">
        <f t="shared" si="291"/>
        <v>0.1</v>
      </c>
      <c r="AT430">
        <f t="shared" si="292"/>
        <v>1</v>
      </c>
      <c r="AU430" s="386">
        <f>IF(AT430=0,"",IF(AND(AT430=1,M430="F",SUMIF(C2:C557,C430,AS2:AS557)&lt;=1),SUMIF(C2:C557,C430,AS2:AS557),IF(AND(AT430=1,M430="F",SUMIF(C2:C557,C430,AS2:AS557)&gt;1),1,"")))</f>
        <v>1</v>
      </c>
      <c r="AV430" s="386" t="str">
        <f>IF(AT430=0,"",IF(AND(AT430=3,M430="F",SUMIF(C2:C557,C430,AS2:AS557)&lt;=1),SUMIF(C2:C557,C430,AS2:AS557),IF(AND(AT430=3,M430="F",SUMIF(C2:C557,C430,AS2:AS557)&gt;1),1,"")))</f>
        <v/>
      </c>
      <c r="AW430" s="386">
        <f>SUMIF(C2:C557,C430,O2:O557)</f>
        <v>2</v>
      </c>
      <c r="AX430" s="386">
        <f>IF(AND(M430="F",AS430&lt;&gt;0),SUMIF(C2:C557,C430,W2:W557),0)</f>
        <v>34528</v>
      </c>
      <c r="AY430" s="386">
        <f t="shared" si="293"/>
        <v>3452.8</v>
      </c>
      <c r="AZ430" s="386" t="str">
        <f t="shared" si="294"/>
        <v/>
      </c>
      <c r="BA430" s="386">
        <f t="shared" si="295"/>
        <v>0</v>
      </c>
      <c r="BB430" s="386">
        <f t="shared" si="264"/>
        <v>1165</v>
      </c>
      <c r="BC430" s="386">
        <f t="shared" si="265"/>
        <v>0</v>
      </c>
      <c r="BD430" s="386">
        <f t="shared" si="266"/>
        <v>214.0736</v>
      </c>
      <c r="BE430" s="386">
        <f t="shared" si="267"/>
        <v>50.065600000000003</v>
      </c>
      <c r="BF430" s="386">
        <f t="shared" si="268"/>
        <v>412.26432000000005</v>
      </c>
      <c r="BG430" s="386">
        <f t="shared" si="269"/>
        <v>24.894688000000002</v>
      </c>
      <c r="BH430" s="386">
        <f t="shared" si="270"/>
        <v>16.91872</v>
      </c>
      <c r="BI430" s="386">
        <f t="shared" si="271"/>
        <v>10.565567999999999</v>
      </c>
      <c r="BJ430" s="386">
        <f t="shared" si="272"/>
        <v>8.286719999999999</v>
      </c>
      <c r="BK430" s="386">
        <f t="shared" si="273"/>
        <v>0</v>
      </c>
      <c r="BL430" s="386">
        <f t="shared" si="296"/>
        <v>737.06921599999998</v>
      </c>
      <c r="BM430" s="386">
        <f t="shared" si="297"/>
        <v>0</v>
      </c>
      <c r="BN430" s="386">
        <f t="shared" si="274"/>
        <v>1165</v>
      </c>
      <c r="BO430" s="386">
        <f t="shared" si="275"/>
        <v>0</v>
      </c>
      <c r="BP430" s="386">
        <f t="shared" si="276"/>
        <v>214.0736</v>
      </c>
      <c r="BQ430" s="386">
        <f t="shared" si="277"/>
        <v>50.065600000000003</v>
      </c>
      <c r="BR430" s="386">
        <f t="shared" si="278"/>
        <v>412.26432000000005</v>
      </c>
      <c r="BS430" s="386">
        <f t="shared" si="279"/>
        <v>24.894688000000002</v>
      </c>
      <c r="BT430" s="386">
        <f t="shared" si="280"/>
        <v>0</v>
      </c>
      <c r="BU430" s="386">
        <f t="shared" si="281"/>
        <v>10.565567999999999</v>
      </c>
      <c r="BV430" s="386">
        <f t="shared" si="282"/>
        <v>8.6320000000000014</v>
      </c>
      <c r="BW430" s="386">
        <f t="shared" si="283"/>
        <v>0</v>
      </c>
      <c r="BX430" s="386">
        <f t="shared" si="298"/>
        <v>720.49577599999998</v>
      </c>
      <c r="BY430" s="386">
        <f t="shared" si="299"/>
        <v>0</v>
      </c>
      <c r="BZ430" s="386">
        <f t="shared" si="300"/>
        <v>0</v>
      </c>
      <c r="CA430" s="386">
        <f t="shared" si="301"/>
        <v>0</v>
      </c>
      <c r="CB430" s="386">
        <f t="shared" si="302"/>
        <v>0</v>
      </c>
      <c r="CC430" s="386">
        <f t="shared" si="284"/>
        <v>0</v>
      </c>
      <c r="CD430" s="386">
        <f t="shared" si="285"/>
        <v>0</v>
      </c>
      <c r="CE430" s="386">
        <f t="shared" si="286"/>
        <v>0</v>
      </c>
      <c r="CF430" s="386">
        <f t="shared" si="287"/>
        <v>-16.91872</v>
      </c>
      <c r="CG430" s="386">
        <f t="shared" si="288"/>
        <v>0</v>
      </c>
      <c r="CH430" s="386">
        <f t="shared" si="289"/>
        <v>0.34528000000000092</v>
      </c>
      <c r="CI430" s="386">
        <f t="shared" si="290"/>
        <v>0</v>
      </c>
      <c r="CJ430" s="386">
        <f t="shared" si="303"/>
        <v>-16.573439999999998</v>
      </c>
      <c r="CK430" s="386" t="str">
        <f t="shared" si="304"/>
        <v/>
      </c>
      <c r="CL430" s="386" t="str">
        <f t="shared" si="305"/>
        <v/>
      </c>
      <c r="CM430" s="386" t="str">
        <f t="shared" si="306"/>
        <v/>
      </c>
      <c r="CN430" s="386" t="str">
        <f t="shared" si="307"/>
        <v>0276-00</v>
      </c>
    </row>
    <row r="431" spans="1:92" ht="15.75" thickBot="1" x14ac:dyDescent="0.3">
      <c r="A431" s="375" t="s">
        <v>161</v>
      </c>
      <c r="B431" s="375" t="s">
        <v>162</v>
      </c>
      <c r="C431" s="375" t="s">
        <v>270</v>
      </c>
      <c r="D431" s="375" t="s">
        <v>271</v>
      </c>
      <c r="E431" s="375" t="s">
        <v>1537</v>
      </c>
      <c r="F431" s="376" t="s">
        <v>166</v>
      </c>
      <c r="G431" s="375" t="s">
        <v>1596</v>
      </c>
      <c r="H431" s="377"/>
      <c r="I431" s="377"/>
      <c r="J431" s="375" t="s">
        <v>272</v>
      </c>
      <c r="K431" s="375" t="s">
        <v>273</v>
      </c>
      <c r="L431" s="375" t="s">
        <v>274</v>
      </c>
      <c r="M431" s="375" t="s">
        <v>171</v>
      </c>
      <c r="N431" s="375" t="s">
        <v>199</v>
      </c>
      <c r="O431" s="378">
        <v>0</v>
      </c>
      <c r="P431" s="384">
        <v>0.25</v>
      </c>
      <c r="Q431" s="384">
        <v>0.25</v>
      </c>
      <c r="R431" s="379">
        <v>80</v>
      </c>
      <c r="S431" s="384">
        <v>0.25</v>
      </c>
      <c r="T431" s="379">
        <v>17178.599999999999</v>
      </c>
      <c r="U431" s="379">
        <v>0</v>
      </c>
      <c r="V431" s="379">
        <v>5977.05</v>
      </c>
      <c r="W431" s="379">
        <v>18090.8</v>
      </c>
      <c r="X431" s="379">
        <v>7923.77</v>
      </c>
      <c r="Y431" s="379">
        <v>18090.8</v>
      </c>
      <c r="Z431" s="379">
        <v>7833.31</v>
      </c>
      <c r="AA431" s="377"/>
      <c r="AB431" s="375" t="s">
        <v>45</v>
      </c>
      <c r="AC431" s="375" t="s">
        <v>45</v>
      </c>
      <c r="AD431" s="377"/>
      <c r="AE431" s="377"/>
      <c r="AF431" s="377"/>
      <c r="AG431" s="377"/>
      <c r="AH431" s="378">
        <v>0</v>
      </c>
      <c r="AI431" s="378">
        <v>0</v>
      </c>
      <c r="AJ431" s="377"/>
      <c r="AK431" s="377"/>
      <c r="AL431" s="375" t="s">
        <v>173</v>
      </c>
      <c r="AM431" s="377"/>
      <c r="AN431" s="377"/>
      <c r="AO431" s="378">
        <v>0</v>
      </c>
      <c r="AP431" s="384">
        <v>0</v>
      </c>
      <c r="AQ431" s="384">
        <v>0</v>
      </c>
      <c r="AR431" s="382"/>
      <c r="AS431" s="386">
        <f t="shared" si="291"/>
        <v>0</v>
      </c>
      <c r="AT431">
        <f t="shared" si="292"/>
        <v>0</v>
      </c>
      <c r="AU431" s="386" t="str">
        <f>IF(AT431=0,"",IF(AND(AT431=1,M431="F",SUMIF(C2:C557,C431,AS2:AS557)&lt;=1),SUMIF(C2:C557,C431,AS2:AS557),IF(AND(AT431=1,M431="F",SUMIF(C2:C557,C431,AS2:AS557)&gt;1),1,"")))</f>
        <v/>
      </c>
      <c r="AV431" s="386" t="str">
        <f>IF(AT431=0,"",IF(AND(AT431=3,M431="F",SUMIF(C2:C557,C431,AS2:AS557)&lt;=1),SUMIF(C2:C557,C431,AS2:AS557),IF(AND(AT431=3,M431="F",SUMIF(C2:C557,C431,AS2:AS557)&gt;1),1,"")))</f>
        <v/>
      </c>
      <c r="AW431" s="386">
        <f>SUMIF(C2:C557,C431,O2:O557)</f>
        <v>0</v>
      </c>
      <c r="AX431" s="386">
        <f>IF(AND(M431="F",AS431&lt;&gt;0),SUMIF(C2:C557,C431,W2:W557),0)</f>
        <v>0</v>
      </c>
      <c r="AY431" s="386" t="str">
        <f t="shared" si="293"/>
        <v/>
      </c>
      <c r="AZ431" s="386" t="str">
        <f t="shared" si="294"/>
        <v/>
      </c>
      <c r="BA431" s="386">
        <f t="shared" si="295"/>
        <v>0</v>
      </c>
      <c r="BB431" s="386">
        <f t="shared" si="264"/>
        <v>0</v>
      </c>
      <c r="BC431" s="386">
        <f t="shared" si="265"/>
        <v>0</v>
      </c>
      <c r="BD431" s="386">
        <f t="shared" si="266"/>
        <v>0</v>
      </c>
      <c r="BE431" s="386">
        <f t="shared" si="267"/>
        <v>0</v>
      </c>
      <c r="BF431" s="386">
        <f t="shared" si="268"/>
        <v>0</v>
      </c>
      <c r="BG431" s="386">
        <f t="shared" si="269"/>
        <v>0</v>
      </c>
      <c r="BH431" s="386">
        <f t="shared" si="270"/>
        <v>0</v>
      </c>
      <c r="BI431" s="386">
        <f t="shared" si="271"/>
        <v>0</v>
      </c>
      <c r="BJ431" s="386">
        <f t="shared" si="272"/>
        <v>0</v>
      </c>
      <c r="BK431" s="386">
        <f t="shared" si="273"/>
        <v>0</v>
      </c>
      <c r="BL431" s="386">
        <f t="shared" si="296"/>
        <v>0</v>
      </c>
      <c r="BM431" s="386">
        <f t="shared" si="297"/>
        <v>0</v>
      </c>
      <c r="BN431" s="386">
        <f t="shared" si="274"/>
        <v>0</v>
      </c>
      <c r="BO431" s="386">
        <f t="shared" si="275"/>
        <v>0</v>
      </c>
      <c r="BP431" s="386">
        <f t="shared" si="276"/>
        <v>0</v>
      </c>
      <c r="BQ431" s="386">
        <f t="shared" si="277"/>
        <v>0</v>
      </c>
      <c r="BR431" s="386">
        <f t="shared" si="278"/>
        <v>0</v>
      </c>
      <c r="BS431" s="386">
        <f t="shared" si="279"/>
        <v>0</v>
      </c>
      <c r="BT431" s="386">
        <f t="shared" si="280"/>
        <v>0</v>
      </c>
      <c r="BU431" s="386">
        <f t="shared" si="281"/>
        <v>0</v>
      </c>
      <c r="BV431" s="386">
        <f t="shared" si="282"/>
        <v>0</v>
      </c>
      <c r="BW431" s="386">
        <f t="shared" si="283"/>
        <v>0</v>
      </c>
      <c r="BX431" s="386">
        <f t="shared" si="298"/>
        <v>0</v>
      </c>
      <c r="BY431" s="386">
        <f t="shared" si="299"/>
        <v>0</v>
      </c>
      <c r="BZ431" s="386">
        <f t="shared" si="300"/>
        <v>0</v>
      </c>
      <c r="CA431" s="386">
        <f t="shared" si="301"/>
        <v>0</v>
      </c>
      <c r="CB431" s="386">
        <f t="shared" si="302"/>
        <v>0</v>
      </c>
      <c r="CC431" s="386">
        <f t="shared" si="284"/>
        <v>0</v>
      </c>
      <c r="CD431" s="386">
        <f t="shared" si="285"/>
        <v>0</v>
      </c>
      <c r="CE431" s="386">
        <f t="shared" si="286"/>
        <v>0</v>
      </c>
      <c r="CF431" s="386">
        <f t="shared" si="287"/>
        <v>0</v>
      </c>
      <c r="CG431" s="386">
        <f t="shared" si="288"/>
        <v>0</v>
      </c>
      <c r="CH431" s="386">
        <f t="shared" si="289"/>
        <v>0</v>
      </c>
      <c r="CI431" s="386">
        <f t="shared" si="290"/>
        <v>0</v>
      </c>
      <c r="CJ431" s="386">
        <f t="shared" si="303"/>
        <v>0</v>
      </c>
      <c r="CK431" s="386" t="str">
        <f t="shared" si="304"/>
        <v/>
      </c>
      <c r="CL431" s="386" t="str">
        <f t="shared" si="305"/>
        <v/>
      </c>
      <c r="CM431" s="386" t="str">
        <f t="shared" si="306"/>
        <v/>
      </c>
      <c r="CN431" s="386" t="str">
        <f t="shared" si="307"/>
        <v>0276-00</v>
      </c>
    </row>
    <row r="432" spans="1:92" ht="15.75" thickBot="1" x14ac:dyDescent="0.3">
      <c r="A432" s="375" t="s">
        <v>161</v>
      </c>
      <c r="B432" s="375" t="s">
        <v>162</v>
      </c>
      <c r="C432" s="375" t="s">
        <v>404</v>
      </c>
      <c r="D432" s="375" t="s">
        <v>405</v>
      </c>
      <c r="E432" s="375" t="s">
        <v>1537</v>
      </c>
      <c r="F432" s="376" t="s">
        <v>166</v>
      </c>
      <c r="G432" s="375" t="s">
        <v>1596</v>
      </c>
      <c r="H432" s="377"/>
      <c r="I432" s="377"/>
      <c r="J432" s="375" t="s">
        <v>272</v>
      </c>
      <c r="K432" s="375" t="s">
        <v>406</v>
      </c>
      <c r="L432" s="375" t="s">
        <v>166</v>
      </c>
      <c r="M432" s="375" t="s">
        <v>171</v>
      </c>
      <c r="N432" s="375" t="s">
        <v>172</v>
      </c>
      <c r="O432" s="378">
        <v>0</v>
      </c>
      <c r="P432" s="384">
        <v>0.3</v>
      </c>
      <c r="Q432" s="384">
        <v>0.3</v>
      </c>
      <c r="R432" s="379">
        <v>80</v>
      </c>
      <c r="S432" s="384">
        <v>0.3</v>
      </c>
      <c r="T432" s="379">
        <v>23284.799999999999</v>
      </c>
      <c r="U432" s="379">
        <v>0</v>
      </c>
      <c r="V432" s="379">
        <v>7593.87</v>
      </c>
      <c r="W432" s="379">
        <v>28828.799999999999</v>
      </c>
      <c r="X432" s="379">
        <v>12627.01</v>
      </c>
      <c r="Y432" s="379">
        <v>28828.799999999999</v>
      </c>
      <c r="Z432" s="379">
        <v>12482.86</v>
      </c>
      <c r="AA432" s="377"/>
      <c r="AB432" s="375" t="s">
        <v>45</v>
      </c>
      <c r="AC432" s="375" t="s">
        <v>45</v>
      </c>
      <c r="AD432" s="377"/>
      <c r="AE432" s="377"/>
      <c r="AF432" s="377"/>
      <c r="AG432" s="377"/>
      <c r="AH432" s="378">
        <v>0</v>
      </c>
      <c r="AI432" s="378">
        <v>0</v>
      </c>
      <c r="AJ432" s="377"/>
      <c r="AK432" s="377"/>
      <c r="AL432" s="375" t="s">
        <v>173</v>
      </c>
      <c r="AM432" s="377"/>
      <c r="AN432" s="377"/>
      <c r="AO432" s="378">
        <v>0</v>
      </c>
      <c r="AP432" s="384">
        <v>0</v>
      </c>
      <c r="AQ432" s="384">
        <v>0</v>
      </c>
      <c r="AR432" s="382"/>
      <c r="AS432" s="386">
        <f t="shared" si="291"/>
        <v>0</v>
      </c>
      <c r="AT432">
        <f t="shared" si="292"/>
        <v>0</v>
      </c>
      <c r="AU432" s="386" t="str">
        <f>IF(AT432=0,"",IF(AND(AT432=1,M432="F",SUMIF(C2:C557,C432,AS2:AS557)&lt;=1),SUMIF(C2:C557,C432,AS2:AS557),IF(AND(AT432=1,M432="F",SUMIF(C2:C557,C432,AS2:AS557)&gt;1),1,"")))</f>
        <v/>
      </c>
      <c r="AV432" s="386" t="str">
        <f>IF(AT432=0,"",IF(AND(AT432=3,M432="F",SUMIF(C2:C557,C432,AS2:AS557)&lt;=1),SUMIF(C2:C557,C432,AS2:AS557),IF(AND(AT432=3,M432="F",SUMIF(C2:C557,C432,AS2:AS557)&gt;1),1,"")))</f>
        <v/>
      </c>
      <c r="AW432" s="386">
        <f>SUMIF(C2:C557,C432,O2:O557)</f>
        <v>0</v>
      </c>
      <c r="AX432" s="386">
        <f>IF(AND(M432="F",AS432&lt;&gt;0),SUMIF(C2:C557,C432,W2:W557),0)</f>
        <v>0</v>
      </c>
      <c r="AY432" s="386" t="str">
        <f t="shared" si="293"/>
        <v/>
      </c>
      <c r="AZ432" s="386" t="str">
        <f t="shared" si="294"/>
        <v/>
      </c>
      <c r="BA432" s="386">
        <f t="shared" si="295"/>
        <v>0</v>
      </c>
      <c r="BB432" s="386">
        <f t="shared" si="264"/>
        <v>0</v>
      </c>
      <c r="BC432" s="386">
        <f t="shared" si="265"/>
        <v>0</v>
      </c>
      <c r="BD432" s="386">
        <f t="shared" si="266"/>
        <v>0</v>
      </c>
      <c r="BE432" s="386">
        <f t="shared" si="267"/>
        <v>0</v>
      </c>
      <c r="BF432" s="386">
        <f t="shared" si="268"/>
        <v>0</v>
      </c>
      <c r="BG432" s="386">
        <f t="shared" si="269"/>
        <v>0</v>
      </c>
      <c r="BH432" s="386">
        <f t="shared" si="270"/>
        <v>0</v>
      </c>
      <c r="BI432" s="386">
        <f t="shared" si="271"/>
        <v>0</v>
      </c>
      <c r="BJ432" s="386">
        <f t="shared" si="272"/>
        <v>0</v>
      </c>
      <c r="BK432" s="386">
        <f t="shared" si="273"/>
        <v>0</v>
      </c>
      <c r="BL432" s="386">
        <f t="shared" si="296"/>
        <v>0</v>
      </c>
      <c r="BM432" s="386">
        <f t="shared" si="297"/>
        <v>0</v>
      </c>
      <c r="BN432" s="386">
        <f t="shared" si="274"/>
        <v>0</v>
      </c>
      <c r="BO432" s="386">
        <f t="shared" si="275"/>
        <v>0</v>
      </c>
      <c r="BP432" s="386">
        <f t="shared" si="276"/>
        <v>0</v>
      </c>
      <c r="BQ432" s="386">
        <f t="shared" si="277"/>
        <v>0</v>
      </c>
      <c r="BR432" s="386">
        <f t="shared" si="278"/>
        <v>0</v>
      </c>
      <c r="BS432" s="386">
        <f t="shared" si="279"/>
        <v>0</v>
      </c>
      <c r="BT432" s="386">
        <f t="shared" si="280"/>
        <v>0</v>
      </c>
      <c r="BU432" s="386">
        <f t="shared" si="281"/>
        <v>0</v>
      </c>
      <c r="BV432" s="386">
        <f t="shared" si="282"/>
        <v>0</v>
      </c>
      <c r="BW432" s="386">
        <f t="shared" si="283"/>
        <v>0</v>
      </c>
      <c r="BX432" s="386">
        <f t="shared" si="298"/>
        <v>0</v>
      </c>
      <c r="BY432" s="386">
        <f t="shared" si="299"/>
        <v>0</v>
      </c>
      <c r="BZ432" s="386">
        <f t="shared" si="300"/>
        <v>0</v>
      </c>
      <c r="CA432" s="386">
        <f t="shared" si="301"/>
        <v>0</v>
      </c>
      <c r="CB432" s="386">
        <f t="shared" si="302"/>
        <v>0</v>
      </c>
      <c r="CC432" s="386">
        <f t="shared" si="284"/>
        <v>0</v>
      </c>
      <c r="CD432" s="386">
        <f t="shared" si="285"/>
        <v>0</v>
      </c>
      <c r="CE432" s="386">
        <f t="shared" si="286"/>
        <v>0</v>
      </c>
      <c r="CF432" s="386">
        <f t="shared" si="287"/>
        <v>0</v>
      </c>
      <c r="CG432" s="386">
        <f t="shared" si="288"/>
        <v>0</v>
      </c>
      <c r="CH432" s="386">
        <f t="shared" si="289"/>
        <v>0</v>
      </c>
      <c r="CI432" s="386">
        <f t="shared" si="290"/>
        <v>0</v>
      </c>
      <c r="CJ432" s="386">
        <f t="shared" si="303"/>
        <v>0</v>
      </c>
      <c r="CK432" s="386" t="str">
        <f t="shared" si="304"/>
        <v/>
      </c>
      <c r="CL432" s="386" t="str">
        <f t="shared" si="305"/>
        <v/>
      </c>
      <c r="CM432" s="386" t="str">
        <f t="shared" si="306"/>
        <v/>
      </c>
      <c r="CN432" s="386" t="str">
        <f t="shared" si="307"/>
        <v>0276-00</v>
      </c>
    </row>
    <row r="433" spans="1:92" ht="15.75" thickBot="1" x14ac:dyDescent="0.3">
      <c r="A433" s="375" t="s">
        <v>161</v>
      </c>
      <c r="B433" s="375" t="s">
        <v>162</v>
      </c>
      <c r="C433" s="375" t="s">
        <v>368</v>
      </c>
      <c r="D433" s="375" t="s">
        <v>369</v>
      </c>
      <c r="E433" s="375" t="s">
        <v>1537</v>
      </c>
      <c r="F433" s="376" t="s">
        <v>166</v>
      </c>
      <c r="G433" s="375" t="s">
        <v>1596</v>
      </c>
      <c r="H433" s="377"/>
      <c r="I433" s="377"/>
      <c r="J433" s="375" t="s">
        <v>272</v>
      </c>
      <c r="K433" s="375" t="s">
        <v>370</v>
      </c>
      <c r="L433" s="375" t="s">
        <v>316</v>
      </c>
      <c r="M433" s="375" t="s">
        <v>177</v>
      </c>
      <c r="N433" s="375" t="s">
        <v>199</v>
      </c>
      <c r="O433" s="378">
        <v>1</v>
      </c>
      <c r="P433" s="384">
        <v>0.3</v>
      </c>
      <c r="Q433" s="384">
        <v>0.3</v>
      </c>
      <c r="R433" s="379">
        <v>80</v>
      </c>
      <c r="S433" s="384">
        <v>0.3</v>
      </c>
      <c r="T433" s="379">
        <v>22207.67</v>
      </c>
      <c r="U433" s="379">
        <v>0</v>
      </c>
      <c r="V433" s="379">
        <v>7351.9</v>
      </c>
      <c r="W433" s="379">
        <v>29490.240000000002</v>
      </c>
      <c r="X433" s="379">
        <v>9790.27</v>
      </c>
      <c r="Y433" s="379">
        <v>29490.240000000002</v>
      </c>
      <c r="Z433" s="379">
        <v>9648.7199999999993</v>
      </c>
      <c r="AA433" s="375" t="s">
        <v>371</v>
      </c>
      <c r="AB433" s="375" t="s">
        <v>372</v>
      </c>
      <c r="AC433" s="375" t="s">
        <v>373</v>
      </c>
      <c r="AD433" s="375" t="s">
        <v>233</v>
      </c>
      <c r="AE433" s="375" t="s">
        <v>370</v>
      </c>
      <c r="AF433" s="375" t="s">
        <v>374</v>
      </c>
      <c r="AG433" s="375" t="s">
        <v>183</v>
      </c>
      <c r="AH433" s="380">
        <v>47.26</v>
      </c>
      <c r="AI433" s="378">
        <v>15107</v>
      </c>
      <c r="AJ433" s="375" t="s">
        <v>184</v>
      </c>
      <c r="AK433" s="375" t="s">
        <v>185</v>
      </c>
      <c r="AL433" s="375" t="s">
        <v>173</v>
      </c>
      <c r="AM433" s="375" t="s">
        <v>186</v>
      </c>
      <c r="AN433" s="375" t="s">
        <v>68</v>
      </c>
      <c r="AO433" s="378">
        <v>80</v>
      </c>
      <c r="AP433" s="384">
        <v>1</v>
      </c>
      <c r="AQ433" s="384">
        <v>0.3</v>
      </c>
      <c r="AR433" s="383" t="s">
        <v>187</v>
      </c>
      <c r="AS433" s="386">
        <f t="shared" si="291"/>
        <v>0.3</v>
      </c>
      <c r="AT433">
        <f t="shared" si="292"/>
        <v>1</v>
      </c>
      <c r="AU433" s="386">
        <f>IF(AT433=0,"",IF(AND(AT433=1,M433="F",SUMIF(C2:C557,C433,AS2:AS557)&lt;=1),SUMIF(C2:C557,C433,AS2:AS557),IF(AND(AT433=1,M433="F",SUMIF(C2:C557,C433,AS2:AS557)&gt;1),1,"")))</f>
        <v>1</v>
      </c>
      <c r="AV433" s="386" t="str">
        <f>IF(AT433=0,"",IF(AND(AT433=3,M433="F",SUMIF(C2:C557,C433,AS2:AS557)&lt;=1),SUMIF(C2:C557,C433,AS2:AS557),IF(AND(AT433=3,M433="F",SUMIF(C2:C557,C433,AS2:AS557)&gt;1),1,"")))</f>
        <v/>
      </c>
      <c r="AW433" s="386">
        <f>SUMIF(C2:C557,C433,O2:O557)</f>
        <v>3</v>
      </c>
      <c r="AX433" s="386">
        <f>IF(AND(M433="F",AS433&lt;&gt;0),SUMIF(C2:C557,C433,W2:W557),0)</f>
        <v>98300.800000000003</v>
      </c>
      <c r="AY433" s="386">
        <f t="shared" si="293"/>
        <v>29490.240000000002</v>
      </c>
      <c r="AZ433" s="386" t="str">
        <f t="shared" si="294"/>
        <v/>
      </c>
      <c r="BA433" s="386">
        <f t="shared" si="295"/>
        <v>0</v>
      </c>
      <c r="BB433" s="386">
        <f t="shared" si="264"/>
        <v>3495</v>
      </c>
      <c r="BC433" s="386">
        <f t="shared" si="265"/>
        <v>0</v>
      </c>
      <c r="BD433" s="386">
        <f t="shared" si="266"/>
        <v>1828.3948800000001</v>
      </c>
      <c r="BE433" s="386">
        <f t="shared" si="267"/>
        <v>427.60848000000004</v>
      </c>
      <c r="BF433" s="386">
        <f t="shared" si="268"/>
        <v>3521.1346560000002</v>
      </c>
      <c r="BG433" s="386">
        <f t="shared" si="269"/>
        <v>212.62463040000003</v>
      </c>
      <c r="BH433" s="386">
        <f t="shared" si="270"/>
        <v>144.50217599999999</v>
      </c>
      <c r="BI433" s="386">
        <f t="shared" si="271"/>
        <v>90.240134400000002</v>
      </c>
      <c r="BJ433" s="386">
        <f t="shared" si="272"/>
        <v>70.776575999999991</v>
      </c>
      <c r="BK433" s="386">
        <f t="shared" si="273"/>
        <v>0</v>
      </c>
      <c r="BL433" s="386">
        <f t="shared" si="296"/>
        <v>6295.2815328000006</v>
      </c>
      <c r="BM433" s="386">
        <f t="shared" si="297"/>
        <v>0</v>
      </c>
      <c r="BN433" s="386">
        <f t="shared" si="274"/>
        <v>3495</v>
      </c>
      <c r="BO433" s="386">
        <f t="shared" si="275"/>
        <v>0</v>
      </c>
      <c r="BP433" s="386">
        <f t="shared" si="276"/>
        <v>1828.3948800000001</v>
      </c>
      <c r="BQ433" s="386">
        <f t="shared" si="277"/>
        <v>427.60848000000004</v>
      </c>
      <c r="BR433" s="386">
        <f t="shared" si="278"/>
        <v>3521.1346560000002</v>
      </c>
      <c r="BS433" s="386">
        <f t="shared" si="279"/>
        <v>212.62463040000003</v>
      </c>
      <c r="BT433" s="386">
        <f t="shared" si="280"/>
        <v>0</v>
      </c>
      <c r="BU433" s="386">
        <f t="shared" si="281"/>
        <v>90.240134400000002</v>
      </c>
      <c r="BV433" s="386">
        <f t="shared" si="282"/>
        <v>73.7256</v>
      </c>
      <c r="BW433" s="386">
        <f t="shared" si="283"/>
        <v>0</v>
      </c>
      <c r="BX433" s="386">
        <f t="shared" si="298"/>
        <v>6153.7283808000002</v>
      </c>
      <c r="BY433" s="386">
        <f t="shared" si="299"/>
        <v>0</v>
      </c>
      <c r="BZ433" s="386">
        <f t="shared" si="300"/>
        <v>0</v>
      </c>
      <c r="CA433" s="386">
        <f t="shared" si="301"/>
        <v>0</v>
      </c>
      <c r="CB433" s="386">
        <f t="shared" si="302"/>
        <v>0</v>
      </c>
      <c r="CC433" s="386">
        <f t="shared" si="284"/>
        <v>0</v>
      </c>
      <c r="CD433" s="386">
        <f t="shared" si="285"/>
        <v>0</v>
      </c>
      <c r="CE433" s="386">
        <f t="shared" si="286"/>
        <v>0</v>
      </c>
      <c r="CF433" s="386">
        <f t="shared" si="287"/>
        <v>-144.50217599999999</v>
      </c>
      <c r="CG433" s="386">
        <f t="shared" si="288"/>
        <v>0</v>
      </c>
      <c r="CH433" s="386">
        <f t="shared" si="289"/>
        <v>2.9490240000000081</v>
      </c>
      <c r="CI433" s="386">
        <f t="shared" si="290"/>
        <v>0</v>
      </c>
      <c r="CJ433" s="386">
        <f t="shared" si="303"/>
        <v>-141.55315199999998</v>
      </c>
      <c r="CK433" s="386" t="str">
        <f t="shared" si="304"/>
        <v/>
      </c>
      <c r="CL433" s="386" t="str">
        <f t="shared" si="305"/>
        <v/>
      </c>
      <c r="CM433" s="386" t="str">
        <f t="shared" si="306"/>
        <v/>
      </c>
      <c r="CN433" s="386" t="str">
        <f t="shared" si="307"/>
        <v>0276-00</v>
      </c>
    </row>
    <row r="434" spans="1:92" ht="15.75" thickBot="1" x14ac:dyDescent="0.3">
      <c r="A434" s="375" t="s">
        <v>161</v>
      </c>
      <c r="B434" s="375" t="s">
        <v>162</v>
      </c>
      <c r="C434" s="375" t="s">
        <v>457</v>
      </c>
      <c r="D434" s="375" t="s">
        <v>458</v>
      </c>
      <c r="E434" s="375" t="s">
        <v>1537</v>
      </c>
      <c r="F434" s="376" t="s">
        <v>166</v>
      </c>
      <c r="G434" s="375" t="s">
        <v>1596</v>
      </c>
      <c r="H434" s="377"/>
      <c r="I434" s="377"/>
      <c r="J434" s="375" t="s">
        <v>218</v>
      </c>
      <c r="K434" s="375" t="s">
        <v>459</v>
      </c>
      <c r="L434" s="375" t="s">
        <v>183</v>
      </c>
      <c r="M434" s="375" t="s">
        <v>177</v>
      </c>
      <c r="N434" s="375" t="s">
        <v>199</v>
      </c>
      <c r="O434" s="378">
        <v>1</v>
      </c>
      <c r="P434" s="384">
        <v>0.1</v>
      </c>
      <c r="Q434" s="384">
        <v>0.1</v>
      </c>
      <c r="R434" s="379">
        <v>80</v>
      </c>
      <c r="S434" s="384">
        <v>0.1</v>
      </c>
      <c r="T434" s="379">
        <v>2344.8000000000002</v>
      </c>
      <c r="U434" s="379">
        <v>0</v>
      </c>
      <c r="V434" s="379">
        <v>1487.8</v>
      </c>
      <c r="W434" s="379">
        <v>3186.56</v>
      </c>
      <c r="X434" s="379">
        <v>1845.23</v>
      </c>
      <c r="Y434" s="379">
        <v>3186.56</v>
      </c>
      <c r="Z434" s="379">
        <v>1829.93</v>
      </c>
      <c r="AA434" s="375" t="s">
        <v>460</v>
      </c>
      <c r="AB434" s="375" t="s">
        <v>461</v>
      </c>
      <c r="AC434" s="375" t="s">
        <v>462</v>
      </c>
      <c r="AD434" s="375" t="s">
        <v>195</v>
      </c>
      <c r="AE434" s="375" t="s">
        <v>459</v>
      </c>
      <c r="AF434" s="375" t="s">
        <v>206</v>
      </c>
      <c r="AG434" s="375" t="s">
        <v>183</v>
      </c>
      <c r="AH434" s="380">
        <v>15.32</v>
      </c>
      <c r="AI434" s="380">
        <v>3081.9</v>
      </c>
      <c r="AJ434" s="375" t="s">
        <v>184</v>
      </c>
      <c r="AK434" s="375" t="s">
        <v>185</v>
      </c>
      <c r="AL434" s="375" t="s">
        <v>173</v>
      </c>
      <c r="AM434" s="375" t="s">
        <v>186</v>
      </c>
      <c r="AN434" s="375" t="s">
        <v>68</v>
      </c>
      <c r="AO434" s="378">
        <v>80</v>
      </c>
      <c r="AP434" s="384">
        <v>1</v>
      </c>
      <c r="AQ434" s="384">
        <v>0.1</v>
      </c>
      <c r="AR434" s="383" t="s">
        <v>187</v>
      </c>
      <c r="AS434" s="386">
        <f t="shared" si="291"/>
        <v>0.1</v>
      </c>
      <c r="AT434">
        <f t="shared" si="292"/>
        <v>1</v>
      </c>
      <c r="AU434" s="386">
        <f>IF(AT434=0,"",IF(AND(AT434=1,M434="F",SUMIF(C2:C557,C434,AS2:AS557)&lt;=1),SUMIF(C2:C557,C434,AS2:AS557),IF(AND(AT434=1,M434="F",SUMIF(C2:C557,C434,AS2:AS557)&gt;1),1,"")))</f>
        <v>1</v>
      </c>
      <c r="AV434" s="386" t="str">
        <f>IF(AT434=0,"",IF(AND(AT434=3,M434="F",SUMIF(C2:C557,C434,AS2:AS557)&lt;=1),SUMIF(C2:C557,C434,AS2:AS557),IF(AND(AT434=3,M434="F",SUMIF(C2:C557,C434,AS2:AS557)&gt;1),1,"")))</f>
        <v/>
      </c>
      <c r="AW434" s="386">
        <f>SUMIF(C2:C557,C434,O2:O557)</f>
        <v>3</v>
      </c>
      <c r="AX434" s="386">
        <f>IF(AND(M434="F",AS434&lt;&gt;0),SUMIF(C2:C557,C434,W2:W557),0)</f>
        <v>31865.600000000002</v>
      </c>
      <c r="AY434" s="386">
        <f t="shared" si="293"/>
        <v>3186.56</v>
      </c>
      <c r="AZ434" s="386" t="str">
        <f t="shared" si="294"/>
        <v/>
      </c>
      <c r="BA434" s="386">
        <f t="shared" si="295"/>
        <v>0</v>
      </c>
      <c r="BB434" s="386">
        <f t="shared" si="264"/>
        <v>1165</v>
      </c>
      <c r="BC434" s="386">
        <f t="shared" si="265"/>
        <v>0</v>
      </c>
      <c r="BD434" s="386">
        <f t="shared" si="266"/>
        <v>197.56672</v>
      </c>
      <c r="BE434" s="386">
        <f t="shared" si="267"/>
        <v>46.205120000000001</v>
      </c>
      <c r="BF434" s="386">
        <f t="shared" si="268"/>
        <v>380.47526400000004</v>
      </c>
      <c r="BG434" s="386">
        <f t="shared" si="269"/>
        <v>22.975097600000002</v>
      </c>
      <c r="BH434" s="386">
        <f t="shared" si="270"/>
        <v>15.614144</v>
      </c>
      <c r="BI434" s="386">
        <f t="shared" si="271"/>
        <v>9.7508735999999985</v>
      </c>
      <c r="BJ434" s="386">
        <f t="shared" si="272"/>
        <v>7.6477439999999994</v>
      </c>
      <c r="BK434" s="386">
        <f t="shared" si="273"/>
        <v>0</v>
      </c>
      <c r="BL434" s="386">
        <f t="shared" si="296"/>
        <v>680.23496320000004</v>
      </c>
      <c r="BM434" s="386">
        <f t="shared" si="297"/>
        <v>0</v>
      </c>
      <c r="BN434" s="386">
        <f t="shared" si="274"/>
        <v>1165</v>
      </c>
      <c r="BO434" s="386">
        <f t="shared" si="275"/>
        <v>0</v>
      </c>
      <c r="BP434" s="386">
        <f t="shared" si="276"/>
        <v>197.56672</v>
      </c>
      <c r="BQ434" s="386">
        <f t="shared" si="277"/>
        <v>46.205120000000001</v>
      </c>
      <c r="BR434" s="386">
        <f t="shared" si="278"/>
        <v>380.47526400000004</v>
      </c>
      <c r="BS434" s="386">
        <f t="shared" si="279"/>
        <v>22.975097600000002</v>
      </c>
      <c r="BT434" s="386">
        <f t="shared" si="280"/>
        <v>0</v>
      </c>
      <c r="BU434" s="386">
        <f t="shared" si="281"/>
        <v>9.7508735999999985</v>
      </c>
      <c r="BV434" s="386">
        <f t="shared" si="282"/>
        <v>7.9664000000000001</v>
      </c>
      <c r="BW434" s="386">
        <f t="shared" si="283"/>
        <v>0</v>
      </c>
      <c r="BX434" s="386">
        <f t="shared" si="298"/>
        <v>664.93947520000006</v>
      </c>
      <c r="BY434" s="386">
        <f t="shared" si="299"/>
        <v>0</v>
      </c>
      <c r="BZ434" s="386">
        <f t="shared" si="300"/>
        <v>0</v>
      </c>
      <c r="CA434" s="386">
        <f t="shared" si="301"/>
        <v>0</v>
      </c>
      <c r="CB434" s="386">
        <f t="shared" si="302"/>
        <v>0</v>
      </c>
      <c r="CC434" s="386">
        <f t="shared" si="284"/>
        <v>0</v>
      </c>
      <c r="CD434" s="386">
        <f t="shared" si="285"/>
        <v>0</v>
      </c>
      <c r="CE434" s="386">
        <f t="shared" si="286"/>
        <v>0</v>
      </c>
      <c r="CF434" s="386">
        <f t="shared" si="287"/>
        <v>-15.614144</v>
      </c>
      <c r="CG434" s="386">
        <f t="shared" si="288"/>
        <v>0</v>
      </c>
      <c r="CH434" s="386">
        <f t="shared" si="289"/>
        <v>0.31865600000000083</v>
      </c>
      <c r="CI434" s="386">
        <f t="shared" si="290"/>
        <v>0</v>
      </c>
      <c r="CJ434" s="386">
        <f t="shared" si="303"/>
        <v>-15.295487999999999</v>
      </c>
      <c r="CK434" s="386" t="str">
        <f t="shared" si="304"/>
        <v/>
      </c>
      <c r="CL434" s="386" t="str">
        <f t="shared" si="305"/>
        <v/>
      </c>
      <c r="CM434" s="386" t="str">
        <f t="shared" si="306"/>
        <v/>
      </c>
      <c r="CN434" s="386" t="str">
        <f t="shared" si="307"/>
        <v>0276-00</v>
      </c>
    </row>
    <row r="435" spans="1:92" ht="15.75" thickBot="1" x14ac:dyDescent="0.3">
      <c r="A435" s="375" t="s">
        <v>161</v>
      </c>
      <c r="B435" s="375" t="s">
        <v>162</v>
      </c>
      <c r="C435" s="375" t="s">
        <v>329</v>
      </c>
      <c r="D435" s="375" t="s">
        <v>330</v>
      </c>
      <c r="E435" s="375" t="s">
        <v>1537</v>
      </c>
      <c r="F435" s="376" t="s">
        <v>166</v>
      </c>
      <c r="G435" s="375" t="s">
        <v>1596</v>
      </c>
      <c r="H435" s="377"/>
      <c r="I435" s="377"/>
      <c r="J435" s="375" t="s">
        <v>218</v>
      </c>
      <c r="K435" s="375" t="s">
        <v>331</v>
      </c>
      <c r="L435" s="375" t="s">
        <v>173</v>
      </c>
      <c r="M435" s="375" t="s">
        <v>177</v>
      </c>
      <c r="N435" s="375" t="s">
        <v>199</v>
      </c>
      <c r="O435" s="378">
        <v>1</v>
      </c>
      <c r="P435" s="384">
        <v>0.1</v>
      </c>
      <c r="Q435" s="384">
        <v>0.1</v>
      </c>
      <c r="R435" s="379">
        <v>80</v>
      </c>
      <c r="S435" s="384">
        <v>0.1</v>
      </c>
      <c r="T435" s="379">
        <v>0</v>
      </c>
      <c r="U435" s="379">
        <v>0</v>
      </c>
      <c r="V435" s="379">
        <v>0</v>
      </c>
      <c r="W435" s="379">
        <v>7789.6</v>
      </c>
      <c r="X435" s="379">
        <v>2827.84</v>
      </c>
      <c r="Y435" s="379">
        <v>7789.6</v>
      </c>
      <c r="Z435" s="379">
        <v>2790.45</v>
      </c>
      <c r="AA435" s="375" t="s">
        <v>332</v>
      </c>
      <c r="AB435" s="375" t="s">
        <v>333</v>
      </c>
      <c r="AC435" s="375" t="s">
        <v>257</v>
      </c>
      <c r="AD435" s="375" t="s">
        <v>195</v>
      </c>
      <c r="AE435" s="375" t="s">
        <v>331</v>
      </c>
      <c r="AF435" s="375" t="s">
        <v>305</v>
      </c>
      <c r="AG435" s="375" t="s">
        <v>183</v>
      </c>
      <c r="AH435" s="380">
        <v>37.450000000000003</v>
      </c>
      <c r="AI435" s="380">
        <v>16447.5</v>
      </c>
      <c r="AJ435" s="375" t="s">
        <v>184</v>
      </c>
      <c r="AK435" s="375" t="s">
        <v>185</v>
      </c>
      <c r="AL435" s="375" t="s">
        <v>173</v>
      </c>
      <c r="AM435" s="375" t="s">
        <v>186</v>
      </c>
      <c r="AN435" s="375" t="s">
        <v>68</v>
      </c>
      <c r="AO435" s="378">
        <v>80</v>
      </c>
      <c r="AP435" s="384">
        <v>1</v>
      </c>
      <c r="AQ435" s="384">
        <v>0.1</v>
      </c>
      <c r="AR435" s="383" t="s">
        <v>187</v>
      </c>
      <c r="AS435" s="386">
        <f t="shared" si="291"/>
        <v>0.1</v>
      </c>
      <c r="AT435">
        <f t="shared" si="292"/>
        <v>1</v>
      </c>
      <c r="AU435" s="386">
        <f>IF(AT435=0,"",IF(AND(AT435=1,M435="F",SUMIF(C2:C557,C435,AS2:AS557)&lt;=1),SUMIF(C2:C557,C435,AS2:AS557),IF(AND(AT435=1,M435="F",SUMIF(C2:C557,C435,AS2:AS557)&gt;1),1,"")))</f>
        <v>1</v>
      </c>
      <c r="AV435" s="386" t="str">
        <f>IF(AT435=0,"",IF(AND(AT435=3,M435="F",SUMIF(C2:C557,C435,AS2:AS557)&lt;=1),SUMIF(C2:C557,C435,AS2:AS557),IF(AND(AT435=3,M435="F",SUMIF(C2:C557,C435,AS2:AS557)&gt;1),1,"")))</f>
        <v/>
      </c>
      <c r="AW435" s="386">
        <f>SUMIF(C2:C557,C435,O2:O557)</f>
        <v>4</v>
      </c>
      <c r="AX435" s="386">
        <f>IF(AND(M435="F",AS435&lt;&gt;0),SUMIF(C2:C557,C435,W2:W557),0)</f>
        <v>77896</v>
      </c>
      <c r="AY435" s="386">
        <f t="shared" si="293"/>
        <v>7789.6</v>
      </c>
      <c r="AZ435" s="386" t="str">
        <f t="shared" si="294"/>
        <v/>
      </c>
      <c r="BA435" s="386">
        <f t="shared" si="295"/>
        <v>0</v>
      </c>
      <c r="BB435" s="386">
        <f t="shared" si="264"/>
        <v>1165</v>
      </c>
      <c r="BC435" s="386">
        <f t="shared" si="265"/>
        <v>0</v>
      </c>
      <c r="BD435" s="386">
        <f t="shared" si="266"/>
        <v>482.95519999999999</v>
      </c>
      <c r="BE435" s="386">
        <f t="shared" si="267"/>
        <v>112.9492</v>
      </c>
      <c r="BF435" s="386">
        <f t="shared" si="268"/>
        <v>930.07824000000005</v>
      </c>
      <c r="BG435" s="386">
        <f t="shared" si="269"/>
        <v>56.163016000000006</v>
      </c>
      <c r="BH435" s="386">
        <f t="shared" si="270"/>
        <v>38.169040000000003</v>
      </c>
      <c r="BI435" s="386">
        <f t="shared" si="271"/>
        <v>23.836175999999998</v>
      </c>
      <c r="BJ435" s="386">
        <f t="shared" si="272"/>
        <v>18.695039999999999</v>
      </c>
      <c r="BK435" s="386">
        <f t="shared" si="273"/>
        <v>0</v>
      </c>
      <c r="BL435" s="386">
        <f t="shared" si="296"/>
        <v>1662.8459120000002</v>
      </c>
      <c r="BM435" s="386">
        <f t="shared" si="297"/>
        <v>0</v>
      </c>
      <c r="BN435" s="386">
        <f t="shared" si="274"/>
        <v>1165</v>
      </c>
      <c r="BO435" s="386">
        <f t="shared" si="275"/>
        <v>0</v>
      </c>
      <c r="BP435" s="386">
        <f t="shared" si="276"/>
        <v>482.95519999999999</v>
      </c>
      <c r="BQ435" s="386">
        <f t="shared" si="277"/>
        <v>112.9492</v>
      </c>
      <c r="BR435" s="386">
        <f t="shared" si="278"/>
        <v>930.07824000000005</v>
      </c>
      <c r="BS435" s="386">
        <f t="shared" si="279"/>
        <v>56.163016000000006</v>
      </c>
      <c r="BT435" s="386">
        <f t="shared" si="280"/>
        <v>0</v>
      </c>
      <c r="BU435" s="386">
        <f t="shared" si="281"/>
        <v>23.836175999999998</v>
      </c>
      <c r="BV435" s="386">
        <f t="shared" si="282"/>
        <v>19.474</v>
      </c>
      <c r="BW435" s="386">
        <f t="shared" si="283"/>
        <v>0</v>
      </c>
      <c r="BX435" s="386">
        <f t="shared" si="298"/>
        <v>1625.4558320000001</v>
      </c>
      <c r="BY435" s="386">
        <f t="shared" si="299"/>
        <v>0</v>
      </c>
      <c r="BZ435" s="386">
        <f t="shared" si="300"/>
        <v>0</v>
      </c>
      <c r="CA435" s="386">
        <f t="shared" si="301"/>
        <v>0</v>
      </c>
      <c r="CB435" s="386">
        <f t="shared" si="302"/>
        <v>0</v>
      </c>
      <c r="CC435" s="386">
        <f t="shared" si="284"/>
        <v>0</v>
      </c>
      <c r="CD435" s="386">
        <f t="shared" si="285"/>
        <v>0</v>
      </c>
      <c r="CE435" s="386">
        <f t="shared" si="286"/>
        <v>0</v>
      </c>
      <c r="CF435" s="386">
        <f t="shared" si="287"/>
        <v>-38.169040000000003</v>
      </c>
      <c r="CG435" s="386">
        <f t="shared" si="288"/>
        <v>0</v>
      </c>
      <c r="CH435" s="386">
        <f t="shared" si="289"/>
        <v>0.7789600000000021</v>
      </c>
      <c r="CI435" s="386">
        <f t="shared" si="290"/>
        <v>0</v>
      </c>
      <c r="CJ435" s="386">
        <f t="shared" si="303"/>
        <v>-37.390079999999998</v>
      </c>
      <c r="CK435" s="386" t="str">
        <f t="shared" si="304"/>
        <v/>
      </c>
      <c r="CL435" s="386" t="str">
        <f t="shared" si="305"/>
        <v/>
      </c>
      <c r="CM435" s="386" t="str">
        <f t="shared" si="306"/>
        <v/>
      </c>
      <c r="CN435" s="386" t="str">
        <f t="shared" si="307"/>
        <v>0276-00</v>
      </c>
    </row>
    <row r="436" spans="1:92" ht="15.75" thickBot="1" x14ac:dyDescent="0.3">
      <c r="A436" s="375" t="s">
        <v>161</v>
      </c>
      <c r="B436" s="375" t="s">
        <v>162</v>
      </c>
      <c r="C436" s="375" t="s">
        <v>1597</v>
      </c>
      <c r="D436" s="375" t="s">
        <v>1598</v>
      </c>
      <c r="E436" s="375" t="s">
        <v>165</v>
      </c>
      <c r="F436" s="376" t="s">
        <v>166</v>
      </c>
      <c r="G436" s="375" t="s">
        <v>1599</v>
      </c>
      <c r="H436" s="377"/>
      <c r="I436" s="377"/>
      <c r="J436" s="375" t="s">
        <v>168</v>
      </c>
      <c r="K436" s="375" t="s">
        <v>1600</v>
      </c>
      <c r="L436" s="375" t="s">
        <v>233</v>
      </c>
      <c r="M436" s="375" t="s">
        <v>177</v>
      </c>
      <c r="N436" s="375" t="s">
        <v>199</v>
      </c>
      <c r="O436" s="378">
        <v>1</v>
      </c>
      <c r="P436" s="384">
        <v>1</v>
      </c>
      <c r="Q436" s="384">
        <v>1</v>
      </c>
      <c r="R436" s="379">
        <v>80</v>
      </c>
      <c r="S436" s="384">
        <v>1</v>
      </c>
      <c r="T436" s="379">
        <v>30296.880000000001</v>
      </c>
      <c r="U436" s="379">
        <v>0</v>
      </c>
      <c r="V436" s="379">
        <v>16970.39</v>
      </c>
      <c r="W436" s="379">
        <v>38376</v>
      </c>
      <c r="X436" s="379">
        <v>19842.11</v>
      </c>
      <c r="Y436" s="379">
        <v>38376</v>
      </c>
      <c r="Z436" s="379">
        <v>19657.91</v>
      </c>
      <c r="AA436" s="375" t="s">
        <v>1601</v>
      </c>
      <c r="AB436" s="375" t="s">
        <v>1602</v>
      </c>
      <c r="AC436" s="375" t="s">
        <v>1603</v>
      </c>
      <c r="AD436" s="375" t="s">
        <v>366</v>
      </c>
      <c r="AE436" s="375" t="s">
        <v>1600</v>
      </c>
      <c r="AF436" s="375" t="s">
        <v>237</v>
      </c>
      <c r="AG436" s="375" t="s">
        <v>183</v>
      </c>
      <c r="AH436" s="380">
        <v>18.45</v>
      </c>
      <c r="AI436" s="380">
        <v>21923.4</v>
      </c>
      <c r="AJ436" s="375" t="s">
        <v>184</v>
      </c>
      <c r="AK436" s="375" t="s">
        <v>185</v>
      </c>
      <c r="AL436" s="375" t="s">
        <v>173</v>
      </c>
      <c r="AM436" s="375" t="s">
        <v>186</v>
      </c>
      <c r="AN436" s="375" t="s">
        <v>68</v>
      </c>
      <c r="AO436" s="378">
        <v>80</v>
      </c>
      <c r="AP436" s="384">
        <v>1</v>
      </c>
      <c r="AQ436" s="384">
        <v>1</v>
      </c>
      <c r="AR436" s="383" t="s">
        <v>187</v>
      </c>
      <c r="AS436" s="386">
        <f t="shared" si="291"/>
        <v>1</v>
      </c>
      <c r="AT436">
        <f t="shared" si="292"/>
        <v>1</v>
      </c>
      <c r="AU436" s="386">
        <f>IF(AT436=0,"",IF(AND(AT436=1,M436="F",SUMIF(C2:C557,C436,AS2:AS557)&lt;=1),SUMIF(C2:C557,C436,AS2:AS557),IF(AND(AT436=1,M436="F",SUMIF(C2:C557,C436,AS2:AS557)&gt;1),1,"")))</f>
        <v>1</v>
      </c>
      <c r="AV436" s="386" t="str">
        <f>IF(AT436=0,"",IF(AND(AT436=3,M436="F",SUMIF(C2:C557,C436,AS2:AS557)&lt;=1),SUMIF(C2:C557,C436,AS2:AS557),IF(AND(AT436=3,M436="F",SUMIF(C2:C557,C436,AS2:AS557)&gt;1),1,"")))</f>
        <v/>
      </c>
      <c r="AW436" s="386">
        <f>SUMIF(C2:C557,C436,O2:O557)</f>
        <v>1</v>
      </c>
      <c r="AX436" s="386">
        <f>IF(AND(M436="F",AS436&lt;&gt;0),SUMIF(C2:C557,C436,W2:W557),0)</f>
        <v>38376</v>
      </c>
      <c r="AY436" s="386">
        <f t="shared" si="293"/>
        <v>38376</v>
      </c>
      <c r="AZ436" s="386" t="str">
        <f t="shared" si="294"/>
        <v/>
      </c>
      <c r="BA436" s="386">
        <f t="shared" si="295"/>
        <v>0</v>
      </c>
      <c r="BB436" s="386">
        <f t="shared" si="264"/>
        <v>11650</v>
      </c>
      <c r="BC436" s="386">
        <f t="shared" si="265"/>
        <v>0</v>
      </c>
      <c r="BD436" s="386">
        <f t="shared" si="266"/>
        <v>2379.3119999999999</v>
      </c>
      <c r="BE436" s="386">
        <f t="shared" si="267"/>
        <v>556.452</v>
      </c>
      <c r="BF436" s="386">
        <f t="shared" si="268"/>
        <v>4582.0944</v>
      </c>
      <c r="BG436" s="386">
        <f t="shared" si="269"/>
        <v>276.69096000000002</v>
      </c>
      <c r="BH436" s="386">
        <f t="shared" si="270"/>
        <v>188.04239999999999</v>
      </c>
      <c r="BI436" s="386">
        <f t="shared" si="271"/>
        <v>117.43055999999999</v>
      </c>
      <c r="BJ436" s="386">
        <f t="shared" si="272"/>
        <v>92.102399999999989</v>
      </c>
      <c r="BK436" s="386">
        <f t="shared" si="273"/>
        <v>0</v>
      </c>
      <c r="BL436" s="386">
        <f t="shared" si="296"/>
        <v>8192.1247199999998</v>
      </c>
      <c r="BM436" s="386">
        <f t="shared" si="297"/>
        <v>0</v>
      </c>
      <c r="BN436" s="386">
        <f t="shared" si="274"/>
        <v>11650</v>
      </c>
      <c r="BO436" s="386">
        <f t="shared" si="275"/>
        <v>0</v>
      </c>
      <c r="BP436" s="386">
        <f t="shared" si="276"/>
        <v>2379.3119999999999</v>
      </c>
      <c r="BQ436" s="386">
        <f t="shared" si="277"/>
        <v>556.452</v>
      </c>
      <c r="BR436" s="386">
        <f t="shared" si="278"/>
        <v>4582.0944</v>
      </c>
      <c r="BS436" s="386">
        <f t="shared" si="279"/>
        <v>276.69096000000002</v>
      </c>
      <c r="BT436" s="386">
        <f t="shared" si="280"/>
        <v>0</v>
      </c>
      <c r="BU436" s="386">
        <f t="shared" si="281"/>
        <v>117.43055999999999</v>
      </c>
      <c r="BV436" s="386">
        <f t="shared" si="282"/>
        <v>95.94</v>
      </c>
      <c r="BW436" s="386">
        <f t="shared" si="283"/>
        <v>0</v>
      </c>
      <c r="BX436" s="386">
        <f t="shared" si="298"/>
        <v>8007.9199199999994</v>
      </c>
      <c r="BY436" s="386">
        <f t="shared" si="299"/>
        <v>0</v>
      </c>
      <c r="BZ436" s="386">
        <f t="shared" si="300"/>
        <v>0</v>
      </c>
      <c r="CA436" s="386">
        <f t="shared" si="301"/>
        <v>0</v>
      </c>
      <c r="CB436" s="386">
        <f t="shared" si="302"/>
        <v>0</v>
      </c>
      <c r="CC436" s="386">
        <f t="shared" si="284"/>
        <v>0</v>
      </c>
      <c r="CD436" s="386">
        <f t="shared" si="285"/>
        <v>0</v>
      </c>
      <c r="CE436" s="386">
        <f t="shared" si="286"/>
        <v>0</v>
      </c>
      <c r="CF436" s="386">
        <f t="shared" si="287"/>
        <v>-188.04239999999999</v>
      </c>
      <c r="CG436" s="386">
        <f t="shared" si="288"/>
        <v>0</v>
      </c>
      <c r="CH436" s="386">
        <f t="shared" si="289"/>
        <v>3.8376000000000099</v>
      </c>
      <c r="CI436" s="386">
        <f t="shared" si="290"/>
        <v>0</v>
      </c>
      <c r="CJ436" s="386">
        <f t="shared" si="303"/>
        <v>-184.20479999999998</v>
      </c>
      <c r="CK436" s="386" t="str">
        <f t="shared" si="304"/>
        <v/>
      </c>
      <c r="CL436" s="386" t="str">
        <f t="shared" si="305"/>
        <v/>
      </c>
      <c r="CM436" s="386" t="str">
        <f t="shared" si="306"/>
        <v/>
      </c>
      <c r="CN436" s="386" t="str">
        <f t="shared" si="307"/>
        <v>0001-00</v>
      </c>
    </row>
    <row r="437" spans="1:92" ht="15.75" thickBot="1" x14ac:dyDescent="0.3">
      <c r="A437" s="375" t="s">
        <v>161</v>
      </c>
      <c r="B437" s="375" t="s">
        <v>162</v>
      </c>
      <c r="C437" s="375" t="s">
        <v>1604</v>
      </c>
      <c r="D437" s="375" t="s">
        <v>1605</v>
      </c>
      <c r="E437" s="375" t="s">
        <v>165</v>
      </c>
      <c r="F437" s="376" t="s">
        <v>166</v>
      </c>
      <c r="G437" s="375" t="s">
        <v>1599</v>
      </c>
      <c r="H437" s="377"/>
      <c r="I437" s="377"/>
      <c r="J437" s="375" t="s">
        <v>218</v>
      </c>
      <c r="K437" s="375" t="s">
        <v>1606</v>
      </c>
      <c r="L437" s="375" t="s">
        <v>173</v>
      </c>
      <c r="M437" s="375" t="s">
        <v>177</v>
      </c>
      <c r="N437" s="375" t="s">
        <v>199</v>
      </c>
      <c r="O437" s="378">
        <v>1</v>
      </c>
      <c r="P437" s="384">
        <v>0.85</v>
      </c>
      <c r="Q437" s="384">
        <v>0.85</v>
      </c>
      <c r="R437" s="379">
        <v>80</v>
      </c>
      <c r="S437" s="384">
        <v>0.85</v>
      </c>
      <c r="T437" s="379">
        <v>72482.600000000006</v>
      </c>
      <c r="U437" s="379">
        <v>0</v>
      </c>
      <c r="V437" s="379">
        <v>24727.1</v>
      </c>
      <c r="W437" s="379">
        <v>74980.88</v>
      </c>
      <c r="X437" s="379">
        <v>25908.639999999999</v>
      </c>
      <c r="Y437" s="379">
        <v>74980.88</v>
      </c>
      <c r="Z437" s="379">
        <v>25548.73</v>
      </c>
      <c r="AA437" s="375" t="s">
        <v>1607</v>
      </c>
      <c r="AB437" s="375" t="s">
        <v>1608</v>
      </c>
      <c r="AC437" s="375" t="s">
        <v>1609</v>
      </c>
      <c r="AD437" s="375" t="s">
        <v>171</v>
      </c>
      <c r="AE437" s="375" t="s">
        <v>1606</v>
      </c>
      <c r="AF437" s="375" t="s">
        <v>305</v>
      </c>
      <c r="AG437" s="375" t="s">
        <v>183</v>
      </c>
      <c r="AH437" s="380">
        <v>42.41</v>
      </c>
      <c r="AI437" s="380">
        <v>68818.7</v>
      </c>
      <c r="AJ437" s="375" t="s">
        <v>184</v>
      </c>
      <c r="AK437" s="375" t="s">
        <v>185</v>
      </c>
      <c r="AL437" s="375" t="s">
        <v>173</v>
      </c>
      <c r="AM437" s="375" t="s">
        <v>186</v>
      </c>
      <c r="AN437" s="375" t="s">
        <v>68</v>
      </c>
      <c r="AO437" s="378">
        <v>80</v>
      </c>
      <c r="AP437" s="384">
        <v>1</v>
      </c>
      <c r="AQ437" s="384">
        <v>0.85</v>
      </c>
      <c r="AR437" s="383" t="s">
        <v>187</v>
      </c>
      <c r="AS437" s="386">
        <f t="shared" si="291"/>
        <v>0.85</v>
      </c>
      <c r="AT437">
        <f t="shared" si="292"/>
        <v>1</v>
      </c>
      <c r="AU437" s="386">
        <f>IF(AT437=0,"",IF(AND(AT437=1,M437="F",SUMIF(C2:C557,C437,AS2:AS557)&lt;=1),SUMIF(C2:C557,C437,AS2:AS557),IF(AND(AT437=1,M437="F",SUMIF(C2:C557,C437,AS2:AS557)&gt;1),1,"")))</f>
        <v>1</v>
      </c>
      <c r="AV437" s="386" t="str">
        <f>IF(AT437=0,"",IF(AND(AT437=3,M437="F",SUMIF(C2:C557,C437,AS2:AS557)&lt;=1),SUMIF(C2:C557,C437,AS2:AS557),IF(AND(AT437=3,M437="F",SUMIF(C2:C557,C437,AS2:AS557)&gt;1),1,"")))</f>
        <v/>
      </c>
      <c r="AW437" s="386">
        <f>SUMIF(C2:C557,C437,O2:O557)</f>
        <v>2</v>
      </c>
      <c r="AX437" s="386">
        <f>IF(AND(M437="F",AS437&lt;&gt;0),SUMIF(C2:C557,C437,W2:W557),0)</f>
        <v>88212.800000000003</v>
      </c>
      <c r="AY437" s="386">
        <f t="shared" si="293"/>
        <v>74980.88</v>
      </c>
      <c r="AZ437" s="386" t="str">
        <f t="shared" si="294"/>
        <v/>
      </c>
      <c r="BA437" s="386">
        <f t="shared" si="295"/>
        <v>0</v>
      </c>
      <c r="BB437" s="386">
        <f t="shared" si="264"/>
        <v>9902.5</v>
      </c>
      <c r="BC437" s="386">
        <f t="shared" si="265"/>
        <v>0</v>
      </c>
      <c r="BD437" s="386">
        <f t="shared" si="266"/>
        <v>4648.8145599999998</v>
      </c>
      <c r="BE437" s="386">
        <f t="shared" si="267"/>
        <v>1087.2227600000001</v>
      </c>
      <c r="BF437" s="386">
        <f t="shared" si="268"/>
        <v>8952.7170720000013</v>
      </c>
      <c r="BG437" s="386">
        <f t="shared" si="269"/>
        <v>540.61214480000001</v>
      </c>
      <c r="BH437" s="386">
        <f t="shared" si="270"/>
        <v>367.40631200000001</v>
      </c>
      <c r="BI437" s="386">
        <f t="shared" si="271"/>
        <v>229.44149279999999</v>
      </c>
      <c r="BJ437" s="386">
        <f t="shared" si="272"/>
        <v>179.95411200000001</v>
      </c>
      <c r="BK437" s="386">
        <f t="shared" si="273"/>
        <v>0</v>
      </c>
      <c r="BL437" s="386">
        <f t="shared" si="296"/>
        <v>16006.168453599999</v>
      </c>
      <c r="BM437" s="386">
        <f t="shared" si="297"/>
        <v>0</v>
      </c>
      <c r="BN437" s="386">
        <f t="shared" si="274"/>
        <v>9902.5</v>
      </c>
      <c r="BO437" s="386">
        <f t="shared" si="275"/>
        <v>0</v>
      </c>
      <c r="BP437" s="386">
        <f t="shared" si="276"/>
        <v>4648.8145599999998</v>
      </c>
      <c r="BQ437" s="386">
        <f t="shared" si="277"/>
        <v>1087.2227600000001</v>
      </c>
      <c r="BR437" s="386">
        <f t="shared" si="278"/>
        <v>8952.7170720000013</v>
      </c>
      <c r="BS437" s="386">
        <f t="shared" si="279"/>
        <v>540.61214480000001</v>
      </c>
      <c r="BT437" s="386">
        <f t="shared" si="280"/>
        <v>0</v>
      </c>
      <c r="BU437" s="386">
        <f t="shared" si="281"/>
        <v>229.44149279999999</v>
      </c>
      <c r="BV437" s="386">
        <f t="shared" si="282"/>
        <v>187.4522</v>
      </c>
      <c r="BW437" s="386">
        <f t="shared" si="283"/>
        <v>0</v>
      </c>
      <c r="BX437" s="386">
        <f t="shared" si="298"/>
        <v>15646.2602296</v>
      </c>
      <c r="BY437" s="386">
        <f t="shared" si="299"/>
        <v>0</v>
      </c>
      <c r="BZ437" s="386">
        <f t="shared" si="300"/>
        <v>0</v>
      </c>
      <c r="CA437" s="386">
        <f t="shared" si="301"/>
        <v>0</v>
      </c>
      <c r="CB437" s="386">
        <f t="shared" si="302"/>
        <v>0</v>
      </c>
      <c r="CC437" s="386">
        <f t="shared" si="284"/>
        <v>0</v>
      </c>
      <c r="CD437" s="386">
        <f t="shared" si="285"/>
        <v>0</v>
      </c>
      <c r="CE437" s="386">
        <f t="shared" si="286"/>
        <v>0</v>
      </c>
      <c r="CF437" s="386">
        <f t="shared" si="287"/>
        <v>-367.40631200000001</v>
      </c>
      <c r="CG437" s="386">
        <f t="shared" si="288"/>
        <v>0</v>
      </c>
      <c r="CH437" s="386">
        <f t="shared" si="289"/>
        <v>7.4980880000000205</v>
      </c>
      <c r="CI437" s="386">
        <f t="shared" si="290"/>
        <v>0</v>
      </c>
      <c r="CJ437" s="386">
        <f t="shared" si="303"/>
        <v>-359.90822400000002</v>
      </c>
      <c r="CK437" s="386" t="str">
        <f t="shared" si="304"/>
        <v/>
      </c>
      <c r="CL437" s="386" t="str">
        <f t="shared" si="305"/>
        <v/>
      </c>
      <c r="CM437" s="386" t="str">
        <f t="shared" si="306"/>
        <v/>
      </c>
      <c r="CN437" s="386" t="str">
        <f t="shared" si="307"/>
        <v>0001-00</v>
      </c>
    </row>
    <row r="438" spans="1:92" ht="15.75" thickBot="1" x14ac:dyDescent="0.3">
      <c r="A438" s="375" t="s">
        <v>161</v>
      </c>
      <c r="B438" s="375" t="s">
        <v>162</v>
      </c>
      <c r="C438" s="375" t="s">
        <v>1610</v>
      </c>
      <c r="D438" s="375" t="s">
        <v>1321</v>
      </c>
      <c r="E438" s="375" t="s">
        <v>165</v>
      </c>
      <c r="F438" s="376" t="s">
        <v>166</v>
      </c>
      <c r="G438" s="375" t="s">
        <v>1599</v>
      </c>
      <c r="H438" s="377"/>
      <c r="I438" s="377"/>
      <c r="J438" s="375" t="s">
        <v>168</v>
      </c>
      <c r="K438" s="375" t="s">
        <v>1322</v>
      </c>
      <c r="L438" s="375" t="s">
        <v>170</v>
      </c>
      <c r="M438" s="375" t="s">
        <v>177</v>
      </c>
      <c r="N438" s="375" t="s">
        <v>199</v>
      </c>
      <c r="O438" s="378">
        <v>1</v>
      </c>
      <c r="P438" s="384">
        <v>1</v>
      </c>
      <c r="Q438" s="384">
        <v>1</v>
      </c>
      <c r="R438" s="379">
        <v>80</v>
      </c>
      <c r="S438" s="384">
        <v>1</v>
      </c>
      <c r="T438" s="379">
        <v>67419.28</v>
      </c>
      <c r="U438" s="379">
        <v>0</v>
      </c>
      <c r="V438" s="379">
        <v>25522.58</v>
      </c>
      <c r="W438" s="379">
        <v>69742.399999999994</v>
      </c>
      <c r="X438" s="379">
        <v>26537.88</v>
      </c>
      <c r="Y438" s="379">
        <v>69742.399999999994</v>
      </c>
      <c r="Z438" s="379">
        <v>26203.119999999999</v>
      </c>
      <c r="AA438" s="375" t="s">
        <v>1611</v>
      </c>
      <c r="AB438" s="375" t="s">
        <v>255</v>
      </c>
      <c r="AC438" s="375" t="s">
        <v>1612</v>
      </c>
      <c r="AD438" s="375" t="s">
        <v>198</v>
      </c>
      <c r="AE438" s="375" t="s">
        <v>1322</v>
      </c>
      <c r="AF438" s="375" t="s">
        <v>269</v>
      </c>
      <c r="AG438" s="375" t="s">
        <v>183</v>
      </c>
      <c r="AH438" s="380">
        <v>33.53</v>
      </c>
      <c r="AI438" s="380">
        <v>45573.599999999999</v>
      </c>
      <c r="AJ438" s="375" t="s">
        <v>184</v>
      </c>
      <c r="AK438" s="375" t="s">
        <v>185</v>
      </c>
      <c r="AL438" s="375" t="s">
        <v>173</v>
      </c>
      <c r="AM438" s="375" t="s">
        <v>186</v>
      </c>
      <c r="AN438" s="375" t="s">
        <v>68</v>
      </c>
      <c r="AO438" s="378">
        <v>80</v>
      </c>
      <c r="AP438" s="384">
        <v>1</v>
      </c>
      <c r="AQ438" s="384">
        <v>1</v>
      </c>
      <c r="AR438" s="383" t="s">
        <v>187</v>
      </c>
      <c r="AS438" s="386">
        <f t="shared" si="291"/>
        <v>1</v>
      </c>
      <c r="AT438">
        <f t="shared" si="292"/>
        <v>1</v>
      </c>
      <c r="AU438" s="386">
        <f>IF(AT438=0,"",IF(AND(AT438=1,M438="F",SUMIF(C2:C557,C438,AS2:AS557)&lt;=1),SUMIF(C2:C557,C438,AS2:AS557),IF(AND(AT438=1,M438="F",SUMIF(C2:C557,C438,AS2:AS557)&gt;1),1,"")))</f>
        <v>1</v>
      </c>
      <c r="AV438" s="386" t="str">
        <f>IF(AT438=0,"",IF(AND(AT438=3,M438="F",SUMIF(C2:C557,C438,AS2:AS557)&lt;=1),SUMIF(C2:C557,C438,AS2:AS557),IF(AND(AT438=3,M438="F",SUMIF(C2:C557,C438,AS2:AS557)&gt;1),1,"")))</f>
        <v/>
      </c>
      <c r="AW438" s="386">
        <f>SUMIF(C2:C557,C438,O2:O557)</f>
        <v>1</v>
      </c>
      <c r="AX438" s="386">
        <f>IF(AND(M438="F",AS438&lt;&gt;0),SUMIF(C2:C557,C438,W2:W557),0)</f>
        <v>69742.399999999994</v>
      </c>
      <c r="AY438" s="386">
        <f t="shared" si="293"/>
        <v>69742.399999999994</v>
      </c>
      <c r="AZ438" s="386" t="str">
        <f t="shared" si="294"/>
        <v/>
      </c>
      <c r="BA438" s="386">
        <f t="shared" si="295"/>
        <v>0</v>
      </c>
      <c r="BB438" s="386">
        <f t="shared" si="264"/>
        <v>11650</v>
      </c>
      <c r="BC438" s="386">
        <f t="shared" si="265"/>
        <v>0</v>
      </c>
      <c r="BD438" s="386">
        <f t="shared" si="266"/>
        <v>4324.0288</v>
      </c>
      <c r="BE438" s="386">
        <f t="shared" si="267"/>
        <v>1011.2647999999999</v>
      </c>
      <c r="BF438" s="386">
        <f t="shared" si="268"/>
        <v>8327.2425600000006</v>
      </c>
      <c r="BG438" s="386">
        <f t="shared" si="269"/>
        <v>502.84270399999997</v>
      </c>
      <c r="BH438" s="386">
        <f t="shared" si="270"/>
        <v>341.73775999999998</v>
      </c>
      <c r="BI438" s="386">
        <f t="shared" si="271"/>
        <v>213.41174399999997</v>
      </c>
      <c r="BJ438" s="386">
        <f t="shared" si="272"/>
        <v>167.38175999999996</v>
      </c>
      <c r="BK438" s="386">
        <f t="shared" si="273"/>
        <v>0</v>
      </c>
      <c r="BL438" s="386">
        <f t="shared" si="296"/>
        <v>14887.910128</v>
      </c>
      <c r="BM438" s="386">
        <f t="shared" si="297"/>
        <v>0</v>
      </c>
      <c r="BN438" s="386">
        <f t="shared" si="274"/>
        <v>11650</v>
      </c>
      <c r="BO438" s="386">
        <f t="shared" si="275"/>
        <v>0</v>
      </c>
      <c r="BP438" s="386">
        <f t="shared" si="276"/>
        <v>4324.0288</v>
      </c>
      <c r="BQ438" s="386">
        <f t="shared" si="277"/>
        <v>1011.2647999999999</v>
      </c>
      <c r="BR438" s="386">
        <f t="shared" si="278"/>
        <v>8327.2425600000006</v>
      </c>
      <c r="BS438" s="386">
        <f t="shared" si="279"/>
        <v>502.84270399999997</v>
      </c>
      <c r="BT438" s="386">
        <f t="shared" si="280"/>
        <v>0</v>
      </c>
      <c r="BU438" s="386">
        <f t="shared" si="281"/>
        <v>213.41174399999997</v>
      </c>
      <c r="BV438" s="386">
        <f t="shared" si="282"/>
        <v>174.35599999999999</v>
      </c>
      <c r="BW438" s="386">
        <f t="shared" si="283"/>
        <v>0</v>
      </c>
      <c r="BX438" s="386">
        <f t="shared" si="298"/>
        <v>14553.146607999999</v>
      </c>
      <c r="BY438" s="386">
        <f t="shared" si="299"/>
        <v>0</v>
      </c>
      <c r="BZ438" s="386">
        <f t="shared" si="300"/>
        <v>0</v>
      </c>
      <c r="CA438" s="386">
        <f t="shared" si="301"/>
        <v>0</v>
      </c>
      <c r="CB438" s="386">
        <f t="shared" si="302"/>
        <v>0</v>
      </c>
      <c r="CC438" s="386">
        <f t="shared" si="284"/>
        <v>0</v>
      </c>
      <c r="CD438" s="386">
        <f t="shared" si="285"/>
        <v>0</v>
      </c>
      <c r="CE438" s="386">
        <f t="shared" si="286"/>
        <v>0</v>
      </c>
      <c r="CF438" s="386">
        <f t="shared" si="287"/>
        <v>-341.73775999999998</v>
      </c>
      <c r="CG438" s="386">
        <f t="shared" si="288"/>
        <v>0</v>
      </c>
      <c r="CH438" s="386">
        <f t="shared" si="289"/>
        <v>6.9742400000000178</v>
      </c>
      <c r="CI438" s="386">
        <f t="shared" si="290"/>
        <v>0</v>
      </c>
      <c r="CJ438" s="386">
        <f t="shared" si="303"/>
        <v>-334.76351999999997</v>
      </c>
      <c r="CK438" s="386" t="str">
        <f t="shared" si="304"/>
        <v/>
      </c>
      <c r="CL438" s="386" t="str">
        <f t="shared" si="305"/>
        <v/>
      </c>
      <c r="CM438" s="386" t="str">
        <f t="shared" si="306"/>
        <v/>
      </c>
      <c r="CN438" s="386" t="str">
        <f t="shared" si="307"/>
        <v>0001-00</v>
      </c>
    </row>
    <row r="439" spans="1:92" ht="15.75" thickBot="1" x14ac:dyDescent="0.3">
      <c r="A439" s="375" t="s">
        <v>161</v>
      </c>
      <c r="B439" s="375" t="s">
        <v>162</v>
      </c>
      <c r="C439" s="375" t="s">
        <v>1613</v>
      </c>
      <c r="D439" s="375" t="s">
        <v>1598</v>
      </c>
      <c r="E439" s="375" t="s">
        <v>165</v>
      </c>
      <c r="F439" s="376" t="s">
        <v>166</v>
      </c>
      <c r="G439" s="375" t="s">
        <v>1599</v>
      </c>
      <c r="H439" s="377"/>
      <c r="I439" s="377"/>
      <c r="J439" s="375" t="s">
        <v>168</v>
      </c>
      <c r="K439" s="375" t="s">
        <v>1600</v>
      </c>
      <c r="L439" s="375" t="s">
        <v>233</v>
      </c>
      <c r="M439" s="375" t="s">
        <v>177</v>
      </c>
      <c r="N439" s="375" t="s">
        <v>199</v>
      </c>
      <c r="O439" s="378">
        <v>1</v>
      </c>
      <c r="P439" s="384">
        <v>1</v>
      </c>
      <c r="Q439" s="384">
        <v>1</v>
      </c>
      <c r="R439" s="379">
        <v>80</v>
      </c>
      <c r="S439" s="384">
        <v>1</v>
      </c>
      <c r="T439" s="379">
        <v>27090.54</v>
      </c>
      <c r="U439" s="379">
        <v>0</v>
      </c>
      <c r="V439" s="379">
        <v>13830.85</v>
      </c>
      <c r="W439" s="379">
        <v>40331.199999999997</v>
      </c>
      <c r="X439" s="379">
        <v>20259.47</v>
      </c>
      <c r="Y439" s="379">
        <v>40331.199999999997</v>
      </c>
      <c r="Z439" s="379">
        <v>20065.88</v>
      </c>
      <c r="AA439" s="375" t="s">
        <v>1614</v>
      </c>
      <c r="AB439" s="375" t="s">
        <v>859</v>
      </c>
      <c r="AC439" s="375" t="s">
        <v>1615</v>
      </c>
      <c r="AD439" s="375" t="s">
        <v>214</v>
      </c>
      <c r="AE439" s="375" t="s">
        <v>1600</v>
      </c>
      <c r="AF439" s="375" t="s">
        <v>237</v>
      </c>
      <c r="AG439" s="375" t="s">
        <v>183</v>
      </c>
      <c r="AH439" s="380">
        <v>19.39</v>
      </c>
      <c r="AI439" s="378">
        <v>19360</v>
      </c>
      <c r="AJ439" s="375" t="s">
        <v>184</v>
      </c>
      <c r="AK439" s="375" t="s">
        <v>185</v>
      </c>
      <c r="AL439" s="375" t="s">
        <v>173</v>
      </c>
      <c r="AM439" s="375" t="s">
        <v>186</v>
      </c>
      <c r="AN439" s="375" t="s">
        <v>68</v>
      </c>
      <c r="AO439" s="378">
        <v>80</v>
      </c>
      <c r="AP439" s="384">
        <v>1</v>
      </c>
      <c r="AQ439" s="384">
        <v>1</v>
      </c>
      <c r="AR439" s="383" t="s">
        <v>187</v>
      </c>
      <c r="AS439" s="386">
        <f t="shared" si="291"/>
        <v>1</v>
      </c>
      <c r="AT439">
        <f t="shared" si="292"/>
        <v>1</v>
      </c>
      <c r="AU439" s="386">
        <f>IF(AT439=0,"",IF(AND(AT439=1,M439="F",SUMIF(C2:C557,C439,AS2:AS557)&lt;=1),SUMIF(C2:C557,C439,AS2:AS557),IF(AND(AT439=1,M439="F",SUMIF(C2:C557,C439,AS2:AS557)&gt;1),1,"")))</f>
        <v>1</v>
      </c>
      <c r="AV439" s="386" t="str">
        <f>IF(AT439=0,"",IF(AND(AT439=3,M439="F",SUMIF(C2:C557,C439,AS2:AS557)&lt;=1),SUMIF(C2:C557,C439,AS2:AS557),IF(AND(AT439=3,M439="F",SUMIF(C2:C557,C439,AS2:AS557)&gt;1),1,"")))</f>
        <v/>
      </c>
      <c r="AW439" s="386">
        <f>SUMIF(C2:C557,C439,O2:O557)</f>
        <v>1</v>
      </c>
      <c r="AX439" s="386">
        <f>IF(AND(M439="F",AS439&lt;&gt;0),SUMIF(C2:C557,C439,W2:W557),0)</f>
        <v>40331.199999999997</v>
      </c>
      <c r="AY439" s="386">
        <f t="shared" si="293"/>
        <v>40331.199999999997</v>
      </c>
      <c r="AZ439" s="386" t="str">
        <f t="shared" si="294"/>
        <v/>
      </c>
      <c r="BA439" s="386">
        <f t="shared" si="295"/>
        <v>0</v>
      </c>
      <c r="BB439" s="386">
        <f t="shared" si="264"/>
        <v>11650</v>
      </c>
      <c r="BC439" s="386">
        <f t="shared" si="265"/>
        <v>0</v>
      </c>
      <c r="BD439" s="386">
        <f t="shared" si="266"/>
        <v>2500.5344</v>
      </c>
      <c r="BE439" s="386">
        <f t="shared" si="267"/>
        <v>584.80240000000003</v>
      </c>
      <c r="BF439" s="386">
        <f t="shared" si="268"/>
        <v>4815.5452800000003</v>
      </c>
      <c r="BG439" s="386">
        <f t="shared" si="269"/>
        <v>290.78795199999996</v>
      </c>
      <c r="BH439" s="386">
        <f t="shared" si="270"/>
        <v>197.62287999999998</v>
      </c>
      <c r="BI439" s="386">
        <f t="shared" si="271"/>
        <v>123.41347199999998</v>
      </c>
      <c r="BJ439" s="386">
        <f t="shared" si="272"/>
        <v>96.794879999999978</v>
      </c>
      <c r="BK439" s="386">
        <f t="shared" si="273"/>
        <v>0</v>
      </c>
      <c r="BL439" s="386">
        <f t="shared" si="296"/>
        <v>8609.5012640000004</v>
      </c>
      <c r="BM439" s="386">
        <f t="shared" si="297"/>
        <v>0</v>
      </c>
      <c r="BN439" s="386">
        <f t="shared" si="274"/>
        <v>11650</v>
      </c>
      <c r="BO439" s="386">
        <f t="shared" si="275"/>
        <v>0</v>
      </c>
      <c r="BP439" s="386">
        <f t="shared" si="276"/>
        <v>2500.5344</v>
      </c>
      <c r="BQ439" s="386">
        <f t="shared" si="277"/>
        <v>584.80240000000003</v>
      </c>
      <c r="BR439" s="386">
        <f t="shared" si="278"/>
        <v>4815.5452800000003</v>
      </c>
      <c r="BS439" s="386">
        <f t="shared" si="279"/>
        <v>290.78795199999996</v>
      </c>
      <c r="BT439" s="386">
        <f t="shared" si="280"/>
        <v>0</v>
      </c>
      <c r="BU439" s="386">
        <f t="shared" si="281"/>
        <v>123.41347199999998</v>
      </c>
      <c r="BV439" s="386">
        <f t="shared" si="282"/>
        <v>100.82799999999999</v>
      </c>
      <c r="BW439" s="386">
        <f t="shared" si="283"/>
        <v>0</v>
      </c>
      <c r="BX439" s="386">
        <f t="shared" si="298"/>
        <v>8415.9115039999997</v>
      </c>
      <c r="BY439" s="386">
        <f t="shared" si="299"/>
        <v>0</v>
      </c>
      <c r="BZ439" s="386">
        <f t="shared" si="300"/>
        <v>0</v>
      </c>
      <c r="CA439" s="386">
        <f t="shared" si="301"/>
        <v>0</v>
      </c>
      <c r="CB439" s="386">
        <f t="shared" si="302"/>
        <v>0</v>
      </c>
      <c r="CC439" s="386">
        <f t="shared" si="284"/>
        <v>0</v>
      </c>
      <c r="CD439" s="386">
        <f t="shared" si="285"/>
        <v>0</v>
      </c>
      <c r="CE439" s="386">
        <f t="shared" si="286"/>
        <v>0</v>
      </c>
      <c r="CF439" s="386">
        <f t="shared" si="287"/>
        <v>-197.62287999999998</v>
      </c>
      <c r="CG439" s="386">
        <f t="shared" si="288"/>
        <v>0</v>
      </c>
      <c r="CH439" s="386">
        <f t="shared" si="289"/>
        <v>4.03312000000001</v>
      </c>
      <c r="CI439" s="386">
        <f t="shared" si="290"/>
        <v>0</v>
      </c>
      <c r="CJ439" s="386">
        <f t="shared" si="303"/>
        <v>-193.58975999999998</v>
      </c>
      <c r="CK439" s="386" t="str">
        <f t="shared" si="304"/>
        <v/>
      </c>
      <c r="CL439" s="386" t="str">
        <f t="shared" si="305"/>
        <v/>
      </c>
      <c r="CM439" s="386" t="str">
        <f t="shared" si="306"/>
        <v/>
      </c>
      <c r="CN439" s="386" t="str">
        <f t="shared" si="307"/>
        <v>0001-00</v>
      </c>
    </row>
    <row r="440" spans="1:92" ht="15.75" thickBot="1" x14ac:dyDescent="0.3">
      <c r="A440" s="375" t="s">
        <v>161</v>
      </c>
      <c r="B440" s="375" t="s">
        <v>162</v>
      </c>
      <c r="C440" s="375" t="s">
        <v>1616</v>
      </c>
      <c r="D440" s="375" t="s">
        <v>611</v>
      </c>
      <c r="E440" s="375" t="s">
        <v>165</v>
      </c>
      <c r="F440" s="376" t="s">
        <v>166</v>
      </c>
      <c r="G440" s="375" t="s">
        <v>1599</v>
      </c>
      <c r="H440" s="377"/>
      <c r="I440" s="377"/>
      <c r="J440" s="375" t="s">
        <v>218</v>
      </c>
      <c r="K440" s="375" t="s">
        <v>612</v>
      </c>
      <c r="L440" s="375" t="s">
        <v>316</v>
      </c>
      <c r="M440" s="375" t="s">
        <v>177</v>
      </c>
      <c r="N440" s="375" t="s">
        <v>199</v>
      </c>
      <c r="O440" s="378">
        <v>1</v>
      </c>
      <c r="P440" s="384">
        <v>0.85</v>
      </c>
      <c r="Q440" s="384">
        <v>0.85</v>
      </c>
      <c r="R440" s="379">
        <v>80</v>
      </c>
      <c r="S440" s="384">
        <v>0.85</v>
      </c>
      <c r="T440" s="379">
        <v>68845.960000000006</v>
      </c>
      <c r="U440" s="379">
        <v>0</v>
      </c>
      <c r="V440" s="379">
        <v>24059.200000000001</v>
      </c>
      <c r="W440" s="379">
        <v>71568.639999999999</v>
      </c>
      <c r="X440" s="379">
        <v>25180.23</v>
      </c>
      <c r="Y440" s="379">
        <v>71568.639999999999</v>
      </c>
      <c r="Z440" s="379">
        <v>24836.7</v>
      </c>
      <c r="AA440" s="375" t="s">
        <v>1617</v>
      </c>
      <c r="AB440" s="375" t="s">
        <v>255</v>
      </c>
      <c r="AC440" s="375" t="s">
        <v>1618</v>
      </c>
      <c r="AD440" s="375" t="s">
        <v>316</v>
      </c>
      <c r="AE440" s="375" t="s">
        <v>612</v>
      </c>
      <c r="AF440" s="375" t="s">
        <v>374</v>
      </c>
      <c r="AG440" s="375" t="s">
        <v>183</v>
      </c>
      <c r="AH440" s="380">
        <v>40.479999999999997</v>
      </c>
      <c r="AI440" s="378">
        <v>42184</v>
      </c>
      <c r="AJ440" s="375" t="s">
        <v>184</v>
      </c>
      <c r="AK440" s="375" t="s">
        <v>185</v>
      </c>
      <c r="AL440" s="375" t="s">
        <v>173</v>
      </c>
      <c r="AM440" s="375" t="s">
        <v>186</v>
      </c>
      <c r="AN440" s="375" t="s">
        <v>68</v>
      </c>
      <c r="AO440" s="378">
        <v>80</v>
      </c>
      <c r="AP440" s="384">
        <v>1</v>
      </c>
      <c r="AQ440" s="384">
        <v>0.85</v>
      </c>
      <c r="AR440" s="383" t="s">
        <v>187</v>
      </c>
      <c r="AS440" s="386">
        <f t="shared" si="291"/>
        <v>0.85</v>
      </c>
      <c r="AT440">
        <f t="shared" si="292"/>
        <v>1</v>
      </c>
      <c r="AU440" s="386">
        <f>IF(AT440=0,"",IF(AND(AT440=1,M440="F",SUMIF(C2:C557,C440,AS2:AS557)&lt;=1),SUMIF(C2:C557,C440,AS2:AS557),IF(AND(AT440=1,M440="F",SUMIF(C2:C557,C440,AS2:AS557)&gt;1),1,"")))</f>
        <v>1</v>
      </c>
      <c r="AV440" s="386" t="str">
        <f>IF(AT440=0,"",IF(AND(AT440=3,M440="F",SUMIF(C2:C557,C440,AS2:AS557)&lt;=1),SUMIF(C2:C557,C440,AS2:AS557),IF(AND(AT440=3,M440="F",SUMIF(C2:C557,C440,AS2:AS557)&gt;1),1,"")))</f>
        <v/>
      </c>
      <c r="AW440" s="386">
        <f>SUMIF(C2:C557,C440,O2:O557)</f>
        <v>2</v>
      </c>
      <c r="AX440" s="386">
        <f>IF(AND(M440="F",AS440&lt;&gt;0),SUMIF(C2:C557,C440,W2:W557),0)</f>
        <v>84198.399999999994</v>
      </c>
      <c r="AY440" s="386">
        <f t="shared" si="293"/>
        <v>71568.639999999999</v>
      </c>
      <c r="AZ440" s="386" t="str">
        <f t="shared" si="294"/>
        <v/>
      </c>
      <c r="BA440" s="386">
        <f t="shared" si="295"/>
        <v>0</v>
      </c>
      <c r="BB440" s="386">
        <f t="shared" si="264"/>
        <v>9902.5</v>
      </c>
      <c r="BC440" s="386">
        <f t="shared" si="265"/>
        <v>0</v>
      </c>
      <c r="BD440" s="386">
        <f t="shared" si="266"/>
        <v>4437.2556800000002</v>
      </c>
      <c r="BE440" s="386">
        <f t="shared" si="267"/>
        <v>1037.7452800000001</v>
      </c>
      <c r="BF440" s="386">
        <f t="shared" si="268"/>
        <v>8545.2956160000012</v>
      </c>
      <c r="BG440" s="386">
        <f t="shared" si="269"/>
        <v>516.00989440000001</v>
      </c>
      <c r="BH440" s="386">
        <f t="shared" si="270"/>
        <v>350.68633599999998</v>
      </c>
      <c r="BI440" s="386">
        <f t="shared" si="271"/>
        <v>219.00003839999999</v>
      </c>
      <c r="BJ440" s="386">
        <f t="shared" si="272"/>
        <v>171.76473599999997</v>
      </c>
      <c r="BK440" s="386">
        <f t="shared" si="273"/>
        <v>0</v>
      </c>
      <c r="BL440" s="386">
        <f t="shared" si="296"/>
        <v>15277.7575808</v>
      </c>
      <c r="BM440" s="386">
        <f t="shared" si="297"/>
        <v>0</v>
      </c>
      <c r="BN440" s="386">
        <f t="shared" si="274"/>
        <v>9902.5</v>
      </c>
      <c r="BO440" s="386">
        <f t="shared" si="275"/>
        <v>0</v>
      </c>
      <c r="BP440" s="386">
        <f t="shared" si="276"/>
        <v>4437.2556800000002</v>
      </c>
      <c r="BQ440" s="386">
        <f t="shared" si="277"/>
        <v>1037.7452800000001</v>
      </c>
      <c r="BR440" s="386">
        <f t="shared" si="278"/>
        <v>8545.2956160000012</v>
      </c>
      <c r="BS440" s="386">
        <f t="shared" si="279"/>
        <v>516.00989440000001</v>
      </c>
      <c r="BT440" s="386">
        <f t="shared" si="280"/>
        <v>0</v>
      </c>
      <c r="BU440" s="386">
        <f t="shared" si="281"/>
        <v>219.00003839999999</v>
      </c>
      <c r="BV440" s="386">
        <f t="shared" si="282"/>
        <v>178.92160000000001</v>
      </c>
      <c r="BW440" s="386">
        <f t="shared" si="283"/>
        <v>0</v>
      </c>
      <c r="BX440" s="386">
        <f t="shared" si="298"/>
        <v>14934.2281088</v>
      </c>
      <c r="BY440" s="386">
        <f t="shared" si="299"/>
        <v>0</v>
      </c>
      <c r="BZ440" s="386">
        <f t="shared" si="300"/>
        <v>0</v>
      </c>
      <c r="CA440" s="386">
        <f t="shared" si="301"/>
        <v>0</v>
      </c>
      <c r="CB440" s="386">
        <f t="shared" si="302"/>
        <v>0</v>
      </c>
      <c r="CC440" s="386">
        <f t="shared" si="284"/>
        <v>0</v>
      </c>
      <c r="CD440" s="386">
        <f t="shared" si="285"/>
        <v>0</v>
      </c>
      <c r="CE440" s="386">
        <f t="shared" si="286"/>
        <v>0</v>
      </c>
      <c r="CF440" s="386">
        <f t="shared" si="287"/>
        <v>-350.68633599999998</v>
      </c>
      <c r="CG440" s="386">
        <f t="shared" si="288"/>
        <v>0</v>
      </c>
      <c r="CH440" s="386">
        <f t="shared" si="289"/>
        <v>7.1568640000000183</v>
      </c>
      <c r="CI440" s="386">
        <f t="shared" si="290"/>
        <v>0</v>
      </c>
      <c r="CJ440" s="386">
        <f t="shared" si="303"/>
        <v>-343.52947199999994</v>
      </c>
      <c r="CK440" s="386" t="str">
        <f t="shared" si="304"/>
        <v/>
      </c>
      <c r="CL440" s="386" t="str">
        <f t="shared" si="305"/>
        <v/>
      </c>
      <c r="CM440" s="386" t="str">
        <f t="shared" si="306"/>
        <v/>
      </c>
      <c r="CN440" s="386" t="str">
        <f t="shared" si="307"/>
        <v>0001-00</v>
      </c>
    </row>
    <row r="441" spans="1:92" ht="15.75" thickBot="1" x14ac:dyDescent="0.3">
      <c r="A441" s="375" t="s">
        <v>161</v>
      </c>
      <c r="B441" s="375" t="s">
        <v>162</v>
      </c>
      <c r="C441" s="375" t="s">
        <v>1619</v>
      </c>
      <c r="D441" s="375" t="s">
        <v>1321</v>
      </c>
      <c r="E441" s="375" t="s">
        <v>165</v>
      </c>
      <c r="F441" s="376" t="s">
        <v>166</v>
      </c>
      <c r="G441" s="375" t="s">
        <v>1599</v>
      </c>
      <c r="H441" s="377"/>
      <c r="I441" s="377"/>
      <c r="J441" s="375" t="s">
        <v>168</v>
      </c>
      <c r="K441" s="375" t="s">
        <v>1322</v>
      </c>
      <c r="L441" s="375" t="s">
        <v>170</v>
      </c>
      <c r="M441" s="375" t="s">
        <v>177</v>
      </c>
      <c r="N441" s="375" t="s">
        <v>199</v>
      </c>
      <c r="O441" s="378">
        <v>1</v>
      </c>
      <c r="P441" s="384">
        <v>1</v>
      </c>
      <c r="Q441" s="384">
        <v>1</v>
      </c>
      <c r="R441" s="379">
        <v>80</v>
      </c>
      <c r="S441" s="384">
        <v>1</v>
      </c>
      <c r="T441" s="379">
        <v>56174.49</v>
      </c>
      <c r="U441" s="379">
        <v>0</v>
      </c>
      <c r="V441" s="379">
        <v>23147.63</v>
      </c>
      <c r="W441" s="379">
        <v>58198.400000000001</v>
      </c>
      <c r="X441" s="379">
        <v>24073.58</v>
      </c>
      <c r="Y441" s="379">
        <v>58198.400000000001</v>
      </c>
      <c r="Z441" s="379">
        <v>23794.23</v>
      </c>
      <c r="AA441" s="375" t="s">
        <v>1620</v>
      </c>
      <c r="AB441" s="375" t="s">
        <v>765</v>
      </c>
      <c r="AC441" s="375" t="s">
        <v>236</v>
      </c>
      <c r="AD441" s="375" t="s">
        <v>220</v>
      </c>
      <c r="AE441" s="375" t="s">
        <v>1322</v>
      </c>
      <c r="AF441" s="375" t="s">
        <v>269</v>
      </c>
      <c r="AG441" s="375" t="s">
        <v>183</v>
      </c>
      <c r="AH441" s="380">
        <v>27.98</v>
      </c>
      <c r="AI441" s="380">
        <v>47659.1</v>
      </c>
      <c r="AJ441" s="375" t="s">
        <v>184</v>
      </c>
      <c r="AK441" s="375" t="s">
        <v>185</v>
      </c>
      <c r="AL441" s="375" t="s">
        <v>173</v>
      </c>
      <c r="AM441" s="375" t="s">
        <v>186</v>
      </c>
      <c r="AN441" s="375" t="s">
        <v>68</v>
      </c>
      <c r="AO441" s="378">
        <v>80</v>
      </c>
      <c r="AP441" s="384">
        <v>1</v>
      </c>
      <c r="AQ441" s="384">
        <v>1</v>
      </c>
      <c r="AR441" s="383" t="s">
        <v>187</v>
      </c>
      <c r="AS441" s="386">
        <f t="shared" si="291"/>
        <v>1</v>
      </c>
      <c r="AT441">
        <f t="shared" si="292"/>
        <v>1</v>
      </c>
      <c r="AU441" s="386">
        <f>IF(AT441=0,"",IF(AND(AT441=1,M441="F",SUMIF(C2:C557,C441,AS2:AS557)&lt;=1),SUMIF(C2:C557,C441,AS2:AS557),IF(AND(AT441=1,M441="F",SUMIF(C2:C557,C441,AS2:AS557)&gt;1),1,"")))</f>
        <v>1</v>
      </c>
      <c r="AV441" s="386" t="str">
        <f>IF(AT441=0,"",IF(AND(AT441=3,M441="F",SUMIF(C2:C557,C441,AS2:AS557)&lt;=1),SUMIF(C2:C557,C441,AS2:AS557),IF(AND(AT441=3,M441="F",SUMIF(C2:C557,C441,AS2:AS557)&gt;1),1,"")))</f>
        <v/>
      </c>
      <c r="AW441" s="386">
        <f>SUMIF(C2:C557,C441,O2:O557)</f>
        <v>1</v>
      </c>
      <c r="AX441" s="386">
        <f>IF(AND(M441="F",AS441&lt;&gt;0),SUMIF(C2:C557,C441,W2:W557),0)</f>
        <v>58198.400000000001</v>
      </c>
      <c r="AY441" s="386">
        <f t="shared" si="293"/>
        <v>58198.400000000001</v>
      </c>
      <c r="AZ441" s="386" t="str">
        <f t="shared" si="294"/>
        <v/>
      </c>
      <c r="BA441" s="386">
        <f t="shared" si="295"/>
        <v>0</v>
      </c>
      <c r="BB441" s="386">
        <f t="shared" si="264"/>
        <v>11650</v>
      </c>
      <c r="BC441" s="386">
        <f t="shared" si="265"/>
        <v>0</v>
      </c>
      <c r="BD441" s="386">
        <f t="shared" si="266"/>
        <v>3608.3008</v>
      </c>
      <c r="BE441" s="386">
        <f t="shared" si="267"/>
        <v>843.87680000000012</v>
      </c>
      <c r="BF441" s="386">
        <f t="shared" si="268"/>
        <v>6948.8889600000002</v>
      </c>
      <c r="BG441" s="386">
        <f t="shared" si="269"/>
        <v>419.61046400000004</v>
      </c>
      <c r="BH441" s="386">
        <f t="shared" si="270"/>
        <v>285.17216000000002</v>
      </c>
      <c r="BI441" s="386">
        <f t="shared" si="271"/>
        <v>178.08710399999998</v>
      </c>
      <c r="BJ441" s="386">
        <f t="shared" si="272"/>
        <v>139.67615999999998</v>
      </c>
      <c r="BK441" s="386">
        <f t="shared" si="273"/>
        <v>0</v>
      </c>
      <c r="BL441" s="386">
        <f t="shared" si="296"/>
        <v>12423.612448</v>
      </c>
      <c r="BM441" s="386">
        <f t="shared" si="297"/>
        <v>0</v>
      </c>
      <c r="BN441" s="386">
        <f t="shared" si="274"/>
        <v>11650</v>
      </c>
      <c r="BO441" s="386">
        <f t="shared" si="275"/>
        <v>0</v>
      </c>
      <c r="BP441" s="386">
        <f t="shared" si="276"/>
        <v>3608.3008</v>
      </c>
      <c r="BQ441" s="386">
        <f t="shared" si="277"/>
        <v>843.87680000000012</v>
      </c>
      <c r="BR441" s="386">
        <f t="shared" si="278"/>
        <v>6948.8889600000002</v>
      </c>
      <c r="BS441" s="386">
        <f t="shared" si="279"/>
        <v>419.61046400000004</v>
      </c>
      <c r="BT441" s="386">
        <f t="shared" si="280"/>
        <v>0</v>
      </c>
      <c r="BU441" s="386">
        <f t="shared" si="281"/>
        <v>178.08710399999998</v>
      </c>
      <c r="BV441" s="386">
        <f t="shared" si="282"/>
        <v>145.49600000000001</v>
      </c>
      <c r="BW441" s="386">
        <f t="shared" si="283"/>
        <v>0</v>
      </c>
      <c r="BX441" s="386">
        <f t="shared" si="298"/>
        <v>12144.260127999998</v>
      </c>
      <c r="BY441" s="386">
        <f t="shared" si="299"/>
        <v>0</v>
      </c>
      <c r="BZ441" s="386">
        <f t="shared" si="300"/>
        <v>0</v>
      </c>
      <c r="CA441" s="386">
        <f t="shared" si="301"/>
        <v>0</v>
      </c>
      <c r="CB441" s="386">
        <f t="shared" si="302"/>
        <v>0</v>
      </c>
      <c r="CC441" s="386">
        <f t="shared" si="284"/>
        <v>0</v>
      </c>
      <c r="CD441" s="386">
        <f t="shared" si="285"/>
        <v>0</v>
      </c>
      <c r="CE441" s="386">
        <f t="shared" si="286"/>
        <v>0</v>
      </c>
      <c r="CF441" s="386">
        <f t="shared" si="287"/>
        <v>-285.17216000000002</v>
      </c>
      <c r="CG441" s="386">
        <f t="shared" si="288"/>
        <v>0</v>
      </c>
      <c r="CH441" s="386">
        <f t="shared" si="289"/>
        <v>5.8198400000000152</v>
      </c>
      <c r="CI441" s="386">
        <f t="shared" si="290"/>
        <v>0</v>
      </c>
      <c r="CJ441" s="386">
        <f t="shared" si="303"/>
        <v>-279.35232000000002</v>
      </c>
      <c r="CK441" s="386" t="str">
        <f t="shared" si="304"/>
        <v/>
      </c>
      <c r="CL441" s="386" t="str">
        <f t="shared" si="305"/>
        <v/>
      </c>
      <c r="CM441" s="386" t="str">
        <f t="shared" si="306"/>
        <v/>
      </c>
      <c r="CN441" s="386" t="str">
        <f t="shared" si="307"/>
        <v>0001-00</v>
      </c>
    </row>
    <row r="442" spans="1:92" ht="15.75" thickBot="1" x14ac:dyDescent="0.3">
      <c r="A442" s="375" t="s">
        <v>161</v>
      </c>
      <c r="B442" s="375" t="s">
        <v>162</v>
      </c>
      <c r="C442" s="375" t="s">
        <v>1621</v>
      </c>
      <c r="D442" s="375" t="s">
        <v>1598</v>
      </c>
      <c r="E442" s="375" t="s">
        <v>165</v>
      </c>
      <c r="F442" s="376" t="s">
        <v>166</v>
      </c>
      <c r="G442" s="375" t="s">
        <v>1599</v>
      </c>
      <c r="H442" s="377"/>
      <c r="I442" s="377"/>
      <c r="J442" s="375" t="s">
        <v>168</v>
      </c>
      <c r="K442" s="375" t="s">
        <v>1600</v>
      </c>
      <c r="L442" s="375" t="s">
        <v>233</v>
      </c>
      <c r="M442" s="375" t="s">
        <v>177</v>
      </c>
      <c r="N442" s="375" t="s">
        <v>199</v>
      </c>
      <c r="O442" s="378">
        <v>1</v>
      </c>
      <c r="P442" s="384">
        <v>1</v>
      </c>
      <c r="Q442" s="384">
        <v>1</v>
      </c>
      <c r="R442" s="379">
        <v>80</v>
      </c>
      <c r="S442" s="384">
        <v>1</v>
      </c>
      <c r="T442" s="379">
        <v>28374.41</v>
      </c>
      <c r="U442" s="379">
        <v>0</v>
      </c>
      <c r="V442" s="379">
        <v>15091.61</v>
      </c>
      <c r="W442" s="379">
        <v>40081.599999999999</v>
      </c>
      <c r="X442" s="379">
        <v>20206.169999999998</v>
      </c>
      <c r="Y442" s="379">
        <v>40081.599999999999</v>
      </c>
      <c r="Z442" s="379">
        <v>20013.79</v>
      </c>
      <c r="AA442" s="375" t="s">
        <v>1622</v>
      </c>
      <c r="AB442" s="375" t="s">
        <v>1623</v>
      </c>
      <c r="AC442" s="375" t="s">
        <v>1624</v>
      </c>
      <c r="AD442" s="375" t="s">
        <v>198</v>
      </c>
      <c r="AE442" s="375" t="s">
        <v>1600</v>
      </c>
      <c r="AF442" s="375" t="s">
        <v>237</v>
      </c>
      <c r="AG442" s="375" t="s">
        <v>183</v>
      </c>
      <c r="AH442" s="380">
        <v>19.27</v>
      </c>
      <c r="AI442" s="380">
        <v>13256.1</v>
      </c>
      <c r="AJ442" s="375" t="s">
        <v>184</v>
      </c>
      <c r="AK442" s="375" t="s">
        <v>185</v>
      </c>
      <c r="AL442" s="375" t="s">
        <v>173</v>
      </c>
      <c r="AM442" s="375" t="s">
        <v>186</v>
      </c>
      <c r="AN442" s="375" t="s">
        <v>68</v>
      </c>
      <c r="AO442" s="378">
        <v>80</v>
      </c>
      <c r="AP442" s="384">
        <v>1</v>
      </c>
      <c r="AQ442" s="384">
        <v>1</v>
      </c>
      <c r="AR442" s="383" t="s">
        <v>187</v>
      </c>
      <c r="AS442" s="386">
        <f t="shared" si="291"/>
        <v>1</v>
      </c>
      <c r="AT442">
        <f t="shared" si="292"/>
        <v>1</v>
      </c>
      <c r="AU442" s="386">
        <f>IF(AT442=0,"",IF(AND(AT442=1,M442="F",SUMIF(C2:C557,C442,AS2:AS557)&lt;=1),SUMIF(C2:C557,C442,AS2:AS557),IF(AND(AT442=1,M442="F",SUMIF(C2:C557,C442,AS2:AS557)&gt;1),1,"")))</f>
        <v>1</v>
      </c>
      <c r="AV442" s="386" t="str">
        <f>IF(AT442=0,"",IF(AND(AT442=3,M442="F",SUMIF(C2:C557,C442,AS2:AS557)&lt;=1),SUMIF(C2:C557,C442,AS2:AS557),IF(AND(AT442=3,M442="F",SUMIF(C2:C557,C442,AS2:AS557)&gt;1),1,"")))</f>
        <v/>
      </c>
      <c r="AW442" s="386">
        <f>SUMIF(C2:C557,C442,O2:O557)</f>
        <v>1</v>
      </c>
      <c r="AX442" s="386">
        <f>IF(AND(M442="F",AS442&lt;&gt;0),SUMIF(C2:C557,C442,W2:W557),0)</f>
        <v>40081.599999999999</v>
      </c>
      <c r="AY442" s="386">
        <f t="shared" si="293"/>
        <v>40081.599999999999</v>
      </c>
      <c r="AZ442" s="386" t="str">
        <f t="shared" si="294"/>
        <v/>
      </c>
      <c r="BA442" s="386">
        <f t="shared" si="295"/>
        <v>0</v>
      </c>
      <c r="BB442" s="386">
        <f t="shared" si="264"/>
        <v>11650</v>
      </c>
      <c r="BC442" s="386">
        <f t="shared" si="265"/>
        <v>0</v>
      </c>
      <c r="BD442" s="386">
        <f t="shared" si="266"/>
        <v>2485.0591999999997</v>
      </c>
      <c r="BE442" s="386">
        <f t="shared" si="267"/>
        <v>581.18320000000006</v>
      </c>
      <c r="BF442" s="386">
        <f t="shared" si="268"/>
        <v>4785.7430400000003</v>
      </c>
      <c r="BG442" s="386">
        <f t="shared" si="269"/>
        <v>288.988336</v>
      </c>
      <c r="BH442" s="386">
        <f t="shared" si="270"/>
        <v>196.39983999999998</v>
      </c>
      <c r="BI442" s="386">
        <f t="shared" si="271"/>
        <v>122.64969599999999</v>
      </c>
      <c r="BJ442" s="386">
        <f t="shared" si="272"/>
        <v>96.19583999999999</v>
      </c>
      <c r="BK442" s="386">
        <f t="shared" si="273"/>
        <v>0</v>
      </c>
      <c r="BL442" s="386">
        <f t="shared" si="296"/>
        <v>8556.2191520000015</v>
      </c>
      <c r="BM442" s="386">
        <f t="shared" si="297"/>
        <v>0</v>
      </c>
      <c r="BN442" s="386">
        <f t="shared" si="274"/>
        <v>11650</v>
      </c>
      <c r="BO442" s="386">
        <f t="shared" si="275"/>
        <v>0</v>
      </c>
      <c r="BP442" s="386">
        <f t="shared" si="276"/>
        <v>2485.0591999999997</v>
      </c>
      <c r="BQ442" s="386">
        <f t="shared" si="277"/>
        <v>581.18320000000006</v>
      </c>
      <c r="BR442" s="386">
        <f t="shared" si="278"/>
        <v>4785.7430400000003</v>
      </c>
      <c r="BS442" s="386">
        <f t="shared" si="279"/>
        <v>288.988336</v>
      </c>
      <c r="BT442" s="386">
        <f t="shared" si="280"/>
        <v>0</v>
      </c>
      <c r="BU442" s="386">
        <f t="shared" si="281"/>
        <v>122.64969599999999</v>
      </c>
      <c r="BV442" s="386">
        <f t="shared" si="282"/>
        <v>100.20399999999999</v>
      </c>
      <c r="BW442" s="386">
        <f t="shared" si="283"/>
        <v>0</v>
      </c>
      <c r="BX442" s="386">
        <f t="shared" si="298"/>
        <v>8363.8274720000009</v>
      </c>
      <c r="BY442" s="386">
        <f t="shared" si="299"/>
        <v>0</v>
      </c>
      <c r="BZ442" s="386">
        <f t="shared" si="300"/>
        <v>0</v>
      </c>
      <c r="CA442" s="386">
        <f t="shared" si="301"/>
        <v>0</v>
      </c>
      <c r="CB442" s="386">
        <f t="shared" si="302"/>
        <v>0</v>
      </c>
      <c r="CC442" s="386">
        <f t="shared" si="284"/>
        <v>0</v>
      </c>
      <c r="CD442" s="386">
        <f t="shared" si="285"/>
        <v>0</v>
      </c>
      <c r="CE442" s="386">
        <f t="shared" si="286"/>
        <v>0</v>
      </c>
      <c r="CF442" s="386">
        <f t="shared" si="287"/>
        <v>-196.39983999999998</v>
      </c>
      <c r="CG442" s="386">
        <f t="shared" si="288"/>
        <v>0</v>
      </c>
      <c r="CH442" s="386">
        <f t="shared" si="289"/>
        <v>4.0081600000000099</v>
      </c>
      <c r="CI442" s="386">
        <f t="shared" si="290"/>
        <v>0</v>
      </c>
      <c r="CJ442" s="386">
        <f t="shared" si="303"/>
        <v>-192.39167999999998</v>
      </c>
      <c r="CK442" s="386" t="str">
        <f t="shared" si="304"/>
        <v/>
      </c>
      <c r="CL442" s="386" t="str">
        <f t="shared" si="305"/>
        <v/>
      </c>
      <c r="CM442" s="386" t="str">
        <f t="shared" si="306"/>
        <v/>
      </c>
      <c r="CN442" s="386" t="str">
        <f t="shared" si="307"/>
        <v>0001-00</v>
      </c>
    </row>
    <row r="443" spans="1:92" ht="15.75" thickBot="1" x14ac:dyDescent="0.3">
      <c r="A443" s="375" t="s">
        <v>161</v>
      </c>
      <c r="B443" s="375" t="s">
        <v>162</v>
      </c>
      <c r="C443" s="375" t="s">
        <v>1625</v>
      </c>
      <c r="D443" s="375" t="s">
        <v>611</v>
      </c>
      <c r="E443" s="375" t="s">
        <v>165</v>
      </c>
      <c r="F443" s="376" t="s">
        <v>166</v>
      </c>
      <c r="G443" s="375" t="s">
        <v>1599</v>
      </c>
      <c r="H443" s="377"/>
      <c r="I443" s="377"/>
      <c r="J443" s="375" t="s">
        <v>168</v>
      </c>
      <c r="K443" s="375" t="s">
        <v>612</v>
      </c>
      <c r="L443" s="375" t="s">
        <v>316</v>
      </c>
      <c r="M443" s="375" t="s">
        <v>177</v>
      </c>
      <c r="N443" s="375" t="s">
        <v>199</v>
      </c>
      <c r="O443" s="378">
        <v>1</v>
      </c>
      <c r="P443" s="384">
        <v>1</v>
      </c>
      <c r="Q443" s="384">
        <v>1</v>
      </c>
      <c r="R443" s="379">
        <v>80</v>
      </c>
      <c r="S443" s="384">
        <v>1</v>
      </c>
      <c r="T443" s="379">
        <v>85275.199999999997</v>
      </c>
      <c r="U443" s="379">
        <v>0</v>
      </c>
      <c r="V443" s="379">
        <v>29281.200000000001</v>
      </c>
      <c r="W443" s="379">
        <v>87422.399999999994</v>
      </c>
      <c r="X443" s="379">
        <v>30312.02</v>
      </c>
      <c r="Y443" s="379">
        <v>87422.399999999994</v>
      </c>
      <c r="Z443" s="379">
        <v>29892.400000000001</v>
      </c>
      <c r="AA443" s="375" t="s">
        <v>1626</v>
      </c>
      <c r="AB443" s="375" t="s">
        <v>1627</v>
      </c>
      <c r="AC443" s="375" t="s">
        <v>597</v>
      </c>
      <c r="AD443" s="375" t="s">
        <v>647</v>
      </c>
      <c r="AE443" s="375" t="s">
        <v>612</v>
      </c>
      <c r="AF443" s="375" t="s">
        <v>374</v>
      </c>
      <c r="AG443" s="375" t="s">
        <v>183</v>
      </c>
      <c r="AH443" s="380">
        <v>42.03</v>
      </c>
      <c r="AI443" s="380">
        <v>42206.8</v>
      </c>
      <c r="AJ443" s="375" t="s">
        <v>184</v>
      </c>
      <c r="AK443" s="375" t="s">
        <v>185</v>
      </c>
      <c r="AL443" s="375" t="s">
        <v>173</v>
      </c>
      <c r="AM443" s="375" t="s">
        <v>186</v>
      </c>
      <c r="AN443" s="375" t="s">
        <v>68</v>
      </c>
      <c r="AO443" s="378">
        <v>80</v>
      </c>
      <c r="AP443" s="384">
        <v>1</v>
      </c>
      <c r="AQ443" s="384">
        <v>1</v>
      </c>
      <c r="AR443" s="383" t="s">
        <v>187</v>
      </c>
      <c r="AS443" s="386">
        <f t="shared" si="291"/>
        <v>1</v>
      </c>
      <c r="AT443">
        <f t="shared" si="292"/>
        <v>1</v>
      </c>
      <c r="AU443" s="386">
        <f>IF(AT443=0,"",IF(AND(AT443=1,M443="F",SUMIF(C2:C557,C443,AS2:AS557)&lt;=1),SUMIF(C2:C557,C443,AS2:AS557),IF(AND(AT443=1,M443="F",SUMIF(C2:C557,C443,AS2:AS557)&gt;1),1,"")))</f>
        <v>1</v>
      </c>
      <c r="AV443" s="386" t="str">
        <f>IF(AT443=0,"",IF(AND(AT443=3,M443="F",SUMIF(C2:C557,C443,AS2:AS557)&lt;=1),SUMIF(C2:C557,C443,AS2:AS557),IF(AND(AT443=3,M443="F",SUMIF(C2:C557,C443,AS2:AS557)&gt;1),1,"")))</f>
        <v/>
      </c>
      <c r="AW443" s="386">
        <f>SUMIF(C2:C557,C443,O2:O557)</f>
        <v>1</v>
      </c>
      <c r="AX443" s="386">
        <f>IF(AND(M443="F",AS443&lt;&gt;0),SUMIF(C2:C557,C443,W2:W557),0)</f>
        <v>87422.399999999994</v>
      </c>
      <c r="AY443" s="386">
        <f t="shared" si="293"/>
        <v>87422.399999999994</v>
      </c>
      <c r="AZ443" s="386" t="str">
        <f t="shared" si="294"/>
        <v/>
      </c>
      <c r="BA443" s="386">
        <f t="shared" si="295"/>
        <v>0</v>
      </c>
      <c r="BB443" s="386">
        <f t="shared" si="264"/>
        <v>11650</v>
      </c>
      <c r="BC443" s="386">
        <f t="shared" si="265"/>
        <v>0</v>
      </c>
      <c r="BD443" s="386">
        <f t="shared" si="266"/>
        <v>5420.1887999999999</v>
      </c>
      <c r="BE443" s="386">
        <f t="shared" si="267"/>
        <v>1267.6248000000001</v>
      </c>
      <c r="BF443" s="386">
        <f t="shared" si="268"/>
        <v>10438.234559999999</v>
      </c>
      <c r="BG443" s="386">
        <f t="shared" si="269"/>
        <v>630.31550400000003</v>
      </c>
      <c r="BH443" s="386">
        <f t="shared" si="270"/>
        <v>428.36975999999999</v>
      </c>
      <c r="BI443" s="386">
        <f t="shared" si="271"/>
        <v>267.51254399999999</v>
      </c>
      <c r="BJ443" s="386">
        <f t="shared" si="272"/>
        <v>209.81375999999997</v>
      </c>
      <c r="BK443" s="386">
        <f t="shared" si="273"/>
        <v>0</v>
      </c>
      <c r="BL443" s="386">
        <f t="shared" si="296"/>
        <v>18662.059728</v>
      </c>
      <c r="BM443" s="386">
        <f t="shared" si="297"/>
        <v>0</v>
      </c>
      <c r="BN443" s="386">
        <f t="shared" si="274"/>
        <v>11650</v>
      </c>
      <c r="BO443" s="386">
        <f t="shared" si="275"/>
        <v>0</v>
      </c>
      <c r="BP443" s="386">
        <f t="shared" si="276"/>
        <v>5420.1887999999999</v>
      </c>
      <c r="BQ443" s="386">
        <f t="shared" si="277"/>
        <v>1267.6248000000001</v>
      </c>
      <c r="BR443" s="386">
        <f t="shared" si="278"/>
        <v>10438.234559999999</v>
      </c>
      <c r="BS443" s="386">
        <f t="shared" si="279"/>
        <v>630.31550400000003</v>
      </c>
      <c r="BT443" s="386">
        <f t="shared" si="280"/>
        <v>0</v>
      </c>
      <c r="BU443" s="386">
        <f t="shared" si="281"/>
        <v>267.51254399999999</v>
      </c>
      <c r="BV443" s="386">
        <f t="shared" si="282"/>
        <v>218.55599999999998</v>
      </c>
      <c r="BW443" s="386">
        <f t="shared" si="283"/>
        <v>0</v>
      </c>
      <c r="BX443" s="386">
        <f t="shared" si="298"/>
        <v>18242.432207999998</v>
      </c>
      <c r="BY443" s="386">
        <f t="shared" si="299"/>
        <v>0</v>
      </c>
      <c r="BZ443" s="386">
        <f t="shared" si="300"/>
        <v>0</v>
      </c>
      <c r="CA443" s="386">
        <f t="shared" si="301"/>
        <v>0</v>
      </c>
      <c r="CB443" s="386">
        <f t="shared" si="302"/>
        <v>0</v>
      </c>
      <c r="CC443" s="386">
        <f t="shared" si="284"/>
        <v>0</v>
      </c>
      <c r="CD443" s="386">
        <f t="shared" si="285"/>
        <v>0</v>
      </c>
      <c r="CE443" s="386">
        <f t="shared" si="286"/>
        <v>0</v>
      </c>
      <c r="CF443" s="386">
        <f t="shared" si="287"/>
        <v>-428.36975999999999</v>
      </c>
      <c r="CG443" s="386">
        <f t="shared" si="288"/>
        <v>0</v>
      </c>
      <c r="CH443" s="386">
        <f t="shared" si="289"/>
        <v>8.742240000000022</v>
      </c>
      <c r="CI443" s="386">
        <f t="shared" si="290"/>
        <v>0</v>
      </c>
      <c r="CJ443" s="386">
        <f t="shared" si="303"/>
        <v>-419.62751999999995</v>
      </c>
      <c r="CK443" s="386" t="str">
        <f t="shared" si="304"/>
        <v/>
      </c>
      <c r="CL443" s="386" t="str">
        <f t="shared" si="305"/>
        <v/>
      </c>
      <c r="CM443" s="386" t="str">
        <f t="shared" si="306"/>
        <v/>
      </c>
      <c r="CN443" s="386" t="str">
        <f t="shared" si="307"/>
        <v>0001-00</v>
      </c>
    </row>
    <row r="444" spans="1:92" ht="15.75" thickBot="1" x14ac:dyDescent="0.3">
      <c r="A444" s="375" t="s">
        <v>161</v>
      </c>
      <c r="B444" s="375" t="s">
        <v>162</v>
      </c>
      <c r="C444" s="375" t="s">
        <v>1628</v>
      </c>
      <c r="D444" s="375" t="s">
        <v>1629</v>
      </c>
      <c r="E444" s="375" t="s">
        <v>165</v>
      </c>
      <c r="F444" s="376" t="s">
        <v>166</v>
      </c>
      <c r="G444" s="375" t="s">
        <v>1599</v>
      </c>
      <c r="H444" s="377"/>
      <c r="I444" s="377"/>
      <c r="J444" s="375" t="s">
        <v>168</v>
      </c>
      <c r="K444" s="375" t="s">
        <v>1630</v>
      </c>
      <c r="L444" s="375" t="s">
        <v>198</v>
      </c>
      <c r="M444" s="375" t="s">
        <v>177</v>
      </c>
      <c r="N444" s="375" t="s">
        <v>199</v>
      </c>
      <c r="O444" s="378">
        <v>1</v>
      </c>
      <c r="P444" s="384">
        <v>1</v>
      </c>
      <c r="Q444" s="384">
        <v>1</v>
      </c>
      <c r="R444" s="379">
        <v>80</v>
      </c>
      <c r="S444" s="384">
        <v>1</v>
      </c>
      <c r="T444" s="379">
        <v>41950.43</v>
      </c>
      <c r="U444" s="379">
        <v>0</v>
      </c>
      <c r="V444" s="379">
        <v>20380.37</v>
      </c>
      <c r="W444" s="379">
        <v>46092.800000000003</v>
      </c>
      <c r="X444" s="379">
        <v>21489.4</v>
      </c>
      <c r="Y444" s="379">
        <v>46092.800000000003</v>
      </c>
      <c r="Z444" s="379">
        <v>21268.16</v>
      </c>
      <c r="AA444" s="375" t="s">
        <v>1631</v>
      </c>
      <c r="AB444" s="375" t="s">
        <v>1314</v>
      </c>
      <c r="AC444" s="375" t="s">
        <v>442</v>
      </c>
      <c r="AD444" s="375" t="s">
        <v>170</v>
      </c>
      <c r="AE444" s="375" t="s">
        <v>1630</v>
      </c>
      <c r="AF444" s="375" t="s">
        <v>245</v>
      </c>
      <c r="AG444" s="375" t="s">
        <v>183</v>
      </c>
      <c r="AH444" s="380">
        <v>22.16</v>
      </c>
      <c r="AI444" s="378">
        <v>12239</v>
      </c>
      <c r="AJ444" s="375" t="s">
        <v>184</v>
      </c>
      <c r="AK444" s="375" t="s">
        <v>185</v>
      </c>
      <c r="AL444" s="375" t="s">
        <v>173</v>
      </c>
      <c r="AM444" s="375" t="s">
        <v>186</v>
      </c>
      <c r="AN444" s="375" t="s">
        <v>68</v>
      </c>
      <c r="AO444" s="378">
        <v>80</v>
      </c>
      <c r="AP444" s="384">
        <v>1</v>
      </c>
      <c r="AQ444" s="384">
        <v>1</v>
      </c>
      <c r="AR444" s="383" t="s">
        <v>187</v>
      </c>
      <c r="AS444" s="386">
        <f t="shared" si="291"/>
        <v>1</v>
      </c>
      <c r="AT444">
        <f t="shared" si="292"/>
        <v>1</v>
      </c>
      <c r="AU444" s="386">
        <f>IF(AT444=0,"",IF(AND(AT444=1,M444="F",SUMIF(C2:C557,C444,AS2:AS557)&lt;=1),SUMIF(C2:C557,C444,AS2:AS557),IF(AND(AT444=1,M444="F",SUMIF(C2:C557,C444,AS2:AS557)&gt;1),1,"")))</f>
        <v>1</v>
      </c>
      <c r="AV444" s="386" t="str">
        <f>IF(AT444=0,"",IF(AND(AT444=3,M444="F",SUMIF(C2:C557,C444,AS2:AS557)&lt;=1),SUMIF(C2:C557,C444,AS2:AS557),IF(AND(AT444=3,M444="F",SUMIF(C2:C557,C444,AS2:AS557)&gt;1),1,"")))</f>
        <v/>
      </c>
      <c r="AW444" s="386">
        <f>SUMIF(C2:C557,C444,O2:O557)</f>
        <v>1</v>
      </c>
      <c r="AX444" s="386">
        <f>IF(AND(M444="F",AS444&lt;&gt;0),SUMIF(C2:C557,C444,W2:W557),0)</f>
        <v>46092.800000000003</v>
      </c>
      <c r="AY444" s="386">
        <f t="shared" si="293"/>
        <v>46092.800000000003</v>
      </c>
      <c r="AZ444" s="386" t="str">
        <f t="shared" si="294"/>
        <v/>
      </c>
      <c r="BA444" s="386">
        <f t="shared" si="295"/>
        <v>0</v>
      </c>
      <c r="BB444" s="386">
        <f t="shared" si="264"/>
        <v>11650</v>
      </c>
      <c r="BC444" s="386">
        <f t="shared" si="265"/>
        <v>0</v>
      </c>
      <c r="BD444" s="386">
        <f t="shared" si="266"/>
        <v>2857.7536</v>
      </c>
      <c r="BE444" s="386">
        <f t="shared" si="267"/>
        <v>668.3456000000001</v>
      </c>
      <c r="BF444" s="386">
        <f t="shared" si="268"/>
        <v>5503.4803200000006</v>
      </c>
      <c r="BG444" s="386">
        <f t="shared" si="269"/>
        <v>332.32908800000001</v>
      </c>
      <c r="BH444" s="386">
        <f t="shared" si="270"/>
        <v>225.85472000000001</v>
      </c>
      <c r="BI444" s="386">
        <f t="shared" si="271"/>
        <v>141.04396800000001</v>
      </c>
      <c r="BJ444" s="386">
        <f t="shared" si="272"/>
        <v>110.62272</v>
      </c>
      <c r="BK444" s="386">
        <f t="shared" si="273"/>
        <v>0</v>
      </c>
      <c r="BL444" s="386">
        <f t="shared" si="296"/>
        <v>9839.4300160000003</v>
      </c>
      <c r="BM444" s="386">
        <f t="shared" si="297"/>
        <v>0</v>
      </c>
      <c r="BN444" s="386">
        <f t="shared" si="274"/>
        <v>11650</v>
      </c>
      <c r="BO444" s="386">
        <f t="shared" si="275"/>
        <v>0</v>
      </c>
      <c r="BP444" s="386">
        <f t="shared" si="276"/>
        <v>2857.7536</v>
      </c>
      <c r="BQ444" s="386">
        <f t="shared" si="277"/>
        <v>668.3456000000001</v>
      </c>
      <c r="BR444" s="386">
        <f t="shared" si="278"/>
        <v>5503.4803200000006</v>
      </c>
      <c r="BS444" s="386">
        <f t="shared" si="279"/>
        <v>332.32908800000001</v>
      </c>
      <c r="BT444" s="386">
        <f t="shared" si="280"/>
        <v>0</v>
      </c>
      <c r="BU444" s="386">
        <f t="shared" si="281"/>
        <v>141.04396800000001</v>
      </c>
      <c r="BV444" s="386">
        <f t="shared" si="282"/>
        <v>115.23200000000001</v>
      </c>
      <c r="BW444" s="386">
        <f t="shared" si="283"/>
        <v>0</v>
      </c>
      <c r="BX444" s="386">
        <f t="shared" si="298"/>
        <v>9618.1845760000015</v>
      </c>
      <c r="BY444" s="386">
        <f t="shared" si="299"/>
        <v>0</v>
      </c>
      <c r="BZ444" s="386">
        <f t="shared" si="300"/>
        <v>0</v>
      </c>
      <c r="CA444" s="386">
        <f t="shared" si="301"/>
        <v>0</v>
      </c>
      <c r="CB444" s="386">
        <f t="shared" si="302"/>
        <v>0</v>
      </c>
      <c r="CC444" s="386">
        <f t="shared" si="284"/>
        <v>0</v>
      </c>
      <c r="CD444" s="386">
        <f t="shared" si="285"/>
        <v>0</v>
      </c>
      <c r="CE444" s="386">
        <f t="shared" si="286"/>
        <v>0</v>
      </c>
      <c r="CF444" s="386">
        <f t="shared" si="287"/>
        <v>-225.85472000000001</v>
      </c>
      <c r="CG444" s="386">
        <f t="shared" si="288"/>
        <v>0</v>
      </c>
      <c r="CH444" s="386">
        <f t="shared" si="289"/>
        <v>4.6092800000000125</v>
      </c>
      <c r="CI444" s="386">
        <f t="shared" si="290"/>
        <v>0</v>
      </c>
      <c r="CJ444" s="386">
        <f t="shared" si="303"/>
        <v>-221.24544</v>
      </c>
      <c r="CK444" s="386" t="str">
        <f t="shared" si="304"/>
        <v/>
      </c>
      <c r="CL444" s="386" t="str">
        <f t="shared" si="305"/>
        <v/>
      </c>
      <c r="CM444" s="386" t="str">
        <f t="shared" si="306"/>
        <v/>
      </c>
      <c r="CN444" s="386" t="str">
        <f t="shared" si="307"/>
        <v>0001-00</v>
      </c>
    </row>
    <row r="445" spans="1:92" ht="15.75" thickBot="1" x14ac:dyDescent="0.3">
      <c r="A445" s="375" t="s">
        <v>161</v>
      </c>
      <c r="B445" s="375" t="s">
        <v>162</v>
      </c>
      <c r="C445" s="375" t="s">
        <v>1632</v>
      </c>
      <c r="D445" s="375" t="s">
        <v>1598</v>
      </c>
      <c r="E445" s="375" t="s">
        <v>165</v>
      </c>
      <c r="F445" s="376" t="s">
        <v>166</v>
      </c>
      <c r="G445" s="375" t="s">
        <v>1599</v>
      </c>
      <c r="H445" s="377"/>
      <c r="I445" s="377"/>
      <c r="J445" s="375" t="s">
        <v>168</v>
      </c>
      <c r="K445" s="375" t="s">
        <v>1600</v>
      </c>
      <c r="L445" s="375" t="s">
        <v>233</v>
      </c>
      <c r="M445" s="375" t="s">
        <v>177</v>
      </c>
      <c r="N445" s="375" t="s">
        <v>199</v>
      </c>
      <c r="O445" s="378">
        <v>1</v>
      </c>
      <c r="P445" s="384">
        <v>1</v>
      </c>
      <c r="Q445" s="384">
        <v>1</v>
      </c>
      <c r="R445" s="379">
        <v>80</v>
      </c>
      <c r="S445" s="384">
        <v>1</v>
      </c>
      <c r="T445" s="379">
        <v>20401.28</v>
      </c>
      <c r="U445" s="379">
        <v>0</v>
      </c>
      <c r="V445" s="379">
        <v>10532.19</v>
      </c>
      <c r="W445" s="379">
        <v>40081.599999999999</v>
      </c>
      <c r="X445" s="379">
        <v>20206.169999999998</v>
      </c>
      <c r="Y445" s="379">
        <v>40081.599999999999</v>
      </c>
      <c r="Z445" s="379">
        <v>20013.79</v>
      </c>
      <c r="AA445" s="375" t="s">
        <v>1633</v>
      </c>
      <c r="AB445" s="375" t="s">
        <v>1634</v>
      </c>
      <c r="AC445" s="375" t="s">
        <v>1635</v>
      </c>
      <c r="AD445" s="375" t="s">
        <v>181</v>
      </c>
      <c r="AE445" s="375" t="s">
        <v>1600</v>
      </c>
      <c r="AF445" s="375" t="s">
        <v>237</v>
      </c>
      <c r="AG445" s="375" t="s">
        <v>183</v>
      </c>
      <c r="AH445" s="380">
        <v>19.27</v>
      </c>
      <c r="AI445" s="378">
        <v>4480</v>
      </c>
      <c r="AJ445" s="375" t="s">
        <v>184</v>
      </c>
      <c r="AK445" s="375" t="s">
        <v>185</v>
      </c>
      <c r="AL445" s="375" t="s">
        <v>173</v>
      </c>
      <c r="AM445" s="375" t="s">
        <v>186</v>
      </c>
      <c r="AN445" s="375" t="s">
        <v>68</v>
      </c>
      <c r="AO445" s="378">
        <v>80</v>
      </c>
      <c r="AP445" s="384">
        <v>1</v>
      </c>
      <c r="AQ445" s="384">
        <v>1</v>
      </c>
      <c r="AR445" s="383" t="s">
        <v>187</v>
      </c>
      <c r="AS445" s="386">
        <f t="shared" si="291"/>
        <v>1</v>
      </c>
      <c r="AT445">
        <f t="shared" si="292"/>
        <v>1</v>
      </c>
      <c r="AU445" s="386">
        <f>IF(AT445=0,"",IF(AND(AT445=1,M445="F",SUMIF(C2:C557,C445,AS2:AS557)&lt;=1),SUMIF(C2:C557,C445,AS2:AS557),IF(AND(AT445=1,M445="F",SUMIF(C2:C557,C445,AS2:AS557)&gt;1),1,"")))</f>
        <v>1</v>
      </c>
      <c r="AV445" s="386" t="str">
        <f>IF(AT445=0,"",IF(AND(AT445=3,M445="F",SUMIF(C2:C557,C445,AS2:AS557)&lt;=1),SUMIF(C2:C557,C445,AS2:AS557),IF(AND(AT445=3,M445="F",SUMIF(C2:C557,C445,AS2:AS557)&gt;1),1,"")))</f>
        <v/>
      </c>
      <c r="AW445" s="386">
        <f>SUMIF(C2:C557,C445,O2:O557)</f>
        <v>1</v>
      </c>
      <c r="AX445" s="386">
        <f>IF(AND(M445="F",AS445&lt;&gt;0),SUMIF(C2:C557,C445,W2:W557),0)</f>
        <v>40081.599999999999</v>
      </c>
      <c r="AY445" s="386">
        <f t="shared" si="293"/>
        <v>40081.599999999999</v>
      </c>
      <c r="AZ445" s="386" t="str">
        <f t="shared" si="294"/>
        <v/>
      </c>
      <c r="BA445" s="386">
        <f t="shared" si="295"/>
        <v>0</v>
      </c>
      <c r="BB445" s="386">
        <f t="shared" si="264"/>
        <v>11650</v>
      </c>
      <c r="BC445" s="386">
        <f t="shared" si="265"/>
        <v>0</v>
      </c>
      <c r="BD445" s="386">
        <f t="shared" si="266"/>
        <v>2485.0591999999997</v>
      </c>
      <c r="BE445" s="386">
        <f t="shared" si="267"/>
        <v>581.18320000000006</v>
      </c>
      <c r="BF445" s="386">
        <f t="shared" si="268"/>
        <v>4785.7430400000003</v>
      </c>
      <c r="BG445" s="386">
        <f t="shared" si="269"/>
        <v>288.988336</v>
      </c>
      <c r="BH445" s="386">
        <f t="shared" si="270"/>
        <v>196.39983999999998</v>
      </c>
      <c r="BI445" s="386">
        <f t="shared" si="271"/>
        <v>122.64969599999999</v>
      </c>
      <c r="BJ445" s="386">
        <f t="shared" si="272"/>
        <v>96.19583999999999</v>
      </c>
      <c r="BK445" s="386">
        <f t="shared" si="273"/>
        <v>0</v>
      </c>
      <c r="BL445" s="386">
        <f t="shared" si="296"/>
        <v>8556.2191520000015</v>
      </c>
      <c r="BM445" s="386">
        <f t="shared" si="297"/>
        <v>0</v>
      </c>
      <c r="BN445" s="386">
        <f t="shared" si="274"/>
        <v>11650</v>
      </c>
      <c r="BO445" s="386">
        <f t="shared" si="275"/>
        <v>0</v>
      </c>
      <c r="BP445" s="386">
        <f t="shared" si="276"/>
        <v>2485.0591999999997</v>
      </c>
      <c r="BQ445" s="386">
        <f t="shared" si="277"/>
        <v>581.18320000000006</v>
      </c>
      <c r="BR445" s="386">
        <f t="shared" si="278"/>
        <v>4785.7430400000003</v>
      </c>
      <c r="BS445" s="386">
        <f t="shared" si="279"/>
        <v>288.988336</v>
      </c>
      <c r="BT445" s="386">
        <f t="shared" si="280"/>
        <v>0</v>
      </c>
      <c r="BU445" s="386">
        <f t="shared" si="281"/>
        <v>122.64969599999999</v>
      </c>
      <c r="BV445" s="386">
        <f t="shared" si="282"/>
        <v>100.20399999999999</v>
      </c>
      <c r="BW445" s="386">
        <f t="shared" si="283"/>
        <v>0</v>
      </c>
      <c r="BX445" s="386">
        <f t="shared" si="298"/>
        <v>8363.8274720000009</v>
      </c>
      <c r="BY445" s="386">
        <f t="shared" si="299"/>
        <v>0</v>
      </c>
      <c r="BZ445" s="386">
        <f t="shared" si="300"/>
        <v>0</v>
      </c>
      <c r="CA445" s="386">
        <f t="shared" si="301"/>
        <v>0</v>
      </c>
      <c r="CB445" s="386">
        <f t="shared" si="302"/>
        <v>0</v>
      </c>
      <c r="CC445" s="386">
        <f t="shared" si="284"/>
        <v>0</v>
      </c>
      <c r="CD445" s="386">
        <f t="shared" si="285"/>
        <v>0</v>
      </c>
      <c r="CE445" s="386">
        <f t="shared" si="286"/>
        <v>0</v>
      </c>
      <c r="CF445" s="386">
        <f t="shared" si="287"/>
        <v>-196.39983999999998</v>
      </c>
      <c r="CG445" s="386">
        <f t="shared" si="288"/>
        <v>0</v>
      </c>
      <c r="CH445" s="386">
        <f t="shared" si="289"/>
        <v>4.0081600000000099</v>
      </c>
      <c r="CI445" s="386">
        <f t="shared" si="290"/>
        <v>0</v>
      </c>
      <c r="CJ445" s="386">
        <f t="shared" si="303"/>
        <v>-192.39167999999998</v>
      </c>
      <c r="CK445" s="386" t="str">
        <f t="shared" si="304"/>
        <v/>
      </c>
      <c r="CL445" s="386" t="str">
        <f t="shared" si="305"/>
        <v/>
      </c>
      <c r="CM445" s="386" t="str">
        <f t="shared" si="306"/>
        <v/>
      </c>
      <c r="CN445" s="386" t="str">
        <f t="shared" si="307"/>
        <v>0001-00</v>
      </c>
    </row>
    <row r="446" spans="1:92" ht="15.75" thickBot="1" x14ac:dyDescent="0.3">
      <c r="A446" s="375" t="s">
        <v>161</v>
      </c>
      <c r="B446" s="375" t="s">
        <v>162</v>
      </c>
      <c r="C446" s="375" t="s">
        <v>1636</v>
      </c>
      <c r="D446" s="375" t="s">
        <v>1598</v>
      </c>
      <c r="E446" s="375" t="s">
        <v>165</v>
      </c>
      <c r="F446" s="376" t="s">
        <v>166</v>
      </c>
      <c r="G446" s="375" t="s">
        <v>1599</v>
      </c>
      <c r="H446" s="377"/>
      <c r="I446" s="377"/>
      <c r="J446" s="375" t="s">
        <v>168</v>
      </c>
      <c r="K446" s="375" t="s">
        <v>1600</v>
      </c>
      <c r="L446" s="375" t="s">
        <v>233</v>
      </c>
      <c r="M446" s="375" t="s">
        <v>177</v>
      </c>
      <c r="N446" s="375" t="s">
        <v>199</v>
      </c>
      <c r="O446" s="378">
        <v>1</v>
      </c>
      <c r="P446" s="384">
        <v>1</v>
      </c>
      <c r="Q446" s="384">
        <v>1</v>
      </c>
      <c r="R446" s="379">
        <v>80</v>
      </c>
      <c r="S446" s="384">
        <v>1</v>
      </c>
      <c r="T446" s="379">
        <v>32654.400000000001</v>
      </c>
      <c r="U446" s="379">
        <v>0</v>
      </c>
      <c r="V446" s="379">
        <v>17891.04</v>
      </c>
      <c r="W446" s="379">
        <v>40185.599999999999</v>
      </c>
      <c r="X446" s="379">
        <v>20228.38</v>
      </c>
      <c r="Y446" s="379">
        <v>40185.599999999999</v>
      </c>
      <c r="Z446" s="379">
        <v>20035.5</v>
      </c>
      <c r="AA446" s="375" t="s">
        <v>1637</v>
      </c>
      <c r="AB446" s="375" t="s">
        <v>1638</v>
      </c>
      <c r="AC446" s="375" t="s">
        <v>615</v>
      </c>
      <c r="AD446" s="375" t="s">
        <v>194</v>
      </c>
      <c r="AE446" s="375" t="s">
        <v>1600</v>
      </c>
      <c r="AF446" s="375" t="s">
        <v>237</v>
      </c>
      <c r="AG446" s="375" t="s">
        <v>183</v>
      </c>
      <c r="AH446" s="380">
        <v>19.32</v>
      </c>
      <c r="AI446" s="380">
        <v>8898.9</v>
      </c>
      <c r="AJ446" s="375" t="s">
        <v>184</v>
      </c>
      <c r="AK446" s="375" t="s">
        <v>185</v>
      </c>
      <c r="AL446" s="375" t="s">
        <v>173</v>
      </c>
      <c r="AM446" s="375" t="s">
        <v>186</v>
      </c>
      <c r="AN446" s="375" t="s">
        <v>68</v>
      </c>
      <c r="AO446" s="378">
        <v>80</v>
      </c>
      <c r="AP446" s="384">
        <v>1</v>
      </c>
      <c r="AQ446" s="384">
        <v>1</v>
      </c>
      <c r="AR446" s="383" t="s">
        <v>187</v>
      </c>
      <c r="AS446" s="386">
        <f t="shared" si="291"/>
        <v>1</v>
      </c>
      <c r="AT446">
        <f t="shared" si="292"/>
        <v>1</v>
      </c>
      <c r="AU446" s="386">
        <f>IF(AT446=0,"",IF(AND(AT446=1,M446="F",SUMIF(C2:C557,C446,AS2:AS557)&lt;=1),SUMIF(C2:C557,C446,AS2:AS557),IF(AND(AT446=1,M446="F",SUMIF(C2:C557,C446,AS2:AS557)&gt;1),1,"")))</f>
        <v>1</v>
      </c>
      <c r="AV446" s="386" t="str">
        <f>IF(AT446=0,"",IF(AND(AT446=3,M446="F",SUMIF(C2:C557,C446,AS2:AS557)&lt;=1),SUMIF(C2:C557,C446,AS2:AS557),IF(AND(AT446=3,M446="F",SUMIF(C2:C557,C446,AS2:AS557)&gt;1),1,"")))</f>
        <v/>
      </c>
      <c r="AW446" s="386">
        <f>SUMIF(C2:C557,C446,O2:O557)</f>
        <v>1</v>
      </c>
      <c r="AX446" s="386">
        <f>IF(AND(M446="F",AS446&lt;&gt;0),SUMIF(C2:C557,C446,W2:W557),0)</f>
        <v>40185.599999999999</v>
      </c>
      <c r="AY446" s="386">
        <f t="shared" si="293"/>
        <v>40185.599999999999</v>
      </c>
      <c r="AZ446" s="386" t="str">
        <f t="shared" si="294"/>
        <v/>
      </c>
      <c r="BA446" s="386">
        <f t="shared" si="295"/>
        <v>0</v>
      </c>
      <c r="BB446" s="386">
        <f t="shared" si="264"/>
        <v>11650</v>
      </c>
      <c r="BC446" s="386">
        <f t="shared" si="265"/>
        <v>0</v>
      </c>
      <c r="BD446" s="386">
        <f t="shared" si="266"/>
        <v>2491.5072</v>
      </c>
      <c r="BE446" s="386">
        <f t="shared" si="267"/>
        <v>582.69119999999998</v>
      </c>
      <c r="BF446" s="386">
        <f t="shared" si="268"/>
        <v>4798.1606400000001</v>
      </c>
      <c r="BG446" s="386">
        <f t="shared" si="269"/>
        <v>289.73817600000001</v>
      </c>
      <c r="BH446" s="386">
        <f t="shared" si="270"/>
        <v>196.90943999999999</v>
      </c>
      <c r="BI446" s="386">
        <f t="shared" si="271"/>
        <v>122.96793599999998</v>
      </c>
      <c r="BJ446" s="386">
        <f t="shared" si="272"/>
        <v>96.445439999999991</v>
      </c>
      <c r="BK446" s="386">
        <f t="shared" si="273"/>
        <v>0</v>
      </c>
      <c r="BL446" s="386">
        <f t="shared" si="296"/>
        <v>8578.4200319999982</v>
      </c>
      <c r="BM446" s="386">
        <f t="shared" si="297"/>
        <v>0</v>
      </c>
      <c r="BN446" s="386">
        <f t="shared" si="274"/>
        <v>11650</v>
      </c>
      <c r="BO446" s="386">
        <f t="shared" si="275"/>
        <v>0</v>
      </c>
      <c r="BP446" s="386">
        <f t="shared" si="276"/>
        <v>2491.5072</v>
      </c>
      <c r="BQ446" s="386">
        <f t="shared" si="277"/>
        <v>582.69119999999998</v>
      </c>
      <c r="BR446" s="386">
        <f t="shared" si="278"/>
        <v>4798.1606400000001</v>
      </c>
      <c r="BS446" s="386">
        <f t="shared" si="279"/>
        <v>289.73817600000001</v>
      </c>
      <c r="BT446" s="386">
        <f t="shared" si="280"/>
        <v>0</v>
      </c>
      <c r="BU446" s="386">
        <f t="shared" si="281"/>
        <v>122.96793599999998</v>
      </c>
      <c r="BV446" s="386">
        <f t="shared" si="282"/>
        <v>100.464</v>
      </c>
      <c r="BW446" s="386">
        <f t="shared" si="283"/>
        <v>0</v>
      </c>
      <c r="BX446" s="386">
        <f t="shared" si="298"/>
        <v>8385.5291519999992</v>
      </c>
      <c r="BY446" s="386">
        <f t="shared" si="299"/>
        <v>0</v>
      </c>
      <c r="BZ446" s="386">
        <f t="shared" si="300"/>
        <v>0</v>
      </c>
      <c r="CA446" s="386">
        <f t="shared" si="301"/>
        <v>0</v>
      </c>
      <c r="CB446" s="386">
        <f t="shared" si="302"/>
        <v>0</v>
      </c>
      <c r="CC446" s="386">
        <f t="shared" si="284"/>
        <v>0</v>
      </c>
      <c r="CD446" s="386">
        <f t="shared" si="285"/>
        <v>0</v>
      </c>
      <c r="CE446" s="386">
        <f t="shared" si="286"/>
        <v>0</v>
      </c>
      <c r="CF446" s="386">
        <f t="shared" si="287"/>
        <v>-196.90943999999999</v>
      </c>
      <c r="CG446" s="386">
        <f t="shared" si="288"/>
        <v>0</v>
      </c>
      <c r="CH446" s="386">
        <f t="shared" si="289"/>
        <v>4.0185600000000106</v>
      </c>
      <c r="CI446" s="386">
        <f t="shared" si="290"/>
        <v>0</v>
      </c>
      <c r="CJ446" s="386">
        <f t="shared" si="303"/>
        <v>-192.89087999999998</v>
      </c>
      <c r="CK446" s="386" t="str">
        <f t="shared" si="304"/>
        <v/>
      </c>
      <c r="CL446" s="386" t="str">
        <f t="shared" si="305"/>
        <v/>
      </c>
      <c r="CM446" s="386" t="str">
        <f t="shared" si="306"/>
        <v/>
      </c>
      <c r="CN446" s="386" t="str">
        <f t="shared" si="307"/>
        <v>0001-00</v>
      </c>
    </row>
    <row r="447" spans="1:92" ht="15.75" thickBot="1" x14ac:dyDescent="0.3">
      <c r="A447" s="375" t="s">
        <v>161</v>
      </c>
      <c r="B447" s="375" t="s">
        <v>162</v>
      </c>
      <c r="C447" s="375" t="s">
        <v>1639</v>
      </c>
      <c r="D447" s="375" t="s">
        <v>1629</v>
      </c>
      <c r="E447" s="375" t="s">
        <v>165</v>
      </c>
      <c r="F447" s="376" t="s">
        <v>166</v>
      </c>
      <c r="G447" s="375" t="s">
        <v>1599</v>
      </c>
      <c r="H447" s="377"/>
      <c r="I447" s="377"/>
      <c r="J447" s="375" t="s">
        <v>168</v>
      </c>
      <c r="K447" s="375" t="s">
        <v>1630</v>
      </c>
      <c r="L447" s="375" t="s">
        <v>198</v>
      </c>
      <c r="M447" s="375" t="s">
        <v>177</v>
      </c>
      <c r="N447" s="375" t="s">
        <v>199</v>
      </c>
      <c r="O447" s="378">
        <v>1</v>
      </c>
      <c r="P447" s="384">
        <v>1</v>
      </c>
      <c r="Q447" s="384">
        <v>1</v>
      </c>
      <c r="R447" s="379">
        <v>80</v>
      </c>
      <c r="S447" s="384">
        <v>1</v>
      </c>
      <c r="T447" s="379">
        <v>43665.19</v>
      </c>
      <c r="U447" s="379">
        <v>0</v>
      </c>
      <c r="V447" s="379">
        <v>19584.14</v>
      </c>
      <c r="W447" s="379">
        <v>44865.599999999999</v>
      </c>
      <c r="X447" s="379">
        <v>21227.43</v>
      </c>
      <c r="Y447" s="379">
        <v>44865.599999999999</v>
      </c>
      <c r="Z447" s="379">
        <v>21012.080000000002</v>
      </c>
      <c r="AA447" s="375" t="s">
        <v>1640</v>
      </c>
      <c r="AB447" s="375" t="s">
        <v>1641</v>
      </c>
      <c r="AC447" s="375" t="s">
        <v>1180</v>
      </c>
      <c r="AD447" s="375" t="s">
        <v>366</v>
      </c>
      <c r="AE447" s="375" t="s">
        <v>1630</v>
      </c>
      <c r="AF447" s="375" t="s">
        <v>245</v>
      </c>
      <c r="AG447" s="375" t="s">
        <v>183</v>
      </c>
      <c r="AH447" s="380">
        <v>21.57</v>
      </c>
      <c r="AI447" s="380">
        <v>32026.1</v>
      </c>
      <c r="AJ447" s="375" t="s">
        <v>184</v>
      </c>
      <c r="AK447" s="375" t="s">
        <v>185</v>
      </c>
      <c r="AL447" s="375" t="s">
        <v>173</v>
      </c>
      <c r="AM447" s="375" t="s">
        <v>186</v>
      </c>
      <c r="AN447" s="375" t="s">
        <v>68</v>
      </c>
      <c r="AO447" s="378">
        <v>80</v>
      </c>
      <c r="AP447" s="384">
        <v>1</v>
      </c>
      <c r="AQ447" s="384">
        <v>1</v>
      </c>
      <c r="AR447" s="383" t="s">
        <v>187</v>
      </c>
      <c r="AS447" s="386">
        <f t="shared" si="291"/>
        <v>1</v>
      </c>
      <c r="AT447">
        <f t="shared" si="292"/>
        <v>1</v>
      </c>
      <c r="AU447" s="386">
        <f>IF(AT447=0,"",IF(AND(AT447=1,M447="F",SUMIF(C2:C557,C447,AS2:AS557)&lt;=1),SUMIF(C2:C557,C447,AS2:AS557),IF(AND(AT447=1,M447="F",SUMIF(C2:C557,C447,AS2:AS557)&gt;1),1,"")))</f>
        <v>1</v>
      </c>
      <c r="AV447" s="386" t="str">
        <f>IF(AT447=0,"",IF(AND(AT447=3,M447="F",SUMIF(C2:C557,C447,AS2:AS557)&lt;=1),SUMIF(C2:C557,C447,AS2:AS557),IF(AND(AT447=3,M447="F",SUMIF(C2:C557,C447,AS2:AS557)&gt;1),1,"")))</f>
        <v/>
      </c>
      <c r="AW447" s="386">
        <f>SUMIF(C2:C557,C447,O2:O557)</f>
        <v>1</v>
      </c>
      <c r="AX447" s="386">
        <f>IF(AND(M447="F",AS447&lt;&gt;0),SUMIF(C2:C557,C447,W2:W557),0)</f>
        <v>44865.599999999999</v>
      </c>
      <c r="AY447" s="386">
        <f t="shared" si="293"/>
        <v>44865.599999999999</v>
      </c>
      <c r="AZ447" s="386" t="str">
        <f t="shared" si="294"/>
        <v/>
      </c>
      <c r="BA447" s="386">
        <f t="shared" si="295"/>
        <v>0</v>
      </c>
      <c r="BB447" s="386">
        <f t="shared" si="264"/>
        <v>11650</v>
      </c>
      <c r="BC447" s="386">
        <f t="shared" si="265"/>
        <v>0</v>
      </c>
      <c r="BD447" s="386">
        <f t="shared" si="266"/>
        <v>2781.6671999999999</v>
      </c>
      <c r="BE447" s="386">
        <f t="shared" si="267"/>
        <v>650.55119999999999</v>
      </c>
      <c r="BF447" s="386">
        <f t="shared" si="268"/>
        <v>5356.9526400000004</v>
      </c>
      <c r="BG447" s="386">
        <f t="shared" si="269"/>
        <v>323.480976</v>
      </c>
      <c r="BH447" s="386">
        <f t="shared" si="270"/>
        <v>219.84143999999998</v>
      </c>
      <c r="BI447" s="386">
        <f t="shared" si="271"/>
        <v>137.288736</v>
      </c>
      <c r="BJ447" s="386">
        <f t="shared" si="272"/>
        <v>107.67743999999999</v>
      </c>
      <c r="BK447" s="386">
        <f t="shared" si="273"/>
        <v>0</v>
      </c>
      <c r="BL447" s="386">
        <f t="shared" si="296"/>
        <v>9577.4596320000019</v>
      </c>
      <c r="BM447" s="386">
        <f t="shared" si="297"/>
        <v>0</v>
      </c>
      <c r="BN447" s="386">
        <f t="shared" si="274"/>
        <v>11650</v>
      </c>
      <c r="BO447" s="386">
        <f t="shared" si="275"/>
        <v>0</v>
      </c>
      <c r="BP447" s="386">
        <f t="shared" si="276"/>
        <v>2781.6671999999999</v>
      </c>
      <c r="BQ447" s="386">
        <f t="shared" si="277"/>
        <v>650.55119999999999</v>
      </c>
      <c r="BR447" s="386">
        <f t="shared" si="278"/>
        <v>5356.9526400000004</v>
      </c>
      <c r="BS447" s="386">
        <f t="shared" si="279"/>
        <v>323.480976</v>
      </c>
      <c r="BT447" s="386">
        <f t="shared" si="280"/>
        <v>0</v>
      </c>
      <c r="BU447" s="386">
        <f t="shared" si="281"/>
        <v>137.288736</v>
      </c>
      <c r="BV447" s="386">
        <f t="shared" si="282"/>
        <v>112.164</v>
      </c>
      <c r="BW447" s="386">
        <f t="shared" si="283"/>
        <v>0</v>
      </c>
      <c r="BX447" s="386">
        <f t="shared" si="298"/>
        <v>9362.1047520000029</v>
      </c>
      <c r="BY447" s="386">
        <f t="shared" si="299"/>
        <v>0</v>
      </c>
      <c r="BZ447" s="386">
        <f t="shared" si="300"/>
        <v>0</v>
      </c>
      <c r="CA447" s="386">
        <f t="shared" si="301"/>
        <v>0</v>
      </c>
      <c r="CB447" s="386">
        <f t="shared" si="302"/>
        <v>0</v>
      </c>
      <c r="CC447" s="386">
        <f t="shared" si="284"/>
        <v>0</v>
      </c>
      <c r="CD447" s="386">
        <f t="shared" si="285"/>
        <v>0</v>
      </c>
      <c r="CE447" s="386">
        <f t="shared" si="286"/>
        <v>0</v>
      </c>
      <c r="CF447" s="386">
        <f t="shared" si="287"/>
        <v>-219.84143999999998</v>
      </c>
      <c r="CG447" s="386">
        <f t="shared" si="288"/>
        <v>0</v>
      </c>
      <c r="CH447" s="386">
        <f t="shared" si="289"/>
        <v>4.4865600000000114</v>
      </c>
      <c r="CI447" s="386">
        <f t="shared" si="290"/>
        <v>0</v>
      </c>
      <c r="CJ447" s="386">
        <f t="shared" si="303"/>
        <v>-215.35487999999998</v>
      </c>
      <c r="CK447" s="386" t="str">
        <f t="shared" si="304"/>
        <v/>
      </c>
      <c r="CL447" s="386" t="str">
        <f t="shared" si="305"/>
        <v/>
      </c>
      <c r="CM447" s="386" t="str">
        <f t="shared" si="306"/>
        <v/>
      </c>
      <c r="CN447" s="386" t="str">
        <f t="shared" si="307"/>
        <v>0001-00</v>
      </c>
    </row>
    <row r="448" spans="1:92" ht="15.75" thickBot="1" x14ac:dyDescent="0.3">
      <c r="A448" s="375" t="s">
        <v>161</v>
      </c>
      <c r="B448" s="375" t="s">
        <v>162</v>
      </c>
      <c r="C448" s="375" t="s">
        <v>1642</v>
      </c>
      <c r="D448" s="375" t="s">
        <v>1598</v>
      </c>
      <c r="E448" s="375" t="s">
        <v>165</v>
      </c>
      <c r="F448" s="376" t="s">
        <v>166</v>
      </c>
      <c r="G448" s="375" t="s">
        <v>1599</v>
      </c>
      <c r="H448" s="377"/>
      <c r="I448" s="377"/>
      <c r="J448" s="375" t="s">
        <v>168</v>
      </c>
      <c r="K448" s="375" t="s">
        <v>1600</v>
      </c>
      <c r="L448" s="375" t="s">
        <v>233</v>
      </c>
      <c r="M448" s="375" t="s">
        <v>177</v>
      </c>
      <c r="N448" s="375" t="s">
        <v>199</v>
      </c>
      <c r="O448" s="378">
        <v>1</v>
      </c>
      <c r="P448" s="384">
        <v>1</v>
      </c>
      <c r="Q448" s="384">
        <v>1</v>
      </c>
      <c r="R448" s="379">
        <v>80</v>
      </c>
      <c r="S448" s="384">
        <v>1</v>
      </c>
      <c r="T448" s="379">
        <v>37992.29</v>
      </c>
      <c r="U448" s="379">
        <v>0</v>
      </c>
      <c r="V448" s="379">
        <v>18835.39</v>
      </c>
      <c r="W448" s="379">
        <v>45406.400000000001</v>
      </c>
      <c r="X448" s="379">
        <v>21342.880000000001</v>
      </c>
      <c r="Y448" s="379">
        <v>45406.400000000001</v>
      </c>
      <c r="Z448" s="379">
        <v>21124.93</v>
      </c>
      <c r="AA448" s="375" t="s">
        <v>1643</v>
      </c>
      <c r="AB448" s="375" t="s">
        <v>1644</v>
      </c>
      <c r="AC448" s="375" t="s">
        <v>1645</v>
      </c>
      <c r="AD448" s="375" t="s">
        <v>170</v>
      </c>
      <c r="AE448" s="375" t="s">
        <v>1600</v>
      </c>
      <c r="AF448" s="375" t="s">
        <v>237</v>
      </c>
      <c r="AG448" s="375" t="s">
        <v>183</v>
      </c>
      <c r="AH448" s="380">
        <v>21.83</v>
      </c>
      <c r="AI448" s="380">
        <v>49710.2</v>
      </c>
      <c r="AJ448" s="375" t="s">
        <v>184</v>
      </c>
      <c r="AK448" s="375" t="s">
        <v>185</v>
      </c>
      <c r="AL448" s="375" t="s">
        <v>173</v>
      </c>
      <c r="AM448" s="375" t="s">
        <v>186</v>
      </c>
      <c r="AN448" s="375" t="s">
        <v>68</v>
      </c>
      <c r="AO448" s="378">
        <v>80</v>
      </c>
      <c r="AP448" s="384">
        <v>1</v>
      </c>
      <c r="AQ448" s="384">
        <v>1</v>
      </c>
      <c r="AR448" s="383" t="s">
        <v>187</v>
      </c>
      <c r="AS448" s="386">
        <f t="shared" si="291"/>
        <v>1</v>
      </c>
      <c r="AT448">
        <f t="shared" si="292"/>
        <v>1</v>
      </c>
      <c r="AU448" s="386">
        <f>IF(AT448=0,"",IF(AND(AT448=1,M448="F",SUMIF(C2:C557,C448,AS2:AS557)&lt;=1),SUMIF(C2:C557,C448,AS2:AS557),IF(AND(AT448=1,M448="F",SUMIF(C2:C557,C448,AS2:AS557)&gt;1),1,"")))</f>
        <v>1</v>
      </c>
      <c r="AV448" s="386" t="str">
        <f>IF(AT448=0,"",IF(AND(AT448=3,M448="F",SUMIF(C2:C557,C448,AS2:AS557)&lt;=1),SUMIF(C2:C557,C448,AS2:AS557),IF(AND(AT448=3,M448="F",SUMIF(C2:C557,C448,AS2:AS557)&gt;1),1,"")))</f>
        <v/>
      </c>
      <c r="AW448" s="386">
        <f>SUMIF(C2:C557,C448,O2:O557)</f>
        <v>1</v>
      </c>
      <c r="AX448" s="386">
        <f>IF(AND(M448="F",AS448&lt;&gt;0),SUMIF(C2:C557,C448,W2:W557),0)</f>
        <v>45406.400000000001</v>
      </c>
      <c r="AY448" s="386">
        <f t="shared" si="293"/>
        <v>45406.400000000001</v>
      </c>
      <c r="AZ448" s="386" t="str">
        <f t="shared" si="294"/>
        <v/>
      </c>
      <c r="BA448" s="386">
        <f t="shared" si="295"/>
        <v>0</v>
      </c>
      <c r="BB448" s="386">
        <f t="shared" si="264"/>
        <v>11650</v>
      </c>
      <c r="BC448" s="386">
        <f t="shared" si="265"/>
        <v>0</v>
      </c>
      <c r="BD448" s="386">
        <f t="shared" si="266"/>
        <v>2815.1968000000002</v>
      </c>
      <c r="BE448" s="386">
        <f t="shared" si="267"/>
        <v>658.39280000000008</v>
      </c>
      <c r="BF448" s="386">
        <f t="shared" si="268"/>
        <v>5421.5241600000008</v>
      </c>
      <c r="BG448" s="386">
        <f t="shared" si="269"/>
        <v>327.38014400000003</v>
      </c>
      <c r="BH448" s="386">
        <f t="shared" si="270"/>
        <v>222.49135999999999</v>
      </c>
      <c r="BI448" s="386">
        <f t="shared" si="271"/>
        <v>138.94358399999999</v>
      </c>
      <c r="BJ448" s="386">
        <f t="shared" si="272"/>
        <v>108.97535999999999</v>
      </c>
      <c r="BK448" s="386">
        <f t="shared" si="273"/>
        <v>0</v>
      </c>
      <c r="BL448" s="386">
        <f t="shared" si="296"/>
        <v>9692.9042080000017</v>
      </c>
      <c r="BM448" s="386">
        <f t="shared" si="297"/>
        <v>0</v>
      </c>
      <c r="BN448" s="386">
        <f t="shared" si="274"/>
        <v>11650</v>
      </c>
      <c r="BO448" s="386">
        <f t="shared" si="275"/>
        <v>0</v>
      </c>
      <c r="BP448" s="386">
        <f t="shared" si="276"/>
        <v>2815.1968000000002</v>
      </c>
      <c r="BQ448" s="386">
        <f t="shared" si="277"/>
        <v>658.39280000000008</v>
      </c>
      <c r="BR448" s="386">
        <f t="shared" si="278"/>
        <v>5421.5241600000008</v>
      </c>
      <c r="BS448" s="386">
        <f t="shared" si="279"/>
        <v>327.38014400000003</v>
      </c>
      <c r="BT448" s="386">
        <f t="shared" si="280"/>
        <v>0</v>
      </c>
      <c r="BU448" s="386">
        <f t="shared" si="281"/>
        <v>138.94358399999999</v>
      </c>
      <c r="BV448" s="386">
        <f t="shared" si="282"/>
        <v>113.51600000000001</v>
      </c>
      <c r="BW448" s="386">
        <f t="shared" si="283"/>
        <v>0</v>
      </c>
      <c r="BX448" s="386">
        <f t="shared" si="298"/>
        <v>9474.953488000001</v>
      </c>
      <c r="BY448" s="386">
        <f t="shared" si="299"/>
        <v>0</v>
      </c>
      <c r="BZ448" s="386">
        <f t="shared" si="300"/>
        <v>0</v>
      </c>
      <c r="CA448" s="386">
        <f t="shared" si="301"/>
        <v>0</v>
      </c>
      <c r="CB448" s="386">
        <f t="shared" si="302"/>
        <v>0</v>
      </c>
      <c r="CC448" s="386">
        <f t="shared" si="284"/>
        <v>0</v>
      </c>
      <c r="CD448" s="386">
        <f t="shared" si="285"/>
        <v>0</v>
      </c>
      <c r="CE448" s="386">
        <f t="shared" si="286"/>
        <v>0</v>
      </c>
      <c r="CF448" s="386">
        <f t="shared" si="287"/>
        <v>-222.49135999999999</v>
      </c>
      <c r="CG448" s="386">
        <f t="shared" si="288"/>
        <v>0</v>
      </c>
      <c r="CH448" s="386">
        <f t="shared" si="289"/>
        <v>4.5406400000000122</v>
      </c>
      <c r="CI448" s="386">
        <f t="shared" si="290"/>
        <v>0</v>
      </c>
      <c r="CJ448" s="386">
        <f t="shared" si="303"/>
        <v>-217.95071999999996</v>
      </c>
      <c r="CK448" s="386" t="str">
        <f t="shared" si="304"/>
        <v/>
      </c>
      <c r="CL448" s="386" t="str">
        <f t="shared" si="305"/>
        <v/>
      </c>
      <c r="CM448" s="386" t="str">
        <f t="shared" si="306"/>
        <v/>
      </c>
      <c r="CN448" s="386" t="str">
        <f t="shared" si="307"/>
        <v>0001-00</v>
      </c>
    </row>
    <row r="449" spans="1:92" ht="15.75" thickBot="1" x14ac:dyDescent="0.3">
      <c r="A449" s="375" t="s">
        <v>161</v>
      </c>
      <c r="B449" s="375" t="s">
        <v>162</v>
      </c>
      <c r="C449" s="375" t="s">
        <v>1646</v>
      </c>
      <c r="D449" s="375" t="s">
        <v>665</v>
      </c>
      <c r="E449" s="375" t="s">
        <v>165</v>
      </c>
      <c r="F449" s="376" t="s">
        <v>166</v>
      </c>
      <c r="G449" s="375" t="s">
        <v>1599</v>
      </c>
      <c r="H449" s="377"/>
      <c r="I449" s="377"/>
      <c r="J449" s="375" t="s">
        <v>168</v>
      </c>
      <c r="K449" s="375" t="s">
        <v>666</v>
      </c>
      <c r="L449" s="375" t="s">
        <v>183</v>
      </c>
      <c r="M449" s="375" t="s">
        <v>177</v>
      </c>
      <c r="N449" s="375" t="s">
        <v>199</v>
      </c>
      <c r="O449" s="378">
        <v>1</v>
      </c>
      <c r="P449" s="384">
        <v>1</v>
      </c>
      <c r="Q449" s="384">
        <v>1</v>
      </c>
      <c r="R449" s="379">
        <v>80</v>
      </c>
      <c r="S449" s="384">
        <v>1</v>
      </c>
      <c r="T449" s="379">
        <v>33961.599999999999</v>
      </c>
      <c r="U449" s="379">
        <v>0</v>
      </c>
      <c r="V449" s="379">
        <v>18504.48</v>
      </c>
      <c r="W449" s="379">
        <v>35193.599999999999</v>
      </c>
      <c r="X449" s="379">
        <v>19162.740000000002</v>
      </c>
      <c r="Y449" s="379">
        <v>35193.599999999999</v>
      </c>
      <c r="Z449" s="379">
        <v>18993.82</v>
      </c>
      <c r="AA449" s="375" t="s">
        <v>1647</v>
      </c>
      <c r="AB449" s="375" t="s">
        <v>1648</v>
      </c>
      <c r="AC449" s="375" t="s">
        <v>1649</v>
      </c>
      <c r="AD449" s="375" t="s">
        <v>1650</v>
      </c>
      <c r="AE449" s="375" t="s">
        <v>666</v>
      </c>
      <c r="AF449" s="375" t="s">
        <v>206</v>
      </c>
      <c r="AG449" s="375" t="s">
        <v>183</v>
      </c>
      <c r="AH449" s="380">
        <v>16.920000000000002</v>
      </c>
      <c r="AI449" s="380">
        <v>34853.4</v>
      </c>
      <c r="AJ449" s="375" t="s">
        <v>184</v>
      </c>
      <c r="AK449" s="375" t="s">
        <v>185</v>
      </c>
      <c r="AL449" s="375" t="s">
        <v>173</v>
      </c>
      <c r="AM449" s="375" t="s">
        <v>186</v>
      </c>
      <c r="AN449" s="375" t="s">
        <v>68</v>
      </c>
      <c r="AO449" s="378">
        <v>80</v>
      </c>
      <c r="AP449" s="384">
        <v>1</v>
      </c>
      <c r="AQ449" s="384">
        <v>1</v>
      </c>
      <c r="AR449" s="383" t="s">
        <v>187</v>
      </c>
      <c r="AS449" s="386">
        <f t="shared" si="291"/>
        <v>1</v>
      </c>
      <c r="AT449">
        <f t="shared" si="292"/>
        <v>1</v>
      </c>
      <c r="AU449" s="386">
        <f>IF(AT449=0,"",IF(AND(AT449=1,M449="F",SUMIF(C2:C557,C449,AS2:AS557)&lt;=1),SUMIF(C2:C557,C449,AS2:AS557),IF(AND(AT449=1,M449="F",SUMIF(C2:C557,C449,AS2:AS557)&gt;1),1,"")))</f>
        <v>1</v>
      </c>
      <c r="AV449" s="386" t="str">
        <f>IF(AT449=0,"",IF(AND(AT449=3,M449="F",SUMIF(C2:C557,C449,AS2:AS557)&lt;=1),SUMIF(C2:C557,C449,AS2:AS557),IF(AND(AT449=3,M449="F",SUMIF(C2:C557,C449,AS2:AS557)&gt;1),1,"")))</f>
        <v/>
      </c>
      <c r="AW449" s="386">
        <f>SUMIF(C2:C557,C449,O2:O557)</f>
        <v>1</v>
      </c>
      <c r="AX449" s="386">
        <f>IF(AND(M449="F",AS449&lt;&gt;0),SUMIF(C2:C557,C449,W2:W557),0)</f>
        <v>35193.599999999999</v>
      </c>
      <c r="AY449" s="386">
        <f t="shared" si="293"/>
        <v>35193.599999999999</v>
      </c>
      <c r="AZ449" s="386" t="str">
        <f t="shared" si="294"/>
        <v/>
      </c>
      <c r="BA449" s="386">
        <f t="shared" si="295"/>
        <v>0</v>
      </c>
      <c r="BB449" s="386">
        <f t="shared" si="264"/>
        <v>11650</v>
      </c>
      <c r="BC449" s="386">
        <f t="shared" si="265"/>
        <v>0</v>
      </c>
      <c r="BD449" s="386">
        <f t="shared" si="266"/>
        <v>2182.0032000000001</v>
      </c>
      <c r="BE449" s="386">
        <f t="shared" si="267"/>
        <v>510.30720000000002</v>
      </c>
      <c r="BF449" s="386">
        <f t="shared" si="268"/>
        <v>4202.1158400000004</v>
      </c>
      <c r="BG449" s="386">
        <f t="shared" si="269"/>
        <v>253.745856</v>
      </c>
      <c r="BH449" s="386">
        <f t="shared" si="270"/>
        <v>172.44863999999998</v>
      </c>
      <c r="BI449" s="386">
        <f t="shared" si="271"/>
        <v>107.69241599999999</v>
      </c>
      <c r="BJ449" s="386">
        <f t="shared" si="272"/>
        <v>84.464639999999989</v>
      </c>
      <c r="BK449" s="386">
        <f t="shared" si="273"/>
        <v>0</v>
      </c>
      <c r="BL449" s="386">
        <f t="shared" si="296"/>
        <v>7512.7777919999999</v>
      </c>
      <c r="BM449" s="386">
        <f t="shared" si="297"/>
        <v>0</v>
      </c>
      <c r="BN449" s="386">
        <f t="shared" si="274"/>
        <v>11650</v>
      </c>
      <c r="BO449" s="386">
        <f t="shared" si="275"/>
        <v>0</v>
      </c>
      <c r="BP449" s="386">
        <f t="shared" si="276"/>
        <v>2182.0032000000001</v>
      </c>
      <c r="BQ449" s="386">
        <f t="shared" si="277"/>
        <v>510.30720000000002</v>
      </c>
      <c r="BR449" s="386">
        <f t="shared" si="278"/>
        <v>4202.1158400000004</v>
      </c>
      <c r="BS449" s="386">
        <f t="shared" si="279"/>
        <v>253.745856</v>
      </c>
      <c r="BT449" s="386">
        <f t="shared" si="280"/>
        <v>0</v>
      </c>
      <c r="BU449" s="386">
        <f t="shared" si="281"/>
        <v>107.69241599999999</v>
      </c>
      <c r="BV449" s="386">
        <f t="shared" si="282"/>
        <v>87.983999999999995</v>
      </c>
      <c r="BW449" s="386">
        <f t="shared" si="283"/>
        <v>0</v>
      </c>
      <c r="BX449" s="386">
        <f t="shared" si="298"/>
        <v>7343.8485120000005</v>
      </c>
      <c r="BY449" s="386">
        <f t="shared" si="299"/>
        <v>0</v>
      </c>
      <c r="BZ449" s="386">
        <f t="shared" si="300"/>
        <v>0</v>
      </c>
      <c r="CA449" s="386">
        <f t="shared" si="301"/>
        <v>0</v>
      </c>
      <c r="CB449" s="386">
        <f t="shared" si="302"/>
        <v>0</v>
      </c>
      <c r="CC449" s="386">
        <f t="shared" si="284"/>
        <v>0</v>
      </c>
      <c r="CD449" s="386">
        <f t="shared" si="285"/>
        <v>0</v>
      </c>
      <c r="CE449" s="386">
        <f t="shared" si="286"/>
        <v>0</v>
      </c>
      <c r="CF449" s="386">
        <f t="shared" si="287"/>
        <v>-172.44863999999998</v>
      </c>
      <c r="CG449" s="386">
        <f t="shared" si="288"/>
        <v>0</v>
      </c>
      <c r="CH449" s="386">
        <f t="shared" si="289"/>
        <v>3.5193600000000091</v>
      </c>
      <c r="CI449" s="386">
        <f t="shared" si="290"/>
        <v>0</v>
      </c>
      <c r="CJ449" s="386">
        <f t="shared" si="303"/>
        <v>-168.92927999999998</v>
      </c>
      <c r="CK449" s="386" t="str">
        <f t="shared" si="304"/>
        <v/>
      </c>
      <c r="CL449" s="386" t="str">
        <f t="shared" si="305"/>
        <v/>
      </c>
      <c r="CM449" s="386" t="str">
        <f t="shared" si="306"/>
        <v/>
      </c>
      <c r="CN449" s="386" t="str">
        <f t="shared" si="307"/>
        <v>0001-00</v>
      </c>
    </row>
    <row r="450" spans="1:92" ht="15.75" thickBot="1" x14ac:dyDescent="0.3">
      <c r="A450" s="375" t="s">
        <v>161</v>
      </c>
      <c r="B450" s="375" t="s">
        <v>162</v>
      </c>
      <c r="C450" s="375" t="s">
        <v>1651</v>
      </c>
      <c r="D450" s="375" t="s">
        <v>1629</v>
      </c>
      <c r="E450" s="375" t="s">
        <v>165</v>
      </c>
      <c r="F450" s="376" t="s">
        <v>166</v>
      </c>
      <c r="G450" s="375" t="s">
        <v>1599</v>
      </c>
      <c r="H450" s="377"/>
      <c r="I450" s="377"/>
      <c r="J450" s="375" t="s">
        <v>168</v>
      </c>
      <c r="K450" s="375" t="s">
        <v>1630</v>
      </c>
      <c r="L450" s="375" t="s">
        <v>198</v>
      </c>
      <c r="M450" s="375" t="s">
        <v>177</v>
      </c>
      <c r="N450" s="375" t="s">
        <v>199</v>
      </c>
      <c r="O450" s="378">
        <v>1</v>
      </c>
      <c r="P450" s="384">
        <v>1</v>
      </c>
      <c r="Q450" s="384">
        <v>1</v>
      </c>
      <c r="R450" s="379">
        <v>80</v>
      </c>
      <c r="S450" s="384">
        <v>1</v>
      </c>
      <c r="T450" s="379">
        <v>36978.33</v>
      </c>
      <c r="U450" s="379">
        <v>0</v>
      </c>
      <c r="V450" s="379">
        <v>16639.71</v>
      </c>
      <c r="W450" s="379">
        <v>44865.599999999999</v>
      </c>
      <c r="X450" s="379">
        <v>21227.43</v>
      </c>
      <c r="Y450" s="379">
        <v>44865.599999999999</v>
      </c>
      <c r="Z450" s="379">
        <v>21012.080000000002</v>
      </c>
      <c r="AA450" s="375" t="s">
        <v>1652</v>
      </c>
      <c r="AB450" s="375" t="s">
        <v>1653</v>
      </c>
      <c r="AC450" s="375" t="s">
        <v>1654</v>
      </c>
      <c r="AD450" s="375" t="s">
        <v>170</v>
      </c>
      <c r="AE450" s="375" t="s">
        <v>1630</v>
      </c>
      <c r="AF450" s="375" t="s">
        <v>245</v>
      </c>
      <c r="AG450" s="375" t="s">
        <v>183</v>
      </c>
      <c r="AH450" s="380">
        <v>21.57</v>
      </c>
      <c r="AI450" s="380">
        <v>26633.9</v>
      </c>
      <c r="AJ450" s="375" t="s">
        <v>184</v>
      </c>
      <c r="AK450" s="375" t="s">
        <v>185</v>
      </c>
      <c r="AL450" s="375" t="s">
        <v>173</v>
      </c>
      <c r="AM450" s="375" t="s">
        <v>186</v>
      </c>
      <c r="AN450" s="375" t="s">
        <v>68</v>
      </c>
      <c r="AO450" s="378">
        <v>80</v>
      </c>
      <c r="AP450" s="384">
        <v>1</v>
      </c>
      <c r="AQ450" s="384">
        <v>1</v>
      </c>
      <c r="AR450" s="383" t="s">
        <v>187</v>
      </c>
      <c r="AS450" s="386">
        <f t="shared" si="291"/>
        <v>1</v>
      </c>
      <c r="AT450">
        <f t="shared" si="292"/>
        <v>1</v>
      </c>
      <c r="AU450" s="386">
        <f>IF(AT450=0,"",IF(AND(AT450=1,M450="F",SUMIF(C2:C557,C450,AS2:AS557)&lt;=1),SUMIF(C2:C557,C450,AS2:AS557),IF(AND(AT450=1,M450="F",SUMIF(C2:C557,C450,AS2:AS557)&gt;1),1,"")))</f>
        <v>1</v>
      </c>
      <c r="AV450" s="386" t="str">
        <f>IF(AT450=0,"",IF(AND(AT450=3,M450="F",SUMIF(C2:C557,C450,AS2:AS557)&lt;=1),SUMIF(C2:C557,C450,AS2:AS557),IF(AND(AT450=3,M450="F",SUMIF(C2:C557,C450,AS2:AS557)&gt;1),1,"")))</f>
        <v/>
      </c>
      <c r="AW450" s="386">
        <f>SUMIF(C2:C557,C450,O2:O557)</f>
        <v>1</v>
      </c>
      <c r="AX450" s="386">
        <f>IF(AND(M450="F",AS450&lt;&gt;0),SUMIF(C2:C557,C450,W2:W557),0)</f>
        <v>44865.599999999999</v>
      </c>
      <c r="AY450" s="386">
        <f t="shared" si="293"/>
        <v>44865.599999999999</v>
      </c>
      <c r="AZ450" s="386" t="str">
        <f t="shared" si="294"/>
        <v/>
      </c>
      <c r="BA450" s="386">
        <f t="shared" si="295"/>
        <v>0</v>
      </c>
      <c r="BB450" s="386">
        <f t="shared" ref="BB450:BB513" si="308">IF(AND(AT450=1,AK450="E",AU450&gt;=0.75,AW450=1),Health,IF(AND(AT450=1,AK450="E",AU450&gt;=0.75),Health*P450,IF(AND(AT450=1,AK450="E",AU450&gt;=0.5,AW450=1),PTHealth,IF(AND(AT450=1,AK450="E",AU450&gt;=0.5),PTHealth*P450,0))))</f>
        <v>11650</v>
      </c>
      <c r="BC450" s="386">
        <f t="shared" ref="BC450:BC513" si="309">IF(AND(AT450=3,AK450="E",AV450&gt;=0.75,AW450=1),Health,IF(AND(AT450=3,AK450="E",AV450&gt;=0.75),Health*P450,IF(AND(AT450=3,AK450="E",AV450&gt;=0.5,AW450=1),PTHealth,IF(AND(AT450=3,AK450="E",AV450&gt;=0.5),PTHealth*P450,0))))</f>
        <v>0</v>
      </c>
      <c r="BD450" s="386">
        <f t="shared" ref="BD450:BD513" si="310">IF(AND(AT450&lt;&gt;0,AX450&gt;=MAXSSDI),SSDI*MAXSSDI*P450,IF(AT450&lt;&gt;0,SSDI*W450,0))</f>
        <v>2781.6671999999999</v>
      </c>
      <c r="BE450" s="386">
        <f t="shared" ref="BE450:BE513" si="311">IF(AT450&lt;&gt;0,SSHI*W450,0)</f>
        <v>650.55119999999999</v>
      </c>
      <c r="BF450" s="386">
        <f t="shared" ref="BF450:BF513" si="312">IF(AND(AT450&lt;&gt;0,AN450&lt;&gt;"NE"),VLOOKUP(AN450,Retirement_Rates,3,FALSE)*W450,0)</f>
        <v>5356.9526400000004</v>
      </c>
      <c r="BG450" s="386">
        <f t="shared" ref="BG450:BG513" si="313">IF(AND(AT450&lt;&gt;0,AJ450&lt;&gt;"PF"),Life*W450,0)</f>
        <v>323.480976</v>
      </c>
      <c r="BH450" s="386">
        <f t="shared" ref="BH450:BH513" si="314">IF(AND(AT450&lt;&gt;0,AM450="Y"),UI*W450,0)</f>
        <v>219.84143999999998</v>
      </c>
      <c r="BI450" s="386">
        <f t="shared" ref="BI450:BI513" si="315">IF(AND(AT450&lt;&gt;0,N450&lt;&gt;"NR"),DHR*W450,0)</f>
        <v>137.288736</v>
      </c>
      <c r="BJ450" s="386">
        <f t="shared" ref="BJ450:BJ513" si="316">IF(AT450&lt;&gt;0,WC*W450,0)</f>
        <v>107.67743999999999</v>
      </c>
      <c r="BK450" s="386">
        <f t="shared" ref="BK450:BK513" si="317">IF(OR(AND(AT450&lt;&gt;0,AJ450&lt;&gt;"PF",AN450&lt;&gt;"NE",AG450&lt;&gt;"A"),AND(AL450="E",OR(AT450=1,AT450=3))),Sick*W450,0)</f>
        <v>0</v>
      </c>
      <c r="BL450" s="386">
        <f t="shared" si="296"/>
        <v>9577.4596320000019</v>
      </c>
      <c r="BM450" s="386">
        <f t="shared" si="297"/>
        <v>0</v>
      </c>
      <c r="BN450" s="386">
        <f t="shared" ref="BN450:BN513" si="318">IF(AND(AT450=1,AK450="E",AU450&gt;=0.75,AW450=1),HealthBY,IF(AND(AT450=1,AK450="E",AU450&gt;=0.75),HealthBY*P450,IF(AND(AT450=1,AK450="E",AU450&gt;=0.5,AW450=1),PTHealthBY,IF(AND(AT450=1,AK450="E",AU450&gt;=0.5),PTHealthBY*P450,0))))</f>
        <v>11650</v>
      </c>
      <c r="BO450" s="386">
        <f t="shared" ref="BO450:BO513" si="319">IF(AND(AT450=3,AK450="E",AV450&gt;=0.75,AW450=1),HealthBY,IF(AND(AT450=3,AK450="E",AV450&gt;=0.75),HealthBY*P450,IF(AND(AT450=3,AK450="E",AV450&gt;=0.5,AW450=1),PTHealthBY,IF(AND(AT450=3,AK450="E",AV450&gt;=0.5),PTHealthBY*P450,0))))</f>
        <v>0</v>
      </c>
      <c r="BP450" s="386">
        <f t="shared" ref="BP450:BP513" si="320">IF(AND(AT450&lt;&gt;0,(AX450+BA450)&gt;=MAXSSDIBY),SSDIBY*MAXSSDIBY*P450,IF(AT450&lt;&gt;0,SSDIBY*W450,0))</f>
        <v>2781.6671999999999</v>
      </c>
      <c r="BQ450" s="386">
        <f t="shared" ref="BQ450:BQ513" si="321">IF(AT450&lt;&gt;0,SSHIBY*W450,0)</f>
        <v>650.55119999999999</v>
      </c>
      <c r="BR450" s="386">
        <f t="shared" ref="BR450:BR513" si="322">IF(AND(AT450&lt;&gt;0,AN450&lt;&gt;"NE"),VLOOKUP(AN450,Retirement_Rates,4,FALSE)*W450,0)</f>
        <v>5356.9526400000004</v>
      </c>
      <c r="BS450" s="386">
        <f t="shared" ref="BS450:BS513" si="323">IF(AND(AT450&lt;&gt;0,AJ450&lt;&gt;"PF"),LifeBY*W450,0)</f>
        <v>323.480976</v>
      </c>
      <c r="BT450" s="386">
        <f t="shared" ref="BT450:BT513" si="324">IF(AND(AT450&lt;&gt;0,AM450="Y"),UIBY*W450,0)</f>
        <v>0</v>
      </c>
      <c r="BU450" s="386">
        <f t="shared" ref="BU450:BU513" si="325">IF(AND(AT450&lt;&gt;0,N450&lt;&gt;"NR"),DHRBY*W450,0)</f>
        <v>137.288736</v>
      </c>
      <c r="BV450" s="386">
        <f t="shared" ref="BV450:BV513" si="326">IF(AT450&lt;&gt;0,WCBY*W450,0)</f>
        <v>112.164</v>
      </c>
      <c r="BW450" s="386">
        <f t="shared" ref="BW450:BW513" si="327">IF(OR(AND(AT450&lt;&gt;0,AJ450&lt;&gt;"PF",AN450&lt;&gt;"NE",AG450&lt;&gt;"A"),AND(AL450="E",OR(AT450=1,AT450=3))),SickBY*W450,0)</f>
        <v>0</v>
      </c>
      <c r="BX450" s="386">
        <f t="shared" si="298"/>
        <v>9362.1047520000029</v>
      </c>
      <c r="BY450" s="386">
        <f t="shared" si="299"/>
        <v>0</v>
      </c>
      <c r="BZ450" s="386">
        <f t="shared" si="300"/>
        <v>0</v>
      </c>
      <c r="CA450" s="386">
        <f t="shared" si="301"/>
        <v>0</v>
      </c>
      <c r="CB450" s="386">
        <f t="shared" si="302"/>
        <v>0</v>
      </c>
      <c r="CC450" s="386">
        <f t="shared" ref="CC450:CC513" si="328">IF(AT450&lt;&gt;0,SSHICHG*Y450,0)</f>
        <v>0</v>
      </c>
      <c r="CD450" s="386">
        <f t="shared" ref="CD450:CD513" si="329">IF(AND(AT450&lt;&gt;0,AN450&lt;&gt;"NE"),VLOOKUP(AN450,Retirement_Rates,5,FALSE)*Y450,0)</f>
        <v>0</v>
      </c>
      <c r="CE450" s="386">
        <f t="shared" ref="CE450:CE513" si="330">IF(AND(AT450&lt;&gt;0,AJ450&lt;&gt;"PF"),LifeCHG*Y450,0)</f>
        <v>0</v>
      </c>
      <c r="CF450" s="386">
        <f t="shared" ref="CF450:CF513" si="331">IF(AND(AT450&lt;&gt;0,AM450="Y"),UICHG*Y450,0)</f>
        <v>-219.84143999999998</v>
      </c>
      <c r="CG450" s="386">
        <f t="shared" ref="CG450:CG513" si="332">IF(AND(AT450&lt;&gt;0,N450&lt;&gt;"NR"),DHRCHG*Y450,0)</f>
        <v>0</v>
      </c>
      <c r="CH450" s="386">
        <f t="shared" ref="CH450:CH513" si="333">IF(AT450&lt;&gt;0,WCCHG*Y450,0)</f>
        <v>4.4865600000000114</v>
      </c>
      <c r="CI450" s="386">
        <f t="shared" ref="CI450:CI513" si="334">IF(OR(AND(AT450&lt;&gt;0,AJ450&lt;&gt;"PF",AN450&lt;&gt;"NE",AG450&lt;&gt;"A"),AND(AL450="E",OR(AT450=1,AT450=3))),SickCHG*Y450,0)</f>
        <v>0</v>
      </c>
      <c r="CJ450" s="386">
        <f t="shared" si="303"/>
        <v>-215.35487999999998</v>
      </c>
      <c r="CK450" s="386" t="str">
        <f t="shared" si="304"/>
        <v/>
      </c>
      <c r="CL450" s="386" t="str">
        <f t="shared" si="305"/>
        <v/>
      </c>
      <c r="CM450" s="386" t="str">
        <f t="shared" si="306"/>
        <v/>
      </c>
      <c r="CN450" s="386" t="str">
        <f t="shared" si="307"/>
        <v>0001-00</v>
      </c>
    </row>
    <row r="451" spans="1:92" ht="15.75" thickBot="1" x14ac:dyDescent="0.3">
      <c r="A451" s="375" t="s">
        <v>161</v>
      </c>
      <c r="B451" s="375" t="s">
        <v>162</v>
      </c>
      <c r="C451" s="375" t="s">
        <v>1655</v>
      </c>
      <c r="D451" s="375" t="s">
        <v>324</v>
      </c>
      <c r="E451" s="375" t="s">
        <v>165</v>
      </c>
      <c r="F451" s="376" t="s">
        <v>166</v>
      </c>
      <c r="G451" s="375" t="s">
        <v>1599</v>
      </c>
      <c r="H451" s="377"/>
      <c r="I451" s="377"/>
      <c r="J451" s="375" t="s">
        <v>168</v>
      </c>
      <c r="K451" s="375" t="s">
        <v>325</v>
      </c>
      <c r="L451" s="375" t="s">
        <v>170</v>
      </c>
      <c r="M451" s="375" t="s">
        <v>171</v>
      </c>
      <c r="N451" s="375" t="s">
        <v>199</v>
      </c>
      <c r="O451" s="378">
        <v>0</v>
      </c>
      <c r="P451" s="384">
        <v>1</v>
      </c>
      <c r="Q451" s="384">
        <v>1</v>
      </c>
      <c r="R451" s="379">
        <v>80</v>
      </c>
      <c r="S451" s="384">
        <v>1</v>
      </c>
      <c r="T451" s="379">
        <v>42584.02</v>
      </c>
      <c r="U451" s="379">
        <v>0</v>
      </c>
      <c r="V451" s="379">
        <v>19446.400000000001</v>
      </c>
      <c r="W451" s="379">
        <v>53476.800000000003</v>
      </c>
      <c r="X451" s="379">
        <v>23422.83</v>
      </c>
      <c r="Y451" s="379">
        <v>53476.800000000003</v>
      </c>
      <c r="Z451" s="379">
        <v>23155.45</v>
      </c>
      <c r="AA451" s="377"/>
      <c r="AB451" s="375" t="s">
        <v>45</v>
      </c>
      <c r="AC451" s="375" t="s">
        <v>45</v>
      </c>
      <c r="AD451" s="377"/>
      <c r="AE451" s="377"/>
      <c r="AF451" s="377"/>
      <c r="AG451" s="377"/>
      <c r="AH451" s="378">
        <v>0</v>
      </c>
      <c r="AI451" s="378">
        <v>0</v>
      </c>
      <c r="AJ451" s="377"/>
      <c r="AK451" s="377"/>
      <c r="AL451" s="375" t="s">
        <v>173</v>
      </c>
      <c r="AM451" s="377"/>
      <c r="AN451" s="377"/>
      <c r="AO451" s="378">
        <v>0</v>
      </c>
      <c r="AP451" s="384">
        <v>0</v>
      </c>
      <c r="AQ451" s="384">
        <v>0</v>
      </c>
      <c r="AR451" s="382"/>
      <c r="AS451" s="386">
        <f t="shared" ref="AS451:AS514" si="335">IF(((AO451/80)*AP451*P451)&gt;1,AQ451,((AO451/80)*AP451*P451))</f>
        <v>0</v>
      </c>
      <c r="AT451">
        <f t="shared" ref="AT451:AT514" si="336">IF(AND(M451="F",N451&lt;&gt;"NG",AS451&lt;&gt;0,AND(AR451&lt;&gt;6,AR451&lt;&gt;36,AR451&lt;&gt;56),AG451&lt;&gt;"A",OR(AG451="H",AJ451="FS")),1,IF(AND(M451="F",N451&lt;&gt;"NG",AS451&lt;&gt;0,AG451="A"),3,0))</f>
        <v>0</v>
      </c>
      <c r="AU451" s="386" t="str">
        <f>IF(AT451=0,"",IF(AND(AT451=1,M451="F",SUMIF(C2:C557,C451,AS2:AS557)&lt;=1),SUMIF(C2:C557,C451,AS2:AS557),IF(AND(AT451=1,M451="F",SUMIF(C2:C557,C451,AS2:AS557)&gt;1),1,"")))</f>
        <v/>
      </c>
      <c r="AV451" s="386" t="str">
        <f>IF(AT451=0,"",IF(AND(AT451=3,M451="F",SUMIF(C2:C557,C451,AS2:AS557)&lt;=1),SUMIF(C2:C557,C451,AS2:AS557),IF(AND(AT451=3,M451="F",SUMIF(C2:C557,C451,AS2:AS557)&gt;1),1,"")))</f>
        <v/>
      </c>
      <c r="AW451" s="386">
        <f>SUMIF(C2:C557,C451,O2:O557)</f>
        <v>0</v>
      </c>
      <c r="AX451" s="386">
        <f>IF(AND(M451="F",AS451&lt;&gt;0),SUMIF(C2:C557,C451,W2:W557),0)</f>
        <v>0</v>
      </c>
      <c r="AY451" s="386" t="str">
        <f t="shared" ref="AY451:AY514" si="337">IF(AT451=1,W451,"")</f>
        <v/>
      </c>
      <c r="AZ451" s="386" t="str">
        <f t="shared" ref="AZ451:AZ514" si="338">IF(AT451=3,W451,"")</f>
        <v/>
      </c>
      <c r="BA451" s="386">
        <f t="shared" ref="BA451:BA514" si="339">IF(AT451=1,Y451-W451,0)</f>
        <v>0</v>
      </c>
      <c r="BB451" s="386">
        <f t="shared" si="308"/>
        <v>0</v>
      </c>
      <c r="BC451" s="386">
        <f t="shared" si="309"/>
        <v>0</v>
      </c>
      <c r="BD451" s="386">
        <f t="shared" si="310"/>
        <v>0</v>
      </c>
      <c r="BE451" s="386">
        <f t="shared" si="311"/>
        <v>0</v>
      </c>
      <c r="BF451" s="386">
        <f t="shared" si="312"/>
        <v>0</v>
      </c>
      <c r="BG451" s="386">
        <f t="shared" si="313"/>
        <v>0</v>
      </c>
      <c r="BH451" s="386">
        <f t="shared" si="314"/>
        <v>0</v>
      </c>
      <c r="BI451" s="386">
        <f t="shared" si="315"/>
        <v>0</v>
      </c>
      <c r="BJ451" s="386">
        <f t="shared" si="316"/>
        <v>0</v>
      </c>
      <c r="BK451" s="386">
        <f t="shared" si="317"/>
        <v>0</v>
      </c>
      <c r="BL451" s="386">
        <f t="shared" ref="BL451:BL514" si="340">IF(AT451=1,SUM(BD451:BK451),0)</f>
        <v>0</v>
      </c>
      <c r="BM451" s="386">
        <f t="shared" ref="BM451:BM514" si="341">IF(AT451=3,SUM(BD451:BK451),0)</f>
        <v>0</v>
      </c>
      <c r="BN451" s="386">
        <f t="shared" si="318"/>
        <v>0</v>
      </c>
      <c r="BO451" s="386">
        <f t="shared" si="319"/>
        <v>0</v>
      </c>
      <c r="BP451" s="386">
        <f t="shared" si="320"/>
        <v>0</v>
      </c>
      <c r="BQ451" s="386">
        <f t="shared" si="321"/>
        <v>0</v>
      </c>
      <c r="BR451" s="386">
        <f t="shared" si="322"/>
        <v>0</v>
      </c>
      <c r="BS451" s="386">
        <f t="shared" si="323"/>
        <v>0</v>
      </c>
      <c r="BT451" s="386">
        <f t="shared" si="324"/>
        <v>0</v>
      </c>
      <c r="BU451" s="386">
        <f t="shared" si="325"/>
        <v>0</v>
      </c>
      <c r="BV451" s="386">
        <f t="shared" si="326"/>
        <v>0</v>
      </c>
      <c r="BW451" s="386">
        <f t="shared" si="327"/>
        <v>0</v>
      </c>
      <c r="BX451" s="386">
        <f t="shared" ref="BX451:BX514" si="342">IF(AT451=1,SUM(BP451:BW451),0)</f>
        <v>0</v>
      </c>
      <c r="BY451" s="386">
        <f t="shared" ref="BY451:BY514" si="343">IF(AT451=3,SUM(BP451:BW451),0)</f>
        <v>0</v>
      </c>
      <c r="BZ451" s="386">
        <f t="shared" ref="BZ451:BZ514" si="344">IF(AT451=1,BN451-BB451,0)</f>
        <v>0</v>
      </c>
      <c r="CA451" s="386">
        <f t="shared" ref="CA451:CA514" si="345">IF(AT451=3,BO451-BC451,0)</f>
        <v>0</v>
      </c>
      <c r="CB451" s="386">
        <f t="shared" ref="CB451:CB514" si="346">BP451-BD451</f>
        <v>0</v>
      </c>
      <c r="CC451" s="386">
        <f t="shared" si="328"/>
        <v>0</v>
      </c>
      <c r="CD451" s="386">
        <f t="shared" si="329"/>
        <v>0</v>
      </c>
      <c r="CE451" s="386">
        <f t="shared" si="330"/>
        <v>0</v>
      </c>
      <c r="CF451" s="386">
        <f t="shared" si="331"/>
        <v>0</v>
      </c>
      <c r="CG451" s="386">
        <f t="shared" si="332"/>
        <v>0</v>
      </c>
      <c r="CH451" s="386">
        <f t="shared" si="333"/>
        <v>0</v>
      </c>
      <c r="CI451" s="386">
        <f t="shared" si="334"/>
        <v>0</v>
      </c>
      <c r="CJ451" s="386">
        <f t="shared" ref="CJ451:CJ514" si="347">IF(AT451=1,SUM(CB451:CI451),0)</f>
        <v>0</v>
      </c>
      <c r="CK451" s="386" t="str">
        <f t="shared" ref="CK451:CK514" si="348">IF(AT451=3,SUM(CB451:CI451),"")</f>
        <v/>
      </c>
      <c r="CL451" s="386" t="str">
        <f t="shared" ref="CL451:CL514" si="349">IF(OR(N451="NG",AG451="D"),(T451+U451),"")</f>
        <v/>
      </c>
      <c r="CM451" s="386" t="str">
        <f t="shared" ref="CM451:CM514" si="350">IF(OR(N451="NG",AG451="D"),V451,"")</f>
        <v/>
      </c>
      <c r="CN451" s="386" t="str">
        <f t="shared" ref="CN451:CN514" si="351">E451 &amp; "-" &amp; F451</f>
        <v>0001-00</v>
      </c>
    </row>
    <row r="452" spans="1:92" ht="15.75" thickBot="1" x14ac:dyDescent="0.3">
      <c r="A452" s="375" t="s">
        <v>161</v>
      </c>
      <c r="B452" s="375" t="s">
        <v>162</v>
      </c>
      <c r="C452" s="375" t="s">
        <v>1656</v>
      </c>
      <c r="D452" s="375" t="s">
        <v>1478</v>
      </c>
      <c r="E452" s="375" t="s">
        <v>165</v>
      </c>
      <c r="F452" s="376" t="s">
        <v>166</v>
      </c>
      <c r="G452" s="375" t="s">
        <v>1599</v>
      </c>
      <c r="H452" s="377"/>
      <c r="I452" s="377"/>
      <c r="J452" s="375" t="s">
        <v>168</v>
      </c>
      <c r="K452" s="375" t="s">
        <v>1479</v>
      </c>
      <c r="L452" s="375" t="s">
        <v>166</v>
      </c>
      <c r="M452" s="375" t="s">
        <v>177</v>
      </c>
      <c r="N452" s="375" t="s">
        <v>172</v>
      </c>
      <c r="O452" s="378">
        <v>1</v>
      </c>
      <c r="P452" s="384">
        <v>1</v>
      </c>
      <c r="Q452" s="384">
        <v>1</v>
      </c>
      <c r="R452" s="379">
        <v>80</v>
      </c>
      <c r="S452" s="384">
        <v>1</v>
      </c>
      <c r="T452" s="379">
        <v>105288</v>
      </c>
      <c r="U452" s="379">
        <v>0</v>
      </c>
      <c r="V452" s="379">
        <v>33232.75</v>
      </c>
      <c r="W452" s="379">
        <v>115460.8</v>
      </c>
      <c r="X452" s="379">
        <v>35944.07</v>
      </c>
      <c r="Y452" s="379">
        <v>115460.8</v>
      </c>
      <c r="Z452" s="379">
        <v>35389.870000000003</v>
      </c>
      <c r="AA452" s="375" t="s">
        <v>1657</v>
      </c>
      <c r="AB452" s="375" t="s">
        <v>1658</v>
      </c>
      <c r="AC452" s="375" t="s">
        <v>1263</v>
      </c>
      <c r="AD452" s="375" t="s">
        <v>1659</v>
      </c>
      <c r="AE452" s="375" t="s">
        <v>1479</v>
      </c>
      <c r="AF452" s="375" t="s">
        <v>182</v>
      </c>
      <c r="AG452" s="375" t="s">
        <v>183</v>
      </c>
      <c r="AH452" s="380">
        <v>55.51</v>
      </c>
      <c r="AI452" s="380">
        <v>45636.2</v>
      </c>
      <c r="AJ452" s="375" t="s">
        <v>184</v>
      </c>
      <c r="AK452" s="375" t="s">
        <v>185</v>
      </c>
      <c r="AL452" s="375" t="s">
        <v>173</v>
      </c>
      <c r="AM452" s="375" t="s">
        <v>186</v>
      </c>
      <c r="AN452" s="375" t="s">
        <v>68</v>
      </c>
      <c r="AO452" s="378">
        <v>80</v>
      </c>
      <c r="AP452" s="384">
        <v>1</v>
      </c>
      <c r="AQ452" s="384">
        <v>1</v>
      </c>
      <c r="AR452" s="383" t="s">
        <v>187</v>
      </c>
      <c r="AS452" s="386">
        <f t="shared" si="335"/>
        <v>1</v>
      </c>
      <c r="AT452">
        <f t="shared" si="336"/>
        <v>1</v>
      </c>
      <c r="AU452" s="386">
        <f>IF(AT452=0,"",IF(AND(AT452=1,M452="F",SUMIF(C2:C557,C452,AS2:AS557)&lt;=1),SUMIF(C2:C557,C452,AS2:AS557),IF(AND(AT452=1,M452="F",SUMIF(C2:C557,C452,AS2:AS557)&gt;1),1,"")))</f>
        <v>1</v>
      </c>
      <c r="AV452" s="386" t="str">
        <f>IF(AT452=0,"",IF(AND(AT452=3,M452="F",SUMIF(C2:C557,C452,AS2:AS557)&lt;=1),SUMIF(C2:C557,C452,AS2:AS557),IF(AND(AT452=3,M452="F",SUMIF(C2:C557,C452,AS2:AS557)&gt;1),1,"")))</f>
        <v/>
      </c>
      <c r="AW452" s="386">
        <f>SUMIF(C2:C557,C452,O2:O557)</f>
        <v>1</v>
      </c>
      <c r="AX452" s="386">
        <f>IF(AND(M452="F",AS452&lt;&gt;0),SUMIF(C2:C557,C452,W2:W557),0)</f>
        <v>115460.8</v>
      </c>
      <c r="AY452" s="386">
        <f t="shared" si="337"/>
        <v>115460.8</v>
      </c>
      <c r="AZ452" s="386" t="str">
        <f t="shared" si="338"/>
        <v/>
      </c>
      <c r="BA452" s="386">
        <f t="shared" si="339"/>
        <v>0</v>
      </c>
      <c r="BB452" s="386">
        <f t="shared" si="308"/>
        <v>11650</v>
      </c>
      <c r="BC452" s="386">
        <f t="shared" si="309"/>
        <v>0</v>
      </c>
      <c r="BD452" s="386">
        <f t="shared" si="310"/>
        <v>7158.5695999999998</v>
      </c>
      <c r="BE452" s="386">
        <f t="shared" si="311"/>
        <v>1674.1816000000001</v>
      </c>
      <c r="BF452" s="386">
        <f t="shared" si="312"/>
        <v>13786.019520000002</v>
      </c>
      <c r="BG452" s="386">
        <f t="shared" si="313"/>
        <v>832.47236800000007</v>
      </c>
      <c r="BH452" s="386">
        <f t="shared" si="314"/>
        <v>565.75792000000001</v>
      </c>
      <c r="BI452" s="386">
        <f t="shared" si="315"/>
        <v>0</v>
      </c>
      <c r="BJ452" s="386">
        <f t="shared" si="316"/>
        <v>277.10591999999997</v>
      </c>
      <c r="BK452" s="386">
        <f t="shared" si="317"/>
        <v>0</v>
      </c>
      <c r="BL452" s="386">
        <f t="shared" si="340"/>
        <v>24294.106928000001</v>
      </c>
      <c r="BM452" s="386">
        <f t="shared" si="341"/>
        <v>0</v>
      </c>
      <c r="BN452" s="386">
        <f t="shared" si="318"/>
        <v>11650</v>
      </c>
      <c r="BO452" s="386">
        <f t="shared" si="319"/>
        <v>0</v>
      </c>
      <c r="BP452" s="386">
        <f t="shared" si="320"/>
        <v>7158.5695999999998</v>
      </c>
      <c r="BQ452" s="386">
        <f t="shared" si="321"/>
        <v>1674.1816000000001</v>
      </c>
      <c r="BR452" s="386">
        <f t="shared" si="322"/>
        <v>13786.019520000002</v>
      </c>
      <c r="BS452" s="386">
        <f t="shared" si="323"/>
        <v>832.47236800000007</v>
      </c>
      <c r="BT452" s="386">
        <f t="shared" si="324"/>
        <v>0</v>
      </c>
      <c r="BU452" s="386">
        <f t="shared" si="325"/>
        <v>0</v>
      </c>
      <c r="BV452" s="386">
        <f t="shared" si="326"/>
        <v>288.65199999999999</v>
      </c>
      <c r="BW452" s="386">
        <f t="shared" si="327"/>
        <v>0</v>
      </c>
      <c r="BX452" s="386">
        <f t="shared" si="342"/>
        <v>23739.895087999997</v>
      </c>
      <c r="BY452" s="386">
        <f t="shared" si="343"/>
        <v>0</v>
      </c>
      <c r="BZ452" s="386">
        <f t="shared" si="344"/>
        <v>0</v>
      </c>
      <c r="CA452" s="386">
        <f t="shared" si="345"/>
        <v>0</v>
      </c>
      <c r="CB452" s="386">
        <f t="shared" si="346"/>
        <v>0</v>
      </c>
      <c r="CC452" s="386">
        <f t="shared" si="328"/>
        <v>0</v>
      </c>
      <c r="CD452" s="386">
        <f t="shared" si="329"/>
        <v>0</v>
      </c>
      <c r="CE452" s="386">
        <f t="shared" si="330"/>
        <v>0</v>
      </c>
      <c r="CF452" s="386">
        <f t="shared" si="331"/>
        <v>-565.75792000000001</v>
      </c>
      <c r="CG452" s="386">
        <f t="shared" si="332"/>
        <v>0</v>
      </c>
      <c r="CH452" s="386">
        <f t="shared" si="333"/>
        <v>11.54608000000003</v>
      </c>
      <c r="CI452" s="386">
        <f t="shared" si="334"/>
        <v>0</v>
      </c>
      <c r="CJ452" s="386">
        <f t="shared" si="347"/>
        <v>-554.21183999999994</v>
      </c>
      <c r="CK452" s="386" t="str">
        <f t="shared" si="348"/>
        <v/>
      </c>
      <c r="CL452" s="386" t="str">
        <f t="shared" si="349"/>
        <v/>
      </c>
      <c r="CM452" s="386" t="str">
        <f t="shared" si="350"/>
        <v/>
      </c>
      <c r="CN452" s="386" t="str">
        <f t="shared" si="351"/>
        <v>0001-00</v>
      </c>
    </row>
    <row r="453" spans="1:92" ht="15.75" thickBot="1" x14ac:dyDescent="0.3">
      <c r="A453" s="375" t="s">
        <v>161</v>
      </c>
      <c r="B453" s="375" t="s">
        <v>162</v>
      </c>
      <c r="C453" s="375" t="s">
        <v>1660</v>
      </c>
      <c r="D453" s="375" t="s">
        <v>464</v>
      </c>
      <c r="E453" s="375" t="s">
        <v>165</v>
      </c>
      <c r="F453" s="376" t="s">
        <v>166</v>
      </c>
      <c r="G453" s="375" t="s">
        <v>1599</v>
      </c>
      <c r="H453" s="377"/>
      <c r="I453" s="377"/>
      <c r="J453" s="375" t="s">
        <v>168</v>
      </c>
      <c r="K453" s="375" t="s">
        <v>465</v>
      </c>
      <c r="L453" s="375" t="s">
        <v>166</v>
      </c>
      <c r="M453" s="375" t="s">
        <v>171</v>
      </c>
      <c r="N453" s="375" t="s">
        <v>262</v>
      </c>
      <c r="O453" s="378">
        <v>0</v>
      </c>
      <c r="P453" s="384">
        <v>1</v>
      </c>
      <c r="Q453" s="384">
        <v>0</v>
      </c>
      <c r="R453" s="379">
        <v>0</v>
      </c>
      <c r="S453" s="384">
        <v>0</v>
      </c>
      <c r="T453" s="379">
        <v>0</v>
      </c>
      <c r="U453" s="379">
        <v>0</v>
      </c>
      <c r="V453" s="379">
        <v>0</v>
      </c>
      <c r="W453" s="379">
        <v>0</v>
      </c>
      <c r="X453" s="379">
        <v>0</v>
      </c>
      <c r="Y453" s="379">
        <v>0</v>
      </c>
      <c r="Z453" s="379">
        <v>0</v>
      </c>
      <c r="AA453" s="377"/>
      <c r="AB453" s="375" t="s">
        <v>45</v>
      </c>
      <c r="AC453" s="375" t="s">
        <v>45</v>
      </c>
      <c r="AD453" s="377"/>
      <c r="AE453" s="377"/>
      <c r="AF453" s="377"/>
      <c r="AG453" s="377"/>
      <c r="AH453" s="378">
        <v>0</v>
      </c>
      <c r="AI453" s="378">
        <v>0</v>
      </c>
      <c r="AJ453" s="377"/>
      <c r="AK453" s="377"/>
      <c r="AL453" s="375" t="s">
        <v>173</v>
      </c>
      <c r="AM453" s="377"/>
      <c r="AN453" s="377"/>
      <c r="AO453" s="378">
        <v>0</v>
      </c>
      <c r="AP453" s="384">
        <v>0</v>
      </c>
      <c r="AQ453" s="384">
        <v>0</v>
      </c>
      <c r="AR453" s="382"/>
      <c r="AS453" s="386">
        <f t="shared" si="335"/>
        <v>0</v>
      </c>
      <c r="AT453">
        <f t="shared" si="336"/>
        <v>0</v>
      </c>
      <c r="AU453" s="386" t="str">
        <f>IF(AT453=0,"",IF(AND(AT453=1,M453="F",SUMIF(C2:C557,C453,AS2:AS557)&lt;=1),SUMIF(C2:C557,C453,AS2:AS557),IF(AND(AT453=1,M453="F",SUMIF(C2:C557,C453,AS2:AS557)&gt;1),1,"")))</f>
        <v/>
      </c>
      <c r="AV453" s="386" t="str">
        <f>IF(AT453=0,"",IF(AND(AT453=3,M453="F",SUMIF(C2:C557,C453,AS2:AS557)&lt;=1),SUMIF(C2:C557,C453,AS2:AS557),IF(AND(AT453=3,M453="F",SUMIF(C2:C557,C453,AS2:AS557)&gt;1),1,"")))</f>
        <v/>
      </c>
      <c r="AW453" s="386">
        <f>SUMIF(C2:C557,C453,O2:O557)</f>
        <v>0</v>
      </c>
      <c r="AX453" s="386">
        <f>IF(AND(M453="F",AS453&lt;&gt;0),SUMIF(C2:C557,C453,W2:W557),0)</f>
        <v>0</v>
      </c>
      <c r="AY453" s="386" t="str">
        <f t="shared" si="337"/>
        <v/>
      </c>
      <c r="AZ453" s="386" t="str">
        <f t="shared" si="338"/>
        <v/>
      </c>
      <c r="BA453" s="386">
        <f t="shared" si="339"/>
        <v>0</v>
      </c>
      <c r="BB453" s="386">
        <f t="shared" si="308"/>
        <v>0</v>
      </c>
      <c r="BC453" s="386">
        <f t="shared" si="309"/>
        <v>0</v>
      </c>
      <c r="BD453" s="386">
        <f t="shared" si="310"/>
        <v>0</v>
      </c>
      <c r="BE453" s="386">
        <f t="shared" si="311"/>
        <v>0</v>
      </c>
      <c r="BF453" s="386">
        <f t="shared" si="312"/>
        <v>0</v>
      </c>
      <c r="BG453" s="386">
        <f t="shared" si="313"/>
        <v>0</v>
      </c>
      <c r="BH453" s="386">
        <f t="shared" si="314"/>
        <v>0</v>
      </c>
      <c r="BI453" s="386">
        <f t="shared" si="315"/>
        <v>0</v>
      </c>
      <c r="BJ453" s="386">
        <f t="shared" si="316"/>
        <v>0</v>
      </c>
      <c r="BK453" s="386">
        <f t="shared" si="317"/>
        <v>0</v>
      </c>
      <c r="BL453" s="386">
        <f t="shared" si="340"/>
        <v>0</v>
      </c>
      <c r="BM453" s="386">
        <f t="shared" si="341"/>
        <v>0</v>
      </c>
      <c r="BN453" s="386">
        <f t="shared" si="318"/>
        <v>0</v>
      </c>
      <c r="BO453" s="386">
        <f t="shared" si="319"/>
        <v>0</v>
      </c>
      <c r="BP453" s="386">
        <f t="shared" si="320"/>
        <v>0</v>
      </c>
      <c r="BQ453" s="386">
        <f t="shared" si="321"/>
        <v>0</v>
      </c>
      <c r="BR453" s="386">
        <f t="shared" si="322"/>
        <v>0</v>
      </c>
      <c r="BS453" s="386">
        <f t="shared" si="323"/>
        <v>0</v>
      </c>
      <c r="BT453" s="386">
        <f t="shared" si="324"/>
        <v>0</v>
      </c>
      <c r="BU453" s="386">
        <f t="shared" si="325"/>
        <v>0</v>
      </c>
      <c r="BV453" s="386">
        <f t="shared" si="326"/>
        <v>0</v>
      </c>
      <c r="BW453" s="386">
        <f t="shared" si="327"/>
        <v>0</v>
      </c>
      <c r="BX453" s="386">
        <f t="shared" si="342"/>
        <v>0</v>
      </c>
      <c r="BY453" s="386">
        <f t="shared" si="343"/>
        <v>0</v>
      </c>
      <c r="BZ453" s="386">
        <f t="shared" si="344"/>
        <v>0</v>
      </c>
      <c r="CA453" s="386">
        <f t="shared" si="345"/>
        <v>0</v>
      </c>
      <c r="CB453" s="386">
        <f t="shared" si="346"/>
        <v>0</v>
      </c>
      <c r="CC453" s="386">
        <f t="shared" si="328"/>
        <v>0</v>
      </c>
      <c r="CD453" s="386">
        <f t="shared" si="329"/>
        <v>0</v>
      </c>
      <c r="CE453" s="386">
        <f t="shared" si="330"/>
        <v>0</v>
      </c>
      <c r="CF453" s="386">
        <f t="shared" si="331"/>
        <v>0</v>
      </c>
      <c r="CG453" s="386">
        <f t="shared" si="332"/>
        <v>0</v>
      </c>
      <c r="CH453" s="386">
        <f t="shared" si="333"/>
        <v>0</v>
      </c>
      <c r="CI453" s="386">
        <f t="shared" si="334"/>
        <v>0</v>
      </c>
      <c r="CJ453" s="386">
        <f t="shared" si="347"/>
        <v>0</v>
      </c>
      <c r="CK453" s="386" t="str">
        <f t="shared" si="348"/>
        <v/>
      </c>
      <c r="CL453" s="386">
        <f t="shared" si="349"/>
        <v>0</v>
      </c>
      <c r="CM453" s="386">
        <f t="shared" si="350"/>
        <v>0</v>
      </c>
      <c r="CN453" s="386" t="str">
        <f t="shared" si="351"/>
        <v>0001-00</v>
      </c>
    </row>
    <row r="454" spans="1:92" ht="15.75" thickBot="1" x14ac:dyDescent="0.3">
      <c r="A454" s="375" t="s">
        <v>161</v>
      </c>
      <c r="B454" s="375" t="s">
        <v>162</v>
      </c>
      <c r="C454" s="375" t="s">
        <v>1661</v>
      </c>
      <c r="D454" s="375" t="s">
        <v>665</v>
      </c>
      <c r="E454" s="375" t="s">
        <v>165</v>
      </c>
      <c r="F454" s="376" t="s">
        <v>166</v>
      </c>
      <c r="G454" s="375" t="s">
        <v>1599</v>
      </c>
      <c r="H454" s="377"/>
      <c r="I454" s="377"/>
      <c r="J454" s="375" t="s">
        <v>168</v>
      </c>
      <c r="K454" s="375" t="s">
        <v>666</v>
      </c>
      <c r="L454" s="375" t="s">
        <v>183</v>
      </c>
      <c r="M454" s="375" t="s">
        <v>177</v>
      </c>
      <c r="N454" s="375" t="s">
        <v>199</v>
      </c>
      <c r="O454" s="378">
        <v>1</v>
      </c>
      <c r="P454" s="384">
        <v>1</v>
      </c>
      <c r="Q454" s="384">
        <v>1</v>
      </c>
      <c r="R454" s="379">
        <v>80</v>
      </c>
      <c r="S454" s="384">
        <v>1</v>
      </c>
      <c r="T454" s="379">
        <v>28598.44</v>
      </c>
      <c r="U454" s="379">
        <v>0</v>
      </c>
      <c r="V454" s="379">
        <v>17264.3</v>
      </c>
      <c r="W454" s="379">
        <v>29562</v>
      </c>
      <c r="X454" s="379">
        <v>17960.560000000001</v>
      </c>
      <c r="Y454" s="379">
        <v>29562</v>
      </c>
      <c r="Z454" s="379">
        <v>17818.669999999998</v>
      </c>
      <c r="AA454" s="375" t="s">
        <v>1662</v>
      </c>
      <c r="AB454" s="375" t="s">
        <v>1663</v>
      </c>
      <c r="AC454" s="375" t="s">
        <v>483</v>
      </c>
      <c r="AD454" s="375" t="s">
        <v>1664</v>
      </c>
      <c r="AE454" s="375" t="s">
        <v>666</v>
      </c>
      <c r="AF454" s="375" t="s">
        <v>206</v>
      </c>
      <c r="AG454" s="375" t="s">
        <v>183</v>
      </c>
      <c r="AH454" s="380">
        <v>18.95</v>
      </c>
      <c r="AI454" s="380">
        <v>43576.3</v>
      </c>
      <c r="AJ454" s="375" t="s">
        <v>785</v>
      </c>
      <c r="AK454" s="375" t="s">
        <v>185</v>
      </c>
      <c r="AL454" s="375" t="s">
        <v>173</v>
      </c>
      <c r="AM454" s="375" t="s">
        <v>186</v>
      </c>
      <c r="AN454" s="375" t="s">
        <v>68</v>
      </c>
      <c r="AO454" s="378">
        <v>60</v>
      </c>
      <c r="AP454" s="384">
        <v>1</v>
      </c>
      <c r="AQ454" s="384">
        <v>0.75</v>
      </c>
      <c r="AR454" s="383" t="s">
        <v>187</v>
      </c>
      <c r="AS454" s="386">
        <f t="shared" si="335"/>
        <v>0.75</v>
      </c>
      <c r="AT454">
        <f t="shared" si="336"/>
        <v>1</v>
      </c>
      <c r="AU454" s="386">
        <f>IF(AT454=0,"",IF(AND(AT454=1,M454="F",SUMIF(C2:C557,C454,AS2:AS557)&lt;=1),SUMIF(C2:C557,C454,AS2:AS557),IF(AND(AT454=1,M454="F",SUMIF(C2:C557,C454,AS2:AS557)&gt;1),1,"")))</f>
        <v>0.75</v>
      </c>
      <c r="AV454" s="386" t="str">
        <f>IF(AT454=0,"",IF(AND(AT454=3,M454="F",SUMIF(C2:C557,C454,AS2:AS557)&lt;=1),SUMIF(C2:C557,C454,AS2:AS557),IF(AND(AT454=3,M454="F",SUMIF(C2:C557,C454,AS2:AS557)&gt;1),1,"")))</f>
        <v/>
      </c>
      <c r="AW454" s="386">
        <f>SUMIF(C2:C557,C454,O2:O557)</f>
        <v>1</v>
      </c>
      <c r="AX454" s="386">
        <f>IF(AND(M454="F",AS454&lt;&gt;0),SUMIF(C2:C557,C454,W2:W557),0)</f>
        <v>29562</v>
      </c>
      <c r="AY454" s="386">
        <f t="shared" si="337"/>
        <v>29562</v>
      </c>
      <c r="AZ454" s="386" t="str">
        <f t="shared" si="338"/>
        <v/>
      </c>
      <c r="BA454" s="386">
        <f t="shared" si="339"/>
        <v>0</v>
      </c>
      <c r="BB454" s="386">
        <f t="shared" si="308"/>
        <v>11650</v>
      </c>
      <c r="BC454" s="386">
        <f t="shared" si="309"/>
        <v>0</v>
      </c>
      <c r="BD454" s="386">
        <f t="shared" si="310"/>
        <v>1832.8440000000001</v>
      </c>
      <c r="BE454" s="386">
        <f t="shared" si="311"/>
        <v>428.649</v>
      </c>
      <c r="BF454" s="386">
        <f t="shared" si="312"/>
        <v>3529.7028</v>
      </c>
      <c r="BG454" s="386">
        <f t="shared" si="313"/>
        <v>213.14202</v>
      </c>
      <c r="BH454" s="386">
        <f t="shared" si="314"/>
        <v>144.85380000000001</v>
      </c>
      <c r="BI454" s="386">
        <f t="shared" si="315"/>
        <v>90.45971999999999</v>
      </c>
      <c r="BJ454" s="386">
        <f t="shared" si="316"/>
        <v>70.948799999999991</v>
      </c>
      <c r="BK454" s="386">
        <f t="shared" si="317"/>
        <v>0</v>
      </c>
      <c r="BL454" s="386">
        <f t="shared" si="340"/>
        <v>6310.6001399999996</v>
      </c>
      <c r="BM454" s="386">
        <f t="shared" si="341"/>
        <v>0</v>
      </c>
      <c r="BN454" s="386">
        <f t="shared" si="318"/>
        <v>11650</v>
      </c>
      <c r="BO454" s="386">
        <f t="shared" si="319"/>
        <v>0</v>
      </c>
      <c r="BP454" s="386">
        <f t="shared" si="320"/>
        <v>1832.8440000000001</v>
      </c>
      <c r="BQ454" s="386">
        <f t="shared" si="321"/>
        <v>428.649</v>
      </c>
      <c r="BR454" s="386">
        <f t="shared" si="322"/>
        <v>3529.7028</v>
      </c>
      <c r="BS454" s="386">
        <f t="shared" si="323"/>
        <v>213.14202</v>
      </c>
      <c r="BT454" s="386">
        <f t="shared" si="324"/>
        <v>0</v>
      </c>
      <c r="BU454" s="386">
        <f t="shared" si="325"/>
        <v>90.45971999999999</v>
      </c>
      <c r="BV454" s="386">
        <f t="shared" si="326"/>
        <v>73.905000000000001</v>
      </c>
      <c r="BW454" s="386">
        <f t="shared" si="327"/>
        <v>0</v>
      </c>
      <c r="BX454" s="386">
        <f t="shared" si="342"/>
        <v>6168.7025399999993</v>
      </c>
      <c r="BY454" s="386">
        <f t="shared" si="343"/>
        <v>0</v>
      </c>
      <c r="BZ454" s="386">
        <f t="shared" si="344"/>
        <v>0</v>
      </c>
      <c r="CA454" s="386">
        <f t="shared" si="345"/>
        <v>0</v>
      </c>
      <c r="CB454" s="386">
        <f t="shared" si="346"/>
        <v>0</v>
      </c>
      <c r="CC454" s="386">
        <f t="shared" si="328"/>
        <v>0</v>
      </c>
      <c r="CD454" s="386">
        <f t="shared" si="329"/>
        <v>0</v>
      </c>
      <c r="CE454" s="386">
        <f t="shared" si="330"/>
        <v>0</v>
      </c>
      <c r="CF454" s="386">
        <f t="shared" si="331"/>
        <v>-144.85380000000001</v>
      </c>
      <c r="CG454" s="386">
        <f t="shared" si="332"/>
        <v>0</v>
      </c>
      <c r="CH454" s="386">
        <f t="shared" si="333"/>
        <v>2.9562000000000079</v>
      </c>
      <c r="CI454" s="386">
        <f t="shared" si="334"/>
        <v>0</v>
      </c>
      <c r="CJ454" s="386">
        <f t="shared" si="347"/>
        <v>-141.89760000000001</v>
      </c>
      <c r="CK454" s="386" t="str">
        <f t="shared" si="348"/>
        <v/>
      </c>
      <c r="CL454" s="386" t="str">
        <f t="shared" si="349"/>
        <v/>
      </c>
      <c r="CM454" s="386" t="str">
        <f t="shared" si="350"/>
        <v/>
      </c>
      <c r="CN454" s="386" t="str">
        <f t="shared" si="351"/>
        <v>0001-00</v>
      </c>
    </row>
    <row r="455" spans="1:92" ht="15.75" thickBot="1" x14ac:dyDescent="0.3">
      <c r="A455" s="375" t="s">
        <v>161</v>
      </c>
      <c r="B455" s="375" t="s">
        <v>162</v>
      </c>
      <c r="C455" s="375" t="s">
        <v>1665</v>
      </c>
      <c r="D455" s="375" t="s">
        <v>1629</v>
      </c>
      <c r="E455" s="375" t="s">
        <v>165</v>
      </c>
      <c r="F455" s="376" t="s">
        <v>166</v>
      </c>
      <c r="G455" s="375" t="s">
        <v>1599</v>
      </c>
      <c r="H455" s="377"/>
      <c r="I455" s="377"/>
      <c r="J455" s="375" t="s">
        <v>168</v>
      </c>
      <c r="K455" s="375" t="s">
        <v>1630</v>
      </c>
      <c r="L455" s="375" t="s">
        <v>198</v>
      </c>
      <c r="M455" s="375" t="s">
        <v>177</v>
      </c>
      <c r="N455" s="375" t="s">
        <v>199</v>
      </c>
      <c r="O455" s="378">
        <v>1</v>
      </c>
      <c r="P455" s="384">
        <v>1</v>
      </c>
      <c r="Q455" s="384">
        <v>1</v>
      </c>
      <c r="R455" s="379">
        <v>80</v>
      </c>
      <c r="S455" s="384">
        <v>1</v>
      </c>
      <c r="T455" s="379">
        <v>44252.800000000003</v>
      </c>
      <c r="U455" s="379">
        <v>0</v>
      </c>
      <c r="V455" s="379">
        <v>20795.939999999999</v>
      </c>
      <c r="W455" s="379">
        <v>46820.800000000003</v>
      </c>
      <c r="X455" s="379">
        <v>21644.799999999999</v>
      </c>
      <c r="Y455" s="379">
        <v>46820.800000000003</v>
      </c>
      <c r="Z455" s="379">
        <v>21420.07</v>
      </c>
      <c r="AA455" s="375" t="s">
        <v>1666</v>
      </c>
      <c r="AB455" s="375" t="s">
        <v>1667</v>
      </c>
      <c r="AC455" s="375" t="s">
        <v>1668</v>
      </c>
      <c r="AD455" s="375" t="s">
        <v>194</v>
      </c>
      <c r="AE455" s="375" t="s">
        <v>1630</v>
      </c>
      <c r="AF455" s="375" t="s">
        <v>245</v>
      </c>
      <c r="AG455" s="375" t="s">
        <v>183</v>
      </c>
      <c r="AH455" s="380">
        <v>22.51</v>
      </c>
      <c r="AI455" s="378">
        <v>22068</v>
      </c>
      <c r="AJ455" s="375" t="s">
        <v>184</v>
      </c>
      <c r="AK455" s="375" t="s">
        <v>185</v>
      </c>
      <c r="AL455" s="375" t="s">
        <v>173</v>
      </c>
      <c r="AM455" s="375" t="s">
        <v>186</v>
      </c>
      <c r="AN455" s="375" t="s">
        <v>68</v>
      </c>
      <c r="AO455" s="378">
        <v>80</v>
      </c>
      <c r="AP455" s="384">
        <v>1</v>
      </c>
      <c r="AQ455" s="384">
        <v>1</v>
      </c>
      <c r="AR455" s="383" t="s">
        <v>187</v>
      </c>
      <c r="AS455" s="386">
        <f t="shared" si="335"/>
        <v>1</v>
      </c>
      <c r="AT455">
        <f t="shared" si="336"/>
        <v>1</v>
      </c>
      <c r="AU455" s="386">
        <f>IF(AT455=0,"",IF(AND(AT455=1,M455="F",SUMIF(C2:C557,C455,AS2:AS557)&lt;=1),SUMIF(C2:C557,C455,AS2:AS557),IF(AND(AT455=1,M455="F",SUMIF(C2:C557,C455,AS2:AS557)&gt;1),1,"")))</f>
        <v>1</v>
      </c>
      <c r="AV455" s="386" t="str">
        <f>IF(AT455=0,"",IF(AND(AT455=3,M455="F",SUMIF(C2:C557,C455,AS2:AS557)&lt;=1),SUMIF(C2:C557,C455,AS2:AS557),IF(AND(AT455=3,M455="F",SUMIF(C2:C557,C455,AS2:AS557)&gt;1),1,"")))</f>
        <v/>
      </c>
      <c r="AW455" s="386">
        <f>SUMIF(C2:C557,C455,O2:O557)</f>
        <v>1</v>
      </c>
      <c r="AX455" s="386">
        <f>IF(AND(M455="F",AS455&lt;&gt;0),SUMIF(C2:C557,C455,W2:W557),0)</f>
        <v>46820.800000000003</v>
      </c>
      <c r="AY455" s="386">
        <f t="shared" si="337"/>
        <v>46820.800000000003</v>
      </c>
      <c r="AZ455" s="386" t="str">
        <f t="shared" si="338"/>
        <v/>
      </c>
      <c r="BA455" s="386">
        <f t="shared" si="339"/>
        <v>0</v>
      </c>
      <c r="BB455" s="386">
        <f t="shared" si="308"/>
        <v>11650</v>
      </c>
      <c r="BC455" s="386">
        <f t="shared" si="309"/>
        <v>0</v>
      </c>
      <c r="BD455" s="386">
        <f t="shared" si="310"/>
        <v>2902.8896</v>
      </c>
      <c r="BE455" s="386">
        <f t="shared" si="311"/>
        <v>678.90160000000003</v>
      </c>
      <c r="BF455" s="386">
        <f t="shared" si="312"/>
        <v>5590.4035200000008</v>
      </c>
      <c r="BG455" s="386">
        <f t="shared" si="313"/>
        <v>337.57796800000006</v>
      </c>
      <c r="BH455" s="386">
        <f t="shared" si="314"/>
        <v>229.42192</v>
      </c>
      <c r="BI455" s="386">
        <f t="shared" si="315"/>
        <v>143.271648</v>
      </c>
      <c r="BJ455" s="386">
        <f t="shared" si="316"/>
        <v>112.36991999999999</v>
      </c>
      <c r="BK455" s="386">
        <f t="shared" si="317"/>
        <v>0</v>
      </c>
      <c r="BL455" s="386">
        <f t="shared" si="340"/>
        <v>9994.8361760000007</v>
      </c>
      <c r="BM455" s="386">
        <f t="shared" si="341"/>
        <v>0</v>
      </c>
      <c r="BN455" s="386">
        <f t="shared" si="318"/>
        <v>11650</v>
      </c>
      <c r="BO455" s="386">
        <f t="shared" si="319"/>
        <v>0</v>
      </c>
      <c r="BP455" s="386">
        <f t="shared" si="320"/>
        <v>2902.8896</v>
      </c>
      <c r="BQ455" s="386">
        <f t="shared" si="321"/>
        <v>678.90160000000003</v>
      </c>
      <c r="BR455" s="386">
        <f t="shared" si="322"/>
        <v>5590.4035200000008</v>
      </c>
      <c r="BS455" s="386">
        <f t="shared" si="323"/>
        <v>337.57796800000006</v>
      </c>
      <c r="BT455" s="386">
        <f t="shared" si="324"/>
        <v>0</v>
      </c>
      <c r="BU455" s="386">
        <f t="shared" si="325"/>
        <v>143.271648</v>
      </c>
      <c r="BV455" s="386">
        <f t="shared" si="326"/>
        <v>117.05200000000001</v>
      </c>
      <c r="BW455" s="386">
        <f t="shared" si="327"/>
        <v>0</v>
      </c>
      <c r="BX455" s="386">
        <f t="shared" si="342"/>
        <v>9770.0963360000005</v>
      </c>
      <c r="BY455" s="386">
        <f t="shared" si="343"/>
        <v>0</v>
      </c>
      <c r="BZ455" s="386">
        <f t="shared" si="344"/>
        <v>0</v>
      </c>
      <c r="CA455" s="386">
        <f t="shared" si="345"/>
        <v>0</v>
      </c>
      <c r="CB455" s="386">
        <f t="shared" si="346"/>
        <v>0</v>
      </c>
      <c r="CC455" s="386">
        <f t="shared" si="328"/>
        <v>0</v>
      </c>
      <c r="CD455" s="386">
        <f t="shared" si="329"/>
        <v>0</v>
      </c>
      <c r="CE455" s="386">
        <f t="shared" si="330"/>
        <v>0</v>
      </c>
      <c r="CF455" s="386">
        <f t="shared" si="331"/>
        <v>-229.42192</v>
      </c>
      <c r="CG455" s="386">
        <f t="shared" si="332"/>
        <v>0</v>
      </c>
      <c r="CH455" s="386">
        <f t="shared" si="333"/>
        <v>4.6820800000000125</v>
      </c>
      <c r="CI455" s="386">
        <f t="shared" si="334"/>
        <v>0</v>
      </c>
      <c r="CJ455" s="386">
        <f t="shared" si="347"/>
        <v>-224.73983999999999</v>
      </c>
      <c r="CK455" s="386" t="str">
        <f t="shared" si="348"/>
        <v/>
      </c>
      <c r="CL455" s="386" t="str">
        <f t="shared" si="349"/>
        <v/>
      </c>
      <c r="CM455" s="386" t="str">
        <f t="shared" si="350"/>
        <v/>
      </c>
      <c r="CN455" s="386" t="str">
        <f t="shared" si="351"/>
        <v>0001-00</v>
      </c>
    </row>
    <row r="456" spans="1:92" ht="15.75" thickBot="1" x14ac:dyDescent="0.3">
      <c r="A456" s="375" t="s">
        <v>161</v>
      </c>
      <c r="B456" s="375" t="s">
        <v>162</v>
      </c>
      <c r="C456" s="375" t="s">
        <v>1669</v>
      </c>
      <c r="D456" s="375" t="s">
        <v>1598</v>
      </c>
      <c r="E456" s="375" t="s">
        <v>165</v>
      </c>
      <c r="F456" s="376" t="s">
        <v>166</v>
      </c>
      <c r="G456" s="375" t="s">
        <v>1599</v>
      </c>
      <c r="H456" s="377"/>
      <c r="I456" s="377"/>
      <c r="J456" s="375" t="s">
        <v>168</v>
      </c>
      <c r="K456" s="375" t="s">
        <v>1600</v>
      </c>
      <c r="L456" s="375" t="s">
        <v>233</v>
      </c>
      <c r="M456" s="375" t="s">
        <v>177</v>
      </c>
      <c r="N456" s="375" t="s">
        <v>199</v>
      </c>
      <c r="O456" s="378">
        <v>1</v>
      </c>
      <c r="P456" s="384">
        <v>1</v>
      </c>
      <c r="Q456" s="384">
        <v>1</v>
      </c>
      <c r="R456" s="379">
        <v>80</v>
      </c>
      <c r="S456" s="384">
        <v>1</v>
      </c>
      <c r="T456" s="379">
        <v>36425.74</v>
      </c>
      <c r="U456" s="379">
        <v>0</v>
      </c>
      <c r="V456" s="379">
        <v>16456.759999999998</v>
      </c>
      <c r="W456" s="379">
        <v>45011.199999999997</v>
      </c>
      <c r="X456" s="379">
        <v>21258.51</v>
      </c>
      <c r="Y456" s="379">
        <v>45011.199999999997</v>
      </c>
      <c r="Z456" s="379">
        <v>21042.46</v>
      </c>
      <c r="AA456" s="375" t="s">
        <v>1670</v>
      </c>
      <c r="AB456" s="375" t="s">
        <v>1671</v>
      </c>
      <c r="AC456" s="375" t="s">
        <v>973</v>
      </c>
      <c r="AD456" s="375" t="s">
        <v>220</v>
      </c>
      <c r="AE456" s="375" t="s">
        <v>1600</v>
      </c>
      <c r="AF456" s="375" t="s">
        <v>237</v>
      </c>
      <c r="AG456" s="375" t="s">
        <v>183</v>
      </c>
      <c r="AH456" s="380">
        <v>21.64</v>
      </c>
      <c r="AI456" s="380">
        <v>47604.9</v>
      </c>
      <c r="AJ456" s="375" t="s">
        <v>184</v>
      </c>
      <c r="AK456" s="375" t="s">
        <v>185</v>
      </c>
      <c r="AL456" s="375" t="s">
        <v>173</v>
      </c>
      <c r="AM456" s="375" t="s">
        <v>186</v>
      </c>
      <c r="AN456" s="375" t="s">
        <v>68</v>
      </c>
      <c r="AO456" s="378">
        <v>80</v>
      </c>
      <c r="AP456" s="384">
        <v>1</v>
      </c>
      <c r="AQ456" s="384">
        <v>1</v>
      </c>
      <c r="AR456" s="383" t="s">
        <v>187</v>
      </c>
      <c r="AS456" s="386">
        <f t="shared" si="335"/>
        <v>1</v>
      </c>
      <c r="AT456">
        <f t="shared" si="336"/>
        <v>1</v>
      </c>
      <c r="AU456" s="386">
        <f>IF(AT456=0,"",IF(AND(AT456=1,M456="F",SUMIF(C2:C557,C456,AS2:AS557)&lt;=1),SUMIF(C2:C557,C456,AS2:AS557),IF(AND(AT456=1,M456="F",SUMIF(C2:C557,C456,AS2:AS557)&gt;1),1,"")))</f>
        <v>1</v>
      </c>
      <c r="AV456" s="386" t="str">
        <f>IF(AT456=0,"",IF(AND(AT456=3,M456="F",SUMIF(C2:C557,C456,AS2:AS557)&lt;=1),SUMIF(C2:C557,C456,AS2:AS557),IF(AND(AT456=3,M456="F",SUMIF(C2:C557,C456,AS2:AS557)&gt;1),1,"")))</f>
        <v/>
      </c>
      <c r="AW456" s="386">
        <f>SUMIF(C2:C557,C456,O2:O557)</f>
        <v>1</v>
      </c>
      <c r="AX456" s="386">
        <f>IF(AND(M456="F",AS456&lt;&gt;0),SUMIF(C2:C557,C456,W2:W557),0)</f>
        <v>45011.199999999997</v>
      </c>
      <c r="AY456" s="386">
        <f t="shared" si="337"/>
        <v>45011.199999999997</v>
      </c>
      <c r="AZ456" s="386" t="str">
        <f t="shared" si="338"/>
        <v/>
      </c>
      <c r="BA456" s="386">
        <f t="shared" si="339"/>
        <v>0</v>
      </c>
      <c r="BB456" s="386">
        <f t="shared" si="308"/>
        <v>11650</v>
      </c>
      <c r="BC456" s="386">
        <f t="shared" si="309"/>
        <v>0</v>
      </c>
      <c r="BD456" s="386">
        <f t="shared" si="310"/>
        <v>2790.6943999999999</v>
      </c>
      <c r="BE456" s="386">
        <f t="shared" si="311"/>
        <v>652.66239999999993</v>
      </c>
      <c r="BF456" s="386">
        <f t="shared" si="312"/>
        <v>5374.3372799999997</v>
      </c>
      <c r="BG456" s="386">
        <f t="shared" si="313"/>
        <v>324.53075200000001</v>
      </c>
      <c r="BH456" s="386">
        <f t="shared" si="314"/>
        <v>220.55487999999997</v>
      </c>
      <c r="BI456" s="386">
        <f t="shared" si="315"/>
        <v>137.73427199999998</v>
      </c>
      <c r="BJ456" s="386">
        <f t="shared" si="316"/>
        <v>108.02687999999998</v>
      </c>
      <c r="BK456" s="386">
        <f t="shared" si="317"/>
        <v>0</v>
      </c>
      <c r="BL456" s="386">
        <f t="shared" si="340"/>
        <v>9608.5408639999987</v>
      </c>
      <c r="BM456" s="386">
        <f t="shared" si="341"/>
        <v>0</v>
      </c>
      <c r="BN456" s="386">
        <f t="shared" si="318"/>
        <v>11650</v>
      </c>
      <c r="BO456" s="386">
        <f t="shared" si="319"/>
        <v>0</v>
      </c>
      <c r="BP456" s="386">
        <f t="shared" si="320"/>
        <v>2790.6943999999999</v>
      </c>
      <c r="BQ456" s="386">
        <f t="shared" si="321"/>
        <v>652.66239999999993</v>
      </c>
      <c r="BR456" s="386">
        <f t="shared" si="322"/>
        <v>5374.3372799999997</v>
      </c>
      <c r="BS456" s="386">
        <f t="shared" si="323"/>
        <v>324.53075200000001</v>
      </c>
      <c r="BT456" s="386">
        <f t="shared" si="324"/>
        <v>0</v>
      </c>
      <c r="BU456" s="386">
        <f t="shared" si="325"/>
        <v>137.73427199999998</v>
      </c>
      <c r="BV456" s="386">
        <f t="shared" si="326"/>
        <v>112.52799999999999</v>
      </c>
      <c r="BW456" s="386">
        <f t="shared" si="327"/>
        <v>0</v>
      </c>
      <c r="BX456" s="386">
        <f t="shared" si="342"/>
        <v>9392.4871039999998</v>
      </c>
      <c r="BY456" s="386">
        <f t="shared" si="343"/>
        <v>0</v>
      </c>
      <c r="BZ456" s="386">
        <f t="shared" si="344"/>
        <v>0</v>
      </c>
      <c r="CA456" s="386">
        <f t="shared" si="345"/>
        <v>0</v>
      </c>
      <c r="CB456" s="386">
        <f t="shared" si="346"/>
        <v>0</v>
      </c>
      <c r="CC456" s="386">
        <f t="shared" si="328"/>
        <v>0</v>
      </c>
      <c r="CD456" s="386">
        <f t="shared" si="329"/>
        <v>0</v>
      </c>
      <c r="CE456" s="386">
        <f t="shared" si="330"/>
        <v>0</v>
      </c>
      <c r="CF456" s="386">
        <f t="shared" si="331"/>
        <v>-220.55487999999997</v>
      </c>
      <c r="CG456" s="386">
        <f t="shared" si="332"/>
        <v>0</v>
      </c>
      <c r="CH456" s="386">
        <f t="shared" si="333"/>
        <v>4.5011200000000118</v>
      </c>
      <c r="CI456" s="386">
        <f t="shared" si="334"/>
        <v>0</v>
      </c>
      <c r="CJ456" s="386">
        <f t="shared" si="347"/>
        <v>-216.05375999999995</v>
      </c>
      <c r="CK456" s="386" t="str">
        <f t="shared" si="348"/>
        <v/>
      </c>
      <c r="CL456" s="386" t="str">
        <f t="shared" si="349"/>
        <v/>
      </c>
      <c r="CM456" s="386" t="str">
        <f t="shared" si="350"/>
        <v/>
      </c>
      <c r="CN456" s="386" t="str">
        <f t="shared" si="351"/>
        <v>0001-00</v>
      </c>
    </row>
    <row r="457" spans="1:92" ht="15.75" thickBot="1" x14ac:dyDescent="0.3">
      <c r="A457" s="375" t="s">
        <v>161</v>
      </c>
      <c r="B457" s="375" t="s">
        <v>162</v>
      </c>
      <c r="C457" s="375" t="s">
        <v>1672</v>
      </c>
      <c r="D457" s="375" t="s">
        <v>665</v>
      </c>
      <c r="E457" s="375" t="s">
        <v>165</v>
      </c>
      <c r="F457" s="376" t="s">
        <v>166</v>
      </c>
      <c r="G457" s="375" t="s">
        <v>1599</v>
      </c>
      <c r="H457" s="377"/>
      <c r="I457" s="377"/>
      <c r="J457" s="375" t="s">
        <v>168</v>
      </c>
      <c r="K457" s="375" t="s">
        <v>666</v>
      </c>
      <c r="L457" s="375" t="s">
        <v>183</v>
      </c>
      <c r="M457" s="375" t="s">
        <v>177</v>
      </c>
      <c r="N457" s="375" t="s">
        <v>199</v>
      </c>
      <c r="O457" s="378">
        <v>1</v>
      </c>
      <c r="P457" s="384">
        <v>1</v>
      </c>
      <c r="Q457" s="384">
        <v>1</v>
      </c>
      <c r="R457" s="379">
        <v>80</v>
      </c>
      <c r="S457" s="384">
        <v>1</v>
      </c>
      <c r="T457" s="379">
        <v>34713.61</v>
      </c>
      <c r="U457" s="379">
        <v>0</v>
      </c>
      <c r="V457" s="379">
        <v>18816.169999999998</v>
      </c>
      <c r="W457" s="379">
        <v>35963.199999999997</v>
      </c>
      <c r="X457" s="379">
        <v>19327.02</v>
      </c>
      <c r="Y457" s="379">
        <v>35963.199999999997</v>
      </c>
      <c r="Z457" s="379">
        <v>19154.400000000001</v>
      </c>
      <c r="AA457" s="375" t="s">
        <v>1673</v>
      </c>
      <c r="AB457" s="375" t="s">
        <v>1590</v>
      </c>
      <c r="AC457" s="375" t="s">
        <v>1566</v>
      </c>
      <c r="AD457" s="375" t="s">
        <v>352</v>
      </c>
      <c r="AE457" s="375" t="s">
        <v>666</v>
      </c>
      <c r="AF457" s="375" t="s">
        <v>206</v>
      </c>
      <c r="AG457" s="375" t="s">
        <v>183</v>
      </c>
      <c r="AH457" s="380">
        <v>17.29</v>
      </c>
      <c r="AI457" s="380">
        <v>30484.9</v>
      </c>
      <c r="AJ457" s="375" t="s">
        <v>184</v>
      </c>
      <c r="AK457" s="375" t="s">
        <v>185</v>
      </c>
      <c r="AL457" s="375" t="s">
        <v>173</v>
      </c>
      <c r="AM457" s="375" t="s">
        <v>186</v>
      </c>
      <c r="AN457" s="375" t="s">
        <v>68</v>
      </c>
      <c r="AO457" s="378">
        <v>80</v>
      </c>
      <c r="AP457" s="384">
        <v>1</v>
      </c>
      <c r="AQ457" s="384">
        <v>1</v>
      </c>
      <c r="AR457" s="383" t="s">
        <v>187</v>
      </c>
      <c r="AS457" s="386">
        <f t="shared" si="335"/>
        <v>1</v>
      </c>
      <c r="AT457">
        <f t="shared" si="336"/>
        <v>1</v>
      </c>
      <c r="AU457" s="386">
        <f>IF(AT457=0,"",IF(AND(AT457=1,M457="F",SUMIF(C2:C557,C457,AS2:AS557)&lt;=1),SUMIF(C2:C557,C457,AS2:AS557),IF(AND(AT457=1,M457="F",SUMIF(C2:C557,C457,AS2:AS557)&gt;1),1,"")))</f>
        <v>1</v>
      </c>
      <c r="AV457" s="386" t="str">
        <f>IF(AT457=0,"",IF(AND(AT457=3,M457="F",SUMIF(C2:C557,C457,AS2:AS557)&lt;=1),SUMIF(C2:C557,C457,AS2:AS557),IF(AND(AT457=3,M457="F",SUMIF(C2:C557,C457,AS2:AS557)&gt;1),1,"")))</f>
        <v/>
      </c>
      <c r="AW457" s="386">
        <f>SUMIF(C2:C557,C457,O2:O557)</f>
        <v>1</v>
      </c>
      <c r="AX457" s="386">
        <f>IF(AND(M457="F",AS457&lt;&gt;0),SUMIF(C2:C557,C457,W2:W557),0)</f>
        <v>35963.199999999997</v>
      </c>
      <c r="AY457" s="386">
        <f t="shared" si="337"/>
        <v>35963.199999999997</v>
      </c>
      <c r="AZ457" s="386" t="str">
        <f t="shared" si="338"/>
        <v/>
      </c>
      <c r="BA457" s="386">
        <f t="shared" si="339"/>
        <v>0</v>
      </c>
      <c r="BB457" s="386">
        <f t="shared" si="308"/>
        <v>11650</v>
      </c>
      <c r="BC457" s="386">
        <f t="shared" si="309"/>
        <v>0</v>
      </c>
      <c r="BD457" s="386">
        <f t="shared" si="310"/>
        <v>2229.7183999999997</v>
      </c>
      <c r="BE457" s="386">
        <f t="shared" si="311"/>
        <v>521.46640000000002</v>
      </c>
      <c r="BF457" s="386">
        <f t="shared" si="312"/>
        <v>4294.0060800000001</v>
      </c>
      <c r="BG457" s="386">
        <f t="shared" si="313"/>
        <v>259.29467199999999</v>
      </c>
      <c r="BH457" s="386">
        <f t="shared" si="314"/>
        <v>176.21967999999998</v>
      </c>
      <c r="BI457" s="386">
        <f t="shared" si="315"/>
        <v>110.04739199999999</v>
      </c>
      <c r="BJ457" s="386">
        <f t="shared" si="316"/>
        <v>86.311679999999981</v>
      </c>
      <c r="BK457" s="386">
        <f t="shared" si="317"/>
        <v>0</v>
      </c>
      <c r="BL457" s="386">
        <f t="shared" si="340"/>
        <v>7677.0643040000004</v>
      </c>
      <c r="BM457" s="386">
        <f t="shared" si="341"/>
        <v>0</v>
      </c>
      <c r="BN457" s="386">
        <f t="shared" si="318"/>
        <v>11650</v>
      </c>
      <c r="BO457" s="386">
        <f t="shared" si="319"/>
        <v>0</v>
      </c>
      <c r="BP457" s="386">
        <f t="shared" si="320"/>
        <v>2229.7183999999997</v>
      </c>
      <c r="BQ457" s="386">
        <f t="shared" si="321"/>
        <v>521.46640000000002</v>
      </c>
      <c r="BR457" s="386">
        <f t="shared" si="322"/>
        <v>4294.0060800000001</v>
      </c>
      <c r="BS457" s="386">
        <f t="shared" si="323"/>
        <v>259.29467199999999</v>
      </c>
      <c r="BT457" s="386">
        <f t="shared" si="324"/>
        <v>0</v>
      </c>
      <c r="BU457" s="386">
        <f t="shared" si="325"/>
        <v>110.04739199999999</v>
      </c>
      <c r="BV457" s="386">
        <f t="shared" si="326"/>
        <v>89.908000000000001</v>
      </c>
      <c r="BW457" s="386">
        <f t="shared" si="327"/>
        <v>0</v>
      </c>
      <c r="BX457" s="386">
        <f t="shared" si="342"/>
        <v>7504.4409440000009</v>
      </c>
      <c r="BY457" s="386">
        <f t="shared" si="343"/>
        <v>0</v>
      </c>
      <c r="BZ457" s="386">
        <f t="shared" si="344"/>
        <v>0</v>
      </c>
      <c r="CA457" s="386">
        <f t="shared" si="345"/>
        <v>0</v>
      </c>
      <c r="CB457" s="386">
        <f t="shared" si="346"/>
        <v>0</v>
      </c>
      <c r="CC457" s="386">
        <f t="shared" si="328"/>
        <v>0</v>
      </c>
      <c r="CD457" s="386">
        <f t="shared" si="329"/>
        <v>0</v>
      </c>
      <c r="CE457" s="386">
        <f t="shared" si="330"/>
        <v>0</v>
      </c>
      <c r="CF457" s="386">
        <f t="shared" si="331"/>
        <v>-176.21967999999998</v>
      </c>
      <c r="CG457" s="386">
        <f t="shared" si="332"/>
        <v>0</v>
      </c>
      <c r="CH457" s="386">
        <f t="shared" si="333"/>
        <v>3.5963200000000093</v>
      </c>
      <c r="CI457" s="386">
        <f t="shared" si="334"/>
        <v>0</v>
      </c>
      <c r="CJ457" s="386">
        <f t="shared" si="347"/>
        <v>-172.62335999999996</v>
      </c>
      <c r="CK457" s="386" t="str">
        <f t="shared" si="348"/>
        <v/>
      </c>
      <c r="CL457" s="386" t="str">
        <f t="shared" si="349"/>
        <v/>
      </c>
      <c r="CM457" s="386" t="str">
        <f t="shared" si="350"/>
        <v/>
      </c>
      <c r="CN457" s="386" t="str">
        <f t="shared" si="351"/>
        <v>0001-00</v>
      </c>
    </row>
    <row r="458" spans="1:92" ht="15.75" thickBot="1" x14ac:dyDescent="0.3">
      <c r="A458" s="375" t="s">
        <v>161</v>
      </c>
      <c r="B458" s="375" t="s">
        <v>162</v>
      </c>
      <c r="C458" s="375" t="s">
        <v>1674</v>
      </c>
      <c r="D458" s="375" t="s">
        <v>1629</v>
      </c>
      <c r="E458" s="375" t="s">
        <v>165</v>
      </c>
      <c r="F458" s="376" t="s">
        <v>166</v>
      </c>
      <c r="G458" s="375" t="s">
        <v>1599</v>
      </c>
      <c r="H458" s="377"/>
      <c r="I458" s="377"/>
      <c r="J458" s="375" t="s">
        <v>168</v>
      </c>
      <c r="K458" s="375" t="s">
        <v>1630</v>
      </c>
      <c r="L458" s="375" t="s">
        <v>198</v>
      </c>
      <c r="M458" s="375" t="s">
        <v>177</v>
      </c>
      <c r="N458" s="375" t="s">
        <v>199</v>
      </c>
      <c r="O458" s="378">
        <v>1</v>
      </c>
      <c r="P458" s="384">
        <v>1</v>
      </c>
      <c r="Q458" s="384">
        <v>1</v>
      </c>
      <c r="R458" s="379">
        <v>80</v>
      </c>
      <c r="S458" s="384">
        <v>1</v>
      </c>
      <c r="T458" s="379">
        <v>47449.89</v>
      </c>
      <c r="U458" s="379">
        <v>0</v>
      </c>
      <c r="V458" s="379">
        <v>17979.5</v>
      </c>
      <c r="W458" s="379">
        <v>44865.599999999999</v>
      </c>
      <c r="X458" s="379">
        <v>21227.43</v>
      </c>
      <c r="Y458" s="379">
        <v>44865.599999999999</v>
      </c>
      <c r="Z458" s="379">
        <v>21012.080000000002</v>
      </c>
      <c r="AA458" s="375" t="s">
        <v>1675</v>
      </c>
      <c r="AB458" s="375" t="s">
        <v>1676</v>
      </c>
      <c r="AC458" s="375" t="s">
        <v>1202</v>
      </c>
      <c r="AD458" s="375" t="s">
        <v>267</v>
      </c>
      <c r="AE458" s="375" t="s">
        <v>1630</v>
      </c>
      <c r="AF458" s="375" t="s">
        <v>245</v>
      </c>
      <c r="AG458" s="375" t="s">
        <v>183</v>
      </c>
      <c r="AH458" s="380">
        <v>21.57</v>
      </c>
      <c r="AI458" s="380">
        <v>12100.6</v>
      </c>
      <c r="AJ458" s="375" t="s">
        <v>184</v>
      </c>
      <c r="AK458" s="375" t="s">
        <v>185</v>
      </c>
      <c r="AL458" s="375" t="s">
        <v>173</v>
      </c>
      <c r="AM458" s="375" t="s">
        <v>186</v>
      </c>
      <c r="AN458" s="375" t="s">
        <v>68</v>
      </c>
      <c r="AO458" s="378">
        <v>80</v>
      </c>
      <c r="AP458" s="384">
        <v>1</v>
      </c>
      <c r="AQ458" s="384">
        <v>1</v>
      </c>
      <c r="AR458" s="383" t="s">
        <v>187</v>
      </c>
      <c r="AS458" s="386">
        <f t="shared" si="335"/>
        <v>1</v>
      </c>
      <c r="AT458">
        <f t="shared" si="336"/>
        <v>1</v>
      </c>
      <c r="AU458" s="386">
        <f>IF(AT458=0,"",IF(AND(AT458=1,M458="F",SUMIF(C2:C557,C458,AS2:AS557)&lt;=1),SUMIF(C2:C557,C458,AS2:AS557),IF(AND(AT458=1,M458="F",SUMIF(C2:C557,C458,AS2:AS557)&gt;1),1,"")))</f>
        <v>1</v>
      </c>
      <c r="AV458" s="386" t="str">
        <f>IF(AT458=0,"",IF(AND(AT458=3,M458="F",SUMIF(C2:C557,C458,AS2:AS557)&lt;=1),SUMIF(C2:C557,C458,AS2:AS557),IF(AND(AT458=3,M458="F",SUMIF(C2:C557,C458,AS2:AS557)&gt;1),1,"")))</f>
        <v/>
      </c>
      <c r="AW458" s="386">
        <f>SUMIF(C2:C557,C458,O2:O557)</f>
        <v>1</v>
      </c>
      <c r="AX458" s="386">
        <f>IF(AND(M458="F",AS458&lt;&gt;0),SUMIF(C2:C557,C458,W2:W557),0)</f>
        <v>44865.599999999999</v>
      </c>
      <c r="AY458" s="386">
        <f t="shared" si="337"/>
        <v>44865.599999999999</v>
      </c>
      <c r="AZ458" s="386" t="str">
        <f t="shared" si="338"/>
        <v/>
      </c>
      <c r="BA458" s="386">
        <f t="shared" si="339"/>
        <v>0</v>
      </c>
      <c r="BB458" s="386">
        <f t="shared" si="308"/>
        <v>11650</v>
      </c>
      <c r="BC458" s="386">
        <f t="shared" si="309"/>
        <v>0</v>
      </c>
      <c r="BD458" s="386">
        <f t="shared" si="310"/>
        <v>2781.6671999999999</v>
      </c>
      <c r="BE458" s="386">
        <f t="shared" si="311"/>
        <v>650.55119999999999</v>
      </c>
      <c r="BF458" s="386">
        <f t="shared" si="312"/>
        <v>5356.9526400000004</v>
      </c>
      <c r="BG458" s="386">
        <f t="shared" si="313"/>
        <v>323.480976</v>
      </c>
      <c r="BH458" s="386">
        <f t="shared" si="314"/>
        <v>219.84143999999998</v>
      </c>
      <c r="BI458" s="386">
        <f t="shared" si="315"/>
        <v>137.288736</v>
      </c>
      <c r="BJ458" s="386">
        <f t="shared" si="316"/>
        <v>107.67743999999999</v>
      </c>
      <c r="BK458" s="386">
        <f t="shared" si="317"/>
        <v>0</v>
      </c>
      <c r="BL458" s="386">
        <f t="shared" si="340"/>
        <v>9577.4596320000019</v>
      </c>
      <c r="BM458" s="386">
        <f t="shared" si="341"/>
        <v>0</v>
      </c>
      <c r="BN458" s="386">
        <f t="shared" si="318"/>
        <v>11650</v>
      </c>
      <c r="BO458" s="386">
        <f t="shared" si="319"/>
        <v>0</v>
      </c>
      <c r="BP458" s="386">
        <f t="shared" si="320"/>
        <v>2781.6671999999999</v>
      </c>
      <c r="BQ458" s="386">
        <f t="shared" si="321"/>
        <v>650.55119999999999</v>
      </c>
      <c r="BR458" s="386">
        <f t="shared" si="322"/>
        <v>5356.9526400000004</v>
      </c>
      <c r="BS458" s="386">
        <f t="shared" si="323"/>
        <v>323.480976</v>
      </c>
      <c r="BT458" s="386">
        <f t="shared" si="324"/>
        <v>0</v>
      </c>
      <c r="BU458" s="386">
        <f t="shared" si="325"/>
        <v>137.288736</v>
      </c>
      <c r="BV458" s="386">
        <f t="shared" si="326"/>
        <v>112.164</v>
      </c>
      <c r="BW458" s="386">
        <f t="shared" si="327"/>
        <v>0</v>
      </c>
      <c r="BX458" s="386">
        <f t="shared" si="342"/>
        <v>9362.1047520000029</v>
      </c>
      <c r="BY458" s="386">
        <f t="shared" si="343"/>
        <v>0</v>
      </c>
      <c r="BZ458" s="386">
        <f t="shared" si="344"/>
        <v>0</v>
      </c>
      <c r="CA458" s="386">
        <f t="shared" si="345"/>
        <v>0</v>
      </c>
      <c r="CB458" s="386">
        <f t="shared" si="346"/>
        <v>0</v>
      </c>
      <c r="CC458" s="386">
        <f t="shared" si="328"/>
        <v>0</v>
      </c>
      <c r="CD458" s="386">
        <f t="shared" si="329"/>
        <v>0</v>
      </c>
      <c r="CE458" s="386">
        <f t="shared" si="330"/>
        <v>0</v>
      </c>
      <c r="CF458" s="386">
        <f t="shared" si="331"/>
        <v>-219.84143999999998</v>
      </c>
      <c r="CG458" s="386">
        <f t="shared" si="332"/>
        <v>0</v>
      </c>
      <c r="CH458" s="386">
        <f t="shared" si="333"/>
        <v>4.4865600000000114</v>
      </c>
      <c r="CI458" s="386">
        <f t="shared" si="334"/>
        <v>0</v>
      </c>
      <c r="CJ458" s="386">
        <f t="shared" si="347"/>
        <v>-215.35487999999998</v>
      </c>
      <c r="CK458" s="386" t="str">
        <f t="shared" si="348"/>
        <v/>
      </c>
      <c r="CL458" s="386" t="str">
        <f t="shared" si="349"/>
        <v/>
      </c>
      <c r="CM458" s="386" t="str">
        <f t="shared" si="350"/>
        <v/>
      </c>
      <c r="CN458" s="386" t="str">
        <f t="shared" si="351"/>
        <v>0001-00</v>
      </c>
    </row>
    <row r="459" spans="1:92" ht="15.75" thickBot="1" x14ac:dyDescent="0.3">
      <c r="A459" s="375" t="s">
        <v>161</v>
      </c>
      <c r="B459" s="375" t="s">
        <v>162</v>
      </c>
      <c r="C459" s="375" t="s">
        <v>1677</v>
      </c>
      <c r="D459" s="375" t="s">
        <v>239</v>
      </c>
      <c r="E459" s="375" t="s">
        <v>165</v>
      </c>
      <c r="F459" s="376" t="s">
        <v>166</v>
      </c>
      <c r="G459" s="375" t="s">
        <v>1599</v>
      </c>
      <c r="H459" s="377"/>
      <c r="I459" s="377"/>
      <c r="J459" s="375" t="s">
        <v>168</v>
      </c>
      <c r="K459" s="375" t="s">
        <v>240</v>
      </c>
      <c r="L459" s="375" t="s">
        <v>198</v>
      </c>
      <c r="M459" s="375" t="s">
        <v>177</v>
      </c>
      <c r="N459" s="375" t="s">
        <v>199</v>
      </c>
      <c r="O459" s="378">
        <v>1</v>
      </c>
      <c r="P459" s="384">
        <v>1</v>
      </c>
      <c r="Q459" s="384">
        <v>1</v>
      </c>
      <c r="R459" s="379">
        <v>80</v>
      </c>
      <c r="S459" s="384">
        <v>1</v>
      </c>
      <c r="T459" s="379">
        <v>45473.62</v>
      </c>
      <c r="U459" s="379">
        <v>0</v>
      </c>
      <c r="V459" s="379">
        <v>20699.14</v>
      </c>
      <c r="W459" s="379">
        <v>49275.199999999997</v>
      </c>
      <c r="X459" s="379">
        <v>22168.75</v>
      </c>
      <c r="Y459" s="379">
        <v>49275.199999999997</v>
      </c>
      <c r="Z459" s="379">
        <v>21932.23</v>
      </c>
      <c r="AA459" s="375" t="s">
        <v>1678</v>
      </c>
      <c r="AB459" s="375" t="s">
        <v>1679</v>
      </c>
      <c r="AC459" s="375" t="s">
        <v>635</v>
      </c>
      <c r="AD459" s="375" t="s">
        <v>1680</v>
      </c>
      <c r="AE459" s="375" t="s">
        <v>240</v>
      </c>
      <c r="AF459" s="375" t="s">
        <v>245</v>
      </c>
      <c r="AG459" s="375" t="s">
        <v>183</v>
      </c>
      <c r="AH459" s="380">
        <v>23.69</v>
      </c>
      <c r="AI459" s="380">
        <v>33900.699999999997</v>
      </c>
      <c r="AJ459" s="375" t="s">
        <v>184</v>
      </c>
      <c r="AK459" s="375" t="s">
        <v>185</v>
      </c>
      <c r="AL459" s="375" t="s">
        <v>173</v>
      </c>
      <c r="AM459" s="375" t="s">
        <v>186</v>
      </c>
      <c r="AN459" s="375" t="s">
        <v>68</v>
      </c>
      <c r="AO459" s="378">
        <v>80</v>
      </c>
      <c r="AP459" s="384">
        <v>1</v>
      </c>
      <c r="AQ459" s="384">
        <v>1</v>
      </c>
      <c r="AR459" s="383" t="s">
        <v>187</v>
      </c>
      <c r="AS459" s="386">
        <f t="shared" si="335"/>
        <v>1</v>
      </c>
      <c r="AT459">
        <f t="shared" si="336"/>
        <v>1</v>
      </c>
      <c r="AU459" s="386">
        <f>IF(AT459=0,"",IF(AND(AT459=1,M459="F",SUMIF(C2:C557,C459,AS2:AS557)&lt;=1),SUMIF(C2:C557,C459,AS2:AS557),IF(AND(AT459=1,M459="F",SUMIF(C2:C557,C459,AS2:AS557)&gt;1),1,"")))</f>
        <v>1</v>
      </c>
      <c r="AV459" s="386" t="str">
        <f>IF(AT459=0,"",IF(AND(AT459=3,M459="F",SUMIF(C2:C557,C459,AS2:AS557)&lt;=1),SUMIF(C2:C557,C459,AS2:AS557),IF(AND(AT459=3,M459="F",SUMIF(C2:C557,C459,AS2:AS557)&gt;1),1,"")))</f>
        <v/>
      </c>
      <c r="AW459" s="386">
        <f>SUMIF(C2:C557,C459,O2:O557)</f>
        <v>1</v>
      </c>
      <c r="AX459" s="386">
        <f>IF(AND(M459="F",AS459&lt;&gt;0),SUMIF(C2:C557,C459,W2:W557),0)</f>
        <v>49275.199999999997</v>
      </c>
      <c r="AY459" s="386">
        <f t="shared" si="337"/>
        <v>49275.199999999997</v>
      </c>
      <c r="AZ459" s="386" t="str">
        <f t="shared" si="338"/>
        <v/>
      </c>
      <c r="BA459" s="386">
        <f t="shared" si="339"/>
        <v>0</v>
      </c>
      <c r="BB459" s="386">
        <f t="shared" si="308"/>
        <v>11650</v>
      </c>
      <c r="BC459" s="386">
        <f t="shared" si="309"/>
        <v>0</v>
      </c>
      <c r="BD459" s="386">
        <f t="shared" si="310"/>
        <v>3055.0623999999998</v>
      </c>
      <c r="BE459" s="386">
        <f t="shared" si="311"/>
        <v>714.49040000000002</v>
      </c>
      <c r="BF459" s="386">
        <f t="shared" si="312"/>
        <v>5883.4588800000001</v>
      </c>
      <c r="BG459" s="386">
        <f t="shared" si="313"/>
        <v>355.27419199999997</v>
      </c>
      <c r="BH459" s="386">
        <f t="shared" si="314"/>
        <v>241.44847999999999</v>
      </c>
      <c r="BI459" s="386">
        <f t="shared" si="315"/>
        <v>150.78211199999998</v>
      </c>
      <c r="BJ459" s="386">
        <f t="shared" si="316"/>
        <v>118.26047999999999</v>
      </c>
      <c r="BK459" s="386">
        <f t="shared" si="317"/>
        <v>0</v>
      </c>
      <c r="BL459" s="386">
        <f t="shared" si="340"/>
        <v>10518.776944000001</v>
      </c>
      <c r="BM459" s="386">
        <f t="shared" si="341"/>
        <v>0</v>
      </c>
      <c r="BN459" s="386">
        <f t="shared" si="318"/>
        <v>11650</v>
      </c>
      <c r="BO459" s="386">
        <f t="shared" si="319"/>
        <v>0</v>
      </c>
      <c r="BP459" s="386">
        <f t="shared" si="320"/>
        <v>3055.0623999999998</v>
      </c>
      <c r="BQ459" s="386">
        <f t="shared" si="321"/>
        <v>714.49040000000002</v>
      </c>
      <c r="BR459" s="386">
        <f t="shared" si="322"/>
        <v>5883.4588800000001</v>
      </c>
      <c r="BS459" s="386">
        <f t="shared" si="323"/>
        <v>355.27419199999997</v>
      </c>
      <c r="BT459" s="386">
        <f t="shared" si="324"/>
        <v>0</v>
      </c>
      <c r="BU459" s="386">
        <f t="shared" si="325"/>
        <v>150.78211199999998</v>
      </c>
      <c r="BV459" s="386">
        <f t="shared" si="326"/>
        <v>123.188</v>
      </c>
      <c r="BW459" s="386">
        <f t="shared" si="327"/>
        <v>0</v>
      </c>
      <c r="BX459" s="386">
        <f t="shared" si="342"/>
        <v>10282.255984000001</v>
      </c>
      <c r="BY459" s="386">
        <f t="shared" si="343"/>
        <v>0</v>
      </c>
      <c r="BZ459" s="386">
        <f t="shared" si="344"/>
        <v>0</v>
      </c>
      <c r="CA459" s="386">
        <f t="shared" si="345"/>
        <v>0</v>
      </c>
      <c r="CB459" s="386">
        <f t="shared" si="346"/>
        <v>0</v>
      </c>
      <c r="CC459" s="386">
        <f t="shared" si="328"/>
        <v>0</v>
      </c>
      <c r="CD459" s="386">
        <f t="shared" si="329"/>
        <v>0</v>
      </c>
      <c r="CE459" s="386">
        <f t="shared" si="330"/>
        <v>0</v>
      </c>
      <c r="CF459" s="386">
        <f t="shared" si="331"/>
        <v>-241.44847999999999</v>
      </c>
      <c r="CG459" s="386">
        <f t="shared" si="332"/>
        <v>0</v>
      </c>
      <c r="CH459" s="386">
        <f t="shared" si="333"/>
        <v>4.9275200000000128</v>
      </c>
      <c r="CI459" s="386">
        <f t="shared" si="334"/>
        <v>0</v>
      </c>
      <c r="CJ459" s="386">
        <f t="shared" si="347"/>
        <v>-236.52095999999997</v>
      </c>
      <c r="CK459" s="386" t="str">
        <f t="shared" si="348"/>
        <v/>
      </c>
      <c r="CL459" s="386" t="str">
        <f t="shared" si="349"/>
        <v/>
      </c>
      <c r="CM459" s="386" t="str">
        <f t="shared" si="350"/>
        <v/>
      </c>
      <c r="CN459" s="386" t="str">
        <f t="shared" si="351"/>
        <v>0001-00</v>
      </c>
    </row>
    <row r="460" spans="1:92" ht="15.75" thickBot="1" x14ac:dyDescent="0.3">
      <c r="A460" s="375" t="s">
        <v>161</v>
      </c>
      <c r="B460" s="375" t="s">
        <v>162</v>
      </c>
      <c r="C460" s="375" t="s">
        <v>1681</v>
      </c>
      <c r="D460" s="375" t="s">
        <v>1598</v>
      </c>
      <c r="E460" s="375" t="s">
        <v>165</v>
      </c>
      <c r="F460" s="376" t="s">
        <v>166</v>
      </c>
      <c r="G460" s="375" t="s">
        <v>1599</v>
      </c>
      <c r="H460" s="377"/>
      <c r="I460" s="377"/>
      <c r="J460" s="375" t="s">
        <v>168</v>
      </c>
      <c r="K460" s="375" t="s">
        <v>1600</v>
      </c>
      <c r="L460" s="375" t="s">
        <v>233</v>
      </c>
      <c r="M460" s="375" t="s">
        <v>177</v>
      </c>
      <c r="N460" s="375" t="s">
        <v>199</v>
      </c>
      <c r="O460" s="378">
        <v>1</v>
      </c>
      <c r="P460" s="384">
        <v>1</v>
      </c>
      <c r="Q460" s="384">
        <v>1</v>
      </c>
      <c r="R460" s="379">
        <v>80</v>
      </c>
      <c r="S460" s="384">
        <v>1</v>
      </c>
      <c r="T460" s="379">
        <v>24830.39</v>
      </c>
      <c r="U460" s="379">
        <v>0</v>
      </c>
      <c r="V460" s="379">
        <v>14814.37</v>
      </c>
      <c r="W460" s="379">
        <v>39582.400000000001</v>
      </c>
      <c r="X460" s="379">
        <v>20099.61</v>
      </c>
      <c r="Y460" s="379">
        <v>39582.400000000001</v>
      </c>
      <c r="Z460" s="379">
        <v>19909.62</v>
      </c>
      <c r="AA460" s="375" t="s">
        <v>1682</v>
      </c>
      <c r="AB460" s="375" t="s">
        <v>1683</v>
      </c>
      <c r="AC460" s="375" t="s">
        <v>1684</v>
      </c>
      <c r="AD460" s="375" t="s">
        <v>181</v>
      </c>
      <c r="AE460" s="375" t="s">
        <v>1600</v>
      </c>
      <c r="AF460" s="375" t="s">
        <v>237</v>
      </c>
      <c r="AG460" s="375" t="s">
        <v>183</v>
      </c>
      <c r="AH460" s="380">
        <v>19.03</v>
      </c>
      <c r="AI460" s="378">
        <v>1360</v>
      </c>
      <c r="AJ460" s="375" t="s">
        <v>184</v>
      </c>
      <c r="AK460" s="375" t="s">
        <v>185</v>
      </c>
      <c r="AL460" s="375" t="s">
        <v>173</v>
      </c>
      <c r="AM460" s="375" t="s">
        <v>186</v>
      </c>
      <c r="AN460" s="375" t="s">
        <v>68</v>
      </c>
      <c r="AO460" s="378">
        <v>80</v>
      </c>
      <c r="AP460" s="384">
        <v>1</v>
      </c>
      <c r="AQ460" s="384">
        <v>1</v>
      </c>
      <c r="AR460" s="383" t="s">
        <v>187</v>
      </c>
      <c r="AS460" s="386">
        <f t="shared" si="335"/>
        <v>1</v>
      </c>
      <c r="AT460">
        <f t="shared" si="336"/>
        <v>1</v>
      </c>
      <c r="AU460" s="386">
        <f>IF(AT460=0,"",IF(AND(AT460=1,M460="F",SUMIF(C2:C557,C460,AS2:AS557)&lt;=1),SUMIF(C2:C557,C460,AS2:AS557),IF(AND(AT460=1,M460="F",SUMIF(C2:C557,C460,AS2:AS557)&gt;1),1,"")))</f>
        <v>1</v>
      </c>
      <c r="AV460" s="386" t="str">
        <f>IF(AT460=0,"",IF(AND(AT460=3,M460="F",SUMIF(C2:C557,C460,AS2:AS557)&lt;=1),SUMIF(C2:C557,C460,AS2:AS557),IF(AND(AT460=3,M460="F",SUMIF(C2:C557,C460,AS2:AS557)&gt;1),1,"")))</f>
        <v/>
      </c>
      <c r="AW460" s="386">
        <f>SUMIF(C2:C557,C460,O2:O557)</f>
        <v>1</v>
      </c>
      <c r="AX460" s="386">
        <f>IF(AND(M460="F",AS460&lt;&gt;0),SUMIF(C2:C557,C460,W2:W557),0)</f>
        <v>39582.400000000001</v>
      </c>
      <c r="AY460" s="386">
        <f t="shared" si="337"/>
        <v>39582.400000000001</v>
      </c>
      <c r="AZ460" s="386" t="str">
        <f t="shared" si="338"/>
        <v/>
      </c>
      <c r="BA460" s="386">
        <f t="shared" si="339"/>
        <v>0</v>
      </c>
      <c r="BB460" s="386">
        <f t="shared" si="308"/>
        <v>11650</v>
      </c>
      <c r="BC460" s="386">
        <f t="shared" si="309"/>
        <v>0</v>
      </c>
      <c r="BD460" s="386">
        <f t="shared" si="310"/>
        <v>2454.1088</v>
      </c>
      <c r="BE460" s="386">
        <f t="shared" si="311"/>
        <v>573.9448000000001</v>
      </c>
      <c r="BF460" s="386">
        <f t="shared" si="312"/>
        <v>4726.1385600000003</v>
      </c>
      <c r="BG460" s="386">
        <f t="shared" si="313"/>
        <v>285.38910400000003</v>
      </c>
      <c r="BH460" s="386">
        <f t="shared" si="314"/>
        <v>193.95375999999999</v>
      </c>
      <c r="BI460" s="386">
        <f t="shared" si="315"/>
        <v>121.12214399999999</v>
      </c>
      <c r="BJ460" s="386">
        <f t="shared" si="316"/>
        <v>94.99776</v>
      </c>
      <c r="BK460" s="386">
        <f t="shared" si="317"/>
        <v>0</v>
      </c>
      <c r="BL460" s="386">
        <f t="shared" si="340"/>
        <v>8449.6549280000017</v>
      </c>
      <c r="BM460" s="386">
        <f t="shared" si="341"/>
        <v>0</v>
      </c>
      <c r="BN460" s="386">
        <f t="shared" si="318"/>
        <v>11650</v>
      </c>
      <c r="BO460" s="386">
        <f t="shared" si="319"/>
        <v>0</v>
      </c>
      <c r="BP460" s="386">
        <f t="shared" si="320"/>
        <v>2454.1088</v>
      </c>
      <c r="BQ460" s="386">
        <f t="shared" si="321"/>
        <v>573.9448000000001</v>
      </c>
      <c r="BR460" s="386">
        <f t="shared" si="322"/>
        <v>4726.1385600000003</v>
      </c>
      <c r="BS460" s="386">
        <f t="shared" si="323"/>
        <v>285.38910400000003</v>
      </c>
      <c r="BT460" s="386">
        <f t="shared" si="324"/>
        <v>0</v>
      </c>
      <c r="BU460" s="386">
        <f t="shared" si="325"/>
        <v>121.12214399999999</v>
      </c>
      <c r="BV460" s="386">
        <f t="shared" si="326"/>
        <v>98.956000000000003</v>
      </c>
      <c r="BW460" s="386">
        <f t="shared" si="327"/>
        <v>0</v>
      </c>
      <c r="BX460" s="386">
        <f t="shared" si="342"/>
        <v>8259.6594079999995</v>
      </c>
      <c r="BY460" s="386">
        <f t="shared" si="343"/>
        <v>0</v>
      </c>
      <c r="BZ460" s="386">
        <f t="shared" si="344"/>
        <v>0</v>
      </c>
      <c r="CA460" s="386">
        <f t="shared" si="345"/>
        <v>0</v>
      </c>
      <c r="CB460" s="386">
        <f t="shared" si="346"/>
        <v>0</v>
      </c>
      <c r="CC460" s="386">
        <f t="shared" si="328"/>
        <v>0</v>
      </c>
      <c r="CD460" s="386">
        <f t="shared" si="329"/>
        <v>0</v>
      </c>
      <c r="CE460" s="386">
        <f t="shared" si="330"/>
        <v>0</v>
      </c>
      <c r="CF460" s="386">
        <f t="shared" si="331"/>
        <v>-193.95375999999999</v>
      </c>
      <c r="CG460" s="386">
        <f t="shared" si="332"/>
        <v>0</v>
      </c>
      <c r="CH460" s="386">
        <f t="shared" si="333"/>
        <v>3.9582400000000106</v>
      </c>
      <c r="CI460" s="386">
        <f t="shared" si="334"/>
        <v>0</v>
      </c>
      <c r="CJ460" s="386">
        <f t="shared" si="347"/>
        <v>-189.99551999999997</v>
      </c>
      <c r="CK460" s="386" t="str">
        <f t="shared" si="348"/>
        <v/>
      </c>
      <c r="CL460" s="386" t="str">
        <f t="shared" si="349"/>
        <v/>
      </c>
      <c r="CM460" s="386" t="str">
        <f t="shared" si="350"/>
        <v/>
      </c>
      <c r="CN460" s="386" t="str">
        <f t="shared" si="351"/>
        <v>0001-00</v>
      </c>
    </row>
    <row r="461" spans="1:92" ht="15.75" thickBot="1" x14ac:dyDescent="0.3">
      <c r="A461" s="375" t="s">
        <v>161</v>
      </c>
      <c r="B461" s="375" t="s">
        <v>162</v>
      </c>
      <c r="C461" s="375" t="s">
        <v>1685</v>
      </c>
      <c r="D461" s="375" t="s">
        <v>1629</v>
      </c>
      <c r="E461" s="375" t="s">
        <v>165</v>
      </c>
      <c r="F461" s="376" t="s">
        <v>166</v>
      </c>
      <c r="G461" s="375" t="s">
        <v>1599</v>
      </c>
      <c r="H461" s="377"/>
      <c r="I461" s="377"/>
      <c r="J461" s="375" t="s">
        <v>168</v>
      </c>
      <c r="K461" s="375" t="s">
        <v>1630</v>
      </c>
      <c r="L461" s="375" t="s">
        <v>198</v>
      </c>
      <c r="M461" s="375" t="s">
        <v>177</v>
      </c>
      <c r="N461" s="375" t="s">
        <v>199</v>
      </c>
      <c r="O461" s="378">
        <v>1</v>
      </c>
      <c r="P461" s="384">
        <v>1</v>
      </c>
      <c r="Q461" s="384">
        <v>1</v>
      </c>
      <c r="R461" s="379">
        <v>80</v>
      </c>
      <c r="S461" s="384">
        <v>1</v>
      </c>
      <c r="T461" s="379">
        <v>43844.160000000003</v>
      </c>
      <c r="U461" s="379">
        <v>0</v>
      </c>
      <c r="V461" s="379">
        <v>20386.25</v>
      </c>
      <c r="W461" s="379">
        <v>49171.199999999997</v>
      </c>
      <c r="X461" s="379">
        <v>22146.55</v>
      </c>
      <c r="Y461" s="379">
        <v>49171.199999999997</v>
      </c>
      <c r="Z461" s="379">
        <v>21910.53</v>
      </c>
      <c r="AA461" s="375" t="s">
        <v>1686</v>
      </c>
      <c r="AB461" s="375" t="s">
        <v>1687</v>
      </c>
      <c r="AC461" s="375" t="s">
        <v>1688</v>
      </c>
      <c r="AD461" s="375" t="s">
        <v>352</v>
      </c>
      <c r="AE461" s="375" t="s">
        <v>1630</v>
      </c>
      <c r="AF461" s="375" t="s">
        <v>245</v>
      </c>
      <c r="AG461" s="375" t="s">
        <v>183</v>
      </c>
      <c r="AH461" s="380">
        <v>23.64</v>
      </c>
      <c r="AI461" s="380">
        <v>32419.1</v>
      </c>
      <c r="AJ461" s="375" t="s">
        <v>184</v>
      </c>
      <c r="AK461" s="375" t="s">
        <v>185</v>
      </c>
      <c r="AL461" s="375" t="s">
        <v>173</v>
      </c>
      <c r="AM461" s="375" t="s">
        <v>186</v>
      </c>
      <c r="AN461" s="375" t="s">
        <v>68</v>
      </c>
      <c r="AO461" s="378">
        <v>80</v>
      </c>
      <c r="AP461" s="384">
        <v>1</v>
      </c>
      <c r="AQ461" s="384">
        <v>1</v>
      </c>
      <c r="AR461" s="383" t="s">
        <v>187</v>
      </c>
      <c r="AS461" s="386">
        <f t="shared" si="335"/>
        <v>1</v>
      </c>
      <c r="AT461">
        <f t="shared" si="336"/>
        <v>1</v>
      </c>
      <c r="AU461" s="386">
        <f>IF(AT461=0,"",IF(AND(AT461=1,M461="F",SUMIF(C2:C557,C461,AS2:AS557)&lt;=1),SUMIF(C2:C557,C461,AS2:AS557),IF(AND(AT461=1,M461="F",SUMIF(C2:C557,C461,AS2:AS557)&gt;1),1,"")))</f>
        <v>1</v>
      </c>
      <c r="AV461" s="386" t="str">
        <f>IF(AT461=0,"",IF(AND(AT461=3,M461="F",SUMIF(C2:C557,C461,AS2:AS557)&lt;=1),SUMIF(C2:C557,C461,AS2:AS557),IF(AND(AT461=3,M461="F",SUMIF(C2:C557,C461,AS2:AS557)&gt;1),1,"")))</f>
        <v/>
      </c>
      <c r="AW461" s="386">
        <f>SUMIF(C2:C557,C461,O2:O557)</f>
        <v>1</v>
      </c>
      <c r="AX461" s="386">
        <f>IF(AND(M461="F",AS461&lt;&gt;0),SUMIF(C2:C557,C461,W2:W557),0)</f>
        <v>49171.199999999997</v>
      </c>
      <c r="AY461" s="386">
        <f t="shared" si="337"/>
        <v>49171.199999999997</v>
      </c>
      <c r="AZ461" s="386" t="str">
        <f t="shared" si="338"/>
        <v/>
      </c>
      <c r="BA461" s="386">
        <f t="shared" si="339"/>
        <v>0</v>
      </c>
      <c r="BB461" s="386">
        <f t="shared" si="308"/>
        <v>11650</v>
      </c>
      <c r="BC461" s="386">
        <f t="shared" si="309"/>
        <v>0</v>
      </c>
      <c r="BD461" s="386">
        <f t="shared" si="310"/>
        <v>3048.6143999999999</v>
      </c>
      <c r="BE461" s="386">
        <f t="shared" si="311"/>
        <v>712.98239999999998</v>
      </c>
      <c r="BF461" s="386">
        <f t="shared" si="312"/>
        <v>5871.0412800000004</v>
      </c>
      <c r="BG461" s="386">
        <f t="shared" si="313"/>
        <v>354.52435199999996</v>
      </c>
      <c r="BH461" s="386">
        <f t="shared" si="314"/>
        <v>240.93887999999998</v>
      </c>
      <c r="BI461" s="386">
        <f t="shared" si="315"/>
        <v>150.46387199999998</v>
      </c>
      <c r="BJ461" s="386">
        <f t="shared" si="316"/>
        <v>118.01087999999999</v>
      </c>
      <c r="BK461" s="386">
        <f t="shared" si="317"/>
        <v>0</v>
      </c>
      <c r="BL461" s="386">
        <f t="shared" si="340"/>
        <v>10496.576064000001</v>
      </c>
      <c r="BM461" s="386">
        <f t="shared" si="341"/>
        <v>0</v>
      </c>
      <c r="BN461" s="386">
        <f t="shared" si="318"/>
        <v>11650</v>
      </c>
      <c r="BO461" s="386">
        <f t="shared" si="319"/>
        <v>0</v>
      </c>
      <c r="BP461" s="386">
        <f t="shared" si="320"/>
        <v>3048.6143999999999</v>
      </c>
      <c r="BQ461" s="386">
        <f t="shared" si="321"/>
        <v>712.98239999999998</v>
      </c>
      <c r="BR461" s="386">
        <f t="shared" si="322"/>
        <v>5871.0412800000004</v>
      </c>
      <c r="BS461" s="386">
        <f t="shared" si="323"/>
        <v>354.52435199999996</v>
      </c>
      <c r="BT461" s="386">
        <f t="shared" si="324"/>
        <v>0</v>
      </c>
      <c r="BU461" s="386">
        <f t="shared" si="325"/>
        <v>150.46387199999998</v>
      </c>
      <c r="BV461" s="386">
        <f t="shared" si="326"/>
        <v>122.928</v>
      </c>
      <c r="BW461" s="386">
        <f t="shared" si="327"/>
        <v>0</v>
      </c>
      <c r="BX461" s="386">
        <f t="shared" si="342"/>
        <v>10260.554304000001</v>
      </c>
      <c r="BY461" s="386">
        <f t="shared" si="343"/>
        <v>0</v>
      </c>
      <c r="BZ461" s="386">
        <f t="shared" si="344"/>
        <v>0</v>
      </c>
      <c r="CA461" s="386">
        <f t="shared" si="345"/>
        <v>0</v>
      </c>
      <c r="CB461" s="386">
        <f t="shared" si="346"/>
        <v>0</v>
      </c>
      <c r="CC461" s="386">
        <f t="shared" si="328"/>
        <v>0</v>
      </c>
      <c r="CD461" s="386">
        <f t="shared" si="329"/>
        <v>0</v>
      </c>
      <c r="CE461" s="386">
        <f t="shared" si="330"/>
        <v>0</v>
      </c>
      <c r="CF461" s="386">
        <f t="shared" si="331"/>
        <v>-240.93887999999998</v>
      </c>
      <c r="CG461" s="386">
        <f t="shared" si="332"/>
        <v>0</v>
      </c>
      <c r="CH461" s="386">
        <f t="shared" si="333"/>
        <v>4.917120000000013</v>
      </c>
      <c r="CI461" s="386">
        <f t="shared" si="334"/>
        <v>0</v>
      </c>
      <c r="CJ461" s="386">
        <f t="shared" si="347"/>
        <v>-236.02175999999997</v>
      </c>
      <c r="CK461" s="386" t="str">
        <f t="shared" si="348"/>
        <v/>
      </c>
      <c r="CL461" s="386" t="str">
        <f t="shared" si="349"/>
        <v/>
      </c>
      <c r="CM461" s="386" t="str">
        <f t="shared" si="350"/>
        <v/>
      </c>
      <c r="CN461" s="386" t="str">
        <f t="shared" si="351"/>
        <v>0001-00</v>
      </c>
    </row>
    <row r="462" spans="1:92" ht="15.75" thickBot="1" x14ac:dyDescent="0.3">
      <c r="A462" s="375" t="s">
        <v>161</v>
      </c>
      <c r="B462" s="375" t="s">
        <v>162</v>
      </c>
      <c r="C462" s="375" t="s">
        <v>1689</v>
      </c>
      <c r="D462" s="375" t="s">
        <v>1598</v>
      </c>
      <c r="E462" s="375" t="s">
        <v>165</v>
      </c>
      <c r="F462" s="376" t="s">
        <v>166</v>
      </c>
      <c r="G462" s="375" t="s">
        <v>1599</v>
      </c>
      <c r="H462" s="377"/>
      <c r="I462" s="377"/>
      <c r="J462" s="375" t="s">
        <v>168</v>
      </c>
      <c r="K462" s="375" t="s">
        <v>1600</v>
      </c>
      <c r="L462" s="375" t="s">
        <v>233</v>
      </c>
      <c r="M462" s="375" t="s">
        <v>177</v>
      </c>
      <c r="N462" s="375" t="s">
        <v>199</v>
      </c>
      <c r="O462" s="378">
        <v>1</v>
      </c>
      <c r="P462" s="384">
        <v>1</v>
      </c>
      <c r="Q462" s="384">
        <v>1</v>
      </c>
      <c r="R462" s="379">
        <v>80</v>
      </c>
      <c r="S462" s="384">
        <v>1</v>
      </c>
      <c r="T462" s="379">
        <v>39661.410000000003</v>
      </c>
      <c r="U462" s="379">
        <v>0</v>
      </c>
      <c r="V462" s="379">
        <v>19735.669999999998</v>
      </c>
      <c r="W462" s="379">
        <v>41662.400000000001</v>
      </c>
      <c r="X462" s="379">
        <v>20543.63</v>
      </c>
      <c r="Y462" s="379">
        <v>41662.400000000001</v>
      </c>
      <c r="Z462" s="379">
        <v>20343.66</v>
      </c>
      <c r="AA462" s="375" t="s">
        <v>1690</v>
      </c>
      <c r="AB462" s="375" t="s">
        <v>1691</v>
      </c>
      <c r="AC462" s="375" t="s">
        <v>1692</v>
      </c>
      <c r="AD462" s="375" t="s">
        <v>195</v>
      </c>
      <c r="AE462" s="375" t="s">
        <v>1600</v>
      </c>
      <c r="AF462" s="375" t="s">
        <v>237</v>
      </c>
      <c r="AG462" s="375" t="s">
        <v>183</v>
      </c>
      <c r="AH462" s="380">
        <v>20.03</v>
      </c>
      <c r="AI462" s="380">
        <v>19489.2</v>
      </c>
      <c r="AJ462" s="375" t="s">
        <v>184</v>
      </c>
      <c r="AK462" s="375" t="s">
        <v>185</v>
      </c>
      <c r="AL462" s="375" t="s">
        <v>173</v>
      </c>
      <c r="AM462" s="375" t="s">
        <v>186</v>
      </c>
      <c r="AN462" s="375" t="s">
        <v>68</v>
      </c>
      <c r="AO462" s="378">
        <v>80</v>
      </c>
      <c r="AP462" s="384">
        <v>1</v>
      </c>
      <c r="AQ462" s="384">
        <v>1</v>
      </c>
      <c r="AR462" s="383" t="s">
        <v>187</v>
      </c>
      <c r="AS462" s="386">
        <f t="shared" si="335"/>
        <v>1</v>
      </c>
      <c r="AT462">
        <f t="shared" si="336"/>
        <v>1</v>
      </c>
      <c r="AU462" s="386">
        <f>IF(AT462=0,"",IF(AND(AT462=1,M462="F",SUMIF(C2:C557,C462,AS2:AS557)&lt;=1),SUMIF(C2:C557,C462,AS2:AS557),IF(AND(AT462=1,M462="F",SUMIF(C2:C557,C462,AS2:AS557)&gt;1),1,"")))</f>
        <v>1</v>
      </c>
      <c r="AV462" s="386" t="str">
        <f>IF(AT462=0,"",IF(AND(AT462=3,M462="F",SUMIF(C2:C557,C462,AS2:AS557)&lt;=1),SUMIF(C2:C557,C462,AS2:AS557),IF(AND(AT462=3,M462="F",SUMIF(C2:C557,C462,AS2:AS557)&gt;1),1,"")))</f>
        <v/>
      </c>
      <c r="AW462" s="386">
        <f>SUMIF(C2:C557,C462,O2:O557)</f>
        <v>1</v>
      </c>
      <c r="AX462" s="386">
        <f>IF(AND(M462="F",AS462&lt;&gt;0),SUMIF(C2:C557,C462,W2:W557),0)</f>
        <v>41662.400000000001</v>
      </c>
      <c r="AY462" s="386">
        <f t="shared" si="337"/>
        <v>41662.400000000001</v>
      </c>
      <c r="AZ462" s="386" t="str">
        <f t="shared" si="338"/>
        <v/>
      </c>
      <c r="BA462" s="386">
        <f t="shared" si="339"/>
        <v>0</v>
      </c>
      <c r="BB462" s="386">
        <f t="shared" si="308"/>
        <v>11650</v>
      </c>
      <c r="BC462" s="386">
        <f t="shared" si="309"/>
        <v>0</v>
      </c>
      <c r="BD462" s="386">
        <f t="shared" si="310"/>
        <v>2583.0688</v>
      </c>
      <c r="BE462" s="386">
        <f t="shared" si="311"/>
        <v>604.10480000000007</v>
      </c>
      <c r="BF462" s="386">
        <f t="shared" si="312"/>
        <v>4974.4905600000002</v>
      </c>
      <c r="BG462" s="386">
        <f t="shared" si="313"/>
        <v>300.38590400000004</v>
      </c>
      <c r="BH462" s="386">
        <f t="shared" si="314"/>
        <v>204.14576</v>
      </c>
      <c r="BI462" s="386">
        <f t="shared" si="315"/>
        <v>127.48694399999999</v>
      </c>
      <c r="BJ462" s="386">
        <f t="shared" si="316"/>
        <v>99.98975999999999</v>
      </c>
      <c r="BK462" s="386">
        <f t="shared" si="317"/>
        <v>0</v>
      </c>
      <c r="BL462" s="386">
        <f t="shared" si="340"/>
        <v>8893.672528000001</v>
      </c>
      <c r="BM462" s="386">
        <f t="shared" si="341"/>
        <v>0</v>
      </c>
      <c r="BN462" s="386">
        <f t="shared" si="318"/>
        <v>11650</v>
      </c>
      <c r="BO462" s="386">
        <f t="shared" si="319"/>
        <v>0</v>
      </c>
      <c r="BP462" s="386">
        <f t="shared" si="320"/>
        <v>2583.0688</v>
      </c>
      <c r="BQ462" s="386">
        <f t="shared" si="321"/>
        <v>604.10480000000007</v>
      </c>
      <c r="BR462" s="386">
        <f t="shared" si="322"/>
        <v>4974.4905600000002</v>
      </c>
      <c r="BS462" s="386">
        <f t="shared" si="323"/>
        <v>300.38590400000004</v>
      </c>
      <c r="BT462" s="386">
        <f t="shared" si="324"/>
        <v>0</v>
      </c>
      <c r="BU462" s="386">
        <f t="shared" si="325"/>
        <v>127.48694399999999</v>
      </c>
      <c r="BV462" s="386">
        <f t="shared" si="326"/>
        <v>104.15600000000001</v>
      </c>
      <c r="BW462" s="386">
        <f t="shared" si="327"/>
        <v>0</v>
      </c>
      <c r="BX462" s="386">
        <f t="shared" si="342"/>
        <v>8693.693008000002</v>
      </c>
      <c r="BY462" s="386">
        <f t="shared" si="343"/>
        <v>0</v>
      </c>
      <c r="BZ462" s="386">
        <f t="shared" si="344"/>
        <v>0</v>
      </c>
      <c r="CA462" s="386">
        <f t="shared" si="345"/>
        <v>0</v>
      </c>
      <c r="CB462" s="386">
        <f t="shared" si="346"/>
        <v>0</v>
      </c>
      <c r="CC462" s="386">
        <f t="shared" si="328"/>
        <v>0</v>
      </c>
      <c r="CD462" s="386">
        <f t="shared" si="329"/>
        <v>0</v>
      </c>
      <c r="CE462" s="386">
        <f t="shared" si="330"/>
        <v>0</v>
      </c>
      <c r="CF462" s="386">
        <f t="shared" si="331"/>
        <v>-204.14576</v>
      </c>
      <c r="CG462" s="386">
        <f t="shared" si="332"/>
        <v>0</v>
      </c>
      <c r="CH462" s="386">
        <f t="shared" si="333"/>
        <v>4.1662400000000108</v>
      </c>
      <c r="CI462" s="386">
        <f t="shared" si="334"/>
        <v>0</v>
      </c>
      <c r="CJ462" s="386">
        <f t="shared" si="347"/>
        <v>-199.97951999999998</v>
      </c>
      <c r="CK462" s="386" t="str">
        <f t="shared" si="348"/>
        <v/>
      </c>
      <c r="CL462" s="386" t="str">
        <f t="shared" si="349"/>
        <v/>
      </c>
      <c r="CM462" s="386" t="str">
        <f t="shared" si="350"/>
        <v/>
      </c>
      <c r="CN462" s="386" t="str">
        <f t="shared" si="351"/>
        <v>0001-00</v>
      </c>
    </row>
    <row r="463" spans="1:92" ht="15.75" thickBot="1" x14ac:dyDescent="0.3">
      <c r="A463" s="375" t="s">
        <v>161</v>
      </c>
      <c r="B463" s="375" t="s">
        <v>162</v>
      </c>
      <c r="C463" s="375" t="s">
        <v>1693</v>
      </c>
      <c r="D463" s="375" t="s">
        <v>247</v>
      </c>
      <c r="E463" s="375" t="s">
        <v>165</v>
      </c>
      <c r="F463" s="376" t="s">
        <v>166</v>
      </c>
      <c r="G463" s="375" t="s">
        <v>1599</v>
      </c>
      <c r="H463" s="377"/>
      <c r="I463" s="377"/>
      <c r="J463" s="375" t="s">
        <v>168</v>
      </c>
      <c r="K463" s="375" t="s">
        <v>284</v>
      </c>
      <c r="L463" s="375" t="s">
        <v>198</v>
      </c>
      <c r="M463" s="375" t="s">
        <v>177</v>
      </c>
      <c r="N463" s="375" t="s">
        <v>199</v>
      </c>
      <c r="O463" s="378">
        <v>1</v>
      </c>
      <c r="P463" s="384">
        <v>1</v>
      </c>
      <c r="Q463" s="384">
        <v>1</v>
      </c>
      <c r="R463" s="379">
        <v>80</v>
      </c>
      <c r="S463" s="384">
        <v>1</v>
      </c>
      <c r="T463" s="379">
        <v>14875.2</v>
      </c>
      <c r="U463" s="379">
        <v>0</v>
      </c>
      <c r="V463" s="379">
        <v>7958.16</v>
      </c>
      <c r="W463" s="379">
        <v>44886.400000000001</v>
      </c>
      <c r="X463" s="379">
        <v>21231.87</v>
      </c>
      <c r="Y463" s="379">
        <v>44886.400000000001</v>
      </c>
      <c r="Z463" s="379">
        <v>21016.42</v>
      </c>
      <c r="AA463" s="375" t="s">
        <v>1694</v>
      </c>
      <c r="AB463" s="375" t="s">
        <v>1695</v>
      </c>
      <c r="AC463" s="375" t="s">
        <v>1696</v>
      </c>
      <c r="AD463" s="375" t="s">
        <v>195</v>
      </c>
      <c r="AE463" s="375" t="s">
        <v>284</v>
      </c>
      <c r="AF463" s="375" t="s">
        <v>245</v>
      </c>
      <c r="AG463" s="375" t="s">
        <v>183</v>
      </c>
      <c r="AH463" s="380">
        <v>21.58</v>
      </c>
      <c r="AI463" s="380">
        <v>8584.5</v>
      </c>
      <c r="AJ463" s="375" t="s">
        <v>184</v>
      </c>
      <c r="AK463" s="375" t="s">
        <v>185</v>
      </c>
      <c r="AL463" s="375" t="s">
        <v>173</v>
      </c>
      <c r="AM463" s="375" t="s">
        <v>186</v>
      </c>
      <c r="AN463" s="375" t="s">
        <v>68</v>
      </c>
      <c r="AO463" s="378">
        <v>80</v>
      </c>
      <c r="AP463" s="384">
        <v>1</v>
      </c>
      <c r="AQ463" s="384">
        <v>1</v>
      </c>
      <c r="AR463" s="383" t="s">
        <v>187</v>
      </c>
      <c r="AS463" s="386">
        <f t="shared" si="335"/>
        <v>1</v>
      </c>
      <c r="AT463">
        <f t="shared" si="336"/>
        <v>1</v>
      </c>
      <c r="AU463" s="386">
        <f>IF(AT463=0,"",IF(AND(AT463=1,M463="F",SUMIF(C2:C557,C463,AS2:AS557)&lt;=1),SUMIF(C2:C557,C463,AS2:AS557),IF(AND(AT463=1,M463="F",SUMIF(C2:C557,C463,AS2:AS557)&gt;1),1,"")))</f>
        <v>1</v>
      </c>
      <c r="AV463" s="386" t="str">
        <f>IF(AT463=0,"",IF(AND(AT463=3,M463="F",SUMIF(C2:C557,C463,AS2:AS557)&lt;=1),SUMIF(C2:C557,C463,AS2:AS557),IF(AND(AT463=3,M463="F",SUMIF(C2:C557,C463,AS2:AS557)&gt;1),1,"")))</f>
        <v/>
      </c>
      <c r="AW463" s="386">
        <f>SUMIF(C2:C557,C463,O2:O557)</f>
        <v>1</v>
      </c>
      <c r="AX463" s="386">
        <f>IF(AND(M463="F",AS463&lt;&gt;0),SUMIF(C2:C557,C463,W2:W557),0)</f>
        <v>44886.400000000001</v>
      </c>
      <c r="AY463" s="386">
        <f t="shared" si="337"/>
        <v>44886.400000000001</v>
      </c>
      <c r="AZ463" s="386" t="str">
        <f t="shared" si="338"/>
        <v/>
      </c>
      <c r="BA463" s="386">
        <f t="shared" si="339"/>
        <v>0</v>
      </c>
      <c r="BB463" s="386">
        <f t="shared" si="308"/>
        <v>11650</v>
      </c>
      <c r="BC463" s="386">
        <f t="shared" si="309"/>
        <v>0</v>
      </c>
      <c r="BD463" s="386">
        <f t="shared" si="310"/>
        <v>2782.9567999999999</v>
      </c>
      <c r="BE463" s="386">
        <f t="shared" si="311"/>
        <v>650.8528</v>
      </c>
      <c r="BF463" s="386">
        <f t="shared" si="312"/>
        <v>5359.4361600000002</v>
      </c>
      <c r="BG463" s="386">
        <f t="shared" si="313"/>
        <v>323.630944</v>
      </c>
      <c r="BH463" s="386">
        <f t="shared" si="314"/>
        <v>219.94336000000001</v>
      </c>
      <c r="BI463" s="386">
        <f t="shared" si="315"/>
        <v>137.352384</v>
      </c>
      <c r="BJ463" s="386">
        <f t="shared" si="316"/>
        <v>107.72735999999999</v>
      </c>
      <c r="BK463" s="386">
        <f t="shared" si="317"/>
        <v>0</v>
      </c>
      <c r="BL463" s="386">
        <f t="shared" si="340"/>
        <v>9581.8998080000001</v>
      </c>
      <c r="BM463" s="386">
        <f t="shared" si="341"/>
        <v>0</v>
      </c>
      <c r="BN463" s="386">
        <f t="shared" si="318"/>
        <v>11650</v>
      </c>
      <c r="BO463" s="386">
        <f t="shared" si="319"/>
        <v>0</v>
      </c>
      <c r="BP463" s="386">
        <f t="shared" si="320"/>
        <v>2782.9567999999999</v>
      </c>
      <c r="BQ463" s="386">
        <f t="shared" si="321"/>
        <v>650.8528</v>
      </c>
      <c r="BR463" s="386">
        <f t="shared" si="322"/>
        <v>5359.4361600000002</v>
      </c>
      <c r="BS463" s="386">
        <f t="shared" si="323"/>
        <v>323.630944</v>
      </c>
      <c r="BT463" s="386">
        <f t="shared" si="324"/>
        <v>0</v>
      </c>
      <c r="BU463" s="386">
        <f t="shared" si="325"/>
        <v>137.352384</v>
      </c>
      <c r="BV463" s="386">
        <f t="shared" si="326"/>
        <v>112.21600000000001</v>
      </c>
      <c r="BW463" s="386">
        <f t="shared" si="327"/>
        <v>0</v>
      </c>
      <c r="BX463" s="386">
        <f t="shared" si="342"/>
        <v>9366.4450880000004</v>
      </c>
      <c r="BY463" s="386">
        <f t="shared" si="343"/>
        <v>0</v>
      </c>
      <c r="BZ463" s="386">
        <f t="shared" si="344"/>
        <v>0</v>
      </c>
      <c r="CA463" s="386">
        <f t="shared" si="345"/>
        <v>0</v>
      </c>
      <c r="CB463" s="386">
        <f t="shared" si="346"/>
        <v>0</v>
      </c>
      <c r="CC463" s="386">
        <f t="shared" si="328"/>
        <v>0</v>
      </c>
      <c r="CD463" s="386">
        <f t="shared" si="329"/>
        <v>0</v>
      </c>
      <c r="CE463" s="386">
        <f t="shared" si="330"/>
        <v>0</v>
      </c>
      <c r="CF463" s="386">
        <f t="shared" si="331"/>
        <v>-219.94336000000001</v>
      </c>
      <c r="CG463" s="386">
        <f t="shared" si="332"/>
        <v>0</v>
      </c>
      <c r="CH463" s="386">
        <f t="shared" si="333"/>
        <v>4.4886400000000117</v>
      </c>
      <c r="CI463" s="386">
        <f t="shared" si="334"/>
        <v>0</v>
      </c>
      <c r="CJ463" s="386">
        <f t="shared" si="347"/>
        <v>-215.45472000000001</v>
      </c>
      <c r="CK463" s="386" t="str">
        <f t="shared" si="348"/>
        <v/>
      </c>
      <c r="CL463" s="386" t="str">
        <f t="shared" si="349"/>
        <v/>
      </c>
      <c r="CM463" s="386" t="str">
        <f t="shared" si="350"/>
        <v/>
      </c>
      <c r="CN463" s="386" t="str">
        <f t="shared" si="351"/>
        <v>0001-00</v>
      </c>
    </row>
    <row r="464" spans="1:92" ht="15.75" thickBot="1" x14ac:dyDescent="0.3">
      <c r="A464" s="375" t="s">
        <v>161</v>
      </c>
      <c r="B464" s="375" t="s">
        <v>162</v>
      </c>
      <c r="C464" s="375" t="s">
        <v>1697</v>
      </c>
      <c r="D464" s="375" t="s">
        <v>1629</v>
      </c>
      <c r="E464" s="375" t="s">
        <v>165</v>
      </c>
      <c r="F464" s="376" t="s">
        <v>166</v>
      </c>
      <c r="G464" s="375" t="s">
        <v>1599</v>
      </c>
      <c r="H464" s="377"/>
      <c r="I464" s="377"/>
      <c r="J464" s="375" t="s">
        <v>168</v>
      </c>
      <c r="K464" s="375" t="s">
        <v>1630</v>
      </c>
      <c r="L464" s="375" t="s">
        <v>198</v>
      </c>
      <c r="M464" s="375" t="s">
        <v>177</v>
      </c>
      <c r="N464" s="375" t="s">
        <v>199</v>
      </c>
      <c r="O464" s="378">
        <v>1</v>
      </c>
      <c r="P464" s="384">
        <v>1</v>
      </c>
      <c r="Q464" s="384">
        <v>1</v>
      </c>
      <c r="R464" s="379">
        <v>80</v>
      </c>
      <c r="S464" s="384">
        <v>1</v>
      </c>
      <c r="T464" s="379">
        <v>31573.82</v>
      </c>
      <c r="U464" s="379">
        <v>0</v>
      </c>
      <c r="V464" s="379">
        <v>15304.36</v>
      </c>
      <c r="W464" s="379">
        <v>44865.599999999999</v>
      </c>
      <c r="X464" s="379">
        <v>21227.43</v>
      </c>
      <c r="Y464" s="379">
        <v>44865.599999999999</v>
      </c>
      <c r="Z464" s="379">
        <v>21012.080000000002</v>
      </c>
      <c r="AA464" s="375" t="s">
        <v>1698</v>
      </c>
      <c r="AB464" s="375" t="s">
        <v>1699</v>
      </c>
      <c r="AC464" s="375" t="s">
        <v>570</v>
      </c>
      <c r="AD464" s="375" t="s">
        <v>195</v>
      </c>
      <c r="AE464" s="375" t="s">
        <v>1630</v>
      </c>
      <c r="AF464" s="375" t="s">
        <v>245</v>
      </c>
      <c r="AG464" s="375" t="s">
        <v>183</v>
      </c>
      <c r="AH464" s="380">
        <v>21.57</v>
      </c>
      <c r="AI464" s="380">
        <v>2057.5</v>
      </c>
      <c r="AJ464" s="375" t="s">
        <v>184</v>
      </c>
      <c r="AK464" s="375" t="s">
        <v>185</v>
      </c>
      <c r="AL464" s="375" t="s">
        <v>173</v>
      </c>
      <c r="AM464" s="375" t="s">
        <v>186</v>
      </c>
      <c r="AN464" s="375" t="s">
        <v>68</v>
      </c>
      <c r="AO464" s="378">
        <v>80</v>
      </c>
      <c r="AP464" s="384">
        <v>1</v>
      </c>
      <c r="AQ464" s="384">
        <v>1</v>
      </c>
      <c r="AR464" s="383" t="s">
        <v>187</v>
      </c>
      <c r="AS464" s="386">
        <f t="shared" si="335"/>
        <v>1</v>
      </c>
      <c r="AT464">
        <f t="shared" si="336"/>
        <v>1</v>
      </c>
      <c r="AU464" s="386">
        <f>IF(AT464=0,"",IF(AND(AT464=1,M464="F",SUMIF(C2:C557,C464,AS2:AS557)&lt;=1),SUMIF(C2:C557,C464,AS2:AS557),IF(AND(AT464=1,M464="F",SUMIF(C2:C557,C464,AS2:AS557)&gt;1),1,"")))</f>
        <v>1</v>
      </c>
      <c r="AV464" s="386" t="str">
        <f>IF(AT464=0,"",IF(AND(AT464=3,M464="F",SUMIF(C2:C557,C464,AS2:AS557)&lt;=1),SUMIF(C2:C557,C464,AS2:AS557),IF(AND(AT464=3,M464="F",SUMIF(C2:C557,C464,AS2:AS557)&gt;1),1,"")))</f>
        <v/>
      </c>
      <c r="AW464" s="386">
        <f>SUMIF(C2:C557,C464,O2:O557)</f>
        <v>1</v>
      </c>
      <c r="AX464" s="386">
        <f>IF(AND(M464="F",AS464&lt;&gt;0),SUMIF(C2:C557,C464,W2:W557),0)</f>
        <v>44865.599999999999</v>
      </c>
      <c r="AY464" s="386">
        <f t="shared" si="337"/>
        <v>44865.599999999999</v>
      </c>
      <c r="AZ464" s="386" t="str">
        <f t="shared" si="338"/>
        <v/>
      </c>
      <c r="BA464" s="386">
        <f t="shared" si="339"/>
        <v>0</v>
      </c>
      <c r="BB464" s="386">
        <f t="shared" si="308"/>
        <v>11650</v>
      </c>
      <c r="BC464" s="386">
        <f t="shared" si="309"/>
        <v>0</v>
      </c>
      <c r="BD464" s="386">
        <f t="shared" si="310"/>
        <v>2781.6671999999999</v>
      </c>
      <c r="BE464" s="386">
        <f t="shared" si="311"/>
        <v>650.55119999999999</v>
      </c>
      <c r="BF464" s="386">
        <f t="shared" si="312"/>
        <v>5356.9526400000004</v>
      </c>
      <c r="BG464" s="386">
        <f t="shared" si="313"/>
        <v>323.480976</v>
      </c>
      <c r="BH464" s="386">
        <f t="shared" si="314"/>
        <v>219.84143999999998</v>
      </c>
      <c r="BI464" s="386">
        <f t="shared" si="315"/>
        <v>137.288736</v>
      </c>
      <c r="BJ464" s="386">
        <f t="shared" si="316"/>
        <v>107.67743999999999</v>
      </c>
      <c r="BK464" s="386">
        <f t="shared" si="317"/>
        <v>0</v>
      </c>
      <c r="BL464" s="386">
        <f t="shared" si="340"/>
        <v>9577.4596320000019</v>
      </c>
      <c r="BM464" s="386">
        <f t="shared" si="341"/>
        <v>0</v>
      </c>
      <c r="BN464" s="386">
        <f t="shared" si="318"/>
        <v>11650</v>
      </c>
      <c r="BO464" s="386">
        <f t="shared" si="319"/>
        <v>0</v>
      </c>
      <c r="BP464" s="386">
        <f t="shared" si="320"/>
        <v>2781.6671999999999</v>
      </c>
      <c r="BQ464" s="386">
        <f t="shared" si="321"/>
        <v>650.55119999999999</v>
      </c>
      <c r="BR464" s="386">
        <f t="shared" si="322"/>
        <v>5356.9526400000004</v>
      </c>
      <c r="BS464" s="386">
        <f t="shared" si="323"/>
        <v>323.480976</v>
      </c>
      <c r="BT464" s="386">
        <f t="shared" si="324"/>
        <v>0</v>
      </c>
      <c r="BU464" s="386">
        <f t="shared" si="325"/>
        <v>137.288736</v>
      </c>
      <c r="BV464" s="386">
        <f t="shared" si="326"/>
        <v>112.164</v>
      </c>
      <c r="BW464" s="386">
        <f t="shared" si="327"/>
        <v>0</v>
      </c>
      <c r="BX464" s="386">
        <f t="shared" si="342"/>
        <v>9362.1047520000029</v>
      </c>
      <c r="BY464" s="386">
        <f t="shared" si="343"/>
        <v>0</v>
      </c>
      <c r="BZ464" s="386">
        <f t="shared" si="344"/>
        <v>0</v>
      </c>
      <c r="CA464" s="386">
        <f t="shared" si="345"/>
        <v>0</v>
      </c>
      <c r="CB464" s="386">
        <f t="shared" si="346"/>
        <v>0</v>
      </c>
      <c r="CC464" s="386">
        <f t="shared" si="328"/>
        <v>0</v>
      </c>
      <c r="CD464" s="386">
        <f t="shared" si="329"/>
        <v>0</v>
      </c>
      <c r="CE464" s="386">
        <f t="shared" si="330"/>
        <v>0</v>
      </c>
      <c r="CF464" s="386">
        <f t="shared" si="331"/>
        <v>-219.84143999999998</v>
      </c>
      <c r="CG464" s="386">
        <f t="shared" si="332"/>
        <v>0</v>
      </c>
      <c r="CH464" s="386">
        <f t="shared" si="333"/>
        <v>4.4865600000000114</v>
      </c>
      <c r="CI464" s="386">
        <f t="shared" si="334"/>
        <v>0</v>
      </c>
      <c r="CJ464" s="386">
        <f t="shared" si="347"/>
        <v>-215.35487999999998</v>
      </c>
      <c r="CK464" s="386" t="str">
        <f t="shared" si="348"/>
        <v/>
      </c>
      <c r="CL464" s="386" t="str">
        <f t="shared" si="349"/>
        <v/>
      </c>
      <c r="CM464" s="386" t="str">
        <f t="shared" si="350"/>
        <v/>
      </c>
      <c r="CN464" s="386" t="str">
        <f t="shared" si="351"/>
        <v>0001-00</v>
      </c>
    </row>
    <row r="465" spans="1:92" ht="15.75" thickBot="1" x14ac:dyDescent="0.3">
      <c r="A465" s="375" t="s">
        <v>161</v>
      </c>
      <c r="B465" s="375" t="s">
        <v>162</v>
      </c>
      <c r="C465" s="375" t="s">
        <v>1700</v>
      </c>
      <c r="D465" s="375" t="s">
        <v>1598</v>
      </c>
      <c r="E465" s="375" t="s">
        <v>165</v>
      </c>
      <c r="F465" s="376" t="s">
        <v>166</v>
      </c>
      <c r="G465" s="375" t="s">
        <v>1599</v>
      </c>
      <c r="H465" s="377"/>
      <c r="I465" s="377"/>
      <c r="J465" s="375" t="s">
        <v>168</v>
      </c>
      <c r="K465" s="375" t="s">
        <v>1600</v>
      </c>
      <c r="L465" s="375" t="s">
        <v>233</v>
      </c>
      <c r="M465" s="375" t="s">
        <v>177</v>
      </c>
      <c r="N465" s="375" t="s">
        <v>199</v>
      </c>
      <c r="O465" s="378">
        <v>1</v>
      </c>
      <c r="P465" s="384">
        <v>1</v>
      </c>
      <c r="Q465" s="384">
        <v>1</v>
      </c>
      <c r="R465" s="379">
        <v>80</v>
      </c>
      <c r="S465" s="384">
        <v>1</v>
      </c>
      <c r="T465" s="379">
        <v>33098.239999999998</v>
      </c>
      <c r="U465" s="379">
        <v>0</v>
      </c>
      <c r="V465" s="379">
        <v>17489.13</v>
      </c>
      <c r="W465" s="379">
        <v>39582.400000000001</v>
      </c>
      <c r="X465" s="379">
        <v>20099.61</v>
      </c>
      <c r="Y465" s="379">
        <v>39582.400000000001</v>
      </c>
      <c r="Z465" s="379">
        <v>19909.62</v>
      </c>
      <c r="AA465" s="375" t="s">
        <v>1701</v>
      </c>
      <c r="AB465" s="375" t="s">
        <v>1702</v>
      </c>
      <c r="AC465" s="375" t="s">
        <v>483</v>
      </c>
      <c r="AD465" s="375" t="s">
        <v>181</v>
      </c>
      <c r="AE465" s="375" t="s">
        <v>1600</v>
      </c>
      <c r="AF465" s="375" t="s">
        <v>237</v>
      </c>
      <c r="AG465" s="375" t="s">
        <v>183</v>
      </c>
      <c r="AH465" s="380">
        <v>19.03</v>
      </c>
      <c r="AI465" s="378">
        <v>1040</v>
      </c>
      <c r="AJ465" s="375" t="s">
        <v>184</v>
      </c>
      <c r="AK465" s="375" t="s">
        <v>185</v>
      </c>
      <c r="AL465" s="375" t="s">
        <v>173</v>
      </c>
      <c r="AM465" s="375" t="s">
        <v>186</v>
      </c>
      <c r="AN465" s="375" t="s">
        <v>68</v>
      </c>
      <c r="AO465" s="378">
        <v>80</v>
      </c>
      <c r="AP465" s="384">
        <v>1</v>
      </c>
      <c r="AQ465" s="384">
        <v>1</v>
      </c>
      <c r="AR465" s="383" t="s">
        <v>187</v>
      </c>
      <c r="AS465" s="386">
        <f t="shared" si="335"/>
        <v>1</v>
      </c>
      <c r="AT465">
        <f t="shared" si="336"/>
        <v>1</v>
      </c>
      <c r="AU465" s="386">
        <f>IF(AT465=0,"",IF(AND(AT465=1,M465="F",SUMIF(C2:C557,C465,AS2:AS557)&lt;=1),SUMIF(C2:C557,C465,AS2:AS557),IF(AND(AT465=1,M465="F",SUMIF(C2:C557,C465,AS2:AS557)&gt;1),1,"")))</f>
        <v>1</v>
      </c>
      <c r="AV465" s="386" t="str">
        <f>IF(AT465=0,"",IF(AND(AT465=3,M465="F",SUMIF(C2:C557,C465,AS2:AS557)&lt;=1),SUMIF(C2:C557,C465,AS2:AS557),IF(AND(AT465=3,M465="F",SUMIF(C2:C557,C465,AS2:AS557)&gt;1),1,"")))</f>
        <v/>
      </c>
      <c r="AW465" s="386">
        <f>SUMIF(C2:C557,C465,O2:O557)</f>
        <v>1</v>
      </c>
      <c r="AX465" s="386">
        <f>IF(AND(M465="F",AS465&lt;&gt;0),SUMIF(C2:C557,C465,W2:W557),0)</f>
        <v>39582.400000000001</v>
      </c>
      <c r="AY465" s="386">
        <f t="shared" si="337"/>
        <v>39582.400000000001</v>
      </c>
      <c r="AZ465" s="386" t="str">
        <f t="shared" si="338"/>
        <v/>
      </c>
      <c r="BA465" s="386">
        <f t="shared" si="339"/>
        <v>0</v>
      </c>
      <c r="BB465" s="386">
        <f t="shared" si="308"/>
        <v>11650</v>
      </c>
      <c r="BC465" s="386">
        <f t="shared" si="309"/>
        <v>0</v>
      </c>
      <c r="BD465" s="386">
        <f t="shared" si="310"/>
        <v>2454.1088</v>
      </c>
      <c r="BE465" s="386">
        <f t="shared" si="311"/>
        <v>573.9448000000001</v>
      </c>
      <c r="BF465" s="386">
        <f t="shared" si="312"/>
        <v>4726.1385600000003</v>
      </c>
      <c r="BG465" s="386">
        <f t="shared" si="313"/>
        <v>285.38910400000003</v>
      </c>
      <c r="BH465" s="386">
        <f t="shared" si="314"/>
        <v>193.95375999999999</v>
      </c>
      <c r="BI465" s="386">
        <f t="shared" si="315"/>
        <v>121.12214399999999</v>
      </c>
      <c r="BJ465" s="386">
        <f t="shared" si="316"/>
        <v>94.99776</v>
      </c>
      <c r="BK465" s="386">
        <f t="shared" si="317"/>
        <v>0</v>
      </c>
      <c r="BL465" s="386">
        <f t="shared" si="340"/>
        <v>8449.6549280000017</v>
      </c>
      <c r="BM465" s="386">
        <f t="shared" si="341"/>
        <v>0</v>
      </c>
      <c r="BN465" s="386">
        <f t="shared" si="318"/>
        <v>11650</v>
      </c>
      <c r="BO465" s="386">
        <f t="shared" si="319"/>
        <v>0</v>
      </c>
      <c r="BP465" s="386">
        <f t="shared" si="320"/>
        <v>2454.1088</v>
      </c>
      <c r="BQ465" s="386">
        <f t="shared" si="321"/>
        <v>573.9448000000001</v>
      </c>
      <c r="BR465" s="386">
        <f t="shared" si="322"/>
        <v>4726.1385600000003</v>
      </c>
      <c r="BS465" s="386">
        <f t="shared" si="323"/>
        <v>285.38910400000003</v>
      </c>
      <c r="BT465" s="386">
        <f t="shared" si="324"/>
        <v>0</v>
      </c>
      <c r="BU465" s="386">
        <f t="shared" si="325"/>
        <v>121.12214399999999</v>
      </c>
      <c r="BV465" s="386">
        <f t="shared" si="326"/>
        <v>98.956000000000003</v>
      </c>
      <c r="BW465" s="386">
        <f t="shared" si="327"/>
        <v>0</v>
      </c>
      <c r="BX465" s="386">
        <f t="shared" si="342"/>
        <v>8259.6594079999995</v>
      </c>
      <c r="BY465" s="386">
        <f t="shared" si="343"/>
        <v>0</v>
      </c>
      <c r="BZ465" s="386">
        <f t="shared" si="344"/>
        <v>0</v>
      </c>
      <c r="CA465" s="386">
        <f t="shared" si="345"/>
        <v>0</v>
      </c>
      <c r="CB465" s="386">
        <f t="shared" si="346"/>
        <v>0</v>
      </c>
      <c r="CC465" s="386">
        <f t="shared" si="328"/>
        <v>0</v>
      </c>
      <c r="CD465" s="386">
        <f t="shared" si="329"/>
        <v>0</v>
      </c>
      <c r="CE465" s="386">
        <f t="shared" si="330"/>
        <v>0</v>
      </c>
      <c r="CF465" s="386">
        <f t="shared" si="331"/>
        <v>-193.95375999999999</v>
      </c>
      <c r="CG465" s="386">
        <f t="shared" si="332"/>
        <v>0</v>
      </c>
      <c r="CH465" s="386">
        <f t="shared" si="333"/>
        <v>3.9582400000000106</v>
      </c>
      <c r="CI465" s="386">
        <f t="shared" si="334"/>
        <v>0</v>
      </c>
      <c r="CJ465" s="386">
        <f t="shared" si="347"/>
        <v>-189.99551999999997</v>
      </c>
      <c r="CK465" s="386" t="str">
        <f t="shared" si="348"/>
        <v/>
      </c>
      <c r="CL465" s="386" t="str">
        <f t="shared" si="349"/>
        <v/>
      </c>
      <c r="CM465" s="386" t="str">
        <f t="shared" si="350"/>
        <v/>
      </c>
      <c r="CN465" s="386" t="str">
        <f t="shared" si="351"/>
        <v>0001-00</v>
      </c>
    </row>
    <row r="466" spans="1:92" ht="15.75" thickBot="1" x14ac:dyDescent="0.3">
      <c r="A466" s="375" t="s">
        <v>161</v>
      </c>
      <c r="B466" s="375" t="s">
        <v>162</v>
      </c>
      <c r="C466" s="375" t="s">
        <v>1703</v>
      </c>
      <c r="D466" s="375" t="s">
        <v>247</v>
      </c>
      <c r="E466" s="375" t="s">
        <v>165</v>
      </c>
      <c r="F466" s="376" t="s">
        <v>166</v>
      </c>
      <c r="G466" s="375" t="s">
        <v>1599</v>
      </c>
      <c r="H466" s="377"/>
      <c r="I466" s="377"/>
      <c r="J466" s="375" t="s">
        <v>168</v>
      </c>
      <c r="K466" s="375" t="s">
        <v>268</v>
      </c>
      <c r="L466" s="375" t="s">
        <v>170</v>
      </c>
      <c r="M466" s="375" t="s">
        <v>177</v>
      </c>
      <c r="N466" s="375" t="s">
        <v>199</v>
      </c>
      <c r="O466" s="378">
        <v>1</v>
      </c>
      <c r="P466" s="384">
        <v>1</v>
      </c>
      <c r="Q466" s="384">
        <v>1</v>
      </c>
      <c r="R466" s="379">
        <v>80</v>
      </c>
      <c r="S466" s="384">
        <v>1</v>
      </c>
      <c r="T466" s="379">
        <v>33071.379999999997</v>
      </c>
      <c r="U466" s="379">
        <v>0</v>
      </c>
      <c r="V466" s="379">
        <v>16965.53</v>
      </c>
      <c r="W466" s="379">
        <v>52270.400000000001</v>
      </c>
      <c r="X466" s="379">
        <v>22808.12</v>
      </c>
      <c r="Y466" s="379">
        <v>52270.400000000001</v>
      </c>
      <c r="Z466" s="379">
        <v>22557.23</v>
      </c>
      <c r="AA466" s="375" t="s">
        <v>1704</v>
      </c>
      <c r="AB466" s="375" t="s">
        <v>1705</v>
      </c>
      <c r="AC466" s="375" t="s">
        <v>1706</v>
      </c>
      <c r="AD466" s="375" t="s">
        <v>195</v>
      </c>
      <c r="AE466" s="375" t="s">
        <v>268</v>
      </c>
      <c r="AF466" s="375" t="s">
        <v>269</v>
      </c>
      <c r="AG466" s="375" t="s">
        <v>183</v>
      </c>
      <c r="AH466" s="380">
        <v>25.13</v>
      </c>
      <c r="AI466" s="380">
        <v>8834.7999999999993</v>
      </c>
      <c r="AJ466" s="375" t="s">
        <v>184</v>
      </c>
      <c r="AK466" s="375" t="s">
        <v>185</v>
      </c>
      <c r="AL466" s="375" t="s">
        <v>173</v>
      </c>
      <c r="AM466" s="375" t="s">
        <v>186</v>
      </c>
      <c r="AN466" s="375" t="s">
        <v>68</v>
      </c>
      <c r="AO466" s="378">
        <v>80</v>
      </c>
      <c r="AP466" s="384">
        <v>1</v>
      </c>
      <c r="AQ466" s="384">
        <v>1</v>
      </c>
      <c r="AR466" s="383" t="s">
        <v>187</v>
      </c>
      <c r="AS466" s="386">
        <f t="shared" si="335"/>
        <v>1</v>
      </c>
      <c r="AT466">
        <f t="shared" si="336"/>
        <v>1</v>
      </c>
      <c r="AU466" s="386">
        <f>IF(AT466=0,"",IF(AND(AT466=1,M466="F",SUMIF(C2:C557,C466,AS2:AS557)&lt;=1),SUMIF(C2:C557,C466,AS2:AS557),IF(AND(AT466=1,M466="F",SUMIF(C2:C557,C466,AS2:AS557)&gt;1),1,"")))</f>
        <v>1</v>
      </c>
      <c r="AV466" s="386" t="str">
        <f>IF(AT466=0,"",IF(AND(AT466=3,M466="F",SUMIF(C2:C557,C466,AS2:AS557)&lt;=1),SUMIF(C2:C557,C466,AS2:AS557),IF(AND(AT466=3,M466="F",SUMIF(C2:C557,C466,AS2:AS557)&gt;1),1,"")))</f>
        <v/>
      </c>
      <c r="AW466" s="386">
        <f>SUMIF(C2:C557,C466,O2:O557)</f>
        <v>1</v>
      </c>
      <c r="AX466" s="386">
        <f>IF(AND(M466="F",AS466&lt;&gt;0),SUMIF(C2:C557,C466,W2:W557),0)</f>
        <v>52270.400000000001</v>
      </c>
      <c r="AY466" s="386">
        <f t="shared" si="337"/>
        <v>52270.400000000001</v>
      </c>
      <c r="AZ466" s="386" t="str">
        <f t="shared" si="338"/>
        <v/>
      </c>
      <c r="BA466" s="386">
        <f t="shared" si="339"/>
        <v>0</v>
      </c>
      <c r="BB466" s="386">
        <f t="shared" si="308"/>
        <v>11650</v>
      </c>
      <c r="BC466" s="386">
        <f t="shared" si="309"/>
        <v>0</v>
      </c>
      <c r="BD466" s="386">
        <f t="shared" si="310"/>
        <v>3240.7647999999999</v>
      </c>
      <c r="BE466" s="386">
        <f t="shared" si="311"/>
        <v>757.9208000000001</v>
      </c>
      <c r="BF466" s="386">
        <f t="shared" si="312"/>
        <v>6241.0857600000008</v>
      </c>
      <c r="BG466" s="386">
        <f t="shared" si="313"/>
        <v>376.86958400000003</v>
      </c>
      <c r="BH466" s="386">
        <f t="shared" si="314"/>
        <v>256.12495999999999</v>
      </c>
      <c r="BI466" s="386">
        <f t="shared" si="315"/>
        <v>159.94742399999998</v>
      </c>
      <c r="BJ466" s="386">
        <f t="shared" si="316"/>
        <v>125.44896</v>
      </c>
      <c r="BK466" s="386">
        <f t="shared" si="317"/>
        <v>0</v>
      </c>
      <c r="BL466" s="386">
        <f t="shared" si="340"/>
        <v>11158.162288</v>
      </c>
      <c r="BM466" s="386">
        <f t="shared" si="341"/>
        <v>0</v>
      </c>
      <c r="BN466" s="386">
        <f t="shared" si="318"/>
        <v>11650</v>
      </c>
      <c r="BO466" s="386">
        <f t="shared" si="319"/>
        <v>0</v>
      </c>
      <c r="BP466" s="386">
        <f t="shared" si="320"/>
        <v>3240.7647999999999</v>
      </c>
      <c r="BQ466" s="386">
        <f t="shared" si="321"/>
        <v>757.9208000000001</v>
      </c>
      <c r="BR466" s="386">
        <f t="shared" si="322"/>
        <v>6241.0857600000008</v>
      </c>
      <c r="BS466" s="386">
        <f t="shared" si="323"/>
        <v>376.86958400000003</v>
      </c>
      <c r="BT466" s="386">
        <f t="shared" si="324"/>
        <v>0</v>
      </c>
      <c r="BU466" s="386">
        <f t="shared" si="325"/>
        <v>159.94742399999998</v>
      </c>
      <c r="BV466" s="386">
        <f t="shared" si="326"/>
        <v>130.67600000000002</v>
      </c>
      <c r="BW466" s="386">
        <f t="shared" si="327"/>
        <v>0</v>
      </c>
      <c r="BX466" s="386">
        <f t="shared" si="342"/>
        <v>10907.264368</v>
      </c>
      <c r="BY466" s="386">
        <f t="shared" si="343"/>
        <v>0</v>
      </c>
      <c r="BZ466" s="386">
        <f t="shared" si="344"/>
        <v>0</v>
      </c>
      <c r="CA466" s="386">
        <f t="shared" si="345"/>
        <v>0</v>
      </c>
      <c r="CB466" s="386">
        <f t="shared" si="346"/>
        <v>0</v>
      </c>
      <c r="CC466" s="386">
        <f t="shared" si="328"/>
        <v>0</v>
      </c>
      <c r="CD466" s="386">
        <f t="shared" si="329"/>
        <v>0</v>
      </c>
      <c r="CE466" s="386">
        <f t="shared" si="330"/>
        <v>0</v>
      </c>
      <c r="CF466" s="386">
        <f t="shared" si="331"/>
        <v>-256.12495999999999</v>
      </c>
      <c r="CG466" s="386">
        <f t="shared" si="332"/>
        <v>0</v>
      </c>
      <c r="CH466" s="386">
        <f t="shared" si="333"/>
        <v>5.2270400000000139</v>
      </c>
      <c r="CI466" s="386">
        <f t="shared" si="334"/>
        <v>0</v>
      </c>
      <c r="CJ466" s="386">
        <f t="shared" si="347"/>
        <v>-250.89791999999997</v>
      </c>
      <c r="CK466" s="386" t="str">
        <f t="shared" si="348"/>
        <v/>
      </c>
      <c r="CL466" s="386" t="str">
        <f t="shared" si="349"/>
        <v/>
      </c>
      <c r="CM466" s="386" t="str">
        <f t="shared" si="350"/>
        <v/>
      </c>
      <c r="CN466" s="386" t="str">
        <f t="shared" si="351"/>
        <v>0001-00</v>
      </c>
    </row>
    <row r="467" spans="1:92" ht="15.75" thickBot="1" x14ac:dyDescent="0.3">
      <c r="A467" s="375" t="s">
        <v>161</v>
      </c>
      <c r="B467" s="375" t="s">
        <v>162</v>
      </c>
      <c r="C467" s="375" t="s">
        <v>1707</v>
      </c>
      <c r="D467" s="375" t="s">
        <v>1629</v>
      </c>
      <c r="E467" s="375" t="s">
        <v>165</v>
      </c>
      <c r="F467" s="376" t="s">
        <v>166</v>
      </c>
      <c r="G467" s="375" t="s">
        <v>1599</v>
      </c>
      <c r="H467" s="377"/>
      <c r="I467" s="377"/>
      <c r="J467" s="375" t="s">
        <v>168</v>
      </c>
      <c r="K467" s="375" t="s">
        <v>1630</v>
      </c>
      <c r="L467" s="375" t="s">
        <v>198</v>
      </c>
      <c r="M467" s="375" t="s">
        <v>177</v>
      </c>
      <c r="N467" s="375" t="s">
        <v>199</v>
      </c>
      <c r="O467" s="378">
        <v>1</v>
      </c>
      <c r="P467" s="384">
        <v>1</v>
      </c>
      <c r="Q467" s="384">
        <v>1</v>
      </c>
      <c r="R467" s="379">
        <v>80</v>
      </c>
      <c r="S467" s="384">
        <v>1</v>
      </c>
      <c r="T467" s="379">
        <v>33201.1</v>
      </c>
      <c r="U467" s="379">
        <v>0</v>
      </c>
      <c r="V467" s="379">
        <v>16541.16</v>
      </c>
      <c r="W467" s="379">
        <v>42952</v>
      </c>
      <c r="X467" s="379">
        <v>20818.93</v>
      </c>
      <c r="Y467" s="379">
        <v>42952</v>
      </c>
      <c r="Z467" s="379">
        <v>20612.77</v>
      </c>
      <c r="AA467" s="375" t="s">
        <v>1708</v>
      </c>
      <c r="AB467" s="375" t="s">
        <v>1709</v>
      </c>
      <c r="AC467" s="375" t="s">
        <v>1710</v>
      </c>
      <c r="AD467" s="375" t="s">
        <v>214</v>
      </c>
      <c r="AE467" s="375" t="s">
        <v>1630</v>
      </c>
      <c r="AF467" s="375" t="s">
        <v>245</v>
      </c>
      <c r="AG467" s="375" t="s">
        <v>183</v>
      </c>
      <c r="AH467" s="380">
        <v>20.65</v>
      </c>
      <c r="AI467" s="380">
        <v>6661.8</v>
      </c>
      <c r="AJ467" s="375" t="s">
        <v>184</v>
      </c>
      <c r="AK467" s="375" t="s">
        <v>185</v>
      </c>
      <c r="AL467" s="375" t="s">
        <v>173</v>
      </c>
      <c r="AM467" s="375" t="s">
        <v>186</v>
      </c>
      <c r="AN467" s="375" t="s">
        <v>68</v>
      </c>
      <c r="AO467" s="378">
        <v>80</v>
      </c>
      <c r="AP467" s="384">
        <v>1</v>
      </c>
      <c r="AQ467" s="384">
        <v>1</v>
      </c>
      <c r="AR467" s="383" t="s">
        <v>187</v>
      </c>
      <c r="AS467" s="386">
        <f t="shared" si="335"/>
        <v>1</v>
      </c>
      <c r="AT467">
        <f t="shared" si="336"/>
        <v>1</v>
      </c>
      <c r="AU467" s="386">
        <f>IF(AT467=0,"",IF(AND(AT467=1,M467="F",SUMIF(C2:C557,C467,AS2:AS557)&lt;=1),SUMIF(C2:C557,C467,AS2:AS557),IF(AND(AT467=1,M467="F",SUMIF(C2:C557,C467,AS2:AS557)&gt;1),1,"")))</f>
        <v>1</v>
      </c>
      <c r="AV467" s="386" t="str">
        <f>IF(AT467=0,"",IF(AND(AT467=3,M467="F",SUMIF(C2:C557,C467,AS2:AS557)&lt;=1),SUMIF(C2:C557,C467,AS2:AS557),IF(AND(AT467=3,M467="F",SUMIF(C2:C557,C467,AS2:AS557)&gt;1),1,"")))</f>
        <v/>
      </c>
      <c r="AW467" s="386">
        <f>SUMIF(C2:C557,C467,O2:O557)</f>
        <v>1</v>
      </c>
      <c r="AX467" s="386">
        <f>IF(AND(M467="F",AS467&lt;&gt;0),SUMIF(C2:C557,C467,W2:W557),0)</f>
        <v>42952</v>
      </c>
      <c r="AY467" s="386">
        <f t="shared" si="337"/>
        <v>42952</v>
      </c>
      <c r="AZ467" s="386" t="str">
        <f t="shared" si="338"/>
        <v/>
      </c>
      <c r="BA467" s="386">
        <f t="shared" si="339"/>
        <v>0</v>
      </c>
      <c r="BB467" s="386">
        <f t="shared" si="308"/>
        <v>11650</v>
      </c>
      <c r="BC467" s="386">
        <f t="shared" si="309"/>
        <v>0</v>
      </c>
      <c r="BD467" s="386">
        <f t="shared" si="310"/>
        <v>2663.0239999999999</v>
      </c>
      <c r="BE467" s="386">
        <f t="shared" si="311"/>
        <v>622.80400000000009</v>
      </c>
      <c r="BF467" s="386">
        <f t="shared" si="312"/>
        <v>5128.4688000000006</v>
      </c>
      <c r="BG467" s="386">
        <f t="shared" si="313"/>
        <v>309.68392</v>
      </c>
      <c r="BH467" s="386">
        <f t="shared" si="314"/>
        <v>210.4648</v>
      </c>
      <c r="BI467" s="386">
        <f t="shared" si="315"/>
        <v>131.43312</v>
      </c>
      <c r="BJ467" s="386">
        <f t="shared" si="316"/>
        <v>103.08479999999999</v>
      </c>
      <c r="BK467" s="386">
        <f t="shared" si="317"/>
        <v>0</v>
      </c>
      <c r="BL467" s="386">
        <f t="shared" si="340"/>
        <v>9168.9634399999995</v>
      </c>
      <c r="BM467" s="386">
        <f t="shared" si="341"/>
        <v>0</v>
      </c>
      <c r="BN467" s="386">
        <f t="shared" si="318"/>
        <v>11650</v>
      </c>
      <c r="BO467" s="386">
        <f t="shared" si="319"/>
        <v>0</v>
      </c>
      <c r="BP467" s="386">
        <f t="shared" si="320"/>
        <v>2663.0239999999999</v>
      </c>
      <c r="BQ467" s="386">
        <f t="shared" si="321"/>
        <v>622.80400000000009</v>
      </c>
      <c r="BR467" s="386">
        <f t="shared" si="322"/>
        <v>5128.4688000000006</v>
      </c>
      <c r="BS467" s="386">
        <f t="shared" si="323"/>
        <v>309.68392</v>
      </c>
      <c r="BT467" s="386">
        <f t="shared" si="324"/>
        <v>0</v>
      </c>
      <c r="BU467" s="386">
        <f t="shared" si="325"/>
        <v>131.43312</v>
      </c>
      <c r="BV467" s="386">
        <f t="shared" si="326"/>
        <v>107.38</v>
      </c>
      <c r="BW467" s="386">
        <f t="shared" si="327"/>
        <v>0</v>
      </c>
      <c r="BX467" s="386">
        <f t="shared" si="342"/>
        <v>8962.7938399999985</v>
      </c>
      <c r="BY467" s="386">
        <f t="shared" si="343"/>
        <v>0</v>
      </c>
      <c r="BZ467" s="386">
        <f t="shared" si="344"/>
        <v>0</v>
      </c>
      <c r="CA467" s="386">
        <f t="shared" si="345"/>
        <v>0</v>
      </c>
      <c r="CB467" s="386">
        <f t="shared" si="346"/>
        <v>0</v>
      </c>
      <c r="CC467" s="386">
        <f t="shared" si="328"/>
        <v>0</v>
      </c>
      <c r="CD467" s="386">
        <f t="shared" si="329"/>
        <v>0</v>
      </c>
      <c r="CE467" s="386">
        <f t="shared" si="330"/>
        <v>0</v>
      </c>
      <c r="CF467" s="386">
        <f t="shared" si="331"/>
        <v>-210.4648</v>
      </c>
      <c r="CG467" s="386">
        <f t="shared" si="332"/>
        <v>0</v>
      </c>
      <c r="CH467" s="386">
        <f t="shared" si="333"/>
        <v>4.295200000000011</v>
      </c>
      <c r="CI467" s="386">
        <f t="shared" si="334"/>
        <v>0</v>
      </c>
      <c r="CJ467" s="386">
        <f t="shared" si="347"/>
        <v>-206.16959999999997</v>
      </c>
      <c r="CK467" s="386" t="str">
        <f t="shared" si="348"/>
        <v/>
      </c>
      <c r="CL467" s="386" t="str">
        <f t="shared" si="349"/>
        <v/>
      </c>
      <c r="CM467" s="386" t="str">
        <f t="shared" si="350"/>
        <v/>
      </c>
      <c r="CN467" s="386" t="str">
        <f t="shared" si="351"/>
        <v>0001-00</v>
      </c>
    </row>
    <row r="468" spans="1:92" ht="15.75" thickBot="1" x14ac:dyDescent="0.3">
      <c r="A468" s="375" t="s">
        <v>161</v>
      </c>
      <c r="B468" s="375" t="s">
        <v>162</v>
      </c>
      <c r="C468" s="375" t="s">
        <v>1711</v>
      </c>
      <c r="D468" s="375" t="s">
        <v>1598</v>
      </c>
      <c r="E468" s="375" t="s">
        <v>165</v>
      </c>
      <c r="F468" s="376" t="s">
        <v>166</v>
      </c>
      <c r="G468" s="375" t="s">
        <v>1599</v>
      </c>
      <c r="H468" s="377"/>
      <c r="I468" s="377"/>
      <c r="J468" s="375" t="s">
        <v>168</v>
      </c>
      <c r="K468" s="375" t="s">
        <v>1600</v>
      </c>
      <c r="L468" s="375" t="s">
        <v>233</v>
      </c>
      <c r="M468" s="375" t="s">
        <v>171</v>
      </c>
      <c r="N468" s="375" t="s">
        <v>199</v>
      </c>
      <c r="O468" s="378">
        <v>0</v>
      </c>
      <c r="P468" s="384">
        <v>1</v>
      </c>
      <c r="Q468" s="384">
        <v>1</v>
      </c>
      <c r="R468" s="379">
        <v>80</v>
      </c>
      <c r="S468" s="384">
        <v>1</v>
      </c>
      <c r="T468" s="379">
        <v>13525.62</v>
      </c>
      <c r="U468" s="379">
        <v>0</v>
      </c>
      <c r="V468" s="379">
        <v>8613.7800000000007</v>
      </c>
      <c r="W468" s="379">
        <v>42328</v>
      </c>
      <c r="X468" s="379">
        <v>18539.66</v>
      </c>
      <c r="Y468" s="379">
        <v>42328</v>
      </c>
      <c r="Z468" s="379">
        <v>18328.02</v>
      </c>
      <c r="AA468" s="377"/>
      <c r="AB468" s="375" t="s">
        <v>45</v>
      </c>
      <c r="AC468" s="375" t="s">
        <v>45</v>
      </c>
      <c r="AD468" s="377"/>
      <c r="AE468" s="377"/>
      <c r="AF468" s="377"/>
      <c r="AG468" s="377"/>
      <c r="AH468" s="378">
        <v>0</v>
      </c>
      <c r="AI468" s="378">
        <v>0</v>
      </c>
      <c r="AJ468" s="377"/>
      <c r="AK468" s="377"/>
      <c r="AL468" s="375" t="s">
        <v>173</v>
      </c>
      <c r="AM468" s="377"/>
      <c r="AN468" s="377"/>
      <c r="AO468" s="378">
        <v>0</v>
      </c>
      <c r="AP468" s="384">
        <v>0</v>
      </c>
      <c r="AQ468" s="384">
        <v>0</v>
      </c>
      <c r="AR468" s="382"/>
      <c r="AS468" s="386">
        <f t="shared" si="335"/>
        <v>0</v>
      </c>
      <c r="AT468">
        <f t="shared" si="336"/>
        <v>0</v>
      </c>
      <c r="AU468" s="386" t="str">
        <f>IF(AT468=0,"",IF(AND(AT468=1,M468="F",SUMIF(C2:C557,C468,AS2:AS557)&lt;=1),SUMIF(C2:C557,C468,AS2:AS557),IF(AND(AT468=1,M468="F",SUMIF(C2:C557,C468,AS2:AS557)&gt;1),1,"")))</f>
        <v/>
      </c>
      <c r="AV468" s="386" t="str">
        <f>IF(AT468=0,"",IF(AND(AT468=3,M468="F",SUMIF(C2:C557,C468,AS2:AS557)&lt;=1),SUMIF(C2:C557,C468,AS2:AS557),IF(AND(AT468=3,M468="F",SUMIF(C2:C557,C468,AS2:AS557)&gt;1),1,"")))</f>
        <v/>
      </c>
      <c r="AW468" s="386">
        <f>SUMIF(C2:C557,C468,O2:O557)</f>
        <v>0</v>
      </c>
      <c r="AX468" s="386">
        <f>IF(AND(M468="F",AS468&lt;&gt;0),SUMIF(C2:C557,C468,W2:W557),0)</f>
        <v>0</v>
      </c>
      <c r="AY468" s="386" t="str">
        <f t="shared" si="337"/>
        <v/>
      </c>
      <c r="AZ468" s="386" t="str">
        <f t="shared" si="338"/>
        <v/>
      </c>
      <c r="BA468" s="386">
        <f t="shared" si="339"/>
        <v>0</v>
      </c>
      <c r="BB468" s="386">
        <f t="shared" si="308"/>
        <v>0</v>
      </c>
      <c r="BC468" s="386">
        <f t="shared" si="309"/>
        <v>0</v>
      </c>
      <c r="BD468" s="386">
        <f t="shared" si="310"/>
        <v>0</v>
      </c>
      <c r="BE468" s="386">
        <f t="shared" si="311"/>
        <v>0</v>
      </c>
      <c r="BF468" s="386">
        <f t="shared" si="312"/>
        <v>0</v>
      </c>
      <c r="BG468" s="386">
        <f t="shared" si="313"/>
        <v>0</v>
      </c>
      <c r="BH468" s="386">
        <f t="shared" si="314"/>
        <v>0</v>
      </c>
      <c r="BI468" s="386">
        <f t="shared" si="315"/>
        <v>0</v>
      </c>
      <c r="BJ468" s="386">
        <f t="shared" si="316"/>
        <v>0</v>
      </c>
      <c r="BK468" s="386">
        <f t="shared" si="317"/>
        <v>0</v>
      </c>
      <c r="BL468" s="386">
        <f t="shared" si="340"/>
        <v>0</v>
      </c>
      <c r="BM468" s="386">
        <f t="shared" si="341"/>
        <v>0</v>
      </c>
      <c r="BN468" s="386">
        <f t="shared" si="318"/>
        <v>0</v>
      </c>
      <c r="BO468" s="386">
        <f t="shared" si="319"/>
        <v>0</v>
      </c>
      <c r="BP468" s="386">
        <f t="shared" si="320"/>
        <v>0</v>
      </c>
      <c r="BQ468" s="386">
        <f t="shared" si="321"/>
        <v>0</v>
      </c>
      <c r="BR468" s="386">
        <f t="shared" si="322"/>
        <v>0</v>
      </c>
      <c r="BS468" s="386">
        <f t="shared" si="323"/>
        <v>0</v>
      </c>
      <c r="BT468" s="386">
        <f t="shared" si="324"/>
        <v>0</v>
      </c>
      <c r="BU468" s="386">
        <f t="shared" si="325"/>
        <v>0</v>
      </c>
      <c r="BV468" s="386">
        <f t="shared" si="326"/>
        <v>0</v>
      </c>
      <c r="BW468" s="386">
        <f t="shared" si="327"/>
        <v>0</v>
      </c>
      <c r="BX468" s="386">
        <f t="shared" si="342"/>
        <v>0</v>
      </c>
      <c r="BY468" s="386">
        <f t="shared" si="343"/>
        <v>0</v>
      </c>
      <c r="BZ468" s="386">
        <f t="shared" si="344"/>
        <v>0</v>
      </c>
      <c r="CA468" s="386">
        <f t="shared" si="345"/>
        <v>0</v>
      </c>
      <c r="CB468" s="386">
        <f t="shared" si="346"/>
        <v>0</v>
      </c>
      <c r="CC468" s="386">
        <f t="shared" si="328"/>
        <v>0</v>
      </c>
      <c r="CD468" s="386">
        <f t="shared" si="329"/>
        <v>0</v>
      </c>
      <c r="CE468" s="386">
        <f t="shared" si="330"/>
        <v>0</v>
      </c>
      <c r="CF468" s="386">
        <f t="shared" si="331"/>
        <v>0</v>
      </c>
      <c r="CG468" s="386">
        <f t="shared" si="332"/>
        <v>0</v>
      </c>
      <c r="CH468" s="386">
        <f t="shared" si="333"/>
        <v>0</v>
      </c>
      <c r="CI468" s="386">
        <f t="shared" si="334"/>
        <v>0</v>
      </c>
      <c r="CJ468" s="386">
        <f t="shared" si="347"/>
        <v>0</v>
      </c>
      <c r="CK468" s="386" t="str">
        <f t="shared" si="348"/>
        <v/>
      </c>
      <c r="CL468" s="386" t="str">
        <f t="shared" si="349"/>
        <v/>
      </c>
      <c r="CM468" s="386" t="str">
        <f t="shared" si="350"/>
        <v/>
      </c>
      <c r="CN468" s="386" t="str">
        <f t="shared" si="351"/>
        <v>0001-00</v>
      </c>
    </row>
    <row r="469" spans="1:92" ht="15.75" thickBot="1" x14ac:dyDescent="0.3">
      <c r="A469" s="375" t="s">
        <v>161</v>
      </c>
      <c r="B469" s="375" t="s">
        <v>162</v>
      </c>
      <c r="C469" s="375" t="s">
        <v>1712</v>
      </c>
      <c r="D469" s="375" t="s">
        <v>1598</v>
      </c>
      <c r="E469" s="375" t="s">
        <v>165</v>
      </c>
      <c r="F469" s="376" t="s">
        <v>166</v>
      </c>
      <c r="G469" s="375" t="s">
        <v>1599</v>
      </c>
      <c r="H469" s="377"/>
      <c r="I469" s="377"/>
      <c r="J469" s="375" t="s">
        <v>168</v>
      </c>
      <c r="K469" s="375" t="s">
        <v>1600</v>
      </c>
      <c r="L469" s="375" t="s">
        <v>233</v>
      </c>
      <c r="M469" s="375" t="s">
        <v>177</v>
      </c>
      <c r="N469" s="375" t="s">
        <v>199</v>
      </c>
      <c r="O469" s="378">
        <v>1</v>
      </c>
      <c r="P469" s="384">
        <v>1</v>
      </c>
      <c r="Q469" s="384">
        <v>1</v>
      </c>
      <c r="R469" s="379">
        <v>80</v>
      </c>
      <c r="S469" s="384">
        <v>1</v>
      </c>
      <c r="T469" s="379">
        <v>14696.81</v>
      </c>
      <c r="U469" s="379">
        <v>0</v>
      </c>
      <c r="V469" s="379">
        <v>8316.0499999999993</v>
      </c>
      <c r="W469" s="379">
        <v>39582.400000000001</v>
      </c>
      <c r="X469" s="379">
        <v>20099.61</v>
      </c>
      <c r="Y469" s="379">
        <v>39582.400000000001</v>
      </c>
      <c r="Z469" s="379">
        <v>19909.62</v>
      </c>
      <c r="AA469" s="375" t="s">
        <v>1713</v>
      </c>
      <c r="AB469" s="375" t="s">
        <v>1714</v>
      </c>
      <c r="AC469" s="375" t="s">
        <v>236</v>
      </c>
      <c r="AD469" s="375" t="s">
        <v>220</v>
      </c>
      <c r="AE469" s="375" t="s">
        <v>1600</v>
      </c>
      <c r="AF469" s="375" t="s">
        <v>237</v>
      </c>
      <c r="AG469" s="375" t="s">
        <v>183</v>
      </c>
      <c r="AH469" s="380">
        <v>19.03</v>
      </c>
      <c r="AI469" s="378">
        <v>1760</v>
      </c>
      <c r="AJ469" s="375" t="s">
        <v>184</v>
      </c>
      <c r="AK469" s="375" t="s">
        <v>185</v>
      </c>
      <c r="AL469" s="375" t="s">
        <v>173</v>
      </c>
      <c r="AM469" s="375" t="s">
        <v>186</v>
      </c>
      <c r="AN469" s="375" t="s">
        <v>68</v>
      </c>
      <c r="AO469" s="378">
        <v>80</v>
      </c>
      <c r="AP469" s="384">
        <v>1</v>
      </c>
      <c r="AQ469" s="384">
        <v>1</v>
      </c>
      <c r="AR469" s="383" t="s">
        <v>187</v>
      </c>
      <c r="AS469" s="386">
        <f t="shared" si="335"/>
        <v>1</v>
      </c>
      <c r="AT469">
        <f t="shared" si="336"/>
        <v>1</v>
      </c>
      <c r="AU469" s="386">
        <f>IF(AT469=0,"",IF(AND(AT469=1,M469="F",SUMIF(C2:C557,C469,AS2:AS557)&lt;=1),SUMIF(C2:C557,C469,AS2:AS557),IF(AND(AT469=1,M469="F",SUMIF(C2:C557,C469,AS2:AS557)&gt;1),1,"")))</f>
        <v>1</v>
      </c>
      <c r="AV469" s="386" t="str">
        <f>IF(AT469=0,"",IF(AND(AT469=3,M469="F",SUMIF(C2:C557,C469,AS2:AS557)&lt;=1),SUMIF(C2:C557,C469,AS2:AS557),IF(AND(AT469=3,M469="F",SUMIF(C2:C557,C469,AS2:AS557)&gt;1),1,"")))</f>
        <v/>
      </c>
      <c r="AW469" s="386">
        <f>SUMIF(C2:C557,C469,O2:O557)</f>
        <v>1</v>
      </c>
      <c r="AX469" s="386">
        <f>IF(AND(M469="F",AS469&lt;&gt;0),SUMIF(C2:C557,C469,W2:W557),0)</f>
        <v>39582.400000000001</v>
      </c>
      <c r="AY469" s="386">
        <f t="shared" si="337"/>
        <v>39582.400000000001</v>
      </c>
      <c r="AZ469" s="386" t="str">
        <f t="shared" si="338"/>
        <v/>
      </c>
      <c r="BA469" s="386">
        <f t="shared" si="339"/>
        <v>0</v>
      </c>
      <c r="BB469" s="386">
        <f t="shared" si="308"/>
        <v>11650</v>
      </c>
      <c r="BC469" s="386">
        <f t="shared" si="309"/>
        <v>0</v>
      </c>
      <c r="BD469" s="386">
        <f t="shared" si="310"/>
        <v>2454.1088</v>
      </c>
      <c r="BE469" s="386">
        <f t="shared" si="311"/>
        <v>573.9448000000001</v>
      </c>
      <c r="BF469" s="386">
        <f t="shared" si="312"/>
        <v>4726.1385600000003</v>
      </c>
      <c r="BG469" s="386">
        <f t="shared" si="313"/>
        <v>285.38910400000003</v>
      </c>
      <c r="BH469" s="386">
        <f t="shared" si="314"/>
        <v>193.95375999999999</v>
      </c>
      <c r="BI469" s="386">
        <f t="shared" si="315"/>
        <v>121.12214399999999</v>
      </c>
      <c r="BJ469" s="386">
        <f t="shared" si="316"/>
        <v>94.99776</v>
      </c>
      <c r="BK469" s="386">
        <f t="shared" si="317"/>
        <v>0</v>
      </c>
      <c r="BL469" s="386">
        <f t="shared" si="340"/>
        <v>8449.6549280000017</v>
      </c>
      <c r="BM469" s="386">
        <f t="shared" si="341"/>
        <v>0</v>
      </c>
      <c r="BN469" s="386">
        <f t="shared" si="318"/>
        <v>11650</v>
      </c>
      <c r="BO469" s="386">
        <f t="shared" si="319"/>
        <v>0</v>
      </c>
      <c r="BP469" s="386">
        <f t="shared" si="320"/>
        <v>2454.1088</v>
      </c>
      <c r="BQ469" s="386">
        <f t="shared" si="321"/>
        <v>573.9448000000001</v>
      </c>
      <c r="BR469" s="386">
        <f t="shared" si="322"/>
        <v>4726.1385600000003</v>
      </c>
      <c r="BS469" s="386">
        <f t="shared" si="323"/>
        <v>285.38910400000003</v>
      </c>
      <c r="BT469" s="386">
        <f t="shared" si="324"/>
        <v>0</v>
      </c>
      <c r="BU469" s="386">
        <f t="shared" si="325"/>
        <v>121.12214399999999</v>
      </c>
      <c r="BV469" s="386">
        <f t="shared" si="326"/>
        <v>98.956000000000003</v>
      </c>
      <c r="BW469" s="386">
        <f t="shared" si="327"/>
        <v>0</v>
      </c>
      <c r="BX469" s="386">
        <f t="shared" si="342"/>
        <v>8259.6594079999995</v>
      </c>
      <c r="BY469" s="386">
        <f t="shared" si="343"/>
        <v>0</v>
      </c>
      <c r="BZ469" s="386">
        <f t="shared" si="344"/>
        <v>0</v>
      </c>
      <c r="CA469" s="386">
        <f t="shared" si="345"/>
        <v>0</v>
      </c>
      <c r="CB469" s="386">
        <f t="shared" si="346"/>
        <v>0</v>
      </c>
      <c r="CC469" s="386">
        <f t="shared" si="328"/>
        <v>0</v>
      </c>
      <c r="CD469" s="386">
        <f t="shared" si="329"/>
        <v>0</v>
      </c>
      <c r="CE469" s="386">
        <f t="shared" si="330"/>
        <v>0</v>
      </c>
      <c r="CF469" s="386">
        <f t="shared" si="331"/>
        <v>-193.95375999999999</v>
      </c>
      <c r="CG469" s="386">
        <f t="shared" si="332"/>
        <v>0</v>
      </c>
      <c r="CH469" s="386">
        <f t="shared" si="333"/>
        <v>3.9582400000000106</v>
      </c>
      <c r="CI469" s="386">
        <f t="shared" si="334"/>
        <v>0</v>
      </c>
      <c r="CJ469" s="386">
        <f t="shared" si="347"/>
        <v>-189.99551999999997</v>
      </c>
      <c r="CK469" s="386" t="str">
        <f t="shared" si="348"/>
        <v/>
      </c>
      <c r="CL469" s="386" t="str">
        <f t="shared" si="349"/>
        <v/>
      </c>
      <c r="CM469" s="386" t="str">
        <f t="shared" si="350"/>
        <v/>
      </c>
      <c r="CN469" s="386" t="str">
        <f t="shared" si="351"/>
        <v>0001-00</v>
      </c>
    </row>
    <row r="470" spans="1:92" ht="15.75" thickBot="1" x14ac:dyDescent="0.3">
      <c r="A470" s="375" t="s">
        <v>161</v>
      </c>
      <c r="B470" s="375" t="s">
        <v>162</v>
      </c>
      <c r="C470" s="375" t="s">
        <v>1715</v>
      </c>
      <c r="D470" s="375" t="s">
        <v>665</v>
      </c>
      <c r="E470" s="375" t="s">
        <v>165</v>
      </c>
      <c r="F470" s="376" t="s">
        <v>166</v>
      </c>
      <c r="G470" s="375" t="s">
        <v>1599</v>
      </c>
      <c r="H470" s="377"/>
      <c r="I470" s="377"/>
      <c r="J470" s="375" t="s">
        <v>168</v>
      </c>
      <c r="K470" s="375" t="s">
        <v>666</v>
      </c>
      <c r="L470" s="375" t="s">
        <v>183</v>
      </c>
      <c r="M470" s="375" t="s">
        <v>177</v>
      </c>
      <c r="N470" s="375" t="s">
        <v>199</v>
      </c>
      <c r="O470" s="378">
        <v>1</v>
      </c>
      <c r="P470" s="384">
        <v>1</v>
      </c>
      <c r="Q470" s="384">
        <v>1</v>
      </c>
      <c r="R470" s="379">
        <v>80</v>
      </c>
      <c r="S470" s="384">
        <v>1</v>
      </c>
      <c r="T470" s="379">
        <v>33899.26</v>
      </c>
      <c r="U470" s="379">
        <v>0</v>
      </c>
      <c r="V470" s="379">
        <v>18547.98</v>
      </c>
      <c r="W470" s="379">
        <v>35131.199999999997</v>
      </c>
      <c r="X470" s="379">
        <v>19149.43</v>
      </c>
      <c r="Y470" s="379">
        <v>35131.199999999997</v>
      </c>
      <c r="Z470" s="379">
        <v>18980.8</v>
      </c>
      <c r="AA470" s="375" t="s">
        <v>1716</v>
      </c>
      <c r="AB470" s="375" t="s">
        <v>1717</v>
      </c>
      <c r="AC470" s="375" t="s">
        <v>1718</v>
      </c>
      <c r="AD470" s="375" t="s">
        <v>647</v>
      </c>
      <c r="AE470" s="375" t="s">
        <v>666</v>
      </c>
      <c r="AF470" s="375" t="s">
        <v>206</v>
      </c>
      <c r="AG470" s="375" t="s">
        <v>183</v>
      </c>
      <c r="AH470" s="380">
        <v>16.89</v>
      </c>
      <c r="AI470" s="380">
        <v>24091.8</v>
      </c>
      <c r="AJ470" s="375" t="s">
        <v>184</v>
      </c>
      <c r="AK470" s="375" t="s">
        <v>185</v>
      </c>
      <c r="AL470" s="375" t="s">
        <v>173</v>
      </c>
      <c r="AM470" s="375" t="s">
        <v>186</v>
      </c>
      <c r="AN470" s="375" t="s">
        <v>68</v>
      </c>
      <c r="AO470" s="378">
        <v>80</v>
      </c>
      <c r="AP470" s="384">
        <v>1</v>
      </c>
      <c r="AQ470" s="384">
        <v>1</v>
      </c>
      <c r="AR470" s="383" t="s">
        <v>187</v>
      </c>
      <c r="AS470" s="386">
        <f t="shared" si="335"/>
        <v>1</v>
      </c>
      <c r="AT470">
        <f t="shared" si="336"/>
        <v>1</v>
      </c>
      <c r="AU470" s="386">
        <f>IF(AT470=0,"",IF(AND(AT470=1,M470="F",SUMIF(C2:C557,C470,AS2:AS557)&lt;=1),SUMIF(C2:C557,C470,AS2:AS557),IF(AND(AT470=1,M470="F",SUMIF(C2:C557,C470,AS2:AS557)&gt;1),1,"")))</f>
        <v>1</v>
      </c>
      <c r="AV470" s="386" t="str">
        <f>IF(AT470=0,"",IF(AND(AT470=3,M470="F",SUMIF(C2:C557,C470,AS2:AS557)&lt;=1),SUMIF(C2:C557,C470,AS2:AS557),IF(AND(AT470=3,M470="F",SUMIF(C2:C557,C470,AS2:AS557)&gt;1),1,"")))</f>
        <v/>
      </c>
      <c r="AW470" s="386">
        <f>SUMIF(C2:C557,C470,O2:O557)</f>
        <v>1</v>
      </c>
      <c r="AX470" s="386">
        <f>IF(AND(M470="F",AS470&lt;&gt;0),SUMIF(C2:C557,C470,W2:W557),0)</f>
        <v>35131.199999999997</v>
      </c>
      <c r="AY470" s="386">
        <f t="shared" si="337"/>
        <v>35131.199999999997</v>
      </c>
      <c r="AZ470" s="386" t="str">
        <f t="shared" si="338"/>
        <v/>
      </c>
      <c r="BA470" s="386">
        <f t="shared" si="339"/>
        <v>0</v>
      </c>
      <c r="BB470" s="386">
        <f t="shared" si="308"/>
        <v>11650</v>
      </c>
      <c r="BC470" s="386">
        <f t="shared" si="309"/>
        <v>0</v>
      </c>
      <c r="BD470" s="386">
        <f t="shared" si="310"/>
        <v>2178.1343999999999</v>
      </c>
      <c r="BE470" s="386">
        <f t="shared" si="311"/>
        <v>509.4024</v>
      </c>
      <c r="BF470" s="386">
        <f t="shared" si="312"/>
        <v>4194.6652800000002</v>
      </c>
      <c r="BG470" s="386">
        <f t="shared" si="313"/>
        <v>253.295952</v>
      </c>
      <c r="BH470" s="386">
        <f t="shared" si="314"/>
        <v>172.14287999999999</v>
      </c>
      <c r="BI470" s="386">
        <f t="shared" si="315"/>
        <v>107.50147199999998</v>
      </c>
      <c r="BJ470" s="386">
        <f t="shared" si="316"/>
        <v>84.314879999999988</v>
      </c>
      <c r="BK470" s="386">
        <f t="shared" si="317"/>
        <v>0</v>
      </c>
      <c r="BL470" s="386">
        <f t="shared" si="340"/>
        <v>7499.4572640000006</v>
      </c>
      <c r="BM470" s="386">
        <f t="shared" si="341"/>
        <v>0</v>
      </c>
      <c r="BN470" s="386">
        <f t="shared" si="318"/>
        <v>11650</v>
      </c>
      <c r="BO470" s="386">
        <f t="shared" si="319"/>
        <v>0</v>
      </c>
      <c r="BP470" s="386">
        <f t="shared" si="320"/>
        <v>2178.1343999999999</v>
      </c>
      <c r="BQ470" s="386">
        <f t="shared" si="321"/>
        <v>509.4024</v>
      </c>
      <c r="BR470" s="386">
        <f t="shared" si="322"/>
        <v>4194.6652800000002</v>
      </c>
      <c r="BS470" s="386">
        <f t="shared" si="323"/>
        <v>253.295952</v>
      </c>
      <c r="BT470" s="386">
        <f t="shared" si="324"/>
        <v>0</v>
      </c>
      <c r="BU470" s="386">
        <f t="shared" si="325"/>
        <v>107.50147199999998</v>
      </c>
      <c r="BV470" s="386">
        <f t="shared" si="326"/>
        <v>87.827999999999989</v>
      </c>
      <c r="BW470" s="386">
        <f t="shared" si="327"/>
        <v>0</v>
      </c>
      <c r="BX470" s="386">
        <f t="shared" si="342"/>
        <v>7330.8275040000008</v>
      </c>
      <c r="BY470" s="386">
        <f t="shared" si="343"/>
        <v>0</v>
      </c>
      <c r="BZ470" s="386">
        <f t="shared" si="344"/>
        <v>0</v>
      </c>
      <c r="CA470" s="386">
        <f t="shared" si="345"/>
        <v>0</v>
      </c>
      <c r="CB470" s="386">
        <f t="shared" si="346"/>
        <v>0</v>
      </c>
      <c r="CC470" s="386">
        <f t="shared" si="328"/>
        <v>0</v>
      </c>
      <c r="CD470" s="386">
        <f t="shared" si="329"/>
        <v>0</v>
      </c>
      <c r="CE470" s="386">
        <f t="shared" si="330"/>
        <v>0</v>
      </c>
      <c r="CF470" s="386">
        <f t="shared" si="331"/>
        <v>-172.14287999999999</v>
      </c>
      <c r="CG470" s="386">
        <f t="shared" si="332"/>
        <v>0</v>
      </c>
      <c r="CH470" s="386">
        <f t="shared" si="333"/>
        <v>3.5131200000000091</v>
      </c>
      <c r="CI470" s="386">
        <f t="shared" si="334"/>
        <v>0</v>
      </c>
      <c r="CJ470" s="386">
        <f t="shared" si="347"/>
        <v>-168.62975999999998</v>
      </c>
      <c r="CK470" s="386" t="str">
        <f t="shared" si="348"/>
        <v/>
      </c>
      <c r="CL470" s="386" t="str">
        <f t="shared" si="349"/>
        <v/>
      </c>
      <c r="CM470" s="386" t="str">
        <f t="shared" si="350"/>
        <v/>
      </c>
      <c r="CN470" s="386" t="str">
        <f t="shared" si="351"/>
        <v>0001-00</v>
      </c>
    </row>
    <row r="471" spans="1:92" ht="15.75" thickBot="1" x14ac:dyDescent="0.3">
      <c r="A471" s="375" t="s">
        <v>161</v>
      </c>
      <c r="B471" s="375" t="s">
        <v>162</v>
      </c>
      <c r="C471" s="375" t="s">
        <v>1719</v>
      </c>
      <c r="D471" s="375" t="s">
        <v>1629</v>
      </c>
      <c r="E471" s="375" t="s">
        <v>165</v>
      </c>
      <c r="F471" s="376" t="s">
        <v>166</v>
      </c>
      <c r="G471" s="375" t="s">
        <v>1599</v>
      </c>
      <c r="H471" s="377"/>
      <c r="I471" s="377"/>
      <c r="J471" s="375" t="s">
        <v>168</v>
      </c>
      <c r="K471" s="375" t="s">
        <v>1630</v>
      </c>
      <c r="L471" s="375" t="s">
        <v>198</v>
      </c>
      <c r="M471" s="375" t="s">
        <v>171</v>
      </c>
      <c r="N471" s="375" t="s">
        <v>199</v>
      </c>
      <c r="O471" s="378">
        <v>0</v>
      </c>
      <c r="P471" s="384">
        <v>1</v>
      </c>
      <c r="Q471" s="384">
        <v>1</v>
      </c>
      <c r="R471" s="379">
        <v>80</v>
      </c>
      <c r="S471" s="384">
        <v>1</v>
      </c>
      <c r="T471" s="379">
        <v>53296.74</v>
      </c>
      <c r="U471" s="379">
        <v>0</v>
      </c>
      <c r="V471" s="379">
        <v>22065.22</v>
      </c>
      <c r="W471" s="379">
        <v>47403.199999999997</v>
      </c>
      <c r="X471" s="379">
        <v>20762.599999999999</v>
      </c>
      <c r="Y471" s="379">
        <v>47403.199999999997</v>
      </c>
      <c r="Z471" s="379">
        <v>20525.580000000002</v>
      </c>
      <c r="AA471" s="377"/>
      <c r="AB471" s="375" t="s">
        <v>45</v>
      </c>
      <c r="AC471" s="375" t="s">
        <v>45</v>
      </c>
      <c r="AD471" s="377"/>
      <c r="AE471" s="377"/>
      <c r="AF471" s="377"/>
      <c r="AG471" s="377"/>
      <c r="AH471" s="378">
        <v>0</v>
      </c>
      <c r="AI471" s="378">
        <v>0</v>
      </c>
      <c r="AJ471" s="377"/>
      <c r="AK471" s="377"/>
      <c r="AL471" s="375" t="s">
        <v>173</v>
      </c>
      <c r="AM471" s="377"/>
      <c r="AN471" s="377"/>
      <c r="AO471" s="378">
        <v>0</v>
      </c>
      <c r="AP471" s="384">
        <v>0</v>
      </c>
      <c r="AQ471" s="384">
        <v>0</v>
      </c>
      <c r="AR471" s="382"/>
      <c r="AS471" s="386">
        <f t="shared" si="335"/>
        <v>0</v>
      </c>
      <c r="AT471">
        <f t="shared" si="336"/>
        <v>0</v>
      </c>
      <c r="AU471" s="386" t="str">
        <f>IF(AT471=0,"",IF(AND(AT471=1,M471="F",SUMIF(C2:C557,C471,AS2:AS557)&lt;=1),SUMIF(C2:C557,C471,AS2:AS557),IF(AND(AT471=1,M471="F",SUMIF(C2:C557,C471,AS2:AS557)&gt;1),1,"")))</f>
        <v/>
      </c>
      <c r="AV471" s="386" t="str">
        <f>IF(AT471=0,"",IF(AND(AT471=3,M471="F",SUMIF(C2:C557,C471,AS2:AS557)&lt;=1),SUMIF(C2:C557,C471,AS2:AS557),IF(AND(AT471=3,M471="F",SUMIF(C2:C557,C471,AS2:AS557)&gt;1),1,"")))</f>
        <v/>
      </c>
      <c r="AW471" s="386">
        <f>SUMIF(C2:C557,C471,O2:O557)</f>
        <v>0</v>
      </c>
      <c r="AX471" s="386">
        <f>IF(AND(M471="F",AS471&lt;&gt;0),SUMIF(C2:C557,C471,W2:W557),0)</f>
        <v>0</v>
      </c>
      <c r="AY471" s="386" t="str">
        <f t="shared" si="337"/>
        <v/>
      </c>
      <c r="AZ471" s="386" t="str">
        <f t="shared" si="338"/>
        <v/>
      </c>
      <c r="BA471" s="386">
        <f t="shared" si="339"/>
        <v>0</v>
      </c>
      <c r="BB471" s="386">
        <f t="shared" si="308"/>
        <v>0</v>
      </c>
      <c r="BC471" s="386">
        <f t="shared" si="309"/>
        <v>0</v>
      </c>
      <c r="BD471" s="386">
        <f t="shared" si="310"/>
        <v>0</v>
      </c>
      <c r="BE471" s="386">
        <f t="shared" si="311"/>
        <v>0</v>
      </c>
      <c r="BF471" s="386">
        <f t="shared" si="312"/>
        <v>0</v>
      </c>
      <c r="BG471" s="386">
        <f t="shared" si="313"/>
        <v>0</v>
      </c>
      <c r="BH471" s="386">
        <f t="shared" si="314"/>
        <v>0</v>
      </c>
      <c r="BI471" s="386">
        <f t="shared" si="315"/>
        <v>0</v>
      </c>
      <c r="BJ471" s="386">
        <f t="shared" si="316"/>
        <v>0</v>
      </c>
      <c r="BK471" s="386">
        <f t="shared" si="317"/>
        <v>0</v>
      </c>
      <c r="BL471" s="386">
        <f t="shared" si="340"/>
        <v>0</v>
      </c>
      <c r="BM471" s="386">
        <f t="shared" si="341"/>
        <v>0</v>
      </c>
      <c r="BN471" s="386">
        <f t="shared" si="318"/>
        <v>0</v>
      </c>
      <c r="BO471" s="386">
        <f t="shared" si="319"/>
        <v>0</v>
      </c>
      <c r="BP471" s="386">
        <f t="shared" si="320"/>
        <v>0</v>
      </c>
      <c r="BQ471" s="386">
        <f t="shared" si="321"/>
        <v>0</v>
      </c>
      <c r="BR471" s="386">
        <f t="shared" si="322"/>
        <v>0</v>
      </c>
      <c r="BS471" s="386">
        <f t="shared" si="323"/>
        <v>0</v>
      </c>
      <c r="BT471" s="386">
        <f t="shared" si="324"/>
        <v>0</v>
      </c>
      <c r="BU471" s="386">
        <f t="shared" si="325"/>
        <v>0</v>
      </c>
      <c r="BV471" s="386">
        <f t="shared" si="326"/>
        <v>0</v>
      </c>
      <c r="BW471" s="386">
        <f t="shared" si="327"/>
        <v>0</v>
      </c>
      <c r="BX471" s="386">
        <f t="shared" si="342"/>
        <v>0</v>
      </c>
      <c r="BY471" s="386">
        <f t="shared" si="343"/>
        <v>0</v>
      </c>
      <c r="BZ471" s="386">
        <f t="shared" si="344"/>
        <v>0</v>
      </c>
      <c r="CA471" s="386">
        <f t="shared" si="345"/>
        <v>0</v>
      </c>
      <c r="CB471" s="386">
        <f t="shared" si="346"/>
        <v>0</v>
      </c>
      <c r="CC471" s="386">
        <f t="shared" si="328"/>
        <v>0</v>
      </c>
      <c r="CD471" s="386">
        <f t="shared" si="329"/>
        <v>0</v>
      </c>
      <c r="CE471" s="386">
        <f t="shared" si="330"/>
        <v>0</v>
      </c>
      <c r="CF471" s="386">
        <f t="shared" si="331"/>
        <v>0</v>
      </c>
      <c r="CG471" s="386">
        <f t="shared" si="332"/>
        <v>0</v>
      </c>
      <c r="CH471" s="386">
        <f t="shared" si="333"/>
        <v>0</v>
      </c>
      <c r="CI471" s="386">
        <f t="shared" si="334"/>
        <v>0</v>
      </c>
      <c r="CJ471" s="386">
        <f t="shared" si="347"/>
        <v>0</v>
      </c>
      <c r="CK471" s="386" t="str">
        <f t="shared" si="348"/>
        <v/>
      </c>
      <c r="CL471" s="386" t="str">
        <f t="shared" si="349"/>
        <v/>
      </c>
      <c r="CM471" s="386" t="str">
        <f t="shared" si="350"/>
        <v/>
      </c>
      <c r="CN471" s="386" t="str">
        <f t="shared" si="351"/>
        <v>0001-00</v>
      </c>
    </row>
    <row r="472" spans="1:92" ht="15.75" thickBot="1" x14ac:dyDescent="0.3">
      <c r="A472" s="375" t="s">
        <v>161</v>
      </c>
      <c r="B472" s="375" t="s">
        <v>162</v>
      </c>
      <c r="C472" s="375" t="s">
        <v>1720</v>
      </c>
      <c r="D472" s="375" t="s">
        <v>1629</v>
      </c>
      <c r="E472" s="375" t="s">
        <v>165</v>
      </c>
      <c r="F472" s="376" t="s">
        <v>166</v>
      </c>
      <c r="G472" s="375" t="s">
        <v>1599</v>
      </c>
      <c r="H472" s="377"/>
      <c r="I472" s="377"/>
      <c r="J472" s="375" t="s">
        <v>168</v>
      </c>
      <c r="K472" s="375" t="s">
        <v>1630</v>
      </c>
      <c r="L472" s="375" t="s">
        <v>198</v>
      </c>
      <c r="M472" s="375" t="s">
        <v>177</v>
      </c>
      <c r="N472" s="375" t="s">
        <v>199</v>
      </c>
      <c r="O472" s="378">
        <v>1</v>
      </c>
      <c r="P472" s="384">
        <v>1</v>
      </c>
      <c r="Q472" s="384">
        <v>1</v>
      </c>
      <c r="R472" s="379">
        <v>80</v>
      </c>
      <c r="S472" s="384">
        <v>1</v>
      </c>
      <c r="T472" s="379">
        <v>52078.48</v>
      </c>
      <c r="U472" s="379">
        <v>0</v>
      </c>
      <c r="V472" s="379">
        <v>22382.33</v>
      </c>
      <c r="W472" s="379">
        <v>53996.800000000003</v>
      </c>
      <c r="X472" s="379">
        <v>23176.67</v>
      </c>
      <c r="Y472" s="379">
        <v>53996.800000000003</v>
      </c>
      <c r="Z472" s="379">
        <v>22917.49</v>
      </c>
      <c r="AA472" s="375" t="s">
        <v>1721</v>
      </c>
      <c r="AB472" s="375" t="s">
        <v>1722</v>
      </c>
      <c r="AC472" s="375" t="s">
        <v>1723</v>
      </c>
      <c r="AD472" s="375" t="s">
        <v>233</v>
      </c>
      <c r="AE472" s="375" t="s">
        <v>1630</v>
      </c>
      <c r="AF472" s="375" t="s">
        <v>245</v>
      </c>
      <c r="AG472" s="375" t="s">
        <v>183</v>
      </c>
      <c r="AH472" s="380">
        <v>25.96</v>
      </c>
      <c r="AI472" s="380">
        <v>37819.1</v>
      </c>
      <c r="AJ472" s="375" t="s">
        <v>184</v>
      </c>
      <c r="AK472" s="375" t="s">
        <v>185</v>
      </c>
      <c r="AL472" s="375" t="s">
        <v>173</v>
      </c>
      <c r="AM472" s="375" t="s">
        <v>186</v>
      </c>
      <c r="AN472" s="375" t="s">
        <v>68</v>
      </c>
      <c r="AO472" s="378">
        <v>80</v>
      </c>
      <c r="AP472" s="384">
        <v>1</v>
      </c>
      <c r="AQ472" s="384">
        <v>1</v>
      </c>
      <c r="AR472" s="383" t="s">
        <v>187</v>
      </c>
      <c r="AS472" s="386">
        <f t="shared" si="335"/>
        <v>1</v>
      </c>
      <c r="AT472">
        <f t="shared" si="336"/>
        <v>1</v>
      </c>
      <c r="AU472" s="386">
        <f>IF(AT472=0,"",IF(AND(AT472=1,M472="F",SUMIF(C2:C557,C472,AS2:AS557)&lt;=1),SUMIF(C2:C557,C472,AS2:AS557),IF(AND(AT472=1,M472="F",SUMIF(C2:C557,C472,AS2:AS557)&gt;1),1,"")))</f>
        <v>1</v>
      </c>
      <c r="AV472" s="386" t="str">
        <f>IF(AT472=0,"",IF(AND(AT472=3,M472="F",SUMIF(C2:C557,C472,AS2:AS557)&lt;=1),SUMIF(C2:C557,C472,AS2:AS557),IF(AND(AT472=3,M472="F",SUMIF(C2:C557,C472,AS2:AS557)&gt;1),1,"")))</f>
        <v/>
      </c>
      <c r="AW472" s="386">
        <f>SUMIF(C2:C557,C472,O2:O557)</f>
        <v>1</v>
      </c>
      <c r="AX472" s="386">
        <f>IF(AND(M472="F",AS472&lt;&gt;0),SUMIF(C2:C557,C472,W2:W557),0)</f>
        <v>53996.800000000003</v>
      </c>
      <c r="AY472" s="386">
        <f t="shared" si="337"/>
        <v>53996.800000000003</v>
      </c>
      <c r="AZ472" s="386" t="str">
        <f t="shared" si="338"/>
        <v/>
      </c>
      <c r="BA472" s="386">
        <f t="shared" si="339"/>
        <v>0</v>
      </c>
      <c r="BB472" s="386">
        <f t="shared" si="308"/>
        <v>11650</v>
      </c>
      <c r="BC472" s="386">
        <f t="shared" si="309"/>
        <v>0</v>
      </c>
      <c r="BD472" s="386">
        <f t="shared" si="310"/>
        <v>3347.8016000000002</v>
      </c>
      <c r="BE472" s="386">
        <f t="shared" si="311"/>
        <v>782.95360000000005</v>
      </c>
      <c r="BF472" s="386">
        <f t="shared" si="312"/>
        <v>6447.217920000001</v>
      </c>
      <c r="BG472" s="386">
        <f t="shared" si="313"/>
        <v>389.31692800000002</v>
      </c>
      <c r="BH472" s="386">
        <f t="shared" si="314"/>
        <v>264.58431999999999</v>
      </c>
      <c r="BI472" s="386">
        <f t="shared" si="315"/>
        <v>165.230208</v>
      </c>
      <c r="BJ472" s="386">
        <f t="shared" si="316"/>
        <v>129.59232</v>
      </c>
      <c r="BK472" s="386">
        <f t="shared" si="317"/>
        <v>0</v>
      </c>
      <c r="BL472" s="386">
        <f t="shared" si="340"/>
        <v>11526.696896000003</v>
      </c>
      <c r="BM472" s="386">
        <f t="shared" si="341"/>
        <v>0</v>
      </c>
      <c r="BN472" s="386">
        <f t="shared" si="318"/>
        <v>11650</v>
      </c>
      <c r="BO472" s="386">
        <f t="shared" si="319"/>
        <v>0</v>
      </c>
      <c r="BP472" s="386">
        <f t="shared" si="320"/>
        <v>3347.8016000000002</v>
      </c>
      <c r="BQ472" s="386">
        <f t="shared" si="321"/>
        <v>782.95360000000005</v>
      </c>
      <c r="BR472" s="386">
        <f t="shared" si="322"/>
        <v>6447.217920000001</v>
      </c>
      <c r="BS472" s="386">
        <f t="shared" si="323"/>
        <v>389.31692800000002</v>
      </c>
      <c r="BT472" s="386">
        <f t="shared" si="324"/>
        <v>0</v>
      </c>
      <c r="BU472" s="386">
        <f t="shared" si="325"/>
        <v>165.230208</v>
      </c>
      <c r="BV472" s="386">
        <f t="shared" si="326"/>
        <v>134.99200000000002</v>
      </c>
      <c r="BW472" s="386">
        <f t="shared" si="327"/>
        <v>0</v>
      </c>
      <c r="BX472" s="386">
        <f t="shared" si="342"/>
        <v>11267.512256000004</v>
      </c>
      <c r="BY472" s="386">
        <f t="shared" si="343"/>
        <v>0</v>
      </c>
      <c r="BZ472" s="386">
        <f t="shared" si="344"/>
        <v>0</v>
      </c>
      <c r="CA472" s="386">
        <f t="shared" si="345"/>
        <v>0</v>
      </c>
      <c r="CB472" s="386">
        <f t="shared" si="346"/>
        <v>0</v>
      </c>
      <c r="CC472" s="386">
        <f t="shared" si="328"/>
        <v>0</v>
      </c>
      <c r="CD472" s="386">
        <f t="shared" si="329"/>
        <v>0</v>
      </c>
      <c r="CE472" s="386">
        <f t="shared" si="330"/>
        <v>0</v>
      </c>
      <c r="CF472" s="386">
        <f t="shared" si="331"/>
        <v>-264.58431999999999</v>
      </c>
      <c r="CG472" s="386">
        <f t="shared" si="332"/>
        <v>0</v>
      </c>
      <c r="CH472" s="386">
        <f t="shared" si="333"/>
        <v>5.3996800000000142</v>
      </c>
      <c r="CI472" s="386">
        <f t="shared" si="334"/>
        <v>0</v>
      </c>
      <c r="CJ472" s="386">
        <f t="shared" si="347"/>
        <v>-259.18464</v>
      </c>
      <c r="CK472" s="386" t="str">
        <f t="shared" si="348"/>
        <v/>
      </c>
      <c r="CL472" s="386" t="str">
        <f t="shared" si="349"/>
        <v/>
      </c>
      <c r="CM472" s="386" t="str">
        <f t="shared" si="350"/>
        <v/>
      </c>
      <c r="CN472" s="386" t="str">
        <f t="shared" si="351"/>
        <v>0001-00</v>
      </c>
    </row>
    <row r="473" spans="1:92" ht="15.75" thickBot="1" x14ac:dyDescent="0.3">
      <c r="A473" s="375" t="s">
        <v>161</v>
      </c>
      <c r="B473" s="375" t="s">
        <v>162</v>
      </c>
      <c r="C473" s="375" t="s">
        <v>1724</v>
      </c>
      <c r="D473" s="375" t="s">
        <v>881</v>
      </c>
      <c r="E473" s="375" t="s">
        <v>165</v>
      </c>
      <c r="F473" s="376" t="s">
        <v>166</v>
      </c>
      <c r="G473" s="375" t="s">
        <v>1599</v>
      </c>
      <c r="H473" s="377"/>
      <c r="I473" s="377"/>
      <c r="J473" s="375" t="s">
        <v>168</v>
      </c>
      <c r="K473" s="375" t="s">
        <v>882</v>
      </c>
      <c r="L473" s="375" t="s">
        <v>210</v>
      </c>
      <c r="M473" s="375" t="s">
        <v>171</v>
      </c>
      <c r="N473" s="375" t="s">
        <v>199</v>
      </c>
      <c r="O473" s="378">
        <v>0</v>
      </c>
      <c r="P473" s="384">
        <v>1</v>
      </c>
      <c r="Q473" s="384">
        <v>1</v>
      </c>
      <c r="R473" s="379">
        <v>80</v>
      </c>
      <c r="S473" s="384">
        <v>1</v>
      </c>
      <c r="T473" s="379">
        <v>0</v>
      </c>
      <c r="U473" s="379">
        <v>0</v>
      </c>
      <c r="V473" s="379">
        <v>0</v>
      </c>
      <c r="W473" s="379">
        <v>37502.400000000001</v>
      </c>
      <c r="X473" s="379">
        <v>16426.05</v>
      </c>
      <c r="Y473" s="379">
        <v>37502.400000000001</v>
      </c>
      <c r="Z473" s="379">
        <v>16238.53</v>
      </c>
      <c r="AA473" s="377"/>
      <c r="AB473" s="375" t="s">
        <v>45</v>
      </c>
      <c r="AC473" s="375" t="s">
        <v>45</v>
      </c>
      <c r="AD473" s="377"/>
      <c r="AE473" s="377"/>
      <c r="AF473" s="377"/>
      <c r="AG473" s="377"/>
      <c r="AH473" s="378">
        <v>0</v>
      </c>
      <c r="AI473" s="378">
        <v>0</v>
      </c>
      <c r="AJ473" s="377"/>
      <c r="AK473" s="377"/>
      <c r="AL473" s="375" t="s">
        <v>173</v>
      </c>
      <c r="AM473" s="377"/>
      <c r="AN473" s="377"/>
      <c r="AO473" s="378">
        <v>0</v>
      </c>
      <c r="AP473" s="384">
        <v>0</v>
      </c>
      <c r="AQ473" s="384">
        <v>0</v>
      </c>
      <c r="AR473" s="382"/>
      <c r="AS473" s="386">
        <f t="shared" si="335"/>
        <v>0</v>
      </c>
      <c r="AT473">
        <f t="shared" si="336"/>
        <v>0</v>
      </c>
      <c r="AU473" s="386" t="str">
        <f>IF(AT473=0,"",IF(AND(AT473=1,M473="F",SUMIF(C2:C557,C473,AS2:AS557)&lt;=1),SUMIF(C2:C557,C473,AS2:AS557),IF(AND(AT473=1,M473="F",SUMIF(C2:C557,C473,AS2:AS557)&gt;1),1,"")))</f>
        <v/>
      </c>
      <c r="AV473" s="386" t="str">
        <f>IF(AT473=0,"",IF(AND(AT473=3,M473="F",SUMIF(C2:C557,C473,AS2:AS557)&lt;=1),SUMIF(C2:C557,C473,AS2:AS557),IF(AND(AT473=3,M473="F",SUMIF(C2:C557,C473,AS2:AS557)&gt;1),1,"")))</f>
        <v/>
      </c>
      <c r="AW473" s="386">
        <f>SUMIF(C2:C557,C473,O2:O557)</f>
        <v>0</v>
      </c>
      <c r="AX473" s="386">
        <f>IF(AND(M473="F",AS473&lt;&gt;0),SUMIF(C2:C557,C473,W2:W557),0)</f>
        <v>0</v>
      </c>
      <c r="AY473" s="386" t="str">
        <f t="shared" si="337"/>
        <v/>
      </c>
      <c r="AZ473" s="386" t="str">
        <f t="shared" si="338"/>
        <v/>
      </c>
      <c r="BA473" s="386">
        <f t="shared" si="339"/>
        <v>0</v>
      </c>
      <c r="BB473" s="386">
        <f t="shared" si="308"/>
        <v>0</v>
      </c>
      <c r="BC473" s="386">
        <f t="shared" si="309"/>
        <v>0</v>
      </c>
      <c r="BD473" s="386">
        <f t="shared" si="310"/>
        <v>0</v>
      </c>
      <c r="BE473" s="386">
        <f t="shared" si="311"/>
        <v>0</v>
      </c>
      <c r="BF473" s="386">
        <f t="shared" si="312"/>
        <v>0</v>
      </c>
      <c r="BG473" s="386">
        <f t="shared" si="313"/>
        <v>0</v>
      </c>
      <c r="BH473" s="386">
        <f t="shared" si="314"/>
        <v>0</v>
      </c>
      <c r="BI473" s="386">
        <f t="shared" si="315"/>
        <v>0</v>
      </c>
      <c r="BJ473" s="386">
        <f t="shared" si="316"/>
        <v>0</v>
      </c>
      <c r="BK473" s="386">
        <f t="shared" si="317"/>
        <v>0</v>
      </c>
      <c r="BL473" s="386">
        <f t="shared" si="340"/>
        <v>0</v>
      </c>
      <c r="BM473" s="386">
        <f t="shared" si="341"/>
        <v>0</v>
      </c>
      <c r="BN473" s="386">
        <f t="shared" si="318"/>
        <v>0</v>
      </c>
      <c r="BO473" s="386">
        <f t="shared" si="319"/>
        <v>0</v>
      </c>
      <c r="BP473" s="386">
        <f t="shared" si="320"/>
        <v>0</v>
      </c>
      <c r="BQ473" s="386">
        <f t="shared" si="321"/>
        <v>0</v>
      </c>
      <c r="BR473" s="386">
        <f t="shared" si="322"/>
        <v>0</v>
      </c>
      <c r="BS473" s="386">
        <f t="shared" si="323"/>
        <v>0</v>
      </c>
      <c r="BT473" s="386">
        <f t="shared" si="324"/>
        <v>0</v>
      </c>
      <c r="BU473" s="386">
        <f t="shared" si="325"/>
        <v>0</v>
      </c>
      <c r="BV473" s="386">
        <f t="shared" si="326"/>
        <v>0</v>
      </c>
      <c r="BW473" s="386">
        <f t="shared" si="327"/>
        <v>0</v>
      </c>
      <c r="BX473" s="386">
        <f t="shared" si="342"/>
        <v>0</v>
      </c>
      <c r="BY473" s="386">
        <f t="shared" si="343"/>
        <v>0</v>
      </c>
      <c r="BZ473" s="386">
        <f t="shared" si="344"/>
        <v>0</v>
      </c>
      <c r="CA473" s="386">
        <f t="shared" si="345"/>
        <v>0</v>
      </c>
      <c r="CB473" s="386">
        <f t="shared" si="346"/>
        <v>0</v>
      </c>
      <c r="CC473" s="386">
        <f t="shared" si="328"/>
        <v>0</v>
      </c>
      <c r="CD473" s="386">
        <f t="shared" si="329"/>
        <v>0</v>
      </c>
      <c r="CE473" s="386">
        <f t="shared" si="330"/>
        <v>0</v>
      </c>
      <c r="CF473" s="386">
        <f t="shared" si="331"/>
        <v>0</v>
      </c>
      <c r="CG473" s="386">
        <f t="shared" si="332"/>
        <v>0</v>
      </c>
      <c r="CH473" s="386">
        <f t="shared" si="333"/>
        <v>0</v>
      </c>
      <c r="CI473" s="386">
        <f t="shared" si="334"/>
        <v>0</v>
      </c>
      <c r="CJ473" s="386">
        <f t="shared" si="347"/>
        <v>0</v>
      </c>
      <c r="CK473" s="386" t="str">
        <f t="shared" si="348"/>
        <v/>
      </c>
      <c r="CL473" s="386" t="str">
        <f t="shared" si="349"/>
        <v/>
      </c>
      <c r="CM473" s="386" t="str">
        <f t="shared" si="350"/>
        <v/>
      </c>
      <c r="CN473" s="386" t="str">
        <f t="shared" si="351"/>
        <v>0001-00</v>
      </c>
    </row>
    <row r="474" spans="1:92" ht="15.75" thickBot="1" x14ac:dyDescent="0.3">
      <c r="A474" s="375" t="s">
        <v>161</v>
      </c>
      <c r="B474" s="375" t="s">
        <v>162</v>
      </c>
      <c r="C474" s="375" t="s">
        <v>1725</v>
      </c>
      <c r="D474" s="375" t="s">
        <v>1598</v>
      </c>
      <c r="E474" s="375" t="s">
        <v>165</v>
      </c>
      <c r="F474" s="376" t="s">
        <v>166</v>
      </c>
      <c r="G474" s="375" t="s">
        <v>1599</v>
      </c>
      <c r="H474" s="377"/>
      <c r="I474" s="377"/>
      <c r="J474" s="375" t="s">
        <v>168</v>
      </c>
      <c r="K474" s="375" t="s">
        <v>1600</v>
      </c>
      <c r="L474" s="375" t="s">
        <v>233</v>
      </c>
      <c r="M474" s="375" t="s">
        <v>177</v>
      </c>
      <c r="N474" s="375" t="s">
        <v>199</v>
      </c>
      <c r="O474" s="378">
        <v>1</v>
      </c>
      <c r="P474" s="384">
        <v>1</v>
      </c>
      <c r="Q474" s="384">
        <v>1</v>
      </c>
      <c r="R474" s="379">
        <v>80</v>
      </c>
      <c r="S474" s="384">
        <v>1</v>
      </c>
      <c r="T474" s="379">
        <v>27468.77</v>
      </c>
      <c r="U474" s="379">
        <v>0</v>
      </c>
      <c r="V474" s="379">
        <v>12781.35</v>
      </c>
      <c r="W474" s="379">
        <v>40081.599999999999</v>
      </c>
      <c r="X474" s="379">
        <v>20206.169999999998</v>
      </c>
      <c r="Y474" s="379">
        <v>40081.599999999999</v>
      </c>
      <c r="Z474" s="379">
        <v>20013.79</v>
      </c>
      <c r="AA474" s="375" t="s">
        <v>1726</v>
      </c>
      <c r="AB474" s="375" t="s">
        <v>1727</v>
      </c>
      <c r="AC474" s="375" t="s">
        <v>1728</v>
      </c>
      <c r="AD474" s="375" t="s">
        <v>647</v>
      </c>
      <c r="AE474" s="375" t="s">
        <v>1600</v>
      </c>
      <c r="AF474" s="375" t="s">
        <v>237</v>
      </c>
      <c r="AG474" s="375" t="s">
        <v>183</v>
      </c>
      <c r="AH474" s="380">
        <v>19.27</v>
      </c>
      <c r="AI474" s="378">
        <v>4499</v>
      </c>
      <c r="AJ474" s="375" t="s">
        <v>184</v>
      </c>
      <c r="AK474" s="375" t="s">
        <v>185</v>
      </c>
      <c r="AL474" s="375" t="s">
        <v>173</v>
      </c>
      <c r="AM474" s="375" t="s">
        <v>186</v>
      </c>
      <c r="AN474" s="375" t="s">
        <v>68</v>
      </c>
      <c r="AO474" s="378">
        <v>80</v>
      </c>
      <c r="AP474" s="384">
        <v>1</v>
      </c>
      <c r="AQ474" s="384">
        <v>1</v>
      </c>
      <c r="AR474" s="383" t="s">
        <v>187</v>
      </c>
      <c r="AS474" s="386">
        <f t="shared" si="335"/>
        <v>1</v>
      </c>
      <c r="AT474">
        <f t="shared" si="336"/>
        <v>1</v>
      </c>
      <c r="AU474" s="386">
        <f>IF(AT474=0,"",IF(AND(AT474=1,M474="F",SUMIF(C2:C557,C474,AS2:AS557)&lt;=1),SUMIF(C2:C557,C474,AS2:AS557),IF(AND(AT474=1,M474="F",SUMIF(C2:C557,C474,AS2:AS557)&gt;1),1,"")))</f>
        <v>1</v>
      </c>
      <c r="AV474" s="386" t="str">
        <f>IF(AT474=0,"",IF(AND(AT474=3,M474="F",SUMIF(C2:C557,C474,AS2:AS557)&lt;=1),SUMIF(C2:C557,C474,AS2:AS557),IF(AND(AT474=3,M474="F",SUMIF(C2:C557,C474,AS2:AS557)&gt;1),1,"")))</f>
        <v/>
      </c>
      <c r="AW474" s="386">
        <f>SUMIF(C2:C557,C474,O2:O557)</f>
        <v>1</v>
      </c>
      <c r="AX474" s="386">
        <f>IF(AND(M474="F",AS474&lt;&gt;0),SUMIF(C2:C557,C474,W2:W557),0)</f>
        <v>40081.599999999999</v>
      </c>
      <c r="AY474" s="386">
        <f t="shared" si="337"/>
        <v>40081.599999999999</v>
      </c>
      <c r="AZ474" s="386" t="str">
        <f t="shared" si="338"/>
        <v/>
      </c>
      <c r="BA474" s="386">
        <f t="shared" si="339"/>
        <v>0</v>
      </c>
      <c r="BB474" s="386">
        <f t="shared" si="308"/>
        <v>11650</v>
      </c>
      <c r="BC474" s="386">
        <f t="shared" si="309"/>
        <v>0</v>
      </c>
      <c r="BD474" s="386">
        <f t="shared" si="310"/>
        <v>2485.0591999999997</v>
      </c>
      <c r="BE474" s="386">
        <f t="shared" si="311"/>
        <v>581.18320000000006</v>
      </c>
      <c r="BF474" s="386">
        <f t="shared" si="312"/>
        <v>4785.7430400000003</v>
      </c>
      <c r="BG474" s="386">
        <f t="shared" si="313"/>
        <v>288.988336</v>
      </c>
      <c r="BH474" s="386">
        <f t="shared" si="314"/>
        <v>196.39983999999998</v>
      </c>
      <c r="BI474" s="386">
        <f t="shared" si="315"/>
        <v>122.64969599999999</v>
      </c>
      <c r="BJ474" s="386">
        <f t="shared" si="316"/>
        <v>96.19583999999999</v>
      </c>
      <c r="BK474" s="386">
        <f t="shared" si="317"/>
        <v>0</v>
      </c>
      <c r="BL474" s="386">
        <f t="shared" si="340"/>
        <v>8556.2191520000015</v>
      </c>
      <c r="BM474" s="386">
        <f t="shared" si="341"/>
        <v>0</v>
      </c>
      <c r="BN474" s="386">
        <f t="shared" si="318"/>
        <v>11650</v>
      </c>
      <c r="BO474" s="386">
        <f t="shared" si="319"/>
        <v>0</v>
      </c>
      <c r="BP474" s="386">
        <f t="shared" si="320"/>
        <v>2485.0591999999997</v>
      </c>
      <c r="BQ474" s="386">
        <f t="shared" si="321"/>
        <v>581.18320000000006</v>
      </c>
      <c r="BR474" s="386">
        <f t="shared" si="322"/>
        <v>4785.7430400000003</v>
      </c>
      <c r="BS474" s="386">
        <f t="shared" si="323"/>
        <v>288.988336</v>
      </c>
      <c r="BT474" s="386">
        <f t="shared" si="324"/>
        <v>0</v>
      </c>
      <c r="BU474" s="386">
        <f t="shared" si="325"/>
        <v>122.64969599999999</v>
      </c>
      <c r="BV474" s="386">
        <f t="shared" si="326"/>
        <v>100.20399999999999</v>
      </c>
      <c r="BW474" s="386">
        <f t="shared" si="327"/>
        <v>0</v>
      </c>
      <c r="BX474" s="386">
        <f t="shared" si="342"/>
        <v>8363.8274720000009</v>
      </c>
      <c r="BY474" s="386">
        <f t="shared" si="343"/>
        <v>0</v>
      </c>
      <c r="BZ474" s="386">
        <f t="shared" si="344"/>
        <v>0</v>
      </c>
      <c r="CA474" s="386">
        <f t="shared" si="345"/>
        <v>0</v>
      </c>
      <c r="CB474" s="386">
        <f t="shared" si="346"/>
        <v>0</v>
      </c>
      <c r="CC474" s="386">
        <f t="shared" si="328"/>
        <v>0</v>
      </c>
      <c r="CD474" s="386">
        <f t="shared" si="329"/>
        <v>0</v>
      </c>
      <c r="CE474" s="386">
        <f t="shared" si="330"/>
        <v>0</v>
      </c>
      <c r="CF474" s="386">
        <f t="shared" si="331"/>
        <v>-196.39983999999998</v>
      </c>
      <c r="CG474" s="386">
        <f t="shared" si="332"/>
        <v>0</v>
      </c>
      <c r="CH474" s="386">
        <f t="shared" si="333"/>
        <v>4.0081600000000099</v>
      </c>
      <c r="CI474" s="386">
        <f t="shared" si="334"/>
        <v>0</v>
      </c>
      <c r="CJ474" s="386">
        <f t="shared" si="347"/>
        <v>-192.39167999999998</v>
      </c>
      <c r="CK474" s="386" t="str">
        <f t="shared" si="348"/>
        <v/>
      </c>
      <c r="CL474" s="386" t="str">
        <f t="shared" si="349"/>
        <v/>
      </c>
      <c r="CM474" s="386" t="str">
        <f t="shared" si="350"/>
        <v/>
      </c>
      <c r="CN474" s="386" t="str">
        <f t="shared" si="351"/>
        <v>0001-00</v>
      </c>
    </row>
    <row r="475" spans="1:92" ht="15.75" thickBot="1" x14ac:dyDescent="0.3">
      <c r="A475" s="375" t="s">
        <v>161</v>
      </c>
      <c r="B475" s="375" t="s">
        <v>162</v>
      </c>
      <c r="C475" s="375" t="s">
        <v>1729</v>
      </c>
      <c r="D475" s="375" t="s">
        <v>259</v>
      </c>
      <c r="E475" s="375" t="s">
        <v>165</v>
      </c>
      <c r="F475" s="376" t="s">
        <v>166</v>
      </c>
      <c r="G475" s="375" t="s">
        <v>1599</v>
      </c>
      <c r="H475" s="377"/>
      <c r="I475" s="377"/>
      <c r="J475" s="375" t="s">
        <v>168</v>
      </c>
      <c r="K475" s="375" t="s">
        <v>260</v>
      </c>
      <c r="L475" s="375" t="s">
        <v>261</v>
      </c>
      <c r="M475" s="375" t="s">
        <v>171</v>
      </c>
      <c r="N475" s="375" t="s">
        <v>262</v>
      </c>
      <c r="O475" s="378">
        <v>0</v>
      </c>
      <c r="P475" s="384">
        <v>1</v>
      </c>
      <c r="Q475" s="384">
        <v>0</v>
      </c>
      <c r="R475" s="379">
        <v>0</v>
      </c>
      <c r="S475" s="384">
        <v>0</v>
      </c>
      <c r="T475" s="379">
        <v>0</v>
      </c>
      <c r="U475" s="379">
        <v>0</v>
      </c>
      <c r="V475" s="379">
        <v>0</v>
      </c>
      <c r="W475" s="379">
        <v>0</v>
      </c>
      <c r="X475" s="379">
        <v>0</v>
      </c>
      <c r="Y475" s="379">
        <v>0</v>
      </c>
      <c r="Z475" s="379">
        <v>0</v>
      </c>
      <c r="AA475" s="377"/>
      <c r="AB475" s="375" t="s">
        <v>45</v>
      </c>
      <c r="AC475" s="375" t="s">
        <v>45</v>
      </c>
      <c r="AD475" s="377"/>
      <c r="AE475" s="377"/>
      <c r="AF475" s="377"/>
      <c r="AG475" s="377"/>
      <c r="AH475" s="378">
        <v>0</v>
      </c>
      <c r="AI475" s="378">
        <v>0</v>
      </c>
      <c r="AJ475" s="377"/>
      <c r="AK475" s="377"/>
      <c r="AL475" s="375" t="s">
        <v>173</v>
      </c>
      <c r="AM475" s="377"/>
      <c r="AN475" s="377"/>
      <c r="AO475" s="378">
        <v>0</v>
      </c>
      <c r="AP475" s="384">
        <v>0</v>
      </c>
      <c r="AQ475" s="384">
        <v>0</v>
      </c>
      <c r="AR475" s="382"/>
      <c r="AS475" s="386">
        <f t="shared" si="335"/>
        <v>0</v>
      </c>
      <c r="AT475">
        <f t="shared" si="336"/>
        <v>0</v>
      </c>
      <c r="AU475" s="386" t="str">
        <f>IF(AT475=0,"",IF(AND(AT475=1,M475="F",SUMIF(C2:C557,C475,AS2:AS557)&lt;=1),SUMIF(C2:C557,C475,AS2:AS557),IF(AND(AT475=1,M475="F",SUMIF(C2:C557,C475,AS2:AS557)&gt;1),1,"")))</f>
        <v/>
      </c>
      <c r="AV475" s="386" t="str">
        <f>IF(AT475=0,"",IF(AND(AT475=3,M475="F",SUMIF(C2:C557,C475,AS2:AS557)&lt;=1),SUMIF(C2:C557,C475,AS2:AS557),IF(AND(AT475=3,M475="F",SUMIF(C2:C557,C475,AS2:AS557)&gt;1),1,"")))</f>
        <v/>
      </c>
      <c r="AW475" s="386">
        <f>SUMIF(C2:C557,C475,O2:O557)</f>
        <v>0</v>
      </c>
      <c r="AX475" s="386">
        <f>IF(AND(M475="F",AS475&lt;&gt;0),SUMIF(C2:C557,C475,W2:W557),0)</f>
        <v>0</v>
      </c>
      <c r="AY475" s="386" t="str">
        <f t="shared" si="337"/>
        <v/>
      </c>
      <c r="AZ475" s="386" t="str">
        <f t="shared" si="338"/>
        <v/>
      </c>
      <c r="BA475" s="386">
        <f t="shared" si="339"/>
        <v>0</v>
      </c>
      <c r="BB475" s="386">
        <f t="shared" si="308"/>
        <v>0</v>
      </c>
      <c r="BC475" s="386">
        <f t="shared" si="309"/>
        <v>0</v>
      </c>
      <c r="BD475" s="386">
        <f t="shared" si="310"/>
        <v>0</v>
      </c>
      <c r="BE475" s="386">
        <f t="shared" si="311"/>
        <v>0</v>
      </c>
      <c r="BF475" s="386">
        <f t="shared" si="312"/>
        <v>0</v>
      </c>
      <c r="BG475" s="386">
        <f t="shared" si="313"/>
        <v>0</v>
      </c>
      <c r="BH475" s="386">
        <f t="shared" si="314"/>
        <v>0</v>
      </c>
      <c r="BI475" s="386">
        <f t="shared" si="315"/>
        <v>0</v>
      </c>
      <c r="BJ475" s="386">
        <f t="shared" si="316"/>
        <v>0</v>
      </c>
      <c r="BK475" s="386">
        <f t="shared" si="317"/>
        <v>0</v>
      </c>
      <c r="BL475" s="386">
        <f t="shared" si="340"/>
        <v>0</v>
      </c>
      <c r="BM475" s="386">
        <f t="shared" si="341"/>
        <v>0</v>
      </c>
      <c r="BN475" s="386">
        <f t="shared" si="318"/>
        <v>0</v>
      </c>
      <c r="BO475" s="386">
        <f t="shared" si="319"/>
        <v>0</v>
      </c>
      <c r="BP475" s="386">
        <f t="shared" si="320"/>
        <v>0</v>
      </c>
      <c r="BQ475" s="386">
        <f t="shared" si="321"/>
        <v>0</v>
      </c>
      <c r="BR475" s="386">
        <f t="shared" si="322"/>
        <v>0</v>
      </c>
      <c r="BS475" s="386">
        <f t="shared" si="323"/>
        <v>0</v>
      </c>
      <c r="BT475" s="386">
        <f t="shared" si="324"/>
        <v>0</v>
      </c>
      <c r="BU475" s="386">
        <f t="shared" si="325"/>
        <v>0</v>
      </c>
      <c r="BV475" s="386">
        <f t="shared" si="326"/>
        <v>0</v>
      </c>
      <c r="BW475" s="386">
        <f t="shared" si="327"/>
        <v>0</v>
      </c>
      <c r="BX475" s="386">
        <f t="shared" si="342"/>
        <v>0</v>
      </c>
      <c r="BY475" s="386">
        <f t="shared" si="343"/>
        <v>0</v>
      </c>
      <c r="BZ475" s="386">
        <f t="shared" si="344"/>
        <v>0</v>
      </c>
      <c r="CA475" s="386">
        <f t="shared" si="345"/>
        <v>0</v>
      </c>
      <c r="CB475" s="386">
        <f t="shared" si="346"/>
        <v>0</v>
      </c>
      <c r="CC475" s="386">
        <f t="shared" si="328"/>
        <v>0</v>
      </c>
      <c r="CD475" s="386">
        <f t="shared" si="329"/>
        <v>0</v>
      </c>
      <c r="CE475" s="386">
        <f t="shared" si="330"/>
        <v>0</v>
      </c>
      <c r="CF475" s="386">
        <f t="shared" si="331"/>
        <v>0</v>
      </c>
      <c r="CG475" s="386">
        <f t="shared" si="332"/>
        <v>0</v>
      </c>
      <c r="CH475" s="386">
        <f t="shared" si="333"/>
        <v>0</v>
      </c>
      <c r="CI475" s="386">
        <f t="shared" si="334"/>
        <v>0</v>
      </c>
      <c r="CJ475" s="386">
        <f t="shared" si="347"/>
        <v>0</v>
      </c>
      <c r="CK475" s="386" t="str">
        <f t="shared" si="348"/>
        <v/>
      </c>
      <c r="CL475" s="386">
        <f t="shared" si="349"/>
        <v>0</v>
      </c>
      <c r="CM475" s="386">
        <f t="shared" si="350"/>
        <v>0</v>
      </c>
      <c r="CN475" s="386" t="str">
        <f t="shared" si="351"/>
        <v>0001-00</v>
      </c>
    </row>
    <row r="476" spans="1:92" ht="15.75" thickBot="1" x14ac:dyDescent="0.3">
      <c r="A476" s="375" t="s">
        <v>161</v>
      </c>
      <c r="B476" s="375" t="s">
        <v>162</v>
      </c>
      <c r="C476" s="375" t="s">
        <v>1730</v>
      </c>
      <c r="D476" s="375" t="s">
        <v>746</v>
      </c>
      <c r="E476" s="375" t="s">
        <v>165</v>
      </c>
      <c r="F476" s="376" t="s">
        <v>166</v>
      </c>
      <c r="G476" s="375" t="s">
        <v>1599</v>
      </c>
      <c r="H476" s="377"/>
      <c r="I476" s="377"/>
      <c r="J476" s="375" t="s">
        <v>168</v>
      </c>
      <c r="K476" s="375" t="s">
        <v>747</v>
      </c>
      <c r="L476" s="375" t="s">
        <v>210</v>
      </c>
      <c r="M476" s="375" t="s">
        <v>177</v>
      </c>
      <c r="N476" s="375" t="s">
        <v>199</v>
      </c>
      <c r="O476" s="378">
        <v>1</v>
      </c>
      <c r="P476" s="384">
        <v>1</v>
      </c>
      <c r="Q476" s="384">
        <v>1</v>
      </c>
      <c r="R476" s="379">
        <v>80</v>
      </c>
      <c r="S476" s="384">
        <v>1</v>
      </c>
      <c r="T476" s="379">
        <v>7015.16</v>
      </c>
      <c r="U476" s="379">
        <v>0</v>
      </c>
      <c r="V476" s="379">
        <v>4230.87</v>
      </c>
      <c r="W476" s="379">
        <v>36025.599999999999</v>
      </c>
      <c r="X476" s="379">
        <v>19340.349999999999</v>
      </c>
      <c r="Y476" s="379">
        <v>36025.599999999999</v>
      </c>
      <c r="Z476" s="379">
        <v>19167.43</v>
      </c>
      <c r="AA476" s="375" t="s">
        <v>1731</v>
      </c>
      <c r="AB476" s="375" t="s">
        <v>1732</v>
      </c>
      <c r="AC476" s="375" t="s">
        <v>669</v>
      </c>
      <c r="AD476" s="375" t="s">
        <v>181</v>
      </c>
      <c r="AE476" s="375" t="s">
        <v>747</v>
      </c>
      <c r="AF476" s="375" t="s">
        <v>215</v>
      </c>
      <c r="AG476" s="375" t="s">
        <v>183</v>
      </c>
      <c r="AH476" s="380">
        <v>17.32</v>
      </c>
      <c r="AI476" s="380">
        <v>21597.9</v>
      </c>
      <c r="AJ476" s="375" t="s">
        <v>184</v>
      </c>
      <c r="AK476" s="375" t="s">
        <v>185</v>
      </c>
      <c r="AL476" s="375" t="s">
        <v>173</v>
      </c>
      <c r="AM476" s="375" t="s">
        <v>186</v>
      </c>
      <c r="AN476" s="375" t="s">
        <v>68</v>
      </c>
      <c r="AO476" s="378">
        <v>80</v>
      </c>
      <c r="AP476" s="384">
        <v>1</v>
      </c>
      <c r="AQ476" s="384">
        <v>1</v>
      </c>
      <c r="AR476" s="383" t="s">
        <v>187</v>
      </c>
      <c r="AS476" s="386">
        <f t="shared" si="335"/>
        <v>1</v>
      </c>
      <c r="AT476">
        <f t="shared" si="336"/>
        <v>1</v>
      </c>
      <c r="AU476" s="386">
        <f>IF(AT476=0,"",IF(AND(AT476=1,M476="F",SUMIF(C2:C557,C476,AS2:AS557)&lt;=1),SUMIF(C2:C557,C476,AS2:AS557),IF(AND(AT476=1,M476="F",SUMIF(C2:C557,C476,AS2:AS557)&gt;1),1,"")))</f>
        <v>1</v>
      </c>
      <c r="AV476" s="386" t="str">
        <f>IF(AT476=0,"",IF(AND(AT476=3,M476="F",SUMIF(C2:C557,C476,AS2:AS557)&lt;=1),SUMIF(C2:C557,C476,AS2:AS557),IF(AND(AT476=3,M476="F",SUMIF(C2:C557,C476,AS2:AS557)&gt;1),1,"")))</f>
        <v/>
      </c>
      <c r="AW476" s="386">
        <f>SUMIF(C2:C557,C476,O2:O557)</f>
        <v>1</v>
      </c>
      <c r="AX476" s="386">
        <f>IF(AND(M476="F",AS476&lt;&gt;0),SUMIF(C2:C557,C476,W2:W557),0)</f>
        <v>36025.599999999999</v>
      </c>
      <c r="AY476" s="386">
        <f t="shared" si="337"/>
        <v>36025.599999999999</v>
      </c>
      <c r="AZ476" s="386" t="str">
        <f t="shared" si="338"/>
        <v/>
      </c>
      <c r="BA476" s="386">
        <f t="shared" si="339"/>
        <v>0</v>
      </c>
      <c r="BB476" s="386">
        <f t="shared" si="308"/>
        <v>11650</v>
      </c>
      <c r="BC476" s="386">
        <f t="shared" si="309"/>
        <v>0</v>
      </c>
      <c r="BD476" s="386">
        <f t="shared" si="310"/>
        <v>2233.5871999999999</v>
      </c>
      <c r="BE476" s="386">
        <f t="shared" si="311"/>
        <v>522.37120000000004</v>
      </c>
      <c r="BF476" s="386">
        <f t="shared" si="312"/>
        <v>4301.4566400000003</v>
      </c>
      <c r="BG476" s="386">
        <f t="shared" si="313"/>
        <v>259.744576</v>
      </c>
      <c r="BH476" s="386">
        <f t="shared" si="314"/>
        <v>176.52543999999997</v>
      </c>
      <c r="BI476" s="386">
        <f t="shared" si="315"/>
        <v>110.23833599999999</v>
      </c>
      <c r="BJ476" s="386">
        <f t="shared" si="316"/>
        <v>86.461439999999982</v>
      </c>
      <c r="BK476" s="386">
        <f t="shared" si="317"/>
        <v>0</v>
      </c>
      <c r="BL476" s="386">
        <f t="shared" si="340"/>
        <v>7690.3848320000006</v>
      </c>
      <c r="BM476" s="386">
        <f t="shared" si="341"/>
        <v>0</v>
      </c>
      <c r="BN476" s="386">
        <f t="shared" si="318"/>
        <v>11650</v>
      </c>
      <c r="BO476" s="386">
        <f t="shared" si="319"/>
        <v>0</v>
      </c>
      <c r="BP476" s="386">
        <f t="shared" si="320"/>
        <v>2233.5871999999999</v>
      </c>
      <c r="BQ476" s="386">
        <f t="shared" si="321"/>
        <v>522.37120000000004</v>
      </c>
      <c r="BR476" s="386">
        <f t="shared" si="322"/>
        <v>4301.4566400000003</v>
      </c>
      <c r="BS476" s="386">
        <f t="shared" si="323"/>
        <v>259.744576</v>
      </c>
      <c r="BT476" s="386">
        <f t="shared" si="324"/>
        <v>0</v>
      </c>
      <c r="BU476" s="386">
        <f t="shared" si="325"/>
        <v>110.23833599999999</v>
      </c>
      <c r="BV476" s="386">
        <f t="shared" si="326"/>
        <v>90.063999999999993</v>
      </c>
      <c r="BW476" s="386">
        <f t="shared" si="327"/>
        <v>0</v>
      </c>
      <c r="BX476" s="386">
        <f t="shared" si="342"/>
        <v>7517.4619520000006</v>
      </c>
      <c r="BY476" s="386">
        <f t="shared" si="343"/>
        <v>0</v>
      </c>
      <c r="BZ476" s="386">
        <f t="shared" si="344"/>
        <v>0</v>
      </c>
      <c r="CA476" s="386">
        <f t="shared" si="345"/>
        <v>0</v>
      </c>
      <c r="CB476" s="386">
        <f t="shared" si="346"/>
        <v>0</v>
      </c>
      <c r="CC476" s="386">
        <f t="shared" si="328"/>
        <v>0</v>
      </c>
      <c r="CD476" s="386">
        <f t="shared" si="329"/>
        <v>0</v>
      </c>
      <c r="CE476" s="386">
        <f t="shared" si="330"/>
        <v>0</v>
      </c>
      <c r="CF476" s="386">
        <f t="shared" si="331"/>
        <v>-176.52543999999997</v>
      </c>
      <c r="CG476" s="386">
        <f t="shared" si="332"/>
        <v>0</v>
      </c>
      <c r="CH476" s="386">
        <f t="shared" si="333"/>
        <v>3.6025600000000093</v>
      </c>
      <c r="CI476" s="386">
        <f t="shared" si="334"/>
        <v>0</v>
      </c>
      <c r="CJ476" s="386">
        <f t="shared" si="347"/>
        <v>-172.92287999999996</v>
      </c>
      <c r="CK476" s="386" t="str">
        <f t="shared" si="348"/>
        <v/>
      </c>
      <c r="CL476" s="386" t="str">
        <f t="shared" si="349"/>
        <v/>
      </c>
      <c r="CM476" s="386" t="str">
        <f t="shared" si="350"/>
        <v/>
      </c>
      <c r="CN476" s="386" t="str">
        <f t="shared" si="351"/>
        <v>0001-00</v>
      </c>
    </row>
    <row r="477" spans="1:92" ht="15.75" thickBot="1" x14ac:dyDescent="0.3">
      <c r="A477" s="375" t="s">
        <v>161</v>
      </c>
      <c r="B477" s="375" t="s">
        <v>162</v>
      </c>
      <c r="C477" s="375" t="s">
        <v>1733</v>
      </c>
      <c r="D477" s="375" t="s">
        <v>1321</v>
      </c>
      <c r="E477" s="375" t="s">
        <v>165</v>
      </c>
      <c r="F477" s="376" t="s">
        <v>166</v>
      </c>
      <c r="G477" s="375" t="s">
        <v>1599</v>
      </c>
      <c r="H477" s="377"/>
      <c r="I477" s="377"/>
      <c r="J477" s="375" t="s">
        <v>168</v>
      </c>
      <c r="K477" s="375" t="s">
        <v>1322</v>
      </c>
      <c r="L477" s="375" t="s">
        <v>170</v>
      </c>
      <c r="M477" s="375" t="s">
        <v>177</v>
      </c>
      <c r="N477" s="375" t="s">
        <v>199</v>
      </c>
      <c r="O477" s="378">
        <v>1</v>
      </c>
      <c r="P477" s="384">
        <v>1</v>
      </c>
      <c r="Q477" s="384">
        <v>1</v>
      </c>
      <c r="R477" s="379">
        <v>80</v>
      </c>
      <c r="S477" s="384">
        <v>1</v>
      </c>
      <c r="T477" s="379">
        <v>39360</v>
      </c>
      <c r="U477" s="379">
        <v>0</v>
      </c>
      <c r="V477" s="379">
        <v>17737.29</v>
      </c>
      <c r="W477" s="379">
        <v>50668.800000000003</v>
      </c>
      <c r="X477" s="379">
        <v>22466.23</v>
      </c>
      <c r="Y477" s="379">
        <v>50668.800000000003</v>
      </c>
      <c r="Z477" s="379">
        <v>22223.03</v>
      </c>
      <c r="AA477" s="375" t="s">
        <v>1734</v>
      </c>
      <c r="AB477" s="375" t="s">
        <v>1735</v>
      </c>
      <c r="AC477" s="375" t="s">
        <v>1736</v>
      </c>
      <c r="AD477" s="375" t="s">
        <v>173</v>
      </c>
      <c r="AE477" s="375" t="s">
        <v>1322</v>
      </c>
      <c r="AF477" s="375" t="s">
        <v>269</v>
      </c>
      <c r="AG477" s="375" t="s">
        <v>183</v>
      </c>
      <c r="AH477" s="380">
        <v>24.36</v>
      </c>
      <c r="AI477" s="380">
        <v>8650.9</v>
      </c>
      <c r="AJ477" s="375" t="s">
        <v>184</v>
      </c>
      <c r="AK477" s="375" t="s">
        <v>185</v>
      </c>
      <c r="AL477" s="375" t="s">
        <v>173</v>
      </c>
      <c r="AM477" s="375" t="s">
        <v>186</v>
      </c>
      <c r="AN477" s="375" t="s">
        <v>68</v>
      </c>
      <c r="AO477" s="378">
        <v>80</v>
      </c>
      <c r="AP477" s="384">
        <v>1</v>
      </c>
      <c r="AQ477" s="384">
        <v>1</v>
      </c>
      <c r="AR477" s="383" t="s">
        <v>187</v>
      </c>
      <c r="AS477" s="386">
        <f t="shared" si="335"/>
        <v>1</v>
      </c>
      <c r="AT477">
        <f t="shared" si="336"/>
        <v>1</v>
      </c>
      <c r="AU477" s="386">
        <f>IF(AT477=0,"",IF(AND(AT477=1,M477="F",SUMIF(C2:C557,C477,AS2:AS557)&lt;=1),SUMIF(C2:C557,C477,AS2:AS557),IF(AND(AT477=1,M477="F",SUMIF(C2:C557,C477,AS2:AS557)&gt;1),1,"")))</f>
        <v>1</v>
      </c>
      <c r="AV477" s="386" t="str">
        <f>IF(AT477=0,"",IF(AND(AT477=3,M477="F",SUMIF(C2:C557,C477,AS2:AS557)&lt;=1),SUMIF(C2:C557,C477,AS2:AS557),IF(AND(AT477=3,M477="F",SUMIF(C2:C557,C477,AS2:AS557)&gt;1),1,"")))</f>
        <v/>
      </c>
      <c r="AW477" s="386">
        <f>SUMIF(C2:C557,C477,O2:O557)</f>
        <v>1</v>
      </c>
      <c r="AX477" s="386">
        <f>IF(AND(M477="F",AS477&lt;&gt;0),SUMIF(C2:C557,C477,W2:W557),0)</f>
        <v>50668.800000000003</v>
      </c>
      <c r="AY477" s="386">
        <f t="shared" si="337"/>
        <v>50668.800000000003</v>
      </c>
      <c r="AZ477" s="386" t="str">
        <f t="shared" si="338"/>
        <v/>
      </c>
      <c r="BA477" s="386">
        <f t="shared" si="339"/>
        <v>0</v>
      </c>
      <c r="BB477" s="386">
        <f t="shared" si="308"/>
        <v>11650</v>
      </c>
      <c r="BC477" s="386">
        <f t="shared" si="309"/>
        <v>0</v>
      </c>
      <c r="BD477" s="386">
        <f t="shared" si="310"/>
        <v>3141.4656</v>
      </c>
      <c r="BE477" s="386">
        <f t="shared" si="311"/>
        <v>734.69760000000008</v>
      </c>
      <c r="BF477" s="386">
        <f t="shared" si="312"/>
        <v>6049.8547200000003</v>
      </c>
      <c r="BG477" s="386">
        <f t="shared" si="313"/>
        <v>365.32204800000005</v>
      </c>
      <c r="BH477" s="386">
        <f t="shared" si="314"/>
        <v>248.27712</v>
      </c>
      <c r="BI477" s="386">
        <f t="shared" si="315"/>
        <v>155.046528</v>
      </c>
      <c r="BJ477" s="386">
        <f t="shared" si="316"/>
        <v>121.60512</v>
      </c>
      <c r="BK477" s="386">
        <f t="shared" si="317"/>
        <v>0</v>
      </c>
      <c r="BL477" s="386">
        <f t="shared" si="340"/>
        <v>10816.268736000002</v>
      </c>
      <c r="BM477" s="386">
        <f t="shared" si="341"/>
        <v>0</v>
      </c>
      <c r="BN477" s="386">
        <f t="shared" si="318"/>
        <v>11650</v>
      </c>
      <c r="BO477" s="386">
        <f t="shared" si="319"/>
        <v>0</v>
      </c>
      <c r="BP477" s="386">
        <f t="shared" si="320"/>
        <v>3141.4656</v>
      </c>
      <c r="BQ477" s="386">
        <f t="shared" si="321"/>
        <v>734.69760000000008</v>
      </c>
      <c r="BR477" s="386">
        <f t="shared" si="322"/>
        <v>6049.8547200000003</v>
      </c>
      <c r="BS477" s="386">
        <f t="shared" si="323"/>
        <v>365.32204800000005</v>
      </c>
      <c r="BT477" s="386">
        <f t="shared" si="324"/>
        <v>0</v>
      </c>
      <c r="BU477" s="386">
        <f t="shared" si="325"/>
        <v>155.046528</v>
      </c>
      <c r="BV477" s="386">
        <f t="shared" si="326"/>
        <v>126.67200000000001</v>
      </c>
      <c r="BW477" s="386">
        <f t="shared" si="327"/>
        <v>0</v>
      </c>
      <c r="BX477" s="386">
        <f t="shared" si="342"/>
        <v>10573.058496000001</v>
      </c>
      <c r="BY477" s="386">
        <f t="shared" si="343"/>
        <v>0</v>
      </c>
      <c r="BZ477" s="386">
        <f t="shared" si="344"/>
        <v>0</v>
      </c>
      <c r="CA477" s="386">
        <f t="shared" si="345"/>
        <v>0</v>
      </c>
      <c r="CB477" s="386">
        <f t="shared" si="346"/>
        <v>0</v>
      </c>
      <c r="CC477" s="386">
        <f t="shared" si="328"/>
        <v>0</v>
      </c>
      <c r="CD477" s="386">
        <f t="shared" si="329"/>
        <v>0</v>
      </c>
      <c r="CE477" s="386">
        <f t="shared" si="330"/>
        <v>0</v>
      </c>
      <c r="CF477" s="386">
        <f t="shared" si="331"/>
        <v>-248.27712</v>
      </c>
      <c r="CG477" s="386">
        <f t="shared" si="332"/>
        <v>0</v>
      </c>
      <c r="CH477" s="386">
        <f t="shared" si="333"/>
        <v>5.0668800000000136</v>
      </c>
      <c r="CI477" s="386">
        <f t="shared" si="334"/>
        <v>0</v>
      </c>
      <c r="CJ477" s="386">
        <f t="shared" si="347"/>
        <v>-243.21023999999997</v>
      </c>
      <c r="CK477" s="386" t="str">
        <f t="shared" si="348"/>
        <v/>
      </c>
      <c r="CL477" s="386" t="str">
        <f t="shared" si="349"/>
        <v/>
      </c>
      <c r="CM477" s="386" t="str">
        <f t="shared" si="350"/>
        <v/>
      </c>
      <c r="CN477" s="386" t="str">
        <f t="shared" si="351"/>
        <v>0001-00</v>
      </c>
    </row>
    <row r="478" spans="1:92" ht="15.75" thickBot="1" x14ac:dyDescent="0.3">
      <c r="A478" s="375" t="s">
        <v>161</v>
      </c>
      <c r="B478" s="375" t="s">
        <v>162</v>
      </c>
      <c r="C478" s="375" t="s">
        <v>1737</v>
      </c>
      <c r="D478" s="375" t="s">
        <v>1598</v>
      </c>
      <c r="E478" s="375" t="s">
        <v>165</v>
      </c>
      <c r="F478" s="376" t="s">
        <v>166</v>
      </c>
      <c r="G478" s="375" t="s">
        <v>1599</v>
      </c>
      <c r="H478" s="377"/>
      <c r="I478" s="377"/>
      <c r="J478" s="375" t="s">
        <v>168</v>
      </c>
      <c r="K478" s="375" t="s">
        <v>1600</v>
      </c>
      <c r="L478" s="375" t="s">
        <v>233</v>
      </c>
      <c r="M478" s="375" t="s">
        <v>177</v>
      </c>
      <c r="N478" s="375" t="s">
        <v>199</v>
      </c>
      <c r="O478" s="378">
        <v>1</v>
      </c>
      <c r="P478" s="384">
        <v>1</v>
      </c>
      <c r="Q478" s="384">
        <v>1</v>
      </c>
      <c r="R478" s="379">
        <v>80</v>
      </c>
      <c r="S478" s="384">
        <v>1</v>
      </c>
      <c r="T478" s="379">
        <v>31215.25</v>
      </c>
      <c r="U478" s="379">
        <v>0</v>
      </c>
      <c r="V478" s="379">
        <v>17073.29</v>
      </c>
      <c r="W478" s="379">
        <v>39582.400000000001</v>
      </c>
      <c r="X478" s="379">
        <v>20099.61</v>
      </c>
      <c r="Y478" s="379">
        <v>39582.400000000001</v>
      </c>
      <c r="Z478" s="379">
        <v>19909.62</v>
      </c>
      <c r="AA478" s="375" t="s">
        <v>1738</v>
      </c>
      <c r="AB478" s="375" t="s">
        <v>1739</v>
      </c>
      <c r="AC478" s="375" t="s">
        <v>1740</v>
      </c>
      <c r="AD478" s="375" t="s">
        <v>198</v>
      </c>
      <c r="AE478" s="375" t="s">
        <v>1600</v>
      </c>
      <c r="AF478" s="375" t="s">
        <v>237</v>
      </c>
      <c r="AG478" s="375" t="s">
        <v>183</v>
      </c>
      <c r="AH478" s="380">
        <v>19.03</v>
      </c>
      <c r="AI478" s="380">
        <v>12615.9</v>
      </c>
      <c r="AJ478" s="375" t="s">
        <v>184</v>
      </c>
      <c r="AK478" s="375" t="s">
        <v>185</v>
      </c>
      <c r="AL478" s="375" t="s">
        <v>173</v>
      </c>
      <c r="AM478" s="375" t="s">
        <v>186</v>
      </c>
      <c r="AN478" s="375" t="s">
        <v>68</v>
      </c>
      <c r="AO478" s="378">
        <v>80</v>
      </c>
      <c r="AP478" s="384">
        <v>1</v>
      </c>
      <c r="AQ478" s="384">
        <v>1</v>
      </c>
      <c r="AR478" s="383" t="s">
        <v>187</v>
      </c>
      <c r="AS478" s="386">
        <f t="shared" si="335"/>
        <v>1</v>
      </c>
      <c r="AT478">
        <f t="shared" si="336"/>
        <v>1</v>
      </c>
      <c r="AU478" s="386">
        <f>IF(AT478=0,"",IF(AND(AT478=1,M478="F",SUMIF(C2:C557,C478,AS2:AS557)&lt;=1),SUMIF(C2:C557,C478,AS2:AS557),IF(AND(AT478=1,M478="F",SUMIF(C2:C557,C478,AS2:AS557)&gt;1),1,"")))</f>
        <v>1</v>
      </c>
      <c r="AV478" s="386" t="str">
        <f>IF(AT478=0,"",IF(AND(AT478=3,M478="F",SUMIF(C2:C557,C478,AS2:AS557)&lt;=1),SUMIF(C2:C557,C478,AS2:AS557),IF(AND(AT478=3,M478="F",SUMIF(C2:C557,C478,AS2:AS557)&gt;1),1,"")))</f>
        <v/>
      </c>
      <c r="AW478" s="386">
        <f>SUMIF(C2:C557,C478,O2:O557)</f>
        <v>1</v>
      </c>
      <c r="AX478" s="386">
        <f>IF(AND(M478="F",AS478&lt;&gt;0),SUMIF(C2:C557,C478,W2:W557),0)</f>
        <v>39582.400000000001</v>
      </c>
      <c r="AY478" s="386">
        <f t="shared" si="337"/>
        <v>39582.400000000001</v>
      </c>
      <c r="AZ478" s="386" t="str">
        <f t="shared" si="338"/>
        <v/>
      </c>
      <c r="BA478" s="386">
        <f t="shared" si="339"/>
        <v>0</v>
      </c>
      <c r="BB478" s="386">
        <f t="shared" si="308"/>
        <v>11650</v>
      </c>
      <c r="BC478" s="386">
        <f t="shared" si="309"/>
        <v>0</v>
      </c>
      <c r="BD478" s="386">
        <f t="shared" si="310"/>
        <v>2454.1088</v>
      </c>
      <c r="BE478" s="386">
        <f t="shared" si="311"/>
        <v>573.9448000000001</v>
      </c>
      <c r="BF478" s="386">
        <f t="shared" si="312"/>
        <v>4726.1385600000003</v>
      </c>
      <c r="BG478" s="386">
        <f t="shared" si="313"/>
        <v>285.38910400000003</v>
      </c>
      <c r="BH478" s="386">
        <f t="shared" si="314"/>
        <v>193.95375999999999</v>
      </c>
      <c r="BI478" s="386">
        <f t="shared" si="315"/>
        <v>121.12214399999999</v>
      </c>
      <c r="BJ478" s="386">
        <f t="shared" si="316"/>
        <v>94.99776</v>
      </c>
      <c r="BK478" s="386">
        <f t="shared" si="317"/>
        <v>0</v>
      </c>
      <c r="BL478" s="386">
        <f t="shared" si="340"/>
        <v>8449.6549280000017</v>
      </c>
      <c r="BM478" s="386">
        <f t="shared" si="341"/>
        <v>0</v>
      </c>
      <c r="BN478" s="386">
        <f t="shared" si="318"/>
        <v>11650</v>
      </c>
      <c r="BO478" s="386">
        <f t="shared" si="319"/>
        <v>0</v>
      </c>
      <c r="BP478" s="386">
        <f t="shared" si="320"/>
        <v>2454.1088</v>
      </c>
      <c r="BQ478" s="386">
        <f t="shared" si="321"/>
        <v>573.9448000000001</v>
      </c>
      <c r="BR478" s="386">
        <f t="shared" si="322"/>
        <v>4726.1385600000003</v>
      </c>
      <c r="BS478" s="386">
        <f t="shared" si="323"/>
        <v>285.38910400000003</v>
      </c>
      <c r="BT478" s="386">
        <f t="shared" si="324"/>
        <v>0</v>
      </c>
      <c r="BU478" s="386">
        <f t="shared" si="325"/>
        <v>121.12214399999999</v>
      </c>
      <c r="BV478" s="386">
        <f t="shared" si="326"/>
        <v>98.956000000000003</v>
      </c>
      <c r="BW478" s="386">
        <f t="shared" si="327"/>
        <v>0</v>
      </c>
      <c r="BX478" s="386">
        <f t="shared" si="342"/>
        <v>8259.6594079999995</v>
      </c>
      <c r="BY478" s="386">
        <f t="shared" si="343"/>
        <v>0</v>
      </c>
      <c r="BZ478" s="386">
        <f t="shared" si="344"/>
        <v>0</v>
      </c>
      <c r="CA478" s="386">
        <f t="shared" si="345"/>
        <v>0</v>
      </c>
      <c r="CB478" s="386">
        <f t="shared" si="346"/>
        <v>0</v>
      </c>
      <c r="CC478" s="386">
        <f t="shared" si="328"/>
        <v>0</v>
      </c>
      <c r="CD478" s="386">
        <f t="shared" si="329"/>
        <v>0</v>
      </c>
      <c r="CE478" s="386">
        <f t="shared" si="330"/>
        <v>0</v>
      </c>
      <c r="CF478" s="386">
        <f t="shared" si="331"/>
        <v>-193.95375999999999</v>
      </c>
      <c r="CG478" s="386">
        <f t="shared" si="332"/>
        <v>0</v>
      </c>
      <c r="CH478" s="386">
        <f t="shared" si="333"/>
        <v>3.9582400000000106</v>
      </c>
      <c r="CI478" s="386">
        <f t="shared" si="334"/>
        <v>0</v>
      </c>
      <c r="CJ478" s="386">
        <f t="shared" si="347"/>
        <v>-189.99551999999997</v>
      </c>
      <c r="CK478" s="386" t="str">
        <f t="shared" si="348"/>
        <v/>
      </c>
      <c r="CL478" s="386" t="str">
        <f t="shared" si="349"/>
        <v/>
      </c>
      <c r="CM478" s="386" t="str">
        <f t="shared" si="350"/>
        <v/>
      </c>
      <c r="CN478" s="386" t="str">
        <f t="shared" si="351"/>
        <v>0001-00</v>
      </c>
    </row>
    <row r="479" spans="1:92" ht="15.75" thickBot="1" x14ac:dyDescent="0.3">
      <c r="A479" s="375" t="s">
        <v>161</v>
      </c>
      <c r="B479" s="375" t="s">
        <v>162</v>
      </c>
      <c r="C479" s="375" t="s">
        <v>1741</v>
      </c>
      <c r="D479" s="375" t="s">
        <v>768</v>
      </c>
      <c r="E479" s="375" t="s">
        <v>165</v>
      </c>
      <c r="F479" s="376" t="s">
        <v>166</v>
      </c>
      <c r="G479" s="375" t="s">
        <v>1599</v>
      </c>
      <c r="H479" s="377"/>
      <c r="I479" s="377"/>
      <c r="J479" s="375" t="s">
        <v>168</v>
      </c>
      <c r="K479" s="375" t="s">
        <v>769</v>
      </c>
      <c r="L479" s="375" t="s">
        <v>233</v>
      </c>
      <c r="M479" s="375" t="s">
        <v>177</v>
      </c>
      <c r="N479" s="375" t="s">
        <v>199</v>
      </c>
      <c r="O479" s="378">
        <v>1</v>
      </c>
      <c r="P479" s="384">
        <v>1</v>
      </c>
      <c r="Q479" s="384">
        <v>1</v>
      </c>
      <c r="R479" s="379">
        <v>80</v>
      </c>
      <c r="S479" s="384">
        <v>1</v>
      </c>
      <c r="T479" s="379">
        <v>29041.63</v>
      </c>
      <c r="U479" s="379">
        <v>0</v>
      </c>
      <c r="V479" s="379">
        <v>17017.810000000001</v>
      </c>
      <c r="W479" s="379">
        <v>38376</v>
      </c>
      <c r="X479" s="379">
        <v>19842.11</v>
      </c>
      <c r="Y479" s="379">
        <v>38376</v>
      </c>
      <c r="Z479" s="379">
        <v>19657.91</v>
      </c>
      <c r="AA479" s="375" t="s">
        <v>1742</v>
      </c>
      <c r="AB479" s="375" t="s">
        <v>1743</v>
      </c>
      <c r="AC479" s="375" t="s">
        <v>1348</v>
      </c>
      <c r="AD479" s="375" t="s">
        <v>170</v>
      </c>
      <c r="AE479" s="375" t="s">
        <v>769</v>
      </c>
      <c r="AF479" s="375" t="s">
        <v>237</v>
      </c>
      <c r="AG479" s="375" t="s">
        <v>183</v>
      </c>
      <c r="AH479" s="380">
        <v>18.45</v>
      </c>
      <c r="AI479" s="380">
        <v>26713.5</v>
      </c>
      <c r="AJ479" s="375" t="s">
        <v>184</v>
      </c>
      <c r="AK479" s="375" t="s">
        <v>185</v>
      </c>
      <c r="AL479" s="375" t="s">
        <v>173</v>
      </c>
      <c r="AM479" s="375" t="s">
        <v>186</v>
      </c>
      <c r="AN479" s="375" t="s">
        <v>68</v>
      </c>
      <c r="AO479" s="378">
        <v>80</v>
      </c>
      <c r="AP479" s="384">
        <v>1</v>
      </c>
      <c r="AQ479" s="384">
        <v>1</v>
      </c>
      <c r="AR479" s="383" t="s">
        <v>187</v>
      </c>
      <c r="AS479" s="386">
        <f t="shared" si="335"/>
        <v>1</v>
      </c>
      <c r="AT479">
        <f t="shared" si="336"/>
        <v>1</v>
      </c>
      <c r="AU479" s="386">
        <f>IF(AT479=0,"",IF(AND(AT479=1,M479="F",SUMIF(C2:C557,C479,AS2:AS557)&lt;=1),SUMIF(C2:C557,C479,AS2:AS557),IF(AND(AT479=1,M479="F",SUMIF(C2:C557,C479,AS2:AS557)&gt;1),1,"")))</f>
        <v>1</v>
      </c>
      <c r="AV479" s="386" t="str">
        <f>IF(AT479=0,"",IF(AND(AT479=3,M479="F",SUMIF(C2:C557,C479,AS2:AS557)&lt;=1),SUMIF(C2:C557,C479,AS2:AS557),IF(AND(AT479=3,M479="F",SUMIF(C2:C557,C479,AS2:AS557)&gt;1),1,"")))</f>
        <v/>
      </c>
      <c r="AW479" s="386">
        <f>SUMIF(C2:C557,C479,O2:O557)</f>
        <v>1</v>
      </c>
      <c r="AX479" s="386">
        <f>IF(AND(M479="F",AS479&lt;&gt;0),SUMIF(C2:C557,C479,W2:W557),0)</f>
        <v>38376</v>
      </c>
      <c r="AY479" s="386">
        <f t="shared" si="337"/>
        <v>38376</v>
      </c>
      <c r="AZ479" s="386" t="str">
        <f t="shared" si="338"/>
        <v/>
      </c>
      <c r="BA479" s="386">
        <f t="shared" si="339"/>
        <v>0</v>
      </c>
      <c r="BB479" s="386">
        <f t="shared" si="308"/>
        <v>11650</v>
      </c>
      <c r="BC479" s="386">
        <f t="shared" si="309"/>
        <v>0</v>
      </c>
      <c r="BD479" s="386">
        <f t="shared" si="310"/>
        <v>2379.3119999999999</v>
      </c>
      <c r="BE479" s="386">
        <f t="shared" si="311"/>
        <v>556.452</v>
      </c>
      <c r="BF479" s="386">
        <f t="shared" si="312"/>
        <v>4582.0944</v>
      </c>
      <c r="BG479" s="386">
        <f t="shared" si="313"/>
        <v>276.69096000000002</v>
      </c>
      <c r="BH479" s="386">
        <f t="shared" si="314"/>
        <v>188.04239999999999</v>
      </c>
      <c r="BI479" s="386">
        <f t="shared" si="315"/>
        <v>117.43055999999999</v>
      </c>
      <c r="BJ479" s="386">
        <f t="shared" si="316"/>
        <v>92.102399999999989</v>
      </c>
      <c r="BK479" s="386">
        <f t="shared" si="317"/>
        <v>0</v>
      </c>
      <c r="BL479" s="386">
        <f t="shared" si="340"/>
        <v>8192.1247199999998</v>
      </c>
      <c r="BM479" s="386">
        <f t="shared" si="341"/>
        <v>0</v>
      </c>
      <c r="BN479" s="386">
        <f t="shared" si="318"/>
        <v>11650</v>
      </c>
      <c r="BO479" s="386">
        <f t="shared" si="319"/>
        <v>0</v>
      </c>
      <c r="BP479" s="386">
        <f t="shared" si="320"/>
        <v>2379.3119999999999</v>
      </c>
      <c r="BQ479" s="386">
        <f t="shared" si="321"/>
        <v>556.452</v>
      </c>
      <c r="BR479" s="386">
        <f t="shared" si="322"/>
        <v>4582.0944</v>
      </c>
      <c r="BS479" s="386">
        <f t="shared" si="323"/>
        <v>276.69096000000002</v>
      </c>
      <c r="BT479" s="386">
        <f t="shared" si="324"/>
        <v>0</v>
      </c>
      <c r="BU479" s="386">
        <f t="shared" si="325"/>
        <v>117.43055999999999</v>
      </c>
      <c r="BV479" s="386">
        <f t="shared" si="326"/>
        <v>95.94</v>
      </c>
      <c r="BW479" s="386">
        <f t="shared" si="327"/>
        <v>0</v>
      </c>
      <c r="BX479" s="386">
        <f t="shared" si="342"/>
        <v>8007.9199199999994</v>
      </c>
      <c r="BY479" s="386">
        <f t="shared" si="343"/>
        <v>0</v>
      </c>
      <c r="BZ479" s="386">
        <f t="shared" si="344"/>
        <v>0</v>
      </c>
      <c r="CA479" s="386">
        <f t="shared" si="345"/>
        <v>0</v>
      </c>
      <c r="CB479" s="386">
        <f t="shared" si="346"/>
        <v>0</v>
      </c>
      <c r="CC479" s="386">
        <f t="shared" si="328"/>
        <v>0</v>
      </c>
      <c r="CD479" s="386">
        <f t="shared" si="329"/>
        <v>0</v>
      </c>
      <c r="CE479" s="386">
        <f t="shared" si="330"/>
        <v>0</v>
      </c>
      <c r="CF479" s="386">
        <f t="shared" si="331"/>
        <v>-188.04239999999999</v>
      </c>
      <c r="CG479" s="386">
        <f t="shared" si="332"/>
        <v>0</v>
      </c>
      <c r="CH479" s="386">
        <f t="shared" si="333"/>
        <v>3.8376000000000099</v>
      </c>
      <c r="CI479" s="386">
        <f t="shared" si="334"/>
        <v>0</v>
      </c>
      <c r="CJ479" s="386">
        <f t="shared" si="347"/>
        <v>-184.20479999999998</v>
      </c>
      <c r="CK479" s="386" t="str">
        <f t="shared" si="348"/>
        <v/>
      </c>
      <c r="CL479" s="386" t="str">
        <f t="shared" si="349"/>
        <v/>
      </c>
      <c r="CM479" s="386" t="str">
        <f t="shared" si="350"/>
        <v/>
      </c>
      <c r="CN479" s="386" t="str">
        <f t="shared" si="351"/>
        <v>0001-00</v>
      </c>
    </row>
    <row r="480" spans="1:92" ht="15.75" thickBot="1" x14ac:dyDescent="0.3">
      <c r="A480" s="375" t="s">
        <v>161</v>
      </c>
      <c r="B480" s="375" t="s">
        <v>162</v>
      </c>
      <c r="C480" s="375" t="s">
        <v>1744</v>
      </c>
      <c r="D480" s="375" t="s">
        <v>1629</v>
      </c>
      <c r="E480" s="375" t="s">
        <v>165</v>
      </c>
      <c r="F480" s="376" t="s">
        <v>166</v>
      </c>
      <c r="G480" s="375" t="s">
        <v>1599</v>
      </c>
      <c r="H480" s="377"/>
      <c r="I480" s="377"/>
      <c r="J480" s="375" t="s">
        <v>168</v>
      </c>
      <c r="K480" s="375" t="s">
        <v>1630</v>
      </c>
      <c r="L480" s="375" t="s">
        <v>198</v>
      </c>
      <c r="M480" s="375" t="s">
        <v>171</v>
      </c>
      <c r="N480" s="375" t="s">
        <v>199</v>
      </c>
      <c r="O480" s="378">
        <v>0</v>
      </c>
      <c r="P480" s="384">
        <v>1</v>
      </c>
      <c r="Q480" s="384">
        <v>1</v>
      </c>
      <c r="R480" s="379">
        <v>80</v>
      </c>
      <c r="S480" s="384">
        <v>1</v>
      </c>
      <c r="T480" s="379">
        <v>55079.89</v>
      </c>
      <c r="U480" s="379">
        <v>0</v>
      </c>
      <c r="V480" s="379">
        <v>23136.03</v>
      </c>
      <c r="W480" s="379">
        <v>47403.199999999997</v>
      </c>
      <c r="X480" s="379">
        <v>20762.599999999999</v>
      </c>
      <c r="Y480" s="379">
        <v>47403.199999999997</v>
      </c>
      <c r="Z480" s="379">
        <v>20525.580000000002</v>
      </c>
      <c r="AA480" s="377"/>
      <c r="AB480" s="375" t="s">
        <v>45</v>
      </c>
      <c r="AC480" s="375" t="s">
        <v>45</v>
      </c>
      <c r="AD480" s="377"/>
      <c r="AE480" s="377"/>
      <c r="AF480" s="377"/>
      <c r="AG480" s="377"/>
      <c r="AH480" s="378">
        <v>0</v>
      </c>
      <c r="AI480" s="378">
        <v>0</v>
      </c>
      <c r="AJ480" s="377"/>
      <c r="AK480" s="377"/>
      <c r="AL480" s="375" t="s">
        <v>173</v>
      </c>
      <c r="AM480" s="377"/>
      <c r="AN480" s="377"/>
      <c r="AO480" s="378">
        <v>0</v>
      </c>
      <c r="AP480" s="384">
        <v>0</v>
      </c>
      <c r="AQ480" s="384">
        <v>0</v>
      </c>
      <c r="AR480" s="382"/>
      <c r="AS480" s="386">
        <f t="shared" si="335"/>
        <v>0</v>
      </c>
      <c r="AT480">
        <f t="shared" si="336"/>
        <v>0</v>
      </c>
      <c r="AU480" s="386" t="str">
        <f>IF(AT480=0,"",IF(AND(AT480=1,M480="F",SUMIF(C2:C557,C480,AS2:AS557)&lt;=1),SUMIF(C2:C557,C480,AS2:AS557),IF(AND(AT480=1,M480="F",SUMIF(C2:C557,C480,AS2:AS557)&gt;1),1,"")))</f>
        <v/>
      </c>
      <c r="AV480" s="386" t="str">
        <f>IF(AT480=0,"",IF(AND(AT480=3,M480="F",SUMIF(C2:C557,C480,AS2:AS557)&lt;=1),SUMIF(C2:C557,C480,AS2:AS557),IF(AND(AT480=3,M480="F",SUMIF(C2:C557,C480,AS2:AS557)&gt;1),1,"")))</f>
        <v/>
      </c>
      <c r="AW480" s="386">
        <f>SUMIF(C2:C557,C480,O2:O557)</f>
        <v>0</v>
      </c>
      <c r="AX480" s="386">
        <f>IF(AND(M480="F",AS480&lt;&gt;0),SUMIF(C2:C557,C480,W2:W557),0)</f>
        <v>0</v>
      </c>
      <c r="AY480" s="386" t="str">
        <f t="shared" si="337"/>
        <v/>
      </c>
      <c r="AZ480" s="386" t="str">
        <f t="shared" si="338"/>
        <v/>
      </c>
      <c r="BA480" s="386">
        <f t="shared" si="339"/>
        <v>0</v>
      </c>
      <c r="BB480" s="386">
        <f t="shared" si="308"/>
        <v>0</v>
      </c>
      <c r="BC480" s="386">
        <f t="shared" si="309"/>
        <v>0</v>
      </c>
      <c r="BD480" s="386">
        <f t="shared" si="310"/>
        <v>0</v>
      </c>
      <c r="BE480" s="386">
        <f t="shared" si="311"/>
        <v>0</v>
      </c>
      <c r="BF480" s="386">
        <f t="shared" si="312"/>
        <v>0</v>
      </c>
      <c r="BG480" s="386">
        <f t="shared" si="313"/>
        <v>0</v>
      </c>
      <c r="BH480" s="386">
        <f t="shared" si="314"/>
        <v>0</v>
      </c>
      <c r="BI480" s="386">
        <f t="shared" si="315"/>
        <v>0</v>
      </c>
      <c r="BJ480" s="386">
        <f t="shared" si="316"/>
        <v>0</v>
      </c>
      <c r="BK480" s="386">
        <f t="shared" si="317"/>
        <v>0</v>
      </c>
      <c r="BL480" s="386">
        <f t="shared" si="340"/>
        <v>0</v>
      </c>
      <c r="BM480" s="386">
        <f t="shared" si="341"/>
        <v>0</v>
      </c>
      <c r="BN480" s="386">
        <f t="shared" si="318"/>
        <v>0</v>
      </c>
      <c r="BO480" s="386">
        <f t="shared" si="319"/>
        <v>0</v>
      </c>
      <c r="BP480" s="386">
        <f t="shared" si="320"/>
        <v>0</v>
      </c>
      <c r="BQ480" s="386">
        <f t="shared" si="321"/>
        <v>0</v>
      </c>
      <c r="BR480" s="386">
        <f t="shared" si="322"/>
        <v>0</v>
      </c>
      <c r="BS480" s="386">
        <f t="shared" si="323"/>
        <v>0</v>
      </c>
      <c r="BT480" s="386">
        <f t="shared" si="324"/>
        <v>0</v>
      </c>
      <c r="BU480" s="386">
        <f t="shared" si="325"/>
        <v>0</v>
      </c>
      <c r="BV480" s="386">
        <f t="shared" si="326"/>
        <v>0</v>
      </c>
      <c r="BW480" s="386">
        <f t="shared" si="327"/>
        <v>0</v>
      </c>
      <c r="BX480" s="386">
        <f t="shared" si="342"/>
        <v>0</v>
      </c>
      <c r="BY480" s="386">
        <f t="shared" si="343"/>
        <v>0</v>
      </c>
      <c r="BZ480" s="386">
        <f t="shared" si="344"/>
        <v>0</v>
      </c>
      <c r="CA480" s="386">
        <f t="shared" si="345"/>
        <v>0</v>
      </c>
      <c r="CB480" s="386">
        <f t="shared" si="346"/>
        <v>0</v>
      </c>
      <c r="CC480" s="386">
        <f t="shared" si="328"/>
        <v>0</v>
      </c>
      <c r="CD480" s="386">
        <f t="shared" si="329"/>
        <v>0</v>
      </c>
      <c r="CE480" s="386">
        <f t="shared" si="330"/>
        <v>0</v>
      </c>
      <c r="CF480" s="386">
        <f t="shared" si="331"/>
        <v>0</v>
      </c>
      <c r="CG480" s="386">
        <f t="shared" si="332"/>
        <v>0</v>
      </c>
      <c r="CH480" s="386">
        <f t="shared" si="333"/>
        <v>0</v>
      </c>
      <c r="CI480" s="386">
        <f t="shared" si="334"/>
        <v>0</v>
      </c>
      <c r="CJ480" s="386">
        <f t="shared" si="347"/>
        <v>0</v>
      </c>
      <c r="CK480" s="386" t="str">
        <f t="shared" si="348"/>
        <v/>
      </c>
      <c r="CL480" s="386" t="str">
        <f t="shared" si="349"/>
        <v/>
      </c>
      <c r="CM480" s="386" t="str">
        <f t="shared" si="350"/>
        <v/>
      </c>
      <c r="CN480" s="386" t="str">
        <f t="shared" si="351"/>
        <v>0001-00</v>
      </c>
    </row>
    <row r="481" spans="1:92" ht="15.75" thickBot="1" x14ac:dyDescent="0.3">
      <c r="A481" s="375" t="s">
        <v>161</v>
      </c>
      <c r="B481" s="375" t="s">
        <v>162</v>
      </c>
      <c r="C481" s="375" t="s">
        <v>1745</v>
      </c>
      <c r="D481" s="375" t="s">
        <v>768</v>
      </c>
      <c r="E481" s="375" t="s">
        <v>165</v>
      </c>
      <c r="F481" s="376" t="s">
        <v>166</v>
      </c>
      <c r="G481" s="375" t="s">
        <v>1599</v>
      </c>
      <c r="H481" s="377"/>
      <c r="I481" s="377"/>
      <c r="J481" s="375" t="s">
        <v>168</v>
      </c>
      <c r="K481" s="375" t="s">
        <v>769</v>
      </c>
      <c r="L481" s="375" t="s">
        <v>233</v>
      </c>
      <c r="M481" s="375" t="s">
        <v>177</v>
      </c>
      <c r="N481" s="375" t="s">
        <v>199</v>
      </c>
      <c r="O481" s="378">
        <v>1</v>
      </c>
      <c r="P481" s="384">
        <v>1</v>
      </c>
      <c r="Q481" s="384">
        <v>1</v>
      </c>
      <c r="R481" s="379">
        <v>80</v>
      </c>
      <c r="S481" s="384">
        <v>1</v>
      </c>
      <c r="T481" s="379">
        <v>37825.74</v>
      </c>
      <c r="U481" s="379">
        <v>0</v>
      </c>
      <c r="V481" s="379">
        <v>17840.11</v>
      </c>
      <c r="W481" s="379">
        <v>43638.400000000001</v>
      </c>
      <c r="X481" s="379">
        <v>20965.46</v>
      </c>
      <c r="Y481" s="379">
        <v>43638.400000000001</v>
      </c>
      <c r="Z481" s="379">
        <v>20756</v>
      </c>
      <c r="AA481" s="375" t="s">
        <v>1746</v>
      </c>
      <c r="AB481" s="375" t="s">
        <v>1747</v>
      </c>
      <c r="AC481" s="375" t="s">
        <v>437</v>
      </c>
      <c r="AD481" s="375" t="s">
        <v>185</v>
      </c>
      <c r="AE481" s="375" t="s">
        <v>769</v>
      </c>
      <c r="AF481" s="375" t="s">
        <v>237</v>
      </c>
      <c r="AG481" s="375" t="s">
        <v>183</v>
      </c>
      <c r="AH481" s="380">
        <v>20.98</v>
      </c>
      <c r="AI481" s="378">
        <v>13121</v>
      </c>
      <c r="AJ481" s="375" t="s">
        <v>184</v>
      </c>
      <c r="AK481" s="375" t="s">
        <v>185</v>
      </c>
      <c r="AL481" s="375" t="s">
        <v>173</v>
      </c>
      <c r="AM481" s="375" t="s">
        <v>186</v>
      </c>
      <c r="AN481" s="375" t="s">
        <v>68</v>
      </c>
      <c r="AO481" s="378">
        <v>80</v>
      </c>
      <c r="AP481" s="384">
        <v>1</v>
      </c>
      <c r="AQ481" s="384">
        <v>1</v>
      </c>
      <c r="AR481" s="383" t="s">
        <v>187</v>
      </c>
      <c r="AS481" s="386">
        <f t="shared" si="335"/>
        <v>1</v>
      </c>
      <c r="AT481">
        <f t="shared" si="336"/>
        <v>1</v>
      </c>
      <c r="AU481" s="386">
        <f>IF(AT481=0,"",IF(AND(AT481=1,M481="F",SUMIF(C2:C557,C481,AS2:AS557)&lt;=1),SUMIF(C2:C557,C481,AS2:AS557),IF(AND(AT481=1,M481="F",SUMIF(C2:C557,C481,AS2:AS557)&gt;1),1,"")))</f>
        <v>1</v>
      </c>
      <c r="AV481" s="386" t="str">
        <f>IF(AT481=0,"",IF(AND(AT481=3,M481="F",SUMIF(C2:C557,C481,AS2:AS557)&lt;=1),SUMIF(C2:C557,C481,AS2:AS557),IF(AND(AT481=3,M481="F",SUMIF(C2:C557,C481,AS2:AS557)&gt;1),1,"")))</f>
        <v/>
      </c>
      <c r="AW481" s="386">
        <f>SUMIF(C2:C557,C481,O2:O557)</f>
        <v>1</v>
      </c>
      <c r="AX481" s="386">
        <f>IF(AND(M481="F",AS481&lt;&gt;0),SUMIF(C2:C557,C481,W2:W557),0)</f>
        <v>43638.400000000001</v>
      </c>
      <c r="AY481" s="386">
        <f t="shared" si="337"/>
        <v>43638.400000000001</v>
      </c>
      <c r="AZ481" s="386" t="str">
        <f t="shared" si="338"/>
        <v/>
      </c>
      <c r="BA481" s="386">
        <f t="shared" si="339"/>
        <v>0</v>
      </c>
      <c r="BB481" s="386">
        <f t="shared" si="308"/>
        <v>11650</v>
      </c>
      <c r="BC481" s="386">
        <f t="shared" si="309"/>
        <v>0</v>
      </c>
      <c r="BD481" s="386">
        <f t="shared" si="310"/>
        <v>2705.5808000000002</v>
      </c>
      <c r="BE481" s="386">
        <f t="shared" si="311"/>
        <v>632.7568</v>
      </c>
      <c r="BF481" s="386">
        <f t="shared" si="312"/>
        <v>5210.4249600000003</v>
      </c>
      <c r="BG481" s="386">
        <f t="shared" si="313"/>
        <v>314.63286400000004</v>
      </c>
      <c r="BH481" s="386">
        <f t="shared" si="314"/>
        <v>213.82816</v>
      </c>
      <c r="BI481" s="386">
        <f t="shared" si="315"/>
        <v>133.53350399999999</v>
      </c>
      <c r="BJ481" s="386">
        <f t="shared" si="316"/>
        <v>104.73215999999999</v>
      </c>
      <c r="BK481" s="386">
        <f t="shared" si="317"/>
        <v>0</v>
      </c>
      <c r="BL481" s="386">
        <f t="shared" si="340"/>
        <v>9315.489247999998</v>
      </c>
      <c r="BM481" s="386">
        <f t="shared" si="341"/>
        <v>0</v>
      </c>
      <c r="BN481" s="386">
        <f t="shared" si="318"/>
        <v>11650</v>
      </c>
      <c r="BO481" s="386">
        <f t="shared" si="319"/>
        <v>0</v>
      </c>
      <c r="BP481" s="386">
        <f t="shared" si="320"/>
        <v>2705.5808000000002</v>
      </c>
      <c r="BQ481" s="386">
        <f t="shared" si="321"/>
        <v>632.7568</v>
      </c>
      <c r="BR481" s="386">
        <f t="shared" si="322"/>
        <v>5210.4249600000003</v>
      </c>
      <c r="BS481" s="386">
        <f t="shared" si="323"/>
        <v>314.63286400000004</v>
      </c>
      <c r="BT481" s="386">
        <f t="shared" si="324"/>
        <v>0</v>
      </c>
      <c r="BU481" s="386">
        <f t="shared" si="325"/>
        <v>133.53350399999999</v>
      </c>
      <c r="BV481" s="386">
        <f t="shared" si="326"/>
        <v>109.096</v>
      </c>
      <c r="BW481" s="386">
        <f t="shared" si="327"/>
        <v>0</v>
      </c>
      <c r="BX481" s="386">
        <f t="shared" si="342"/>
        <v>9106.0249280000007</v>
      </c>
      <c r="BY481" s="386">
        <f t="shared" si="343"/>
        <v>0</v>
      </c>
      <c r="BZ481" s="386">
        <f t="shared" si="344"/>
        <v>0</v>
      </c>
      <c r="CA481" s="386">
        <f t="shared" si="345"/>
        <v>0</v>
      </c>
      <c r="CB481" s="386">
        <f t="shared" si="346"/>
        <v>0</v>
      </c>
      <c r="CC481" s="386">
        <f t="shared" si="328"/>
        <v>0</v>
      </c>
      <c r="CD481" s="386">
        <f t="shared" si="329"/>
        <v>0</v>
      </c>
      <c r="CE481" s="386">
        <f t="shared" si="330"/>
        <v>0</v>
      </c>
      <c r="CF481" s="386">
        <f t="shared" si="331"/>
        <v>-213.82816</v>
      </c>
      <c r="CG481" s="386">
        <f t="shared" si="332"/>
        <v>0</v>
      </c>
      <c r="CH481" s="386">
        <f t="shared" si="333"/>
        <v>4.3638400000000113</v>
      </c>
      <c r="CI481" s="386">
        <f t="shared" si="334"/>
        <v>0</v>
      </c>
      <c r="CJ481" s="386">
        <f t="shared" si="347"/>
        <v>-209.46431999999999</v>
      </c>
      <c r="CK481" s="386" t="str">
        <f t="shared" si="348"/>
        <v/>
      </c>
      <c r="CL481" s="386" t="str">
        <f t="shared" si="349"/>
        <v/>
      </c>
      <c r="CM481" s="386" t="str">
        <f t="shared" si="350"/>
        <v/>
      </c>
      <c r="CN481" s="386" t="str">
        <f t="shared" si="351"/>
        <v>0001-00</v>
      </c>
    </row>
    <row r="482" spans="1:92" ht="15.75" thickBot="1" x14ac:dyDescent="0.3">
      <c r="A482" s="375" t="s">
        <v>161</v>
      </c>
      <c r="B482" s="375" t="s">
        <v>162</v>
      </c>
      <c r="C482" s="375" t="s">
        <v>1748</v>
      </c>
      <c r="D482" s="375" t="s">
        <v>1598</v>
      </c>
      <c r="E482" s="375" t="s">
        <v>165</v>
      </c>
      <c r="F482" s="376" t="s">
        <v>166</v>
      </c>
      <c r="G482" s="375" t="s">
        <v>1599</v>
      </c>
      <c r="H482" s="377"/>
      <c r="I482" s="377"/>
      <c r="J482" s="375" t="s">
        <v>168</v>
      </c>
      <c r="K482" s="375" t="s">
        <v>1600</v>
      </c>
      <c r="L482" s="375" t="s">
        <v>233</v>
      </c>
      <c r="M482" s="375" t="s">
        <v>171</v>
      </c>
      <c r="N482" s="375" t="s">
        <v>199</v>
      </c>
      <c r="O482" s="378">
        <v>0</v>
      </c>
      <c r="P482" s="384">
        <v>1</v>
      </c>
      <c r="Q482" s="384">
        <v>1</v>
      </c>
      <c r="R482" s="379">
        <v>80</v>
      </c>
      <c r="S482" s="384">
        <v>1</v>
      </c>
      <c r="T482" s="379">
        <v>24163.200000000001</v>
      </c>
      <c r="U482" s="379">
        <v>0</v>
      </c>
      <c r="V482" s="379">
        <v>13201.02</v>
      </c>
      <c r="W482" s="379">
        <v>42328</v>
      </c>
      <c r="X482" s="379">
        <v>18539.66</v>
      </c>
      <c r="Y482" s="379">
        <v>42328</v>
      </c>
      <c r="Z482" s="379">
        <v>18328.02</v>
      </c>
      <c r="AA482" s="377"/>
      <c r="AB482" s="375" t="s">
        <v>45</v>
      </c>
      <c r="AC482" s="375" t="s">
        <v>45</v>
      </c>
      <c r="AD482" s="377"/>
      <c r="AE482" s="377"/>
      <c r="AF482" s="377"/>
      <c r="AG482" s="377"/>
      <c r="AH482" s="378">
        <v>0</v>
      </c>
      <c r="AI482" s="378">
        <v>0</v>
      </c>
      <c r="AJ482" s="377"/>
      <c r="AK482" s="377"/>
      <c r="AL482" s="375" t="s">
        <v>173</v>
      </c>
      <c r="AM482" s="377"/>
      <c r="AN482" s="377"/>
      <c r="AO482" s="378">
        <v>0</v>
      </c>
      <c r="AP482" s="384">
        <v>0</v>
      </c>
      <c r="AQ482" s="384">
        <v>0</v>
      </c>
      <c r="AR482" s="382"/>
      <c r="AS482" s="386">
        <f t="shared" si="335"/>
        <v>0</v>
      </c>
      <c r="AT482">
        <f t="shared" si="336"/>
        <v>0</v>
      </c>
      <c r="AU482" s="386" t="str">
        <f>IF(AT482=0,"",IF(AND(AT482=1,M482="F",SUMIF(C2:C557,C482,AS2:AS557)&lt;=1),SUMIF(C2:C557,C482,AS2:AS557),IF(AND(AT482=1,M482="F",SUMIF(C2:C557,C482,AS2:AS557)&gt;1),1,"")))</f>
        <v/>
      </c>
      <c r="AV482" s="386" t="str">
        <f>IF(AT482=0,"",IF(AND(AT482=3,M482="F",SUMIF(C2:C557,C482,AS2:AS557)&lt;=1),SUMIF(C2:C557,C482,AS2:AS557),IF(AND(AT482=3,M482="F",SUMIF(C2:C557,C482,AS2:AS557)&gt;1),1,"")))</f>
        <v/>
      </c>
      <c r="AW482" s="386">
        <f>SUMIF(C2:C557,C482,O2:O557)</f>
        <v>0</v>
      </c>
      <c r="AX482" s="386">
        <f>IF(AND(M482="F",AS482&lt;&gt;0),SUMIF(C2:C557,C482,W2:W557),0)</f>
        <v>0</v>
      </c>
      <c r="AY482" s="386" t="str">
        <f t="shared" si="337"/>
        <v/>
      </c>
      <c r="AZ482" s="386" t="str">
        <f t="shared" si="338"/>
        <v/>
      </c>
      <c r="BA482" s="386">
        <f t="shared" si="339"/>
        <v>0</v>
      </c>
      <c r="BB482" s="386">
        <f t="shared" si="308"/>
        <v>0</v>
      </c>
      <c r="BC482" s="386">
        <f t="shared" si="309"/>
        <v>0</v>
      </c>
      <c r="BD482" s="386">
        <f t="shared" si="310"/>
        <v>0</v>
      </c>
      <c r="BE482" s="386">
        <f t="shared" si="311"/>
        <v>0</v>
      </c>
      <c r="BF482" s="386">
        <f t="shared" si="312"/>
        <v>0</v>
      </c>
      <c r="BG482" s="386">
        <f t="shared" si="313"/>
        <v>0</v>
      </c>
      <c r="BH482" s="386">
        <f t="shared" si="314"/>
        <v>0</v>
      </c>
      <c r="BI482" s="386">
        <f t="shared" si="315"/>
        <v>0</v>
      </c>
      <c r="BJ482" s="386">
        <f t="shared" si="316"/>
        <v>0</v>
      </c>
      <c r="BK482" s="386">
        <f t="shared" si="317"/>
        <v>0</v>
      </c>
      <c r="BL482" s="386">
        <f t="shared" si="340"/>
        <v>0</v>
      </c>
      <c r="BM482" s="386">
        <f t="shared" si="341"/>
        <v>0</v>
      </c>
      <c r="BN482" s="386">
        <f t="shared" si="318"/>
        <v>0</v>
      </c>
      <c r="BO482" s="386">
        <f t="shared" si="319"/>
        <v>0</v>
      </c>
      <c r="BP482" s="386">
        <f t="shared" si="320"/>
        <v>0</v>
      </c>
      <c r="BQ482" s="386">
        <f t="shared" si="321"/>
        <v>0</v>
      </c>
      <c r="BR482" s="386">
        <f t="shared" si="322"/>
        <v>0</v>
      </c>
      <c r="BS482" s="386">
        <f t="shared" si="323"/>
        <v>0</v>
      </c>
      <c r="BT482" s="386">
        <f t="shared" si="324"/>
        <v>0</v>
      </c>
      <c r="BU482" s="386">
        <f t="shared" si="325"/>
        <v>0</v>
      </c>
      <c r="BV482" s="386">
        <f t="shared" si="326"/>
        <v>0</v>
      </c>
      <c r="BW482" s="386">
        <f t="shared" si="327"/>
        <v>0</v>
      </c>
      <c r="BX482" s="386">
        <f t="shared" si="342"/>
        <v>0</v>
      </c>
      <c r="BY482" s="386">
        <f t="shared" si="343"/>
        <v>0</v>
      </c>
      <c r="BZ482" s="386">
        <f t="shared" si="344"/>
        <v>0</v>
      </c>
      <c r="CA482" s="386">
        <f t="shared" si="345"/>
        <v>0</v>
      </c>
      <c r="CB482" s="386">
        <f t="shared" si="346"/>
        <v>0</v>
      </c>
      <c r="CC482" s="386">
        <f t="shared" si="328"/>
        <v>0</v>
      </c>
      <c r="CD482" s="386">
        <f t="shared" si="329"/>
        <v>0</v>
      </c>
      <c r="CE482" s="386">
        <f t="shared" si="330"/>
        <v>0</v>
      </c>
      <c r="CF482" s="386">
        <f t="shared" si="331"/>
        <v>0</v>
      </c>
      <c r="CG482" s="386">
        <f t="shared" si="332"/>
        <v>0</v>
      </c>
      <c r="CH482" s="386">
        <f t="shared" si="333"/>
        <v>0</v>
      </c>
      <c r="CI482" s="386">
        <f t="shared" si="334"/>
        <v>0</v>
      </c>
      <c r="CJ482" s="386">
        <f t="shared" si="347"/>
        <v>0</v>
      </c>
      <c r="CK482" s="386" t="str">
        <f t="shared" si="348"/>
        <v/>
      </c>
      <c r="CL482" s="386" t="str">
        <f t="shared" si="349"/>
        <v/>
      </c>
      <c r="CM482" s="386" t="str">
        <f t="shared" si="350"/>
        <v/>
      </c>
      <c r="CN482" s="386" t="str">
        <f t="shared" si="351"/>
        <v>0001-00</v>
      </c>
    </row>
    <row r="483" spans="1:92" ht="15.75" thickBot="1" x14ac:dyDescent="0.3">
      <c r="A483" s="375" t="s">
        <v>161</v>
      </c>
      <c r="B483" s="375" t="s">
        <v>162</v>
      </c>
      <c r="C483" s="375" t="s">
        <v>1749</v>
      </c>
      <c r="D483" s="375" t="s">
        <v>1598</v>
      </c>
      <c r="E483" s="375" t="s">
        <v>165</v>
      </c>
      <c r="F483" s="376" t="s">
        <v>166</v>
      </c>
      <c r="G483" s="375" t="s">
        <v>1599</v>
      </c>
      <c r="H483" s="377"/>
      <c r="I483" s="377"/>
      <c r="J483" s="375" t="s">
        <v>168</v>
      </c>
      <c r="K483" s="375" t="s">
        <v>1600</v>
      </c>
      <c r="L483" s="375" t="s">
        <v>233</v>
      </c>
      <c r="M483" s="375" t="s">
        <v>177</v>
      </c>
      <c r="N483" s="375" t="s">
        <v>199</v>
      </c>
      <c r="O483" s="378">
        <v>1</v>
      </c>
      <c r="P483" s="384">
        <v>1</v>
      </c>
      <c r="Q483" s="384">
        <v>1</v>
      </c>
      <c r="R483" s="379">
        <v>80</v>
      </c>
      <c r="S483" s="384">
        <v>1</v>
      </c>
      <c r="T483" s="379">
        <v>27744.79</v>
      </c>
      <c r="U483" s="379">
        <v>0</v>
      </c>
      <c r="V483" s="379">
        <v>14800.25</v>
      </c>
      <c r="W483" s="379">
        <v>40081.599999999999</v>
      </c>
      <c r="X483" s="379">
        <v>20206.169999999998</v>
      </c>
      <c r="Y483" s="379">
        <v>40081.599999999999</v>
      </c>
      <c r="Z483" s="379">
        <v>20013.79</v>
      </c>
      <c r="AA483" s="375" t="s">
        <v>1750</v>
      </c>
      <c r="AB483" s="375" t="s">
        <v>1751</v>
      </c>
      <c r="AC483" s="375" t="s">
        <v>1752</v>
      </c>
      <c r="AD483" s="375" t="s">
        <v>214</v>
      </c>
      <c r="AE483" s="375" t="s">
        <v>1600</v>
      </c>
      <c r="AF483" s="375" t="s">
        <v>237</v>
      </c>
      <c r="AG483" s="375" t="s">
        <v>183</v>
      </c>
      <c r="AH483" s="380">
        <v>19.27</v>
      </c>
      <c r="AI483" s="380">
        <v>3586.7</v>
      </c>
      <c r="AJ483" s="375" t="s">
        <v>184</v>
      </c>
      <c r="AK483" s="375" t="s">
        <v>185</v>
      </c>
      <c r="AL483" s="375" t="s">
        <v>173</v>
      </c>
      <c r="AM483" s="375" t="s">
        <v>186</v>
      </c>
      <c r="AN483" s="375" t="s">
        <v>68</v>
      </c>
      <c r="AO483" s="378">
        <v>80</v>
      </c>
      <c r="AP483" s="384">
        <v>1</v>
      </c>
      <c r="AQ483" s="384">
        <v>1</v>
      </c>
      <c r="AR483" s="383" t="s">
        <v>187</v>
      </c>
      <c r="AS483" s="386">
        <f t="shared" si="335"/>
        <v>1</v>
      </c>
      <c r="AT483">
        <f t="shared" si="336"/>
        <v>1</v>
      </c>
      <c r="AU483" s="386">
        <f>IF(AT483=0,"",IF(AND(AT483=1,M483="F",SUMIF(C2:C557,C483,AS2:AS557)&lt;=1),SUMIF(C2:C557,C483,AS2:AS557),IF(AND(AT483=1,M483="F",SUMIF(C2:C557,C483,AS2:AS557)&gt;1),1,"")))</f>
        <v>1</v>
      </c>
      <c r="AV483" s="386" t="str">
        <f>IF(AT483=0,"",IF(AND(AT483=3,M483="F",SUMIF(C2:C557,C483,AS2:AS557)&lt;=1),SUMIF(C2:C557,C483,AS2:AS557),IF(AND(AT483=3,M483="F",SUMIF(C2:C557,C483,AS2:AS557)&gt;1),1,"")))</f>
        <v/>
      </c>
      <c r="AW483" s="386">
        <f>SUMIF(C2:C557,C483,O2:O557)</f>
        <v>1</v>
      </c>
      <c r="AX483" s="386">
        <f>IF(AND(M483="F",AS483&lt;&gt;0),SUMIF(C2:C557,C483,W2:W557),0)</f>
        <v>40081.599999999999</v>
      </c>
      <c r="AY483" s="386">
        <f t="shared" si="337"/>
        <v>40081.599999999999</v>
      </c>
      <c r="AZ483" s="386" t="str">
        <f t="shared" si="338"/>
        <v/>
      </c>
      <c r="BA483" s="386">
        <f t="shared" si="339"/>
        <v>0</v>
      </c>
      <c r="BB483" s="386">
        <f t="shared" si="308"/>
        <v>11650</v>
      </c>
      <c r="BC483" s="386">
        <f t="shared" si="309"/>
        <v>0</v>
      </c>
      <c r="BD483" s="386">
        <f t="shared" si="310"/>
        <v>2485.0591999999997</v>
      </c>
      <c r="BE483" s="386">
        <f t="shared" si="311"/>
        <v>581.18320000000006</v>
      </c>
      <c r="BF483" s="386">
        <f t="shared" si="312"/>
        <v>4785.7430400000003</v>
      </c>
      <c r="BG483" s="386">
        <f t="shared" si="313"/>
        <v>288.988336</v>
      </c>
      <c r="BH483" s="386">
        <f t="shared" si="314"/>
        <v>196.39983999999998</v>
      </c>
      <c r="BI483" s="386">
        <f t="shared" si="315"/>
        <v>122.64969599999999</v>
      </c>
      <c r="BJ483" s="386">
        <f t="shared" si="316"/>
        <v>96.19583999999999</v>
      </c>
      <c r="BK483" s="386">
        <f t="shared" si="317"/>
        <v>0</v>
      </c>
      <c r="BL483" s="386">
        <f t="shared" si="340"/>
        <v>8556.2191520000015</v>
      </c>
      <c r="BM483" s="386">
        <f t="shared" si="341"/>
        <v>0</v>
      </c>
      <c r="BN483" s="386">
        <f t="shared" si="318"/>
        <v>11650</v>
      </c>
      <c r="BO483" s="386">
        <f t="shared" si="319"/>
        <v>0</v>
      </c>
      <c r="BP483" s="386">
        <f t="shared" si="320"/>
        <v>2485.0591999999997</v>
      </c>
      <c r="BQ483" s="386">
        <f t="shared" si="321"/>
        <v>581.18320000000006</v>
      </c>
      <c r="BR483" s="386">
        <f t="shared" si="322"/>
        <v>4785.7430400000003</v>
      </c>
      <c r="BS483" s="386">
        <f t="shared" si="323"/>
        <v>288.988336</v>
      </c>
      <c r="BT483" s="386">
        <f t="shared" si="324"/>
        <v>0</v>
      </c>
      <c r="BU483" s="386">
        <f t="shared" si="325"/>
        <v>122.64969599999999</v>
      </c>
      <c r="BV483" s="386">
        <f t="shared" si="326"/>
        <v>100.20399999999999</v>
      </c>
      <c r="BW483" s="386">
        <f t="shared" si="327"/>
        <v>0</v>
      </c>
      <c r="BX483" s="386">
        <f t="shared" si="342"/>
        <v>8363.8274720000009</v>
      </c>
      <c r="BY483" s="386">
        <f t="shared" si="343"/>
        <v>0</v>
      </c>
      <c r="BZ483" s="386">
        <f t="shared" si="344"/>
        <v>0</v>
      </c>
      <c r="CA483" s="386">
        <f t="shared" si="345"/>
        <v>0</v>
      </c>
      <c r="CB483" s="386">
        <f t="shared" si="346"/>
        <v>0</v>
      </c>
      <c r="CC483" s="386">
        <f t="shared" si="328"/>
        <v>0</v>
      </c>
      <c r="CD483" s="386">
        <f t="shared" si="329"/>
        <v>0</v>
      </c>
      <c r="CE483" s="386">
        <f t="shared" si="330"/>
        <v>0</v>
      </c>
      <c r="CF483" s="386">
        <f t="shared" si="331"/>
        <v>-196.39983999999998</v>
      </c>
      <c r="CG483" s="386">
        <f t="shared" si="332"/>
        <v>0</v>
      </c>
      <c r="CH483" s="386">
        <f t="shared" si="333"/>
        <v>4.0081600000000099</v>
      </c>
      <c r="CI483" s="386">
        <f t="shared" si="334"/>
        <v>0</v>
      </c>
      <c r="CJ483" s="386">
        <f t="shared" si="347"/>
        <v>-192.39167999999998</v>
      </c>
      <c r="CK483" s="386" t="str">
        <f t="shared" si="348"/>
        <v/>
      </c>
      <c r="CL483" s="386" t="str">
        <f t="shared" si="349"/>
        <v/>
      </c>
      <c r="CM483" s="386" t="str">
        <f t="shared" si="350"/>
        <v/>
      </c>
      <c r="CN483" s="386" t="str">
        <f t="shared" si="351"/>
        <v>0001-00</v>
      </c>
    </row>
    <row r="484" spans="1:92" ht="15.75" thickBot="1" x14ac:dyDescent="0.3">
      <c r="A484" s="375" t="s">
        <v>161</v>
      </c>
      <c r="B484" s="375" t="s">
        <v>162</v>
      </c>
      <c r="C484" s="375" t="s">
        <v>1753</v>
      </c>
      <c r="D484" s="375" t="s">
        <v>1598</v>
      </c>
      <c r="E484" s="375" t="s">
        <v>165</v>
      </c>
      <c r="F484" s="376" t="s">
        <v>166</v>
      </c>
      <c r="G484" s="375" t="s">
        <v>1599</v>
      </c>
      <c r="H484" s="377"/>
      <c r="I484" s="377"/>
      <c r="J484" s="375" t="s">
        <v>168</v>
      </c>
      <c r="K484" s="375" t="s">
        <v>1600</v>
      </c>
      <c r="L484" s="375" t="s">
        <v>233</v>
      </c>
      <c r="M484" s="375" t="s">
        <v>177</v>
      </c>
      <c r="N484" s="375" t="s">
        <v>199</v>
      </c>
      <c r="O484" s="378">
        <v>1</v>
      </c>
      <c r="P484" s="384">
        <v>1</v>
      </c>
      <c r="Q484" s="384">
        <v>1</v>
      </c>
      <c r="R484" s="379">
        <v>80</v>
      </c>
      <c r="S484" s="384">
        <v>1</v>
      </c>
      <c r="T484" s="379">
        <v>19553.740000000002</v>
      </c>
      <c r="U484" s="379">
        <v>0</v>
      </c>
      <c r="V484" s="379">
        <v>10822.06</v>
      </c>
      <c r="W484" s="379">
        <v>39582.400000000001</v>
      </c>
      <c r="X484" s="379">
        <v>20099.61</v>
      </c>
      <c r="Y484" s="379">
        <v>39582.400000000001</v>
      </c>
      <c r="Z484" s="379">
        <v>19909.62</v>
      </c>
      <c r="AA484" s="375" t="s">
        <v>1754</v>
      </c>
      <c r="AB484" s="375" t="s">
        <v>1755</v>
      </c>
      <c r="AC484" s="375" t="s">
        <v>1756</v>
      </c>
      <c r="AD484" s="375" t="s">
        <v>181</v>
      </c>
      <c r="AE484" s="375" t="s">
        <v>1600</v>
      </c>
      <c r="AF484" s="375" t="s">
        <v>237</v>
      </c>
      <c r="AG484" s="375" t="s">
        <v>183</v>
      </c>
      <c r="AH484" s="380">
        <v>19.03</v>
      </c>
      <c r="AI484" s="380">
        <v>1305.7</v>
      </c>
      <c r="AJ484" s="375" t="s">
        <v>184</v>
      </c>
      <c r="AK484" s="375" t="s">
        <v>185</v>
      </c>
      <c r="AL484" s="375" t="s">
        <v>173</v>
      </c>
      <c r="AM484" s="375" t="s">
        <v>186</v>
      </c>
      <c r="AN484" s="375" t="s">
        <v>68</v>
      </c>
      <c r="AO484" s="378">
        <v>80</v>
      </c>
      <c r="AP484" s="384">
        <v>1</v>
      </c>
      <c r="AQ484" s="384">
        <v>1</v>
      </c>
      <c r="AR484" s="383" t="s">
        <v>187</v>
      </c>
      <c r="AS484" s="386">
        <f t="shared" si="335"/>
        <v>1</v>
      </c>
      <c r="AT484">
        <f t="shared" si="336"/>
        <v>1</v>
      </c>
      <c r="AU484" s="386">
        <f>IF(AT484=0,"",IF(AND(AT484=1,M484="F",SUMIF(C2:C557,C484,AS2:AS557)&lt;=1),SUMIF(C2:C557,C484,AS2:AS557),IF(AND(AT484=1,M484="F",SUMIF(C2:C557,C484,AS2:AS557)&gt;1),1,"")))</f>
        <v>1</v>
      </c>
      <c r="AV484" s="386" t="str">
        <f>IF(AT484=0,"",IF(AND(AT484=3,M484="F",SUMIF(C2:C557,C484,AS2:AS557)&lt;=1),SUMIF(C2:C557,C484,AS2:AS557),IF(AND(AT484=3,M484="F",SUMIF(C2:C557,C484,AS2:AS557)&gt;1),1,"")))</f>
        <v/>
      </c>
      <c r="AW484" s="386">
        <f>SUMIF(C2:C557,C484,O2:O557)</f>
        <v>1</v>
      </c>
      <c r="AX484" s="386">
        <f>IF(AND(M484="F",AS484&lt;&gt;0),SUMIF(C2:C557,C484,W2:W557),0)</f>
        <v>39582.400000000001</v>
      </c>
      <c r="AY484" s="386">
        <f t="shared" si="337"/>
        <v>39582.400000000001</v>
      </c>
      <c r="AZ484" s="386" t="str">
        <f t="shared" si="338"/>
        <v/>
      </c>
      <c r="BA484" s="386">
        <f t="shared" si="339"/>
        <v>0</v>
      </c>
      <c r="BB484" s="386">
        <f t="shared" si="308"/>
        <v>11650</v>
      </c>
      <c r="BC484" s="386">
        <f t="shared" si="309"/>
        <v>0</v>
      </c>
      <c r="BD484" s="386">
        <f t="shared" si="310"/>
        <v>2454.1088</v>
      </c>
      <c r="BE484" s="386">
        <f t="shared" si="311"/>
        <v>573.9448000000001</v>
      </c>
      <c r="BF484" s="386">
        <f t="shared" si="312"/>
        <v>4726.1385600000003</v>
      </c>
      <c r="BG484" s="386">
        <f t="shared" si="313"/>
        <v>285.38910400000003</v>
      </c>
      <c r="BH484" s="386">
        <f t="shared" si="314"/>
        <v>193.95375999999999</v>
      </c>
      <c r="BI484" s="386">
        <f t="shared" si="315"/>
        <v>121.12214399999999</v>
      </c>
      <c r="BJ484" s="386">
        <f t="shared" si="316"/>
        <v>94.99776</v>
      </c>
      <c r="BK484" s="386">
        <f t="shared" si="317"/>
        <v>0</v>
      </c>
      <c r="BL484" s="386">
        <f t="shared" si="340"/>
        <v>8449.6549280000017</v>
      </c>
      <c r="BM484" s="386">
        <f t="shared" si="341"/>
        <v>0</v>
      </c>
      <c r="BN484" s="386">
        <f t="shared" si="318"/>
        <v>11650</v>
      </c>
      <c r="BO484" s="386">
        <f t="shared" si="319"/>
        <v>0</v>
      </c>
      <c r="BP484" s="386">
        <f t="shared" si="320"/>
        <v>2454.1088</v>
      </c>
      <c r="BQ484" s="386">
        <f t="shared" si="321"/>
        <v>573.9448000000001</v>
      </c>
      <c r="BR484" s="386">
        <f t="shared" si="322"/>
        <v>4726.1385600000003</v>
      </c>
      <c r="BS484" s="386">
        <f t="shared" si="323"/>
        <v>285.38910400000003</v>
      </c>
      <c r="BT484" s="386">
        <f t="shared" si="324"/>
        <v>0</v>
      </c>
      <c r="BU484" s="386">
        <f t="shared" si="325"/>
        <v>121.12214399999999</v>
      </c>
      <c r="BV484" s="386">
        <f t="shared" si="326"/>
        <v>98.956000000000003</v>
      </c>
      <c r="BW484" s="386">
        <f t="shared" si="327"/>
        <v>0</v>
      </c>
      <c r="BX484" s="386">
        <f t="shared" si="342"/>
        <v>8259.6594079999995</v>
      </c>
      <c r="BY484" s="386">
        <f t="shared" si="343"/>
        <v>0</v>
      </c>
      <c r="BZ484" s="386">
        <f t="shared" si="344"/>
        <v>0</v>
      </c>
      <c r="CA484" s="386">
        <f t="shared" si="345"/>
        <v>0</v>
      </c>
      <c r="CB484" s="386">
        <f t="shared" si="346"/>
        <v>0</v>
      </c>
      <c r="CC484" s="386">
        <f t="shared" si="328"/>
        <v>0</v>
      </c>
      <c r="CD484" s="386">
        <f t="shared" si="329"/>
        <v>0</v>
      </c>
      <c r="CE484" s="386">
        <f t="shared" si="330"/>
        <v>0</v>
      </c>
      <c r="CF484" s="386">
        <f t="shared" si="331"/>
        <v>-193.95375999999999</v>
      </c>
      <c r="CG484" s="386">
        <f t="shared" si="332"/>
        <v>0</v>
      </c>
      <c r="CH484" s="386">
        <f t="shared" si="333"/>
        <v>3.9582400000000106</v>
      </c>
      <c r="CI484" s="386">
        <f t="shared" si="334"/>
        <v>0</v>
      </c>
      <c r="CJ484" s="386">
        <f t="shared" si="347"/>
        <v>-189.99551999999997</v>
      </c>
      <c r="CK484" s="386" t="str">
        <f t="shared" si="348"/>
        <v/>
      </c>
      <c r="CL484" s="386" t="str">
        <f t="shared" si="349"/>
        <v/>
      </c>
      <c r="CM484" s="386" t="str">
        <f t="shared" si="350"/>
        <v/>
      </c>
      <c r="CN484" s="386" t="str">
        <f t="shared" si="351"/>
        <v>0001-00</v>
      </c>
    </row>
    <row r="485" spans="1:92" ht="15.75" thickBot="1" x14ac:dyDescent="0.3">
      <c r="A485" s="375" t="s">
        <v>161</v>
      </c>
      <c r="B485" s="375" t="s">
        <v>162</v>
      </c>
      <c r="C485" s="375" t="s">
        <v>1757</v>
      </c>
      <c r="D485" s="375" t="s">
        <v>1629</v>
      </c>
      <c r="E485" s="375" t="s">
        <v>165</v>
      </c>
      <c r="F485" s="376" t="s">
        <v>166</v>
      </c>
      <c r="G485" s="375" t="s">
        <v>1599</v>
      </c>
      <c r="H485" s="377"/>
      <c r="I485" s="377"/>
      <c r="J485" s="375" t="s">
        <v>168</v>
      </c>
      <c r="K485" s="375" t="s">
        <v>1630</v>
      </c>
      <c r="L485" s="375" t="s">
        <v>198</v>
      </c>
      <c r="M485" s="375" t="s">
        <v>177</v>
      </c>
      <c r="N485" s="375" t="s">
        <v>199</v>
      </c>
      <c r="O485" s="378">
        <v>1</v>
      </c>
      <c r="P485" s="384">
        <v>1</v>
      </c>
      <c r="Q485" s="384">
        <v>1</v>
      </c>
      <c r="R485" s="379">
        <v>80</v>
      </c>
      <c r="S485" s="384">
        <v>1</v>
      </c>
      <c r="T485" s="379">
        <v>50940.83</v>
      </c>
      <c r="U485" s="379">
        <v>0</v>
      </c>
      <c r="V485" s="379">
        <v>22092.6</v>
      </c>
      <c r="W485" s="379">
        <v>52894.400000000001</v>
      </c>
      <c r="X485" s="379">
        <v>22941.33</v>
      </c>
      <c r="Y485" s="379">
        <v>52894.400000000001</v>
      </c>
      <c r="Z485" s="379">
        <v>22687.439999999999</v>
      </c>
      <c r="AA485" s="375" t="s">
        <v>1758</v>
      </c>
      <c r="AB485" s="375" t="s">
        <v>1759</v>
      </c>
      <c r="AC485" s="375" t="s">
        <v>475</v>
      </c>
      <c r="AD485" s="375" t="s">
        <v>195</v>
      </c>
      <c r="AE485" s="375" t="s">
        <v>1630</v>
      </c>
      <c r="AF485" s="375" t="s">
        <v>245</v>
      </c>
      <c r="AG485" s="375" t="s">
        <v>183</v>
      </c>
      <c r="AH485" s="380">
        <v>25.43</v>
      </c>
      <c r="AI485" s="380">
        <v>66661.100000000006</v>
      </c>
      <c r="AJ485" s="375" t="s">
        <v>184</v>
      </c>
      <c r="AK485" s="375" t="s">
        <v>185</v>
      </c>
      <c r="AL485" s="375" t="s">
        <v>173</v>
      </c>
      <c r="AM485" s="375" t="s">
        <v>186</v>
      </c>
      <c r="AN485" s="375" t="s">
        <v>68</v>
      </c>
      <c r="AO485" s="378">
        <v>80</v>
      </c>
      <c r="AP485" s="384">
        <v>1</v>
      </c>
      <c r="AQ485" s="384">
        <v>1</v>
      </c>
      <c r="AR485" s="383" t="s">
        <v>187</v>
      </c>
      <c r="AS485" s="386">
        <f t="shared" si="335"/>
        <v>1</v>
      </c>
      <c r="AT485">
        <f t="shared" si="336"/>
        <v>1</v>
      </c>
      <c r="AU485" s="386">
        <f>IF(AT485=0,"",IF(AND(AT485=1,M485="F",SUMIF(C2:C557,C485,AS2:AS557)&lt;=1),SUMIF(C2:C557,C485,AS2:AS557),IF(AND(AT485=1,M485="F",SUMIF(C2:C557,C485,AS2:AS557)&gt;1),1,"")))</f>
        <v>1</v>
      </c>
      <c r="AV485" s="386" t="str">
        <f>IF(AT485=0,"",IF(AND(AT485=3,M485="F",SUMIF(C2:C557,C485,AS2:AS557)&lt;=1),SUMIF(C2:C557,C485,AS2:AS557),IF(AND(AT485=3,M485="F",SUMIF(C2:C557,C485,AS2:AS557)&gt;1),1,"")))</f>
        <v/>
      </c>
      <c r="AW485" s="386">
        <f>SUMIF(C2:C557,C485,O2:O557)</f>
        <v>1</v>
      </c>
      <c r="AX485" s="386">
        <f>IF(AND(M485="F",AS485&lt;&gt;0),SUMIF(C2:C557,C485,W2:W557),0)</f>
        <v>52894.400000000001</v>
      </c>
      <c r="AY485" s="386">
        <f t="shared" si="337"/>
        <v>52894.400000000001</v>
      </c>
      <c r="AZ485" s="386" t="str">
        <f t="shared" si="338"/>
        <v/>
      </c>
      <c r="BA485" s="386">
        <f t="shared" si="339"/>
        <v>0</v>
      </c>
      <c r="BB485" s="386">
        <f t="shared" si="308"/>
        <v>11650</v>
      </c>
      <c r="BC485" s="386">
        <f t="shared" si="309"/>
        <v>0</v>
      </c>
      <c r="BD485" s="386">
        <f t="shared" si="310"/>
        <v>3279.4528</v>
      </c>
      <c r="BE485" s="386">
        <f t="shared" si="311"/>
        <v>766.9688000000001</v>
      </c>
      <c r="BF485" s="386">
        <f t="shared" si="312"/>
        <v>6315.5913600000003</v>
      </c>
      <c r="BG485" s="386">
        <f t="shared" si="313"/>
        <v>381.36862400000001</v>
      </c>
      <c r="BH485" s="386">
        <f t="shared" si="314"/>
        <v>259.18256000000002</v>
      </c>
      <c r="BI485" s="386">
        <f t="shared" si="315"/>
        <v>161.856864</v>
      </c>
      <c r="BJ485" s="386">
        <f t="shared" si="316"/>
        <v>126.94655999999999</v>
      </c>
      <c r="BK485" s="386">
        <f t="shared" si="317"/>
        <v>0</v>
      </c>
      <c r="BL485" s="386">
        <f t="shared" si="340"/>
        <v>11291.367568</v>
      </c>
      <c r="BM485" s="386">
        <f t="shared" si="341"/>
        <v>0</v>
      </c>
      <c r="BN485" s="386">
        <f t="shared" si="318"/>
        <v>11650</v>
      </c>
      <c r="BO485" s="386">
        <f t="shared" si="319"/>
        <v>0</v>
      </c>
      <c r="BP485" s="386">
        <f t="shared" si="320"/>
        <v>3279.4528</v>
      </c>
      <c r="BQ485" s="386">
        <f t="shared" si="321"/>
        <v>766.9688000000001</v>
      </c>
      <c r="BR485" s="386">
        <f t="shared" si="322"/>
        <v>6315.5913600000003</v>
      </c>
      <c r="BS485" s="386">
        <f t="shared" si="323"/>
        <v>381.36862400000001</v>
      </c>
      <c r="BT485" s="386">
        <f t="shared" si="324"/>
        <v>0</v>
      </c>
      <c r="BU485" s="386">
        <f t="shared" si="325"/>
        <v>161.856864</v>
      </c>
      <c r="BV485" s="386">
        <f t="shared" si="326"/>
        <v>132.23600000000002</v>
      </c>
      <c r="BW485" s="386">
        <f t="shared" si="327"/>
        <v>0</v>
      </c>
      <c r="BX485" s="386">
        <f t="shared" si="342"/>
        <v>11037.474448000001</v>
      </c>
      <c r="BY485" s="386">
        <f t="shared" si="343"/>
        <v>0</v>
      </c>
      <c r="BZ485" s="386">
        <f t="shared" si="344"/>
        <v>0</v>
      </c>
      <c r="CA485" s="386">
        <f t="shared" si="345"/>
        <v>0</v>
      </c>
      <c r="CB485" s="386">
        <f t="shared" si="346"/>
        <v>0</v>
      </c>
      <c r="CC485" s="386">
        <f t="shared" si="328"/>
        <v>0</v>
      </c>
      <c r="CD485" s="386">
        <f t="shared" si="329"/>
        <v>0</v>
      </c>
      <c r="CE485" s="386">
        <f t="shared" si="330"/>
        <v>0</v>
      </c>
      <c r="CF485" s="386">
        <f t="shared" si="331"/>
        <v>-259.18256000000002</v>
      </c>
      <c r="CG485" s="386">
        <f t="shared" si="332"/>
        <v>0</v>
      </c>
      <c r="CH485" s="386">
        <f t="shared" si="333"/>
        <v>5.2894400000000141</v>
      </c>
      <c r="CI485" s="386">
        <f t="shared" si="334"/>
        <v>0</v>
      </c>
      <c r="CJ485" s="386">
        <f t="shared" si="347"/>
        <v>-253.89312000000001</v>
      </c>
      <c r="CK485" s="386" t="str">
        <f t="shared" si="348"/>
        <v/>
      </c>
      <c r="CL485" s="386" t="str">
        <f t="shared" si="349"/>
        <v/>
      </c>
      <c r="CM485" s="386" t="str">
        <f t="shared" si="350"/>
        <v/>
      </c>
      <c r="CN485" s="386" t="str">
        <f t="shared" si="351"/>
        <v>0001-00</v>
      </c>
    </row>
    <row r="486" spans="1:92" ht="15.75" thickBot="1" x14ac:dyDescent="0.3">
      <c r="A486" s="375" t="s">
        <v>161</v>
      </c>
      <c r="B486" s="375" t="s">
        <v>162</v>
      </c>
      <c r="C486" s="375" t="s">
        <v>1760</v>
      </c>
      <c r="D486" s="375" t="s">
        <v>1598</v>
      </c>
      <c r="E486" s="375" t="s">
        <v>165</v>
      </c>
      <c r="F486" s="376" t="s">
        <v>166</v>
      </c>
      <c r="G486" s="375" t="s">
        <v>1599</v>
      </c>
      <c r="H486" s="377"/>
      <c r="I486" s="377"/>
      <c r="J486" s="375" t="s">
        <v>168</v>
      </c>
      <c r="K486" s="375" t="s">
        <v>1600</v>
      </c>
      <c r="L486" s="375" t="s">
        <v>233</v>
      </c>
      <c r="M486" s="375" t="s">
        <v>171</v>
      </c>
      <c r="N486" s="375" t="s">
        <v>199</v>
      </c>
      <c r="O486" s="378">
        <v>0</v>
      </c>
      <c r="P486" s="384">
        <v>1</v>
      </c>
      <c r="Q486" s="384">
        <v>1</v>
      </c>
      <c r="R486" s="379">
        <v>80</v>
      </c>
      <c r="S486" s="384">
        <v>1</v>
      </c>
      <c r="T486" s="379">
        <v>26277.01</v>
      </c>
      <c r="U486" s="379">
        <v>0</v>
      </c>
      <c r="V486" s="379">
        <v>13448.78</v>
      </c>
      <c r="W486" s="379">
        <v>42328</v>
      </c>
      <c r="X486" s="379">
        <v>18539.66</v>
      </c>
      <c r="Y486" s="379">
        <v>42328</v>
      </c>
      <c r="Z486" s="379">
        <v>18328.02</v>
      </c>
      <c r="AA486" s="377"/>
      <c r="AB486" s="375" t="s">
        <v>45</v>
      </c>
      <c r="AC486" s="375" t="s">
        <v>45</v>
      </c>
      <c r="AD486" s="377"/>
      <c r="AE486" s="377"/>
      <c r="AF486" s="377"/>
      <c r="AG486" s="377"/>
      <c r="AH486" s="378">
        <v>0</v>
      </c>
      <c r="AI486" s="378">
        <v>0</v>
      </c>
      <c r="AJ486" s="377"/>
      <c r="AK486" s="377"/>
      <c r="AL486" s="375" t="s">
        <v>173</v>
      </c>
      <c r="AM486" s="377"/>
      <c r="AN486" s="377"/>
      <c r="AO486" s="378">
        <v>0</v>
      </c>
      <c r="AP486" s="384">
        <v>0</v>
      </c>
      <c r="AQ486" s="384">
        <v>0</v>
      </c>
      <c r="AR486" s="382"/>
      <c r="AS486" s="386">
        <f t="shared" si="335"/>
        <v>0</v>
      </c>
      <c r="AT486">
        <f t="shared" si="336"/>
        <v>0</v>
      </c>
      <c r="AU486" s="386" t="str">
        <f>IF(AT486=0,"",IF(AND(AT486=1,M486="F",SUMIF(C2:C557,C486,AS2:AS557)&lt;=1),SUMIF(C2:C557,C486,AS2:AS557),IF(AND(AT486=1,M486="F",SUMIF(C2:C557,C486,AS2:AS557)&gt;1),1,"")))</f>
        <v/>
      </c>
      <c r="AV486" s="386" t="str">
        <f>IF(AT486=0,"",IF(AND(AT486=3,M486="F",SUMIF(C2:C557,C486,AS2:AS557)&lt;=1),SUMIF(C2:C557,C486,AS2:AS557),IF(AND(AT486=3,M486="F",SUMIF(C2:C557,C486,AS2:AS557)&gt;1),1,"")))</f>
        <v/>
      </c>
      <c r="AW486" s="386">
        <f>SUMIF(C2:C557,C486,O2:O557)</f>
        <v>0</v>
      </c>
      <c r="AX486" s="386">
        <f>IF(AND(M486="F",AS486&lt;&gt;0),SUMIF(C2:C557,C486,W2:W557),0)</f>
        <v>0</v>
      </c>
      <c r="AY486" s="386" t="str">
        <f t="shared" si="337"/>
        <v/>
      </c>
      <c r="AZ486" s="386" t="str">
        <f t="shared" si="338"/>
        <v/>
      </c>
      <c r="BA486" s="386">
        <f t="shared" si="339"/>
        <v>0</v>
      </c>
      <c r="BB486" s="386">
        <f t="shared" si="308"/>
        <v>0</v>
      </c>
      <c r="BC486" s="386">
        <f t="shared" si="309"/>
        <v>0</v>
      </c>
      <c r="BD486" s="386">
        <f t="shared" si="310"/>
        <v>0</v>
      </c>
      <c r="BE486" s="386">
        <f t="shared" si="311"/>
        <v>0</v>
      </c>
      <c r="BF486" s="386">
        <f t="shared" si="312"/>
        <v>0</v>
      </c>
      <c r="BG486" s="386">
        <f t="shared" si="313"/>
        <v>0</v>
      </c>
      <c r="BH486" s="386">
        <f t="shared" si="314"/>
        <v>0</v>
      </c>
      <c r="BI486" s="386">
        <f t="shared" si="315"/>
        <v>0</v>
      </c>
      <c r="BJ486" s="386">
        <f t="shared" si="316"/>
        <v>0</v>
      </c>
      <c r="BK486" s="386">
        <f t="shared" si="317"/>
        <v>0</v>
      </c>
      <c r="BL486" s="386">
        <f t="shared" si="340"/>
        <v>0</v>
      </c>
      <c r="BM486" s="386">
        <f t="shared" si="341"/>
        <v>0</v>
      </c>
      <c r="BN486" s="386">
        <f t="shared" si="318"/>
        <v>0</v>
      </c>
      <c r="BO486" s="386">
        <f t="shared" si="319"/>
        <v>0</v>
      </c>
      <c r="BP486" s="386">
        <f t="shared" si="320"/>
        <v>0</v>
      </c>
      <c r="BQ486" s="386">
        <f t="shared" si="321"/>
        <v>0</v>
      </c>
      <c r="BR486" s="386">
        <f t="shared" si="322"/>
        <v>0</v>
      </c>
      <c r="BS486" s="386">
        <f t="shared" si="323"/>
        <v>0</v>
      </c>
      <c r="BT486" s="386">
        <f t="shared" si="324"/>
        <v>0</v>
      </c>
      <c r="BU486" s="386">
        <f t="shared" si="325"/>
        <v>0</v>
      </c>
      <c r="BV486" s="386">
        <f t="shared" si="326"/>
        <v>0</v>
      </c>
      <c r="BW486" s="386">
        <f t="shared" si="327"/>
        <v>0</v>
      </c>
      <c r="BX486" s="386">
        <f t="shared" si="342"/>
        <v>0</v>
      </c>
      <c r="BY486" s="386">
        <f t="shared" si="343"/>
        <v>0</v>
      </c>
      <c r="BZ486" s="386">
        <f t="shared" si="344"/>
        <v>0</v>
      </c>
      <c r="CA486" s="386">
        <f t="shared" si="345"/>
        <v>0</v>
      </c>
      <c r="CB486" s="386">
        <f t="shared" si="346"/>
        <v>0</v>
      </c>
      <c r="CC486" s="386">
        <f t="shared" si="328"/>
        <v>0</v>
      </c>
      <c r="CD486" s="386">
        <f t="shared" si="329"/>
        <v>0</v>
      </c>
      <c r="CE486" s="386">
        <f t="shared" si="330"/>
        <v>0</v>
      </c>
      <c r="CF486" s="386">
        <f t="shared" si="331"/>
        <v>0</v>
      </c>
      <c r="CG486" s="386">
        <f t="shared" si="332"/>
        <v>0</v>
      </c>
      <c r="CH486" s="386">
        <f t="shared" si="333"/>
        <v>0</v>
      </c>
      <c r="CI486" s="386">
        <f t="shared" si="334"/>
        <v>0</v>
      </c>
      <c r="CJ486" s="386">
        <f t="shared" si="347"/>
        <v>0</v>
      </c>
      <c r="CK486" s="386" t="str">
        <f t="shared" si="348"/>
        <v/>
      </c>
      <c r="CL486" s="386" t="str">
        <f t="shared" si="349"/>
        <v/>
      </c>
      <c r="CM486" s="386" t="str">
        <f t="shared" si="350"/>
        <v/>
      </c>
      <c r="CN486" s="386" t="str">
        <f t="shared" si="351"/>
        <v>0001-00</v>
      </c>
    </row>
    <row r="487" spans="1:92" ht="15.75" thickBot="1" x14ac:dyDescent="0.3">
      <c r="A487" s="375" t="s">
        <v>161</v>
      </c>
      <c r="B487" s="375" t="s">
        <v>162</v>
      </c>
      <c r="C487" s="375" t="s">
        <v>1761</v>
      </c>
      <c r="D487" s="375" t="s">
        <v>239</v>
      </c>
      <c r="E487" s="375" t="s">
        <v>165</v>
      </c>
      <c r="F487" s="376" t="s">
        <v>166</v>
      </c>
      <c r="G487" s="375" t="s">
        <v>1599</v>
      </c>
      <c r="H487" s="377"/>
      <c r="I487" s="377"/>
      <c r="J487" s="375" t="s">
        <v>168</v>
      </c>
      <c r="K487" s="375" t="s">
        <v>240</v>
      </c>
      <c r="L487" s="375" t="s">
        <v>198</v>
      </c>
      <c r="M487" s="375" t="s">
        <v>177</v>
      </c>
      <c r="N487" s="375" t="s">
        <v>199</v>
      </c>
      <c r="O487" s="378">
        <v>1</v>
      </c>
      <c r="P487" s="384">
        <v>1</v>
      </c>
      <c r="Q487" s="384">
        <v>1</v>
      </c>
      <c r="R487" s="379">
        <v>80</v>
      </c>
      <c r="S487" s="384">
        <v>1</v>
      </c>
      <c r="T487" s="379">
        <v>41294.47</v>
      </c>
      <c r="U487" s="379">
        <v>0</v>
      </c>
      <c r="V487" s="379">
        <v>20186.45</v>
      </c>
      <c r="W487" s="379">
        <v>46134.400000000001</v>
      </c>
      <c r="X487" s="379">
        <v>21498.27</v>
      </c>
      <c r="Y487" s="379">
        <v>46134.400000000001</v>
      </c>
      <c r="Z487" s="379">
        <v>21276.83</v>
      </c>
      <c r="AA487" s="375" t="s">
        <v>1762</v>
      </c>
      <c r="AB487" s="375" t="s">
        <v>1763</v>
      </c>
      <c r="AC487" s="375" t="s">
        <v>483</v>
      </c>
      <c r="AD487" s="375" t="s">
        <v>185</v>
      </c>
      <c r="AE487" s="375" t="s">
        <v>240</v>
      </c>
      <c r="AF487" s="375" t="s">
        <v>245</v>
      </c>
      <c r="AG487" s="375" t="s">
        <v>183</v>
      </c>
      <c r="AH487" s="380">
        <v>22.18</v>
      </c>
      <c r="AI487" s="380">
        <v>20516.900000000001</v>
      </c>
      <c r="AJ487" s="375" t="s">
        <v>184</v>
      </c>
      <c r="AK487" s="375" t="s">
        <v>185</v>
      </c>
      <c r="AL487" s="375" t="s">
        <v>173</v>
      </c>
      <c r="AM487" s="375" t="s">
        <v>186</v>
      </c>
      <c r="AN487" s="375" t="s">
        <v>68</v>
      </c>
      <c r="AO487" s="378">
        <v>80</v>
      </c>
      <c r="AP487" s="384">
        <v>1</v>
      </c>
      <c r="AQ487" s="384">
        <v>1</v>
      </c>
      <c r="AR487" s="383" t="s">
        <v>187</v>
      </c>
      <c r="AS487" s="386">
        <f t="shared" si="335"/>
        <v>1</v>
      </c>
      <c r="AT487">
        <f t="shared" si="336"/>
        <v>1</v>
      </c>
      <c r="AU487" s="386">
        <f>IF(AT487=0,"",IF(AND(AT487=1,M487="F",SUMIF(C2:C557,C487,AS2:AS557)&lt;=1),SUMIF(C2:C557,C487,AS2:AS557),IF(AND(AT487=1,M487="F",SUMIF(C2:C557,C487,AS2:AS557)&gt;1),1,"")))</f>
        <v>1</v>
      </c>
      <c r="AV487" s="386" t="str">
        <f>IF(AT487=0,"",IF(AND(AT487=3,M487="F",SUMIF(C2:C557,C487,AS2:AS557)&lt;=1),SUMIF(C2:C557,C487,AS2:AS557),IF(AND(AT487=3,M487="F",SUMIF(C2:C557,C487,AS2:AS557)&gt;1),1,"")))</f>
        <v/>
      </c>
      <c r="AW487" s="386">
        <f>SUMIF(C2:C557,C487,O2:O557)</f>
        <v>1</v>
      </c>
      <c r="AX487" s="386">
        <f>IF(AND(M487="F",AS487&lt;&gt;0),SUMIF(C2:C557,C487,W2:W557),0)</f>
        <v>46134.400000000001</v>
      </c>
      <c r="AY487" s="386">
        <f t="shared" si="337"/>
        <v>46134.400000000001</v>
      </c>
      <c r="AZ487" s="386" t="str">
        <f t="shared" si="338"/>
        <v/>
      </c>
      <c r="BA487" s="386">
        <f t="shared" si="339"/>
        <v>0</v>
      </c>
      <c r="BB487" s="386">
        <f t="shared" si="308"/>
        <v>11650</v>
      </c>
      <c r="BC487" s="386">
        <f t="shared" si="309"/>
        <v>0</v>
      </c>
      <c r="BD487" s="386">
        <f t="shared" si="310"/>
        <v>2860.3328000000001</v>
      </c>
      <c r="BE487" s="386">
        <f t="shared" si="311"/>
        <v>668.94880000000001</v>
      </c>
      <c r="BF487" s="386">
        <f t="shared" si="312"/>
        <v>5508.4473600000001</v>
      </c>
      <c r="BG487" s="386">
        <f t="shared" si="313"/>
        <v>332.62902400000002</v>
      </c>
      <c r="BH487" s="386">
        <f t="shared" si="314"/>
        <v>226.05856</v>
      </c>
      <c r="BI487" s="386">
        <f t="shared" si="315"/>
        <v>141.17126400000001</v>
      </c>
      <c r="BJ487" s="386">
        <f t="shared" si="316"/>
        <v>110.72255999999999</v>
      </c>
      <c r="BK487" s="386">
        <f t="shared" si="317"/>
        <v>0</v>
      </c>
      <c r="BL487" s="386">
        <f t="shared" si="340"/>
        <v>9848.3103680000004</v>
      </c>
      <c r="BM487" s="386">
        <f t="shared" si="341"/>
        <v>0</v>
      </c>
      <c r="BN487" s="386">
        <f t="shared" si="318"/>
        <v>11650</v>
      </c>
      <c r="BO487" s="386">
        <f t="shared" si="319"/>
        <v>0</v>
      </c>
      <c r="BP487" s="386">
        <f t="shared" si="320"/>
        <v>2860.3328000000001</v>
      </c>
      <c r="BQ487" s="386">
        <f t="shared" si="321"/>
        <v>668.94880000000001</v>
      </c>
      <c r="BR487" s="386">
        <f t="shared" si="322"/>
        <v>5508.4473600000001</v>
      </c>
      <c r="BS487" s="386">
        <f t="shared" si="323"/>
        <v>332.62902400000002</v>
      </c>
      <c r="BT487" s="386">
        <f t="shared" si="324"/>
        <v>0</v>
      </c>
      <c r="BU487" s="386">
        <f t="shared" si="325"/>
        <v>141.17126400000001</v>
      </c>
      <c r="BV487" s="386">
        <f t="shared" si="326"/>
        <v>115.33600000000001</v>
      </c>
      <c r="BW487" s="386">
        <f t="shared" si="327"/>
        <v>0</v>
      </c>
      <c r="BX487" s="386">
        <f t="shared" si="342"/>
        <v>9626.8652480000001</v>
      </c>
      <c r="BY487" s="386">
        <f t="shared" si="343"/>
        <v>0</v>
      </c>
      <c r="BZ487" s="386">
        <f t="shared" si="344"/>
        <v>0</v>
      </c>
      <c r="CA487" s="386">
        <f t="shared" si="345"/>
        <v>0</v>
      </c>
      <c r="CB487" s="386">
        <f t="shared" si="346"/>
        <v>0</v>
      </c>
      <c r="CC487" s="386">
        <f t="shared" si="328"/>
        <v>0</v>
      </c>
      <c r="CD487" s="386">
        <f t="shared" si="329"/>
        <v>0</v>
      </c>
      <c r="CE487" s="386">
        <f t="shared" si="330"/>
        <v>0</v>
      </c>
      <c r="CF487" s="386">
        <f t="shared" si="331"/>
        <v>-226.05856</v>
      </c>
      <c r="CG487" s="386">
        <f t="shared" si="332"/>
        <v>0</v>
      </c>
      <c r="CH487" s="386">
        <f t="shared" si="333"/>
        <v>4.6134400000000122</v>
      </c>
      <c r="CI487" s="386">
        <f t="shared" si="334"/>
        <v>0</v>
      </c>
      <c r="CJ487" s="386">
        <f t="shared" si="347"/>
        <v>-221.44511999999997</v>
      </c>
      <c r="CK487" s="386" t="str">
        <f t="shared" si="348"/>
        <v/>
      </c>
      <c r="CL487" s="386" t="str">
        <f t="shared" si="349"/>
        <v/>
      </c>
      <c r="CM487" s="386" t="str">
        <f t="shared" si="350"/>
        <v/>
      </c>
      <c r="CN487" s="386" t="str">
        <f t="shared" si="351"/>
        <v>0001-00</v>
      </c>
    </row>
    <row r="488" spans="1:92" ht="15.75" thickBot="1" x14ac:dyDescent="0.3">
      <c r="A488" s="375" t="s">
        <v>161</v>
      </c>
      <c r="B488" s="375" t="s">
        <v>162</v>
      </c>
      <c r="C488" s="375" t="s">
        <v>1764</v>
      </c>
      <c r="D488" s="375" t="s">
        <v>1598</v>
      </c>
      <c r="E488" s="375" t="s">
        <v>165</v>
      </c>
      <c r="F488" s="376" t="s">
        <v>166</v>
      </c>
      <c r="G488" s="375" t="s">
        <v>1599</v>
      </c>
      <c r="H488" s="377"/>
      <c r="I488" s="377"/>
      <c r="J488" s="375" t="s">
        <v>168</v>
      </c>
      <c r="K488" s="375" t="s">
        <v>1600</v>
      </c>
      <c r="L488" s="375" t="s">
        <v>233</v>
      </c>
      <c r="M488" s="375" t="s">
        <v>177</v>
      </c>
      <c r="N488" s="375" t="s">
        <v>199</v>
      </c>
      <c r="O488" s="378">
        <v>1</v>
      </c>
      <c r="P488" s="384">
        <v>1</v>
      </c>
      <c r="Q488" s="384">
        <v>1</v>
      </c>
      <c r="R488" s="379">
        <v>80</v>
      </c>
      <c r="S488" s="384">
        <v>1</v>
      </c>
      <c r="T488" s="379">
        <v>31676.799999999999</v>
      </c>
      <c r="U488" s="379">
        <v>0</v>
      </c>
      <c r="V488" s="379">
        <v>16560.939999999999</v>
      </c>
      <c r="W488" s="379">
        <v>43388.800000000003</v>
      </c>
      <c r="X488" s="379">
        <v>20912.169999999998</v>
      </c>
      <c r="Y488" s="379">
        <v>43388.800000000003</v>
      </c>
      <c r="Z488" s="379">
        <v>20703.91</v>
      </c>
      <c r="AA488" s="375" t="s">
        <v>1765</v>
      </c>
      <c r="AB488" s="375" t="s">
        <v>585</v>
      </c>
      <c r="AC488" s="375" t="s">
        <v>1352</v>
      </c>
      <c r="AD488" s="375" t="s">
        <v>1106</v>
      </c>
      <c r="AE488" s="375" t="s">
        <v>1600</v>
      </c>
      <c r="AF488" s="375" t="s">
        <v>237</v>
      </c>
      <c r="AG488" s="375" t="s">
        <v>183</v>
      </c>
      <c r="AH488" s="380">
        <v>20.86</v>
      </c>
      <c r="AI488" s="380">
        <v>42045.9</v>
      </c>
      <c r="AJ488" s="375" t="s">
        <v>184</v>
      </c>
      <c r="AK488" s="375" t="s">
        <v>185</v>
      </c>
      <c r="AL488" s="375" t="s">
        <v>173</v>
      </c>
      <c r="AM488" s="375" t="s">
        <v>186</v>
      </c>
      <c r="AN488" s="375" t="s">
        <v>68</v>
      </c>
      <c r="AO488" s="378">
        <v>80</v>
      </c>
      <c r="AP488" s="384">
        <v>1</v>
      </c>
      <c r="AQ488" s="384">
        <v>1</v>
      </c>
      <c r="AR488" s="383" t="s">
        <v>187</v>
      </c>
      <c r="AS488" s="386">
        <f t="shared" si="335"/>
        <v>1</v>
      </c>
      <c r="AT488">
        <f t="shared" si="336"/>
        <v>1</v>
      </c>
      <c r="AU488" s="386">
        <f>IF(AT488=0,"",IF(AND(AT488=1,M488="F",SUMIF(C2:C557,C488,AS2:AS557)&lt;=1),SUMIF(C2:C557,C488,AS2:AS557),IF(AND(AT488=1,M488="F",SUMIF(C2:C557,C488,AS2:AS557)&gt;1),1,"")))</f>
        <v>1</v>
      </c>
      <c r="AV488" s="386" t="str">
        <f>IF(AT488=0,"",IF(AND(AT488=3,M488="F",SUMIF(C2:C557,C488,AS2:AS557)&lt;=1),SUMIF(C2:C557,C488,AS2:AS557),IF(AND(AT488=3,M488="F",SUMIF(C2:C557,C488,AS2:AS557)&gt;1),1,"")))</f>
        <v/>
      </c>
      <c r="AW488" s="386">
        <f>SUMIF(C2:C557,C488,O2:O557)</f>
        <v>1</v>
      </c>
      <c r="AX488" s="386">
        <f>IF(AND(M488="F",AS488&lt;&gt;0),SUMIF(C2:C557,C488,W2:W557),0)</f>
        <v>43388.800000000003</v>
      </c>
      <c r="AY488" s="386">
        <f t="shared" si="337"/>
        <v>43388.800000000003</v>
      </c>
      <c r="AZ488" s="386" t="str">
        <f t="shared" si="338"/>
        <v/>
      </c>
      <c r="BA488" s="386">
        <f t="shared" si="339"/>
        <v>0</v>
      </c>
      <c r="BB488" s="386">
        <f t="shared" si="308"/>
        <v>11650</v>
      </c>
      <c r="BC488" s="386">
        <f t="shared" si="309"/>
        <v>0</v>
      </c>
      <c r="BD488" s="386">
        <f t="shared" si="310"/>
        <v>2690.1056000000003</v>
      </c>
      <c r="BE488" s="386">
        <f t="shared" si="311"/>
        <v>629.13760000000002</v>
      </c>
      <c r="BF488" s="386">
        <f t="shared" si="312"/>
        <v>5180.6227200000003</v>
      </c>
      <c r="BG488" s="386">
        <f t="shared" si="313"/>
        <v>312.83324800000003</v>
      </c>
      <c r="BH488" s="386">
        <f t="shared" si="314"/>
        <v>212.60512</v>
      </c>
      <c r="BI488" s="386">
        <f t="shared" si="315"/>
        <v>132.76972799999999</v>
      </c>
      <c r="BJ488" s="386">
        <f t="shared" si="316"/>
        <v>104.13311999999999</v>
      </c>
      <c r="BK488" s="386">
        <f t="shared" si="317"/>
        <v>0</v>
      </c>
      <c r="BL488" s="386">
        <f t="shared" si="340"/>
        <v>9262.2071360000009</v>
      </c>
      <c r="BM488" s="386">
        <f t="shared" si="341"/>
        <v>0</v>
      </c>
      <c r="BN488" s="386">
        <f t="shared" si="318"/>
        <v>11650</v>
      </c>
      <c r="BO488" s="386">
        <f t="shared" si="319"/>
        <v>0</v>
      </c>
      <c r="BP488" s="386">
        <f t="shared" si="320"/>
        <v>2690.1056000000003</v>
      </c>
      <c r="BQ488" s="386">
        <f t="shared" si="321"/>
        <v>629.13760000000002</v>
      </c>
      <c r="BR488" s="386">
        <f t="shared" si="322"/>
        <v>5180.6227200000003</v>
      </c>
      <c r="BS488" s="386">
        <f t="shared" si="323"/>
        <v>312.83324800000003</v>
      </c>
      <c r="BT488" s="386">
        <f t="shared" si="324"/>
        <v>0</v>
      </c>
      <c r="BU488" s="386">
        <f t="shared" si="325"/>
        <v>132.76972799999999</v>
      </c>
      <c r="BV488" s="386">
        <f t="shared" si="326"/>
        <v>108.47200000000001</v>
      </c>
      <c r="BW488" s="386">
        <f t="shared" si="327"/>
        <v>0</v>
      </c>
      <c r="BX488" s="386">
        <f t="shared" si="342"/>
        <v>9053.9408960000001</v>
      </c>
      <c r="BY488" s="386">
        <f t="shared" si="343"/>
        <v>0</v>
      </c>
      <c r="BZ488" s="386">
        <f t="shared" si="344"/>
        <v>0</v>
      </c>
      <c r="CA488" s="386">
        <f t="shared" si="345"/>
        <v>0</v>
      </c>
      <c r="CB488" s="386">
        <f t="shared" si="346"/>
        <v>0</v>
      </c>
      <c r="CC488" s="386">
        <f t="shared" si="328"/>
        <v>0</v>
      </c>
      <c r="CD488" s="386">
        <f t="shared" si="329"/>
        <v>0</v>
      </c>
      <c r="CE488" s="386">
        <f t="shared" si="330"/>
        <v>0</v>
      </c>
      <c r="CF488" s="386">
        <f t="shared" si="331"/>
        <v>-212.60512</v>
      </c>
      <c r="CG488" s="386">
        <f t="shared" si="332"/>
        <v>0</v>
      </c>
      <c r="CH488" s="386">
        <f t="shared" si="333"/>
        <v>4.3388800000000121</v>
      </c>
      <c r="CI488" s="386">
        <f t="shared" si="334"/>
        <v>0</v>
      </c>
      <c r="CJ488" s="386">
        <f t="shared" si="347"/>
        <v>-208.26623999999998</v>
      </c>
      <c r="CK488" s="386" t="str">
        <f t="shared" si="348"/>
        <v/>
      </c>
      <c r="CL488" s="386" t="str">
        <f t="shared" si="349"/>
        <v/>
      </c>
      <c r="CM488" s="386" t="str">
        <f t="shared" si="350"/>
        <v/>
      </c>
      <c r="CN488" s="386" t="str">
        <f t="shared" si="351"/>
        <v>0001-00</v>
      </c>
    </row>
    <row r="489" spans="1:92" ht="15.75" thickBot="1" x14ac:dyDescent="0.3">
      <c r="A489" s="375" t="s">
        <v>161</v>
      </c>
      <c r="B489" s="375" t="s">
        <v>162</v>
      </c>
      <c r="C489" s="375" t="s">
        <v>1766</v>
      </c>
      <c r="D489" s="375" t="s">
        <v>1629</v>
      </c>
      <c r="E489" s="375" t="s">
        <v>165</v>
      </c>
      <c r="F489" s="376" t="s">
        <v>166</v>
      </c>
      <c r="G489" s="375" t="s">
        <v>1599</v>
      </c>
      <c r="H489" s="377"/>
      <c r="I489" s="377"/>
      <c r="J489" s="375" t="s">
        <v>168</v>
      </c>
      <c r="K489" s="375" t="s">
        <v>1630</v>
      </c>
      <c r="L489" s="375" t="s">
        <v>198</v>
      </c>
      <c r="M489" s="375" t="s">
        <v>177</v>
      </c>
      <c r="N489" s="375" t="s">
        <v>199</v>
      </c>
      <c r="O489" s="378">
        <v>1</v>
      </c>
      <c r="P489" s="384">
        <v>1</v>
      </c>
      <c r="Q489" s="384">
        <v>1</v>
      </c>
      <c r="R489" s="379">
        <v>80</v>
      </c>
      <c r="S489" s="384">
        <v>1</v>
      </c>
      <c r="T489" s="379">
        <v>41950.46</v>
      </c>
      <c r="U489" s="379">
        <v>0</v>
      </c>
      <c r="V489" s="379">
        <v>20203.66</v>
      </c>
      <c r="W489" s="379">
        <v>46092.800000000003</v>
      </c>
      <c r="X489" s="379">
        <v>21489.4</v>
      </c>
      <c r="Y489" s="379">
        <v>46092.800000000003</v>
      </c>
      <c r="Z489" s="379">
        <v>21268.16</v>
      </c>
      <c r="AA489" s="375" t="s">
        <v>1767</v>
      </c>
      <c r="AB489" s="375" t="s">
        <v>577</v>
      </c>
      <c r="AC489" s="375" t="s">
        <v>1378</v>
      </c>
      <c r="AD489" s="375" t="s">
        <v>177</v>
      </c>
      <c r="AE489" s="375" t="s">
        <v>1630</v>
      </c>
      <c r="AF489" s="375" t="s">
        <v>245</v>
      </c>
      <c r="AG489" s="375" t="s">
        <v>183</v>
      </c>
      <c r="AH489" s="380">
        <v>22.16</v>
      </c>
      <c r="AI489" s="380">
        <v>11904.3</v>
      </c>
      <c r="AJ489" s="375" t="s">
        <v>184</v>
      </c>
      <c r="AK489" s="375" t="s">
        <v>185</v>
      </c>
      <c r="AL489" s="375" t="s">
        <v>173</v>
      </c>
      <c r="AM489" s="375" t="s">
        <v>186</v>
      </c>
      <c r="AN489" s="375" t="s">
        <v>68</v>
      </c>
      <c r="AO489" s="378">
        <v>80</v>
      </c>
      <c r="AP489" s="384">
        <v>1</v>
      </c>
      <c r="AQ489" s="384">
        <v>1</v>
      </c>
      <c r="AR489" s="383" t="s">
        <v>187</v>
      </c>
      <c r="AS489" s="386">
        <f t="shared" si="335"/>
        <v>1</v>
      </c>
      <c r="AT489">
        <f t="shared" si="336"/>
        <v>1</v>
      </c>
      <c r="AU489" s="386">
        <f>IF(AT489=0,"",IF(AND(AT489=1,M489="F",SUMIF(C2:C557,C489,AS2:AS557)&lt;=1),SUMIF(C2:C557,C489,AS2:AS557),IF(AND(AT489=1,M489="F",SUMIF(C2:C557,C489,AS2:AS557)&gt;1),1,"")))</f>
        <v>1</v>
      </c>
      <c r="AV489" s="386" t="str">
        <f>IF(AT489=0,"",IF(AND(AT489=3,M489="F",SUMIF(C2:C557,C489,AS2:AS557)&lt;=1),SUMIF(C2:C557,C489,AS2:AS557),IF(AND(AT489=3,M489="F",SUMIF(C2:C557,C489,AS2:AS557)&gt;1),1,"")))</f>
        <v/>
      </c>
      <c r="AW489" s="386">
        <f>SUMIF(C2:C557,C489,O2:O557)</f>
        <v>1</v>
      </c>
      <c r="AX489" s="386">
        <f>IF(AND(M489="F",AS489&lt;&gt;0),SUMIF(C2:C557,C489,W2:W557),0)</f>
        <v>46092.800000000003</v>
      </c>
      <c r="AY489" s="386">
        <f t="shared" si="337"/>
        <v>46092.800000000003</v>
      </c>
      <c r="AZ489" s="386" t="str">
        <f t="shared" si="338"/>
        <v/>
      </c>
      <c r="BA489" s="386">
        <f t="shared" si="339"/>
        <v>0</v>
      </c>
      <c r="BB489" s="386">
        <f t="shared" si="308"/>
        <v>11650</v>
      </c>
      <c r="BC489" s="386">
        <f t="shared" si="309"/>
        <v>0</v>
      </c>
      <c r="BD489" s="386">
        <f t="shared" si="310"/>
        <v>2857.7536</v>
      </c>
      <c r="BE489" s="386">
        <f t="shared" si="311"/>
        <v>668.3456000000001</v>
      </c>
      <c r="BF489" s="386">
        <f t="shared" si="312"/>
        <v>5503.4803200000006</v>
      </c>
      <c r="BG489" s="386">
        <f t="shared" si="313"/>
        <v>332.32908800000001</v>
      </c>
      <c r="BH489" s="386">
        <f t="shared" si="314"/>
        <v>225.85472000000001</v>
      </c>
      <c r="BI489" s="386">
        <f t="shared" si="315"/>
        <v>141.04396800000001</v>
      </c>
      <c r="BJ489" s="386">
        <f t="shared" si="316"/>
        <v>110.62272</v>
      </c>
      <c r="BK489" s="386">
        <f t="shared" si="317"/>
        <v>0</v>
      </c>
      <c r="BL489" s="386">
        <f t="shared" si="340"/>
        <v>9839.4300160000003</v>
      </c>
      <c r="BM489" s="386">
        <f t="shared" si="341"/>
        <v>0</v>
      </c>
      <c r="BN489" s="386">
        <f t="shared" si="318"/>
        <v>11650</v>
      </c>
      <c r="BO489" s="386">
        <f t="shared" si="319"/>
        <v>0</v>
      </c>
      <c r="BP489" s="386">
        <f t="shared" si="320"/>
        <v>2857.7536</v>
      </c>
      <c r="BQ489" s="386">
        <f t="shared" si="321"/>
        <v>668.3456000000001</v>
      </c>
      <c r="BR489" s="386">
        <f t="shared" si="322"/>
        <v>5503.4803200000006</v>
      </c>
      <c r="BS489" s="386">
        <f t="shared" si="323"/>
        <v>332.32908800000001</v>
      </c>
      <c r="BT489" s="386">
        <f t="shared" si="324"/>
        <v>0</v>
      </c>
      <c r="BU489" s="386">
        <f t="shared" si="325"/>
        <v>141.04396800000001</v>
      </c>
      <c r="BV489" s="386">
        <f t="shared" si="326"/>
        <v>115.23200000000001</v>
      </c>
      <c r="BW489" s="386">
        <f t="shared" si="327"/>
        <v>0</v>
      </c>
      <c r="BX489" s="386">
        <f t="shared" si="342"/>
        <v>9618.1845760000015</v>
      </c>
      <c r="BY489" s="386">
        <f t="shared" si="343"/>
        <v>0</v>
      </c>
      <c r="BZ489" s="386">
        <f t="shared" si="344"/>
        <v>0</v>
      </c>
      <c r="CA489" s="386">
        <f t="shared" si="345"/>
        <v>0</v>
      </c>
      <c r="CB489" s="386">
        <f t="shared" si="346"/>
        <v>0</v>
      </c>
      <c r="CC489" s="386">
        <f t="shared" si="328"/>
        <v>0</v>
      </c>
      <c r="CD489" s="386">
        <f t="shared" si="329"/>
        <v>0</v>
      </c>
      <c r="CE489" s="386">
        <f t="shared" si="330"/>
        <v>0</v>
      </c>
      <c r="CF489" s="386">
        <f t="shared" si="331"/>
        <v>-225.85472000000001</v>
      </c>
      <c r="CG489" s="386">
        <f t="shared" si="332"/>
        <v>0</v>
      </c>
      <c r="CH489" s="386">
        <f t="shared" si="333"/>
        <v>4.6092800000000125</v>
      </c>
      <c r="CI489" s="386">
        <f t="shared" si="334"/>
        <v>0</v>
      </c>
      <c r="CJ489" s="386">
        <f t="shared" si="347"/>
        <v>-221.24544</v>
      </c>
      <c r="CK489" s="386" t="str">
        <f t="shared" si="348"/>
        <v/>
      </c>
      <c r="CL489" s="386" t="str">
        <f t="shared" si="349"/>
        <v/>
      </c>
      <c r="CM489" s="386" t="str">
        <f t="shared" si="350"/>
        <v/>
      </c>
      <c r="CN489" s="386" t="str">
        <f t="shared" si="351"/>
        <v>0001-00</v>
      </c>
    </row>
    <row r="490" spans="1:92" ht="15.75" thickBot="1" x14ac:dyDescent="0.3">
      <c r="A490" s="375" t="s">
        <v>161</v>
      </c>
      <c r="B490" s="375" t="s">
        <v>162</v>
      </c>
      <c r="C490" s="375" t="s">
        <v>1768</v>
      </c>
      <c r="D490" s="375" t="s">
        <v>1598</v>
      </c>
      <c r="E490" s="375" t="s">
        <v>165</v>
      </c>
      <c r="F490" s="376" t="s">
        <v>166</v>
      </c>
      <c r="G490" s="375" t="s">
        <v>1599</v>
      </c>
      <c r="H490" s="377"/>
      <c r="I490" s="377"/>
      <c r="J490" s="375" t="s">
        <v>168</v>
      </c>
      <c r="K490" s="375" t="s">
        <v>1600</v>
      </c>
      <c r="L490" s="375" t="s">
        <v>233</v>
      </c>
      <c r="M490" s="375" t="s">
        <v>171</v>
      </c>
      <c r="N490" s="375" t="s">
        <v>199</v>
      </c>
      <c r="O490" s="378">
        <v>0</v>
      </c>
      <c r="P490" s="384">
        <v>1</v>
      </c>
      <c r="Q490" s="384">
        <v>1</v>
      </c>
      <c r="R490" s="379">
        <v>80</v>
      </c>
      <c r="S490" s="384">
        <v>1</v>
      </c>
      <c r="T490" s="379">
        <v>12296</v>
      </c>
      <c r="U490" s="379">
        <v>0</v>
      </c>
      <c r="V490" s="379">
        <v>8348.24</v>
      </c>
      <c r="W490" s="379">
        <v>42328</v>
      </c>
      <c r="X490" s="379">
        <v>18539.66</v>
      </c>
      <c r="Y490" s="379">
        <v>42328</v>
      </c>
      <c r="Z490" s="379">
        <v>18328.02</v>
      </c>
      <c r="AA490" s="377"/>
      <c r="AB490" s="375" t="s">
        <v>45</v>
      </c>
      <c r="AC490" s="375" t="s">
        <v>45</v>
      </c>
      <c r="AD490" s="377"/>
      <c r="AE490" s="377"/>
      <c r="AF490" s="377"/>
      <c r="AG490" s="377"/>
      <c r="AH490" s="378">
        <v>0</v>
      </c>
      <c r="AI490" s="378">
        <v>0</v>
      </c>
      <c r="AJ490" s="377"/>
      <c r="AK490" s="377"/>
      <c r="AL490" s="375" t="s">
        <v>173</v>
      </c>
      <c r="AM490" s="377"/>
      <c r="AN490" s="377"/>
      <c r="AO490" s="378">
        <v>0</v>
      </c>
      <c r="AP490" s="384">
        <v>0</v>
      </c>
      <c r="AQ490" s="384">
        <v>0</v>
      </c>
      <c r="AR490" s="382"/>
      <c r="AS490" s="386">
        <f t="shared" si="335"/>
        <v>0</v>
      </c>
      <c r="AT490">
        <f t="shared" si="336"/>
        <v>0</v>
      </c>
      <c r="AU490" s="386" t="str">
        <f>IF(AT490=0,"",IF(AND(AT490=1,M490="F",SUMIF(C2:C557,C490,AS2:AS557)&lt;=1),SUMIF(C2:C557,C490,AS2:AS557),IF(AND(AT490=1,M490="F",SUMIF(C2:C557,C490,AS2:AS557)&gt;1),1,"")))</f>
        <v/>
      </c>
      <c r="AV490" s="386" t="str">
        <f>IF(AT490=0,"",IF(AND(AT490=3,M490="F",SUMIF(C2:C557,C490,AS2:AS557)&lt;=1),SUMIF(C2:C557,C490,AS2:AS557),IF(AND(AT490=3,M490="F",SUMIF(C2:C557,C490,AS2:AS557)&gt;1),1,"")))</f>
        <v/>
      </c>
      <c r="AW490" s="386">
        <f>SUMIF(C2:C557,C490,O2:O557)</f>
        <v>0</v>
      </c>
      <c r="AX490" s="386">
        <f>IF(AND(M490="F",AS490&lt;&gt;0),SUMIF(C2:C557,C490,W2:W557),0)</f>
        <v>0</v>
      </c>
      <c r="AY490" s="386" t="str">
        <f t="shared" si="337"/>
        <v/>
      </c>
      <c r="AZ490" s="386" t="str">
        <f t="shared" si="338"/>
        <v/>
      </c>
      <c r="BA490" s="386">
        <f t="shared" si="339"/>
        <v>0</v>
      </c>
      <c r="BB490" s="386">
        <f t="shared" si="308"/>
        <v>0</v>
      </c>
      <c r="BC490" s="386">
        <f t="shared" si="309"/>
        <v>0</v>
      </c>
      <c r="BD490" s="386">
        <f t="shared" si="310"/>
        <v>0</v>
      </c>
      <c r="BE490" s="386">
        <f t="shared" si="311"/>
        <v>0</v>
      </c>
      <c r="BF490" s="386">
        <f t="shared" si="312"/>
        <v>0</v>
      </c>
      <c r="BG490" s="386">
        <f t="shared" si="313"/>
        <v>0</v>
      </c>
      <c r="BH490" s="386">
        <f t="shared" si="314"/>
        <v>0</v>
      </c>
      <c r="BI490" s="386">
        <f t="shared" si="315"/>
        <v>0</v>
      </c>
      <c r="BJ490" s="386">
        <f t="shared" si="316"/>
        <v>0</v>
      </c>
      <c r="BK490" s="386">
        <f t="shared" si="317"/>
        <v>0</v>
      </c>
      <c r="BL490" s="386">
        <f t="shared" si="340"/>
        <v>0</v>
      </c>
      <c r="BM490" s="386">
        <f t="shared" si="341"/>
        <v>0</v>
      </c>
      <c r="BN490" s="386">
        <f t="shared" si="318"/>
        <v>0</v>
      </c>
      <c r="BO490" s="386">
        <f t="shared" si="319"/>
        <v>0</v>
      </c>
      <c r="BP490" s="386">
        <f t="shared" si="320"/>
        <v>0</v>
      </c>
      <c r="BQ490" s="386">
        <f t="shared" si="321"/>
        <v>0</v>
      </c>
      <c r="BR490" s="386">
        <f t="shared" si="322"/>
        <v>0</v>
      </c>
      <c r="BS490" s="386">
        <f t="shared" si="323"/>
        <v>0</v>
      </c>
      <c r="BT490" s="386">
        <f t="shared" si="324"/>
        <v>0</v>
      </c>
      <c r="BU490" s="386">
        <f t="shared" si="325"/>
        <v>0</v>
      </c>
      <c r="BV490" s="386">
        <f t="shared" si="326"/>
        <v>0</v>
      </c>
      <c r="BW490" s="386">
        <f t="shared" si="327"/>
        <v>0</v>
      </c>
      <c r="BX490" s="386">
        <f t="shared" si="342"/>
        <v>0</v>
      </c>
      <c r="BY490" s="386">
        <f t="shared" si="343"/>
        <v>0</v>
      </c>
      <c r="BZ490" s="386">
        <f t="shared" si="344"/>
        <v>0</v>
      </c>
      <c r="CA490" s="386">
        <f t="shared" si="345"/>
        <v>0</v>
      </c>
      <c r="CB490" s="386">
        <f t="shared" si="346"/>
        <v>0</v>
      </c>
      <c r="CC490" s="386">
        <f t="shared" si="328"/>
        <v>0</v>
      </c>
      <c r="CD490" s="386">
        <f t="shared" si="329"/>
        <v>0</v>
      </c>
      <c r="CE490" s="386">
        <f t="shared" si="330"/>
        <v>0</v>
      </c>
      <c r="CF490" s="386">
        <f t="shared" si="331"/>
        <v>0</v>
      </c>
      <c r="CG490" s="386">
        <f t="shared" si="332"/>
        <v>0</v>
      </c>
      <c r="CH490" s="386">
        <f t="shared" si="333"/>
        <v>0</v>
      </c>
      <c r="CI490" s="386">
        <f t="shared" si="334"/>
        <v>0</v>
      </c>
      <c r="CJ490" s="386">
        <f t="shared" si="347"/>
        <v>0</v>
      </c>
      <c r="CK490" s="386" t="str">
        <f t="shared" si="348"/>
        <v/>
      </c>
      <c r="CL490" s="386" t="str">
        <f t="shared" si="349"/>
        <v/>
      </c>
      <c r="CM490" s="386" t="str">
        <f t="shared" si="350"/>
        <v/>
      </c>
      <c r="CN490" s="386" t="str">
        <f t="shared" si="351"/>
        <v>0001-00</v>
      </c>
    </row>
    <row r="491" spans="1:92" ht="15.75" thickBot="1" x14ac:dyDescent="0.3">
      <c r="A491" s="375" t="s">
        <v>161</v>
      </c>
      <c r="B491" s="375" t="s">
        <v>162</v>
      </c>
      <c r="C491" s="375" t="s">
        <v>1769</v>
      </c>
      <c r="D491" s="375" t="s">
        <v>1598</v>
      </c>
      <c r="E491" s="375" t="s">
        <v>165</v>
      </c>
      <c r="F491" s="376" t="s">
        <v>166</v>
      </c>
      <c r="G491" s="375" t="s">
        <v>1599</v>
      </c>
      <c r="H491" s="377"/>
      <c r="I491" s="377"/>
      <c r="J491" s="375" t="s">
        <v>168</v>
      </c>
      <c r="K491" s="375" t="s">
        <v>1600</v>
      </c>
      <c r="L491" s="375" t="s">
        <v>233</v>
      </c>
      <c r="M491" s="375" t="s">
        <v>177</v>
      </c>
      <c r="N491" s="375" t="s">
        <v>199</v>
      </c>
      <c r="O491" s="378">
        <v>1</v>
      </c>
      <c r="P491" s="384">
        <v>1</v>
      </c>
      <c r="Q491" s="384">
        <v>1</v>
      </c>
      <c r="R491" s="379">
        <v>80</v>
      </c>
      <c r="S491" s="384">
        <v>1</v>
      </c>
      <c r="T491" s="379">
        <v>34200.04</v>
      </c>
      <c r="U491" s="379">
        <v>0</v>
      </c>
      <c r="V491" s="379">
        <v>18139.669999999998</v>
      </c>
      <c r="W491" s="379">
        <v>45676.800000000003</v>
      </c>
      <c r="X491" s="379">
        <v>21400.59</v>
      </c>
      <c r="Y491" s="379">
        <v>45676.800000000003</v>
      </c>
      <c r="Z491" s="379">
        <v>21181.35</v>
      </c>
      <c r="AA491" s="375" t="s">
        <v>1770</v>
      </c>
      <c r="AB491" s="375" t="s">
        <v>1771</v>
      </c>
      <c r="AC491" s="375" t="s">
        <v>1772</v>
      </c>
      <c r="AD491" s="375" t="s">
        <v>366</v>
      </c>
      <c r="AE491" s="375" t="s">
        <v>1600</v>
      </c>
      <c r="AF491" s="375" t="s">
        <v>237</v>
      </c>
      <c r="AG491" s="375" t="s">
        <v>183</v>
      </c>
      <c r="AH491" s="380">
        <v>21.96</v>
      </c>
      <c r="AI491" s="380">
        <v>34949.199999999997</v>
      </c>
      <c r="AJ491" s="375" t="s">
        <v>184</v>
      </c>
      <c r="AK491" s="375" t="s">
        <v>185</v>
      </c>
      <c r="AL491" s="375" t="s">
        <v>173</v>
      </c>
      <c r="AM491" s="375" t="s">
        <v>186</v>
      </c>
      <c r="AN491" s="375" t="s">
        <v>68</v>
      </c>
      <c r="AO491" s="378">
        <v>80</v>
      </c>
      <c r="AP491" s="384">
        <v>1</v>
      </c>
      <c r="AQ491" s="384">
        <v>1</v>
      </c>
      <c r="AR491" s="383" t="s">
        <v>187</v>
      </c>
      <c r="AS491" s="386">
        <f t="shared" si="335"/>
        <v>1</v>
      </c>
      <c r="AT491">
        <f t="shared" si="336"/>
        <v>1</v>
      </c>
      <c r="AU491" s="386">
        <f>IF(AT491=0,"",IF(AND(AT491=1,M491="F",SUMIF(C2:C557,C491,AS2:AS557)&lt;=1),SUMIF(C2:C557,C491,AS2:AS557),IF(AND(AT491=1,M491="F",SUMIF(C2:C557,C491,AS2:AS557)&gt;1),1,"")))</f>
        <v>1</v>
      </c>
      <c r="AV491" s="386" t="str">
        <f>IF(AT491=0,"",IF(AND(AT491=3,M491="F",SUMIF(C2:C557,C491,AS2:AS557)&lt;=1),SUMIF(C2:C557,C491,AS2:AS557),IF(AND(AT491=3,M491="F",SUMIF(C2:C557,C491,AS2:AS557)&gt;1),1,"")))</f>
        <v/>
      </c>
      <c r="AW491" s="386">
        <f>SUMIF(C2:C557,C491,O2:O557)</f>
        <v>1</v>
      </c>
      <c r="AX491" s="386">
        <f>IF(AND(M491="F",AS491&lt;&gt;0),SUMIF(C2:C557,C491,W2:W557),0)</f>
        <v>45676.800000000003</v>
      </c>
      <c r="AY491" s="386">
        <f t="shared" si="337"/>
        <v>45676.800000000003</v>
      </c>
      <c r="AZ491" s="386" t="str">
        <f t="shared" si="338"/>
        <v/>
      </c>
      <c r="BA491" s="386">
        <f t="shared" si="339"/>
        <v>0</v>
      </c>
      <c r="BB491" s="386">
        <f t="shared" si="308"/>
        <v>11650</v>
      </c>
      <c r="BC491" s="386">
        <f t="shared" si="309"/>
        <v>0</v>
      </c>
      <c r="BD491" s="386">
        <f t="shared" si="310"/>
        <v>2831.9616000000001</v>
      </c>
      <c r="BE491" s="386">
        <f t="shared" si="311"/>
        <v>662.31360000000006</v>
      </c>
      <c r="BF491" s="386">
        <f t="shared" si="312"/>
        <v>5453.8099200000006</v>
      </c>
      <c r="BG491" s="386">
        <f t="shared" si="313"/>
        <v>329.32972800000005</v>
      </c>
      <c r="BH491" s="386">
        <f t="shared" si="314"/>
        <v>223.81632000000002</v>
      </c>
      <c r="BI491" s="386">
        <f t="shared" si="315"/>
        <v>139.77100799999999</v>
      </c>
      <c r="BJ491" s="386">
        <f t="shared" si="316"/>
        <v>109.62432</v>
      </c>
      <c r="BK491" s="386">
        <f t="shared" si="317"/>
        <v>0</v>
      </c>
      <c r="BL491" s="386">
        <f t="shared" si="340"/>
        <v>9750.6264960000008</v>
      </c>
      <c r="BM491" s="386">
        <f t="shared" si="341"/>
        <v>0</v>
      </c>
      <c r="BN491" s="386">
        <f t="shared" si="318"/>
        <v>11650</v>
      </c>
      <c r="BO491" s="386">
        <f t="shared" si="319"/>
        <v>0</v>
      </c>
      <c r="BP491" s="386">
        <f t="shared" si="320"/>
        <v>2831.9616000000001</v>
      </c>
      <c r="BQ491" s="386">
        <f t="shared" si="321"/>
        <v>662.31360000000006</v>
      </c>
      <c r="BR491" s="386">
        <f t="shared" si="322"/>
        <v>5453.8099200000006</v>
      </c>
      <c r="BS491" s="386">
        <f t="shared" si="323"/>
        <v>329.32972800000005</v>
      </c>
      <c r="BT491" s="386">
        <f t="shared" si="324"/>
        <v>0</v>
      </c>
      <c r="BU491" s="386">
        <f t="shared" si="325"/>
        <v>139.77100799999999</v>
      </c>
      <c r="BV491" s="386">
        <f t="shared" si="326"/>
        <v>114.19200000000001</v>
      </c>
      <c r="BW491" s="386">
        <f t="shared" si="327"/>
        <v>0</v>
      </c>
      <c r="BX491" s="386">
        <f t="shared" si="342"/>
        <v>9531.3778559999992</v>
      </c>
      <c r="BY491" s="386">
        <f t="shared" si="343"/>
        <v>0</v>
      </c>
      <c r="BZ491" s="386">
        <f t="shared" si="344"/>
        <v>0</v>
      </c>
      <c r="CA491" s="386">
        <f t="shared" si="345"/>
        <v>0</v>
      </c>
      <c r="CB491" s="386">
        <f t="shared" si="346"/>
        <v>0</v>
      </c>
      <c r="CC491" s="386">
        <f t="shared" si="328"/>
        <v>0</v>
      </c>
      <c r="CD491" s="386">
        <f t="shared" si="329"/>
        <v>0</v>
      </c>
      <c r="CE491" s="386">
        <f t="shared" si="330"/>
        <v>0</v>
      </c>
      <c r="CF491" s="386">
        <f t="shared" si="331"/>
        <v>-223.81632000000002</v>
      </c>
      <c r="CG491" s="386">
        <f t="shared" si="332"/>
        <v>0</v>
      </c>
      <c r="CH491" s="386">
        <f t="shared" si="333"/>
        <v>4.5676800000000126</v>
      </c>
      <c r="CI491" s="386">
        <f t="shared" si="334"/>
        <v>0</v>
      </c>
      <c r="CJ491" s="386">
        <f t="shared" si="347"/>
        <v>-219.24863999999999</v>
      </c>
      <c r="CK491" s="386" t="str">
        <f t="shared" si="348"/>
        <v/>
      </c>
      <c r="CL491" s="386" t="str">
        <f t="shared" si="349"/>
        <v/>
      </c>
      <c r="CM491" s="386" t="str">
        <f t="shared" si="350"/>
        <v/>
      </c>
      <c r="CN491" s="386" t="str">
        <f t="shared" si="351"/>
        <v>0001-00</v>
      </c>
    </row>
    <row r="492" spans="1:92" ht="15.75" thickBot="1" x14ac:dyDescent="0.3">
      <c r="A492" s="375" t="s">
        <v>161</v>
      </c>
      <c r="B492" s="375" t="s">
        <v>162</v>
      </c>
      <c r="C492" s="375" t="s">
        <v>1773</v>
      </c>
      <c r="D492" s="375" t="s">
        <v>1598</v>
      </c>
      <c r="E492" s="375" t="s">
        <v>165</v>
      </c>
      <c r="F492" s="376" t="s">
        <v>166</v>
      </c>
      <c r="G492" s="375" t="s">
        <v>1599</v>
      </c>
      <c r="H492" s="377"/>
      <c r="I492" s="377"/>
      <c r="J492" s="375" t="s">
        <v>168</v>
      </c>
      <c r="K492" s="375" t="s">
        <v>1600</v>
      </c>
      <c r="L492" s="375" t="s">
        <v>233</v>
      </c>
      <c r="M492" s="375" t="s">
        <v>177</v>
      </c>
      <c r="N492" s="375" t="s">
        <v>199</v>
      </c>
      <c r="O492" s="378">
        <v>1</v>
      </c>
      <c r="P492" s="384">
        <v>1</v>
      </c>
      <c r="Q492" s="384">
        <v>1</v>
      </c>
      <c r="R492" s="379">
        <v>80</v>
      </c>
      <c r="S492" s="384">
        <v>1</v>
      </c>
      <c r="T492" s="379">
        <v>29993.599999999999</v>
      </c>
      <c r="U492" s="379">
        <v>0</v>
      </c>
      <c r="V492" s="379">
        <v>16326.73</v>
      </c>
      <c r="W492" s="379">
        <v>38376</v>
      </c>
      <c r="X492" s="379">
        <v>19842.11</v>
      </c>
      <c r="Y492" s="379">
        <v>38376</v>
      </c>
      <c r="Z492" s="379">
        <v>19657.91</v>
      </c>
      <c r="AA492" s="375" t="s">
        <v>1774</v>
      </c>
      <c r="AB492" s="375" t="s">
        <v>1775</v>
      </c>
      <c r="AC492" s="375" t="s">
        <v>682</v>
      </c>
      <c r="AD492" s="375" t="s">
        <v>181</v>
      </c>
      <c r="AE492" s="375" t="s">
        <v>1600</v>
      </c>
      <c r="AF492" s="375" t="s">
        <v>237</v>
      </c>
      <c r="AG492" s="375" t="s">
        <v>183</v>
      </c>
      <c r="AH492" s="380">
        <v>18.45</v>
      </c>
      <c r="AI492" s="378">
        <v>400</v>
      </c>
      <c r="AJ492" s="375" t="s">
        <v>184</v>
      </c>
      <c r="AK492" s="375" t="s">
        <v>185</v>
      </c>
      <c r="AL492" s="375" t="s">
        <v>173</v>
      </c>
      <c r="AM492" s="375" t="s">
        <v>186</v>
      </c>
      <c r="AN492" s="375" t="s">
        <v>68</v>
      </c>
      <c r="AO492" s="378">
        <v>80</v>
      </c>
      <c r="AP492" s="384">
        <v>1</v>
      </c>
      <c r="AQ492" s="384">
        <v>1</v>
      </c>
      <c r="AR492" s="383" t="s">
        <v>187</v>
      </c>
      <c r="AS492" s="386">
        <f t="shared" si="335"/>
        <v>1</v>
      </c>
      <c r="AT492">
        <f t="shared" si="336"/>
        <v>1</v>
      </c>
      <c r="AU492" s="386">
        <f>IF(AT492=0,"",IF(AND(AT492=1,M492="F",SUMIF(C2:C557,C492,AS2:AS557)&lt;=1),SUMIF(C2:C557,C492,AS2:AS557),IF(AND(AT492=1,M492="F",SUMIF(C2:C557,C492,AS2:AS557)&gt;1),1,"")))</f>
        <v>1</v>
      </c>
      <c r="AV492" s="386" t="str">
        <f>IF(AT492=0,"",IF(AND(AT492=3,M492="F",SUMIF(C2:C557,C492,AS2:AS557)&lt;=1),SUMIF(C2:C557,C492,AS2:AS557),IF(AND(AT492=3,M492="F",SUMIF(C2:C557,C492,AS2:AS557)&gt;1),1,"")))</f>
        <v/>
      </c>
      <c r="AW492" s="386">
        <f>SUMIF(C2:C557,C492,O2:O557)</f>
        <v>1</v>
      </c>
      <c r="AX492" s="386">
        <f>IF(AND(M492="F",AS492&lt;&gt;0),SUMIF(C2:C557,C492,W2:W557),0)</f>
        <v>38376</v>
      </c>
      <c r="AY492" s="386">
        <f t="shared" si="337"/>
        <v>38376</v>
      </c>
      <c r="AZ492" s="386" t="str">
        <f t="shared" si="338"/>
        <v/>
      </c>
      <c r="BA492" s="386">
        <f t="shared" si="339"/>
        <v>0</v>
      </c>
      <c r="BB492" s="386">
        <f t="shared" si="308"/>
        <v>11650</v>
      </c>
      <c r="BC492" s="386">
        <f t="shared" si="309"/>
        <v>0</v>
      </c>
      <c r="BD492" s="386">
        <f t="shared" si="310"/>
        <v>2379.3119999999999</v>
      </c>
      <c r="BE492" s="386">
        <f t="shared" si="311"/>
        <v>556.452</v>
      </c>
      <c r="BF492" s="386">
        <f t="shared" si="312"/>
        <v>4582.0944</v>
      </c>
      <c r="BG492" s="386">
        <f t="shared" si="313"/>
        <v>276.69096000000002</v>
      </c>
      <c r="BH492" s="386">
        <f t="shared" si="314"/>
        <v>188.04239999999999</v>
      </c>
      <c r="BI492" s="386">
        <f t="shared" si="315"/>
        <v>117.43055999999999</v>
      </c>
      <c r="BJ492" s="386">
        <f t="shared" si="316"/>
        <v>92.102399999999989</v>
      </c>
      <c r="BK492" s="386">
        <f t="shared" si="317"/>
        <v>0</v>
      </c>
      <c r="BL492" s="386">
        <f t="shared" si="340"/>
        <v>8192.1247199999998</v>
      </c>
      <c r="BM492" s="386">
        <f t="shared" si="341"/>
        <v>0</v>
      </c>
      <c r="BN492" s="386">
        <f t="shared" si="318"/>
        <v>11650</v>
      </c>
      <c r="BO492" s="386">
        <f t="shared" si="319"/>
        <v>0</v>
      </c>
      <c r="BP492" s="386">
        <f t="shared" si="320"/>
        <v>2379.3119999999999</v>
      </c>
      <c r="BQ492" s="386">
        <f t="shared" si="321"/>
        <v>556.452</v>
      </c>
      <c r="BR492" s="386">
        <f t="shared" si="322"/>
        <v>4582.0944</v>
      </c>
      <c r="BS492" s="386">
        <f t="shared" si="323"/>
        <v>276.69096000000002</v>
      </c>
      <c r="BT492" s="386">
        <f t="shared" si="324"/>
        <v>0</v>
      </c>
      <c r="BU492" s="386">
        <f t="shared" si="325"/>
        <v>117.43055999999999</v>
      </c>
      <c r="BV492" s="386">
        <f t="shared" si="326"/>
        <v>95.94</v>
      </c>
      <c r="BW492" s="386">
        <f t="shared" si="327"/>
        <v>0</v>
      </c>
      <c r="BX492" s="386">
        <f t="shared" si="342"/>
        <v>8007.9199199999994</v>
      </c>
      <c r="BY492" s="386">
        <f t="shared" si="343"/>
        <v>0</v>
      </c>
      <c r="BZ492" s="386">
        <f t="shared" si="344"/>
        <v>0</v>
      </c>
      <c r="CA492" s="386">
        <f t="shared" si="345"/>
        <v>0</v>
      </c>
      <c r="CB492" s="386">
        <f t="shared" si="346"/>
        <v>0</v>
      </c>
      <c r="CC492" s="386">
        <f t="shared" si="328"/>
        <v>0</v>
      </c>
      <c r="CD492" s="386">
        <f t="shared" si="329"/>
        <v>0</v>
      </c>
      <c r="CE492" s="386">
        <f t="shared" si="330"/>
        <v>0</v>
      </c>
      <c r="CF492" s="386">
        <f t="shared" si="331"/>
        <v>-188.04239999999999</v>
      </c>
      <c r="CG492" s="386">
        <f t="shared" si="332"/>
        <v>0</v>
      </c>
      <c r="CH492" s="386">
        <f t="shared" si="333"/>
        <v>3.8376000000000099</v>
      </c>
      <c r="CI492" s="386">
        <f t="shared" si="334"/>
        <v>0</v>
      </c>
      <c r="CJ492" s="386">
        <f t="shared" si="347"/>
        <v>-184.20479999999998</v>
      </c>
      <c r="CK492" s="386" t="str">
        <f t="shared" si="348"/>
        <v/>
      </c>
      <c r="CL492" s="386" t="str">
        <f t="shared" si="349"/>
        <v/>
      </c>
      <c r="CM492" s="386" t="str">
        <f t="shared" si="350"/>
        <v/>
      </c>
      <c r="CN492" s="386" t="str">
        <f t="shared" si="351"/>
        <v>0001-00</v>
      </c>
    </row>
    <row r="493" spans="1:92" ht="15.75" thickBot="1" x14ac:dyDescent="0.3">
      <c r="A493" s="375" t="s">
        <v>161</v>
      </c>
      <c r="B493" s="375" t="s">
        <v>162</v>
      </c>
      <c r="C493" s="375" t="s">
        <v>1776</v>
      </c>
      <c r="D493" s="375" t="s">
        <v>1629</v>
      </c>
      <c r="E493" s="375" t="s">
        <v>165</v>
      </c>
      <c r="F493" s="376" t="s">
        <v>166</v>
      </c>
      <c r="G493" s="375" t="s">
        <v>1599</v>
      </c>
      <c r="H493" s="377"/>
      <c r="I493" s="377"/>
      <c r="J493" s="375" t="s">
        <v>168</v>
      </c>
      <c r="K493" s="375" t="s">
        <v>1630</v>
      </c>
      <c r="L493" s="375" t="s">
        <v>198</v>
      </c>
      <c r="M493" s="375" t="s">
        <v>177</v>
      </c>
      <c r="N493" s="375" t="s">
        <v>199</v>
      </c>
      <c r="O493" s="378">
        <v>1</v>
      </c>
      <c r="P493" s="384">
        <v>1</v>
      </c>
      <c r="Q493" s="384">
        <v>1</v>
      </c>
      <c r="R493" s="379">
        <v>80</v>
      </c>
      <c r="S493" s="384">
        <v>1</v>
      </c>
      <c r="T493" s="379">
        <v>30507.14</v>
      </c>
      <c r="U493" s="379">
        <v>0</v>
      </c>
      <c r="V493" s="379">
        <v>14976.71</v>
      </c>
      <c r="W493" s="379">
        <v>44865.599999999999</v>
      </c>
      <c r="X493" s="379">
        <v>21227.43</v>
      </c>
      <c r="Y493" s="379">
        <v>44865.599999999999</v>
      </c>
      <c r="Z493" s="379">
        <v>21012.080000000002</v>
      </c>
      <c r="AA493" s="375" t="s">
        <v>1777</v>
      </c>
      <c r="AB493" s="375" t="s">
        <v>1778</v>
      </c>
      <c r="AC493" s="375" t="s">
        <v>1779</v>
      </c>
      <c r="AD493" s="375" t="s">
        <v>170</v>
      </c>
      <c r="AE493" s="375" t="s">
        <v>1630</v>
      </c>
      <c r="AF493" s="375" t="s">
        <v>245</v>
      </c>
      <c r="AG493" s="375" t="s">
        <v>183</v>
      </c>
      <c r="AH493" s="380">
        <v>21.57</v>
      </c>
      <c r="AI493" s="380">
        <v>4173.5</v>
      </c>
      <c r="AJ493" s="375" t="s">
        <v>184</v>
      </c>
      <c r="AK493" s="375" t="s">
        <v>185</v>
      </c>
      <c r="AL493" s="375" t="s">
        <v>173</v>
      </c>
      <c r="AM493" s="375" t="s">
        <v>186</v>
      </c>
      <c r="AN493" s="375" t="s">
        <v>68</v>
      </c>
      <c r="AO493" s="378">
        <v>80</v>
      </c>
      <c r="AP493" s="384">
        <v>1</v>
      </c>
      <c r="AQ493" s="384">
        <v>1</v>
      </c>
      <c r="AR493" s="383" t="s">
        <v>187</v>
      </c>
      <c r="AS493" s="386">
        <f t="shared" si="335"/>
        <v>1</v>
      </c>
      <c r="AT493">
        <f t="shared" si="336"/>
        <v>1</v>
      </c>
      <c r="AU493" s="386">
        <f>IF(AT493=0,"",IF(AND(AT493=1,M493="F",SUMIF(C2:C557,C493,AS2:AS557)&lt;=1),SUMIF(C2:C557,C493,AS2:AS557),IF(AND(AT493=1,M493="F",SUMIF(C2:C557,C493,AS2:AS557)&gt;1),1,"")))</f>
        <v>1</v>
      </c>
      <c r="AV493" s="386" t="str">
        <f>IF(AT493=0,"",IF(AND(AT493=3,M493="F",SUMIF(C2:C557,C493,AS2:AS557)&lt;=1),SUMIF(C2:C557,C493,AS2:AS557),IF(AND(AT493=3,M493="F",SUMIF(C2:C557,C493,AS2:AS557)&gt;1),1,"")))</f>
        <v/>
      </c>
      <c r="AW493" s="386">
        <f>SUMIF(C2:C557,C493,O2:O557)</f>
        <v>1</v>
      </c>
      <c r="AX493" s="386">
        <f>IF(AND(M493="F",AS493&lt;&gt;0),SUMIF(C2:C557,C493,W2:W557),0)</f>
        <v>44865.599999999999</v>
      </c>
      <c r="AY493" s="386">
        <f t="shared" si="337"/>
        <v>44865.599999999999</v>
      </c>
      <c r="AZ493" s="386" t="str">
        <f t="shared" si="338"/>
        <v/>
      </c>
      <c r="BA493" s="386">
        <f t="shared" si="339"/>
        <v>0</v>
      </c>
      <c r="BB493" s="386">
        <f t="shared" si="308"/>
        <v>11650</v>
      </c>
      <c r="BC493" s="386">
        <f t="shared" si="309"/>
        <v>0</v>
      </c>
      <c r="BD493" s="386">
        <f t="shared" si="310"/>
        <v>2781.6671999999999</v>
      </c>
      <c r="BE493" s="386">
        <f t="shared" si="311"/>
        <v>650.55119999999999</v>
      </c>
      <c r="BF493" s="386">
        <f t="shared" si="312"/>
        <v>5356.9526400000004</v>
      </c>
      <c r="BG493" s="386">
        <f t="shared" si="313"/>
        <v>323.480976</v>
      </c>
      <c r="BH493" s="386">
        <f t="shared" si="314"/>
        <v>219.84143999999998</v>
      </c>
      <c r="BI493" s="386">
        <f t="shared" si="315"/>
        <v>137.288736</v>
      </c>
      <c r="BJ493" s="386">
        <f t="shared" si="316"/>
        <v>107.67743999999999</v>
      </c>
      <c r="BK493" s="386">
        <f t="shared" si="317"/>
        <v>0</v>
      </c>
      <c r="BL493" s="386">
        <f t="shared" si="340"/>
        <v>9577.4596320000019</v>
      </c>
      <c r="BM493" s="386">
        <f t="shared" si="341"/>
        <v>0</v>
      </c>
      <c r="BN493" s="386">
        <f t="shared" si="318"/>
        <v>11650</v>
      </c>
      <c r="BO493" s="386">
        <f t="shared" si="319"/>
        <v>0</v>
      </c>
      <c r="BP493" s="386">
        <f t="shared" si="320"/>
        <v>2781.6671999999999</v>
      </c>
      <c r="BQ493" s="386">
        <f t="shared" si="321"/>
        <v>650.55119999999999</v>
      </c>
      <c r="BR493" s="386">
        <f t="shared" si="322"/>
        <v>5356.9526400000004</v>
      </c>
      <c r="BS493" s="386">
        <f t="shared" si="323"/>
        <v>323.480976</v>
      </c>
      <c r="BT493" s="386">
        <f t="shared" si="324"/>
        <v>0</v>
      </c>
      <c r="BU493" s="386">
        <f t="shared" si="325"/>
        <v>137.288736</v>
      </c>
      <c r="BV493" s="386">
        <f t="shared" si="326"/>
        <v>112.164</v>
      </c>
      <c r="BW493" s="386">
        <f t="shared" si="327"/>
        <v>0</v>
      </c>
      <c r="BX493" s="386">
        <f t="shared" si="342"/>
        <v>9362.1047520000029</v>
      </c>
      <c r="BY493" s="386">
        <f t="shared" si="343"/>
        <v>0</v>
      </c>
      <c r="BZ493" s="386">
        <f t="shared" si="344"/>
        <v>0</v>
      </c>
      <c r="CA493" s="386">
        <f t="shared" si="345"/>
        <v>0</v>
      </c>
      <c r="CB493" s="386">
        <f t="shared" si="346"/>
        <v>0</v>
      </c>
      <c r="CC493" s="386">
        <f t="shared" si="328"/>
        <v>0</v>
      </c>
      <c r="CD493" s="386">
        <f t="shared" si="329"/>
        <v>0</v>
      </c>
      <c r="CE493" s="386">
        <f t="shared" si="330"/>
        <v>0</v>
      </c>
      <c r="CF493" s="386">
        <f t="shared" si="331"/>
        <v>-219.84143999999998</v>
      </c>
      <c r="CG493" s="386">
        <f t="shared" si="332"/>
        <v>0</v>
      </c>
      <c r="CH493" s="386">
        <f t="shared" si="333"/>
        <v>4.4865600000000114</v>
      </c>
      <c r="CI493" s="386">
        <f t="shared" si="334"/>
        <v>0</v>
      </c>
      <c r="CJ493" s="386">
        <f t="shared" si="347"/>
        <v>-215.35487999999998</v>
      </c>
      <c r="CK493" s="386" t="str">
        <f t="shared" si="348"/>
        <v/>
      </c>
      <c r="CL493" s="386" t="str">
        <f t="shared" si="349"/>
        <v/>
      </c>
      <c r="CM493" s="386" t="str">
        <f t="shared" si="350"/>
        <v/>
      </c>
      <c r="CN493" s="386" t="str">
        <f t="shared" si="351"/>
        <v>0001-00</v>
      </c>
    </row>
    <row r="494" spans="1:92" ht="15.75" thickBot="1" x14ac:dyDescent="0.3">
      <c r="A494" s="375" t="s">
        <v>161</v>
      </c>
      <c r="B494" s="375" t="s">
        <v>162</v>
      </c>
      <c r="C494" s="375" t="s">
        <v>1780</v>
      </c>
      <c r="D494" s="375" t="s">
        <v>1598</v>
      </c>
      <c r="E494" s="375" t="s">
        <v>165</v>
      </c>
      <c r="F494" s="376" t="s">
        <v>166</v>
      </c>
      <c r="G494" s="375" t="s">
        <v>1599</v>
      </c>
      <c r="H494" s="377"/>
      <c r="I494" s="377"/>
      <c r="J494" s="375" t="s">
        <v>168</v>
      </c>
      <c r="K494" s="375" t="s">
        <v>1600</v>
      </c>
      <c r="L494" s="375" t="s">
        <v>233</v>
      </c>
      <c r="M494" s="375" t="s">
        <v>171</v>
      </c>
      <c r="N494" s="375" t="s">
        <v>199</v>
      </c>
      <c r="O494" s="378">
        <v>0</v>
      </c>
      <c r="P494" s="384">
        <v>1</v>
      </c>
      <c r="Q494" s="384">
        <v>1</v>
      </c>
      <c r="R494" s="379">
        <v>80</v>
      </c>
      <c r="S494" s="384">
        <v>1</v>
      </c>
      <c r="T494" s="379">
        <v>22132.85</v>
      </c>
      <c r="U494" s="379">
        <v>0</v>
      </c>
      <c r="V494" s="379">
        <v>12703.64</v>
      </c>
      <c r="W494" s="379">
        <v>42328</v>
      </c>
      <c r="X494" s="379">
        <v>18539.66</v>
      </c>
      <c r="Y494" s="379">
        <v>42328</v>
      </c>
      <c r="Z494" s="379">
        <v>18328.02</v>
      </c>
      <c r="AA494" s="377"/>
      <c r="AB494" s="375" t="s">
        <v>45</v>
      </c>
      <c r="AC494" s="375" t="s">
        <v>45</v>
      </c>
      <c r="AD494" s="377"/>
      <c r="AE494" s="377"/>
      <c r="AF494" s="377"/>
      <c r="AG494" s="377"/>
      <c r="AH494" s="378">
        <v>0</v>
      </c>
      <c r="AI494" s="378">
        <v>0</v>
      </c>
      <c r="AJ494" s="377"/>
      <c r="AK494" s="377"/>
      <c r="AL494" s="375" t="s">
        <v>173</v>
      </c>
      <c r="AM494" s="377"/>
      <c r="AN494" s="377"/>
      <c r="AO494" s="378">
        <v>0</v>
      </c>
      <c r="AP494" s="384">
        <v>0</v>
      </c>
      <c r="AQ494" s="384">
        <v>0</v>
      </c>
      <c r="AR494" s="382"/>
      <c r="AS494" s="386">
        <f t="shared" si="335"/>
        <v>0</v>
      </c>
      <c r="AT494">
        <f t="shared" si="336"/>
        <v>0</v>
      </c>
      <c r="AU494" s="386" t="str">
        <f>IF(AT494=0,"",IF(AND(AT494=1,M494="F",SUMIF(C2:C557,C494,AS2:AS557)&lt;=1),SUMIF(C2:C557,C494,AS2:AS557),IF(AND(AT494=1,M494="F",SUMIF(C2:C557,C494,AS2:AS557)&gt;1),1,"")))</f>
        <v/>
      </c>
      <c r="AV494" s="386" t="str">
        <f>IF(AT494=0,"",IF(AND(AT494=3,M494="F",SUMIF(C2:C557,C494,AS2:AS557)&lt;=1),SUMIF(C2:C557,C494,AS2:AS557),IF(AND(AT494=3,M494="F",SUMIF(C2:C557,C494,AS2:AS557)&gt;1),1,"")))</f>
        <v/>
      </c>
      <c r="AW494" s="386">
        <f>SUMIF(C2:C557,C494,O2:O557)</f>
        <v>0</v>
      </c>
      <c r="AX494" s="386">
        <f>IF(AND(M494="F",AS494&lt;&gt;0),SUMIF(C2:C557,C494,W2:W557),0)</f>
        <v>0</v>
      </c>
      <c r="AY494" s="386" t="str">
        <f t="shared" si="337"/>
        <v/>
      </c>
      <c r="AZ494" s="386" t="str">
        <f t="shared" si="338"/>
        <v/>
      </c>
      <c r="BA494" s="386">
        <f t="shared" si="339"/>
        <v>0</v>
      </c>
      <c r="BB494" s="386">
        <f t="shared" si="308"/>
        <v>0</v>
      </c>
      <c r="BC494" s="386">
        <f t="shared" si="309"/>
        <v>0</v>
      </c>
      <c r="BD494" s="386">
        <f t="shared" si="310"/>
        <v>0</v>
      </c>
      <c r="BE494" s="386">
        <f t="shared" si="311"/>
        <v>0</v>
      </c>
      <c r="BF494" s="386">
        <f t="shared" si="312"/>
        <v>0</v>
      </c>
      <c r="BG494" s="386">
        <f t="shared" si="313"/>
        <v>0</v>
      </c>
      <c r="BH494" s="386">
        <f t="shared" si="314"/>
        <v>0</v>
      </c>
      <c r="BI494" s="386">
        <f t="shared" si="315"/>
        <v>0</v>
      </c>
      <c r="BJ494" s="386">
        <f t="shared" si="316"/>
        <v>0</v>
      </c>
      <c r="BK494" s="386">
        <f t="shared" si="317"/>
        <v>0</v>
      </c>
      <c r="BL494" s="386">
        <f t="shared" si="340"/>
        <v>0</v>
      </c>
      <c r="BM494" s="386">
        <f t="shared" si="341"/>
        <v>0</v>
      </c>
      <c r="BN494" s="386">
        <f t="shared" si="318"/>
        <v>0</v>
      </c>
      <c r="BO494" s="386">
        <f t="shared" si="319"/>
        <v>0</v>
      </c>
      <c r="BP494" s="386">
        <f t="shared" si="320"/>
        <v>0</v>
      </c>
      <c r="BQ494" s="386">
        <f t="shared" si="321"/>
        <v>0</v>
      </c>
      <c r="BR494" s="386">
        <f t="shared" si="322"/>
        <v>0</v>
      </c>
      <c r="BS494" s="386">
        <f t="shared" si="323"/>
        <v>0</v>
      </c>
      <c r="BT494" s="386">
        <f t="shared" si="324"/>
        <v>0</v>
      </c>
      <c r="BU494" s="386">
        <f t="shared" si="325"/>
        <v>0</v>
      </c>
      <c r="BV494" s="386">
        <f t="shared" si="326"/>
        <v>0</v>
      </c>
      <c r="BW494" s="386">
        <f t="shared" si="327"/>
        <v>0</v>
      </c>
      <c r="BX494" s="386">
        <f t="shared" si="342"/>
        <v>0</v>
      </c>
      <c r="BY494" s="386">
        <f t="shared" si="343"/>
        <v>0</v>
      </c>
      <c r="BZ494" s="386">
        <f t="shared" si="344"/>
        <v>0</v>
      </c>
      <c r="CA494" s="386">
        <f t="shared" si="345"/>
        <v>0</v>
      </c>
      <c r="CB494" s="386">
        <f t="shared" si="346"/>
        <v>0</v>
      </c>
      <c r="CC494" s="386">
        <f t="shared" si="328"/>
        <v>0</v>
      </c>
      <c r="CD494" s="386">
        <f t="shared" si="329"/>
        <v>0</v>
      </c>
      <c r="CE494" s="386">
        <f t="shared" si="330"/>
        <v>0</v>
      </c>
      <c r="CF494" s="386">
        <f t="shared" si="331"/>
        <v>0</v>
      </c>
      <c r="CG494" s="386">
        <f t="shared" si="332"/>
        <v>0</v>
      </c>
      <c r="CH494" s="386">
        <f t="shared" si="333"/>
        <v>0</v>
      </c>
      <c r="CI494" s="386">
        <f t="shared" si="334"/>
        <v>0</v>
      </c>
      <c r="CJ494" s="386">
        <f t="shared" si="347"/>
        <v>0</v>
      </c>
      <c r="CK494" s="386" t="str">
        <f t="shared" si="348"/>
        <v/>
      </c>
      <c r="CL494" s="386" t="str">
        <f t="shared" si="349"/>
        <v/>
      </c>
      <c r="CM494" s="386" t="str">
        <f t="shared" si="350"/>
        <v/>
      </c>
      <c r="CN494" s="386" t="str">
        <f t="shared" si="351"/>
        <v>0001-00</v>
      </c>
    </row>
    <row r="495" spans="1:92" ht="15.75" thickBot="1" x14ac:dyDescent="0.3">
      <c r="A495" s="375" t="s">
        <v>161</v>
      </c>
      <c r="B495" s="375" t="s">
        <v>162</v>
      </c>
      <c r="C495" s="375" t="s">
        <v>1781</v>
      </c>
      <c r="D495" s="375" t="s">
        <v>1598</v>
      </c>
      <c r="E495" s="375" t="s">
        <v>165</v>
      </c>
      <c r="F495" s="376" t="s">
        <v>166</v>
      </c>
      <c r="G495" s="375" t="s">
        <v>1599</v>
      </c>
      <c r="H495" s="377"/>
      <c r="I495" s="377"/>
      <c r="J495" s="375" t="s">
        <v>168</v>
      </c>
      <c r="K495" s="375" t="s">
        <v>1600</v>
      </c>
      <c r="L495" s="375" t="s">
        <v>233</v>
      </c>
      <c r="M495" s="375" t="s">
        <v>177</v>
      </c>
      <c r="N495" s="375" t="s">
        <v>199</v>
      </c>
      <c r="O495" s="378">
        <v>1</v>
      </c>
      <c r="P495" s="384">
        <v>1</v>
      </c>
      <c r="Q495" s="384">
        <v>1</v>
      </c>
      <c r="R495" s="379">
        <v>80</v>
      </c>
      <c r="S495" s="384">
        <v>1</v>
      </c>
      <c r="T495" s="379">
        <v>24064.83</v>
      </c>
      <c r="U495" s="379">
        <v>0</v>
      </c>
      <c r="V495" s="379">
        <v>12266.39</v>
      </c>
      <c r="W495" s="379">
        <v>43160</v>
      </c>
      <c r="X495" s="379">
        <v>20863.34</v>
      </c>
      <c r="Y495" s="379">
        <v>43160</v>
      </c>
      <c r="Z495" s="379">
        <v>20656.18</v>
      </c>
      <c r="AA495" s="375" t="s">
        <v>1782</v>
      </c>
      <c r="AB495" s="375" t="s">
        <v>520</v>
      </c>
      <c r="AC495" s="375" t="s">
        <v>1407</v>
      </c>
      <c r="AD495" s="375" t="s">
        <v>194</v>
      </c>
      <c r="AE495" s="375" t="s">
        <v>1600</v>
      </c>
      <c r="AF495" s="375" t="s">
        <v>237</v>
      </c>
      <c r="AG495" s="375" t="s">
        <v>183</v>
      </c>
      <c r="AH495" s="380">
        <v>20.75</v>
      </c>
      <c r="AI495" s="380">
        <v>28913.5</v>
      </c>
      <c r="AJ495" s="375" t="s">
        <v>184</v>
      </c>
      <c r="AK495" s="375" t="s">
        <v>185</v>
      </c>
      <c r="AL495" s="375" t="s">
        <v>173</v>
      </c>
      <c r="AM495" s="375" t="s">
        <v>186</v>
      </c>
      <c r="AN495" s="375" t="s">
        <v>68</v>
      </c>
      <c r="AO495" s="378">
        <v>80</v>
      </c>
      <c r="AP495" s="384">
        <v>1</v>
      </c>
      <c r="AQ495" s="384">
        <v>1</v>
      </c>
      <c r="AR495" s="383" t="s">
        <v>187</v>
      </c>
      <c r="AS495" s="386">
        <f t="shared" si="335"/>
        <v>1</v>
      </c>
      <c r="AT495">
        <f t="shared" si="336"/>
        <v>1</v>
      </c>
      <c r="AU495" s="386">
        <f>IF(AT495=0,"",IF(AND(AT495=1,M495="F",SUMIF(C2:C557,C495,AS2:AS557)&lt;=1),SUMIF(C2:C557,C495,AS2:AS557),IF(AND(AT495=1,M495="F",SUMIF(C2:C557,C495,AS2:AS557)&gt;1),1,"")))</f>
        <v>1</v>
      </c>
      <c r="AV495" s="386" t="str">
        <f>IF(AT495=0,"",IF(AND(AT495=3,M495="F",SUMIF(C2:C557,C495,AS2:AS557)&lt;=1),SUMIF(C2:C557,C495,AS2:AS557),IF(AND(AT495=3,M495="F",SUMIF(C2:C557,C495,AS2:AS557)&gt;1),1,"")))</f>
        <v/>
      </c>
      <c r="AW495" s="386">
        <f>SUMIF(C2:C557,C495,O2:O557)</f>
        <v>1</v>
      </c>
      <c r="AX495" s="386">
        <f>IF(AND(M495="F",AS495&lt;&gt;0),SUMIF(C2:C557,C495,W2:W557),0)</f>
        <v>43160</v>
      </c>
      <c r="AY495" s="386">
        <f t="shared" si="337"/>
        <v>43160</v>
      </c>
      <c r="AZ495" s="386" t="str">
        <f t="shared" si="338"/>
        <v/>
      </c>
      <c r="BA495" s="386">
        <f t="shared" si="339"/>
        <v>0</v>
      </c>
      <c r="BB495" s="386">
        <f t="shared" si="308"/>
        <v>11650</v>
      </c>
      <c r="BC495" s="386">
        <f t="shared" si="309"/>
        <v>0</v>
      </c>
      <c r="BD495" s="386">
        <f t="shared" si="310"/>
        <v>2675.92</v>
      </c>
      <c r="BE495" s="386">
        <f t="shared" si="311"/>
        <v>625.82000000000005</v>
      </c>
      <c r="BF495" s="386">
        <f t="shared" si="312"/>
        <v>5153.3040000000001</v>
      </c>
      <c r="BG495" s="386">
        <f t="shared" si="313"/>
        <v>311.18360000000001</v>
      </c>
      <c r="BH495" s="386">
        <f t="shared" si="314"/>
        <v>211.48399999999998</v>
      </c>
      <c r="BI495" s="386">
        <f t="shared" si="315"/>
        <v>132.06959999999998</v>
      </c>
      <c r="BJ495" s="386">
        <f t="shared" si="316"/>
        <v>103.58399999999999</v>
      </c>
      <c r="BK495" s="386">
        <f t="shared" si="317"/>
        <v>0</v>
      </c>
      <c r="BL495" s="386">
        <f t="shared" si="340"/>
        <v>9213.365200000002</v>
      </c>
      <c r="BM495" s="386">
        <f t="shared" si="341"/>
        <v>0</v>
      </c>
      <c r="BN495" s="386">
        <f t="shared" si="318"/>
        <v>11650</v>
      </c>
      <c r="BO495" s="386">
        <f t="shared" si="319"/>
        <v>0</v>
      </c>
      <c r="BP495" s="386">
        <f t="shared" si="320"/>
        <v>2675.92</v>
      </c>
      <c r="BQ495" s="386">
        <f t="shared" si="321"/>
        <v>625.82000000000005</v>
      </c>
      <c r="BR495" s="386">
        <f t="shared" si="322"/>
        <v>5153.3040000000001</v>
      </c>
      <c r="BS495" s="386">
        <f t="shared" si="323"/>
        <v>311.18360000000001</v>
      </c>
      <c r="BT495" s="386">
        <f t="shared" si="324"/>
        <v>0</v>
      </c>
      <c r="BU495" s="386">
        <f t="shared" si="325"/>
        <v>132.06959999999998</v>
      </c>
      <c r="BV495" s="386">
        <f t="shared" si="326"/>
        <v>107.9</v>
      </c>
      <c r="BW495" s="386">
        <f t="shared" si="327"/>
        <v>0</v>
      </c>
      <c r="BX495" s="386">
        <f t="shared" si="342"/>
        <v>9006.1972000000005</v>
      </c>
      <c r="BY495" s="386">
        <f t="shared" si="343"/>
        <v>0</v>
      </c>
      <c r="BZ495" s="386">
        <f t="shared" si="344"/>
        <v>0</v>
      </c>
      <c r="CA495" s="386">
        <f t="shared" si="345"/>
        <v>0</v>
      </c>
      <c r="CB495" s="386">
        <f t="shared" si="346"/>
        <v>0</v>
      </c>
      <c r="CC495" s="386">
        <f t="shared" si="328"/>
        <v>0</v>
      </c>
      <c r="CD495" s="386">
        <f t="shared" si="329"/>
        <v>0</v>
      </c>
      <c r="CE495" s="386">
        <f t="shared" si="330"/>
        <v>0</v>
      </c>
      <c r="CF495" s="386">
        <f t="shared" si="331"/>
        <v>-211.48399999999998</v>
      </c>
      <c r="CG495" s="386">
        <f t="shared" si="332"/>
        <v>0</v>
      </c>
      <c r="CH495" s="386">
        <f t="shared" si="333"/>
        <v>4.3160000000000114</v>
      </c>
      <c r="CI495" s="386">
        <f t="shared" si="334"/>
        <v>0</v>
      </c>
      <c r="CJ495" s="386">
        <f t="shared" si="347"/>
        <v>-207.16799999999998</v>
      </c>
      <c r="CK495" s="386" t="str">
        <f t="shared" si="348"/>
        <v/>
      </c>
      <c r="CL495" s="386" t="str">
        <f t="shared" si="349"/>
        <v/>
      </c>
      <c r="CM495" s="386" t="str">
        <f t="shared" si="350"/>
        <v/>
      </c>
      <c r="CN495" s="386" t="str">
        <f t="shared" si="351"/>
        <v>0001-00</v>
      </c>
    </row>
    <row r="496" spans="1:92" ht="15.75" thickBot="1" x14ac:dyDescent="0.3">
      <c r="A496" s="375" t="s">
        <v>161</v>
      </c>
      <c r="B496" s="375" t="s">
        <v>162</v>
      </c>
      <c r="C496" s="375" t="s">
        <v>1783</v>
      </c>
      <c r="D496" s="375" t="s">
        <v>1598</v>
      </c>
      <c r="E496" s="375" t="s">
        <v>165</v>
      </c>
      <c r="F496" s="376" t="s">
        <v>166</v>
      </c>
      <c r="G496" s="375" t="s">
        <v>1599</v>
      </c>
      <c r="H496" s="377"/>
      <c r="I496" s="377"/>
      <c r="J496" s="375" t="s">
        <v>168</v>
      </c>
      <c r="K496" s="375" t="s">
        <v>1600</v>
      </c>
      <c r="L496" s="375" t="s">
        <v>233</v>
      </c>
      <c r="M496" s="375" t="s">
        <v>177</v>
      </c>
      <c r="N496" s="375" t="s">
        <v>199</v>
      </c>
      <c r="O496" s="378">
        <v>1</v>
      </c>
      <c r="P496" s="384">
        <v>1</v>
      </c>
      <c r="Q496" s="384">
        <v>1</v>
      </c>
      <c r="R496" s="379">
        <v>80</v>
      </c>
      <c r="S496" s="384">
        <v>1</v>
      </c>
      <c r="T496" s="379">
        <v>30860</v>
      </c>
      <c r="U496" s="379">
        <v>0</v>
      </c>
      <c r="V496" s="379">
        <v>16566.400000000001</v>
      </c>
      <c r="W496" s="379">
        <v>41225.599999999999</v>
      </c>
      <c r="X496" s="379">
        <v>20450.400000000001</v>
      </c>
      <c r="Y496" s="379">
        <v>41225.599999999999</v>
      </c>
      <c r="Z496" s="379">
        <v>20252.52</v>
      </c>
      <c r="AA496" s="375" t="s">
        <v>1784</v>
      </c>
      <c r="AB496" s="375" t="s">
        <v>1785</v>
      </c>
      <c r="AC496" s="375" t="s">
        <v>1469</v>
      </c>
      <c r="AD496" s="375" t="s">
        <v>195</v>
      </c>
      <c r="AE496" s="375" t="s">
        <v>1600</v>
      </c>
      <c r="AF496" s="375" t="s">
        <v>237</v>
      </c>
      <c r="AG496" s="375" t="s">
        <v>183</v>
      </c>
      <c r="AH496" s="380">
        <v>19.82</v>
      </c>
      <c r="AI496" s="380">
        <v>18038.3</v>
      </c>
      <c r="AJ496" s="375" t="s">
        <v>184</v>
      </c>
      <c r="AK496" s="375" t="s">
        <v>185</v>
      </c>
      <c r="AL496" s="375" t="s">
        <v>173</v>
      </c>
      <c r="AM496" s="375" t="s">
        <v>186</v>
      </c>
      <c r="AN496" s="375" t="s">
        <v>68</v>
      </c>
      <c r="AO496" s="378">
        <v>80</v>
      </c>
      <c r="AP496" s="384">
        <v>1</v>
      </c>
      <c r="AQ496" s="384">
        <v>1</v>
      </c>
      <c r="AR496" s="383" t="s">
        <v>187</v>
      </c>
      <c r="AS496" s="386">
        <f t="shared" si="335"/>
        <v>1</v>
      </c>
      <c r="AT496">
        <f t="shared" si="336"/>
        <v>1</v>
      </c>
      <c r="AU496" s="386">
        <f>IF(AT496=0,"",IF(AND(AT496=1,M496="F",SUMIF(C2:C557,C496,AS2:AS557)&lt;=1),SUMIF(C2:C557,C496,AS2:AS557),IF(AND(AT496=1,M496="F",SUMIF(C2:C557,C496,AS2:AS557)&gt;1),1,"")))</f>
        <v>1</v>
      </c>
      <c r="AV496" s="386" t="str">
        <f>IF(AT496=0,"",IF(AND(AT496=3,M496="F",SUMIF(C2:C557,C496,AS2:AS557)&lt;=1),SUMIF(C2:C557,C496,AS2:AS557),IF(AND(AT496=3,M496="F",SUMIF(C2:C557,C496,AS2:AS557)&gt;1),1,"")))</f>
        <v/>
      </c>
      <c r="AW496" s="386">
        <f>SUMIF(C2:C557,C496,O2:O557)</f>
        <v>1</v>
      </c>
      <c r="AX496" s="386">
        <f>IF(AND(M496="F",AS496&lt;&gt;0),SUMIF(C2:C557,C496,W2:W557),0)</f>
        <v>41225.599999999999</v>
      </c>
      <c r="AY496" s="386">
        <f t="shared" si="337"/>
        <v>41225.599999999999</v>
      </c>
      <c r="AZ496" s="386" t="str">
        <f t="shared" si="338"/>
        <v/>
      </c>
      <c r="BA496" s="386">
        <f t="shared" si="339"/>
        <v>0</v>
      </c>
      <c r="BB496" s="386">
        <f t="shared" si="308"/>
        <v>11650</v>
      </c>
      <c r="BC496" s="386">
        <f t="shared" si="309"/>
        <v>0</v>
      </c>
      <c r="BD496" s="386">
        <f t="shared" si="310"/>
        <v>2555.9872</v>
      </c>
      <c r="BE496" s="386">
        <f t="shared" si="311"/>
        <v>597.77120000000002</v>
      </c>
      <c r="BF496" s="386">
        <f t="shared" si="312"/>
        <v>4922.3366400000004</v>
      </c>
      <c r="BG496" s="386">
        <f t="shared" si="313"/>
        <v>297.23657600000001</v>
      </c>
      <c r="BH496" s="386">
        <f t="shared" si="314"/>
        <v>202.00543999999999</v>
      </c>
      <c r="BI496" s="386">
        <f t="shared" si="315"/>
        <v>126.15033599999998</v>
      </c>
      <c r="BJ496" s="386">
        <f t="shared" si="316"/>
        <v>98.941439999999986</v>
      </c>
      <c r="BK496" s="386">
        <f t="shared" si="317"/>
        <v>0</v>
      </c>
      <c r="BL496" s="386">
        <f t="shared" si="340"/>
        <v>8800.4288320000014</v>
      </c>
      <c r="BM496" s="386">
        <f t="shared" si="341"/>
        <v>0</v>
      </c>
      <c r="BN496" s="386">
        <f t="shared" si="318"/>
        <v>11650</v>
      </c>
      <c r="BO496" s="386">
        <f t="shared" si="319"/>
        <v>0</v>
      </c>
      <c r="BP496" s="386">
        <f t="shared" si="320"/>
        <v>2555.9872</v>
      </c>
      <c r="BQ496" s="386">
        <f t="shared" si="321"/>
        <v>597.77120000000002</v>
      </c>
      <c r="BR496" s="386">
        <f t="shared" si="322"/>
        <v>4922.3366400000004</v>
      </c>
      <c r="BS496" s="386">
        <f t="shared" si="323"/>
        <v>297.23657600000001</v>
      </c>
      <c r="BT496" s="386">
        <f t="shared" si="324"/>
        <v>0</v>
      </c>
      <c r="BU496" s="386">
        <f t="shared" si="325"/>
        <v>126.15033599999998</v>
      </c>
      <c r="BV496" s="386">
        <f t="shared" si="326"/>
        <v>103.06399999999999</v>
      </c>
      <c r="BW496" s="386">
        <f t="shared" si="327"/>
        <v>0</v>
      </c>
      <c r="BX496" s="386">
        <f t="shared" si="342"/>
        <v>8602.5459520000004</v>
      </c>
      <c r="BY496" s="386">
        <f t="shared" si="343"/>
        <v>0</v>
      </c>
      <c r="BZ496" s="386">
        <f t="shared" si="344"/>
        <v>0</v>
      </c>
      <c r="CA496" s="386">
        <f t="shared" si="345"/>
        <v>0</v>
      </c>
      <c r="CB496" s="386">
        <f t="shared" si="346"/>
        <v>0</v>
      </c>
      <c r="CC496" s="386">
        <f t="shared" si="328"/>
        <v>0</v>
      </c>
      <c r="CD496" s="386">
        <f t="shared" si="329"/>
        <v>0</v>
      </c>
      <c r="CE496" s="386">
        <f t="shared" si="330"/>
        <v>0</v>
      </c>
      <c r="CF496" s="386">
        <f t="shared" si="331"/>
        <v>-202.00543999999999</v>
      </c>
      <c r="CG496" s="386">
        <f t="shared" si="332"/>
        <v>0</v>
      </c>
      <c r="CH496" s="386">
        <f t="shared" si="333"/>
        <v>4.1225600000000107</v>
      </c>
      <c r="CI496" s="386">
        <f t="shared" si="334"/>
        <v>0</v>
      </c>
      <c r="CJ496" s="386">
        <f t="shared" si="347"/>
        <v>-197.88287999999997</v>
      </c>
      <c r="CK496" s="386" t="str">
        <f t="shared" si="348"/>
        <v/>
      </c>
      <c r="CL496" s="386" t="str">
        <f t="shared" si="349"/>
        <v/>
      </c>
      <c r="CM496" s="386" t="str">
        <f t="shared" si="350"/>
        <v/>
      </c>
      <c r="CN496" s="386" t="str">
        <f t="shared" si="351"/>
        <v>0001-00</v>
      </c>
    </row>
    <row r="497" spans="1:92" ht="15.75" thickBot="1" x14ac:dyDescent="0.3">
      <c r="A497" s="375" t="s">
        <v>161</v>
      </c>
      <c r="B497" s="375" t="s">
        <v>162</v>
      </c>
      <c r="C497" s="375" t="s">
        <v>1786</v>
      </c>
      <c r="D497" s="375" t="s">
        <v>1629</v>
      </c>
      <c r="E497" s="375" t="s">
        <v>165</v>
      </c>
      <c r="F497" s="376" t="s">
        <v>166</v>
      </c>
      <c r="G497" s="375" t="s">
        <v>1599</v>
      </c>
      <c r="H497" s="377"/>
      <c r="I497" s="377"/>
      <c r="J497" s="375" t="s">
        <v>168</v>
      </c>
      <c r="K497" s="375" t="s">
        <v>1630</v>
      </c>
      <c r="L497" s="375" t="s">
        <v>198</v>
      </c>
      <c r="M497" s="375" t="s">
        <v>177</v>
      </c>
      <c r="N497" s="375" t="s">
        <v>199</v>
      </c>
      <c r="O497" s="378">
        <v>1</v>
      </c>
      <c r="P497" s="384">
        <v>1</v>
      </c>
      <c r="Q497" s="384">
        <v>1</v>
      </c>
      <c r="R497" s="379">
        <v>80</v>
      </c>
      <c r="S497" s="384">
        <v>1</v>
      </c>
      <c r="T497" s="379">
        <v>40075.269999999997</v>
      </c>
      <c r="U497" s="379">
        <v>0</v>
      </c>
      <c r="V497" s="379">
        <v>19946.3</v>
      </c>
      <c r="W497" s="379">
        <v>44304</v>
      </c>
      <c r="X497" s="379">
        <v>21107.53</v>
      </c>
      <c r="Y497" s="379">
        <v>44304</v>
      </c>
      <c r="Z497" s="379">
        <v>20894.89</v>
      </c>
      <c r="AA497" s="375" t="s">
        <v>1787</v>
      </c>
      <c r="AB497" s="375" t="s">
        <v>1788</v>
      </c>
      <c r="AC497" s="375" t="s">
        <v>1389</v>
      </c>
      <c r="AD497" s="375" t="s">
        <v>198</v>
      </c>
      <c r="AE497" s="375" t="s">
        <v>1630</v>
      </c>
      <c r="AF497" s="375" t="s">
        <v>245</v>
      </c>
      <c r="AG497" s="375" t="s">
        <v>183</v>
      </c>
      <c r="AH497" s="380">
        <v>21.3</v>
      </c>
      <c r="AI497" s="378">
        <v>4284</v>
      </c>
      <c r="AJ497" s="375" t="s">
        <v>184</v>
      </c>
      <c r="AK497" s="375" t="s">
        <v>185</v>
      </c>
      <c r="AL497" s="375" t="s">
        <v>173</v>
      </c>
      <c r="AM497" s="375" t="s">
        <v>186</v>
      </c>
      <c r="AN497" s="375" t="s">
        <v>68</v>
      </c>
      <c r="AO497" s="378">
        <v>80</v>
      </c>
      <c r="AP497" s="384">
        <v>1</v>
      </c>
      <c r="AQ497" s="384">
        <v>1</v>
      </c>
      <c r="AR497" s="383" t="s">
        <v>187</v>
      </c>
      <c r="AS497" s="386">
        <f t="shared" si="335"/>
        <v>1</v>
      </c>
      <c r="AT497">
        <f t="shared" si="336"/>
        <v>1</v>
      </c>
      <c r="AU497" s="386">
        <f>IF(AT497=0,"",IF(AND(AT497=1,M497="F",SUMIF(C2:C557,C497,AS2:AS557)&lt;=1),SUMIF(C2:C557,C497,AS2:AS557),IF(AND(AT497=1,M497="F",SUMIF(C2:C557,C497,AS2:AS557)&gt;1),1,"")))</f>
        <v>1</v>
      </c>
      <c r="AV497" s="386" t="str">
        <f>IF(AT497=0,"",IF(AND(AT497=3,M497="F",SUMIF(C2:C557,C497,AS2:AS557)&lt;=1),SUMIF(C2:C557,C497,AS2:AS557),IF(AND(AT497=3,M497="F",SUMIF(C2:C557,C497,AS2:AS557)&gt;1),1,"")))</f>
        <v/>
      </c>
      <c r="AW497" s="386">
        <f>SUMIF(C2:C557,C497,O2:O557)</f>
        <v>1</v>
      </c>
      <c r="AX497" s="386">
        <f>IF(AND(M497="F",AS497&lt;&gt;0),SUMIF(C2:C557,C497,W2:W557),0)</f>
        <v>44304</v>
      </c>
      <c r="AY497" s="386">
        <f t="shared" si="337"/>
        <v>44304</v>
      </c>
      <c r="AZ497" s="386" t="str">
        <f t="shared" si="338"/>
        <v/>
      </c>
      <c r="BA497" s="386">
        <f t="shared" si="339"/>
        <v>0</v>
      </c>
      <c r="BB497" s="386">
        <f t="shared" si="308"/>
        <v>11650</v>
      </c>
      <c r="BC497" s="386">
        <f t="shared" si="309"/>
        <v>0</v>
      </c>
      <c r="BD497" s="386">
        <f t="shared" si="310"/>
        <v>2746.848</v>
      </c>
      <c r="BE497" s="386">
        <f t="shared" si="311"/>
        <v>642.40800000000002</v>
      </c>
      <c r="BF497" s="386">
        <f t="shared" si="312"/>
        <v>5289.8976000000002</v>
      </c>
      <c r="BG497" s="386">
        <f t="shared" si="313"/>
        <v>319.43184000000002</v>
      </c>
      <c r="BH497" s="386">
        <f t="shared" si="314"/>
        <v>217.08959999999999</v>
      </c>
      <c r="BI497" s="386">
        <f t="shared" si="315"/>
        <v>135.57023999999998</v>
      </c>
      <c r="BJ497" s="386">
        <f t="shared" si="316"/>
        <v>106.32959999999999</v>
      </c>
      <c r="BK497" s="386">
        <f t="shared" si="317"/>
        <v>0</v>
      </c>
      <c r="BL497" s="386">
        <f t="shared" si="340"/>
        <v>9457.5748799999965</v>
      </c>
      <c r="BM497" s="386">
        <f t="shared" si="341"/>
        <v>0</v>
      </c>
      <c r="BN497" s="386">
        <f t="shared" si="318"/>
        <v>11650</v>
      </c>
      <c r="BO497" s="386">
        <f t="shared" si="319"/>
        <v>0</v>
      </c>
      <c r="BP497" s="386">
        <f t="shared" si="320"/>
        <v>2746.848</v>
      </c>
      <c r="BQ497" s="386">
        <f t="shared" si="321"/>
        <v>642.40800000000002</v>
      </c>
      <c r="BR497" s="386">
        <f t="shared" si="322"/>
        <v>5289.8976000000002</v>
      </c>
      <c r="BS497" s="386">
        <f t="shared" si="323"/>
        <v>319.43184000000002</v>
      </c>
      <c r="BT497" s="386">
        <f t="shared" si="324"/>
        <v>0</v>
      </c>
      <c r="BU497" s="386">
        <f t="shared" si="325"/>
        <v>135.57023999999998</v>
      </c>
      <c r="BV497" s="386">
        <f t="shared" si="326"/>
        <v>110.76</v>
      </c>
      <c r="BW497" s="386">
        <f t="shared" si="327"/>
        <v>0</v>
      </c>
      <c r="BX497" s="386">
        <f t="shared" si="342"/>
        <v>9244.9156799999982</v>
      </c>
      <c r="BY497" s="386">
        <f t="shared" si="343"/>
        <v>0</v>
      </c>
      <c r="BZ497" s="386">
        <f t="shared" si="344"/>
        <v>0</v>
      </c>
      <c r="CA497" s="386">
        <f t="shared" si="345"/>
        <v>0</v>
      </c>
      <c r="CB497" s="386">
        <f t="shared" si="346"/>
        <v>0</v>
      </c>
      <c r="CC497" s="386">
        <f t="shared" si="328"/>
        <v>0</v>
      </c>
      <c r="CD497" s="386">
        <f t="shared" si="329"/>
        <v>0</v>
      </c>
      <c r="CE497" s="386">
        <f t="shared" si="330"/>
        <v>0</v>
      </c>
      <c r="CF497" s="386">
        <f t="shared" si="331"/>
        <v>-217.08959999999999</v>
      </c>
      <c r="CG497" s="386">
        <f t="shared" si="332"/>
        <v>0</v>
      </c>
      <c r="CH497" s="386">
        <f t="shared" si="333"/>
        <v>4.4304000000000112</v>
      </c>
      <c r="CI497" s="386">
        <f t="shared" si="334"/>
        <v>0</v>
      </c>
      <c r="CJ497" s="386">
        <f t="shared" si="347"/>
        <v>-212.65919999999997</v>
      </c>
      <c r="CK497" s="386" t="str">
        <f t="shared" si="348"/>
        <v/>
      </c>
      <c r="CL497" s="386" t="str">
        <f t="shared" si="349"/>
        <v/>
      </c>
      <c r="CM497" s="386" t="str">
        <f t="shared" si="350"/>
        <v/>
      </c>
      <c r="CN497" s="386" t="str">
        <f t="shared" si="351"/>
        <v>0001-00</v>
      </c>
    </row>
    <row r="498" spans="1:92" ht="15.75" thickBot="1" x14ac:dyDescent="0.3">
      <c r="A498" s="375" t="s">
        <v>161</v>
      </c>
      <c r="B498" s="375" t="s">
        <v>162</v>
      </c>
      <c r="C498" s="375" t="s">
        <v>1789</v>
      </c>
      <c r="D498" s="375" t="s">
        <v>665</v>
      </c>
      <c r="E498" s="375" t="s">
        <v>165</v>
      </c>
      <c r="F498" s="376" t="s">
        <v>166</v>
      </c>
      <c r="G498" s="375" t="s">
        <v>1599</v>
      </c>
      <c r="H498" s="377"/>
      <c r="I498" s="377"/>
      <c r="J498" s="375" t="s">
        <v>168</v>
      </c>
      <c r="K498" s="375" t="s">
        <v>666</v>
      </c>
      <c r="L498" s="375" t="s">
        <v>183</v>
      </c>
      <c r="M498" s="375" t="s">
        <v>171</v>
      </c>
      <c r="N498" s="375" t="s">
        <v>199</v>
      </c>
      <c r="O498" s="378">
        <v>0</v>
      </c>
      <c r="P498" s="384">
        <v>1</v>
      </c>
      <c r="Q498" s="384">
        <v>1</v>
      </c>
      <c r="R498" s="379">
        <v>80</v>
      </c>
      <c r="S498" s="384">
        <v>1</v>
      </c>
      <c r="T498" s="379">
        <v>22713.26</v>
      </c>
      <c r="U498" s="379">
        <v>0</v>
      </c>
      <c r="V498" s="379">
        <v>14877.6</v>
      </c>
      <c r="W498" s="379">
        <v>32094.400000000001</v>
      </c>
      <c r="X498" s="379">
        <v>14057.34</v>
      </c>
      <c r="Y498" s="379">
        <v>32094.400000000001</v>
      </c>
      <c r="Z498" s="379">
        <v>13896.87</v>
      </c>
      <c r="AA498" s="377"/>
      <c r="AB498" s="375" t="s">
        <v>45</v>
      </c>
      <c r="AC498" s="375" t="s">
        <v>45</v>
      </c>
      <c r="AD498" s="377"/>
      <c r="AE498" s="377"/>
      <c r="AF498" s="377"/>
      <c r="AG498" s="377"/>
      <c r="AH498" s="378">
        <v>0</v>
      </c>
      <c r="AI498" s="378">
        <v>0</v>
      </c>
      <c r="AJ498" s="377"/>
      <c r="AK498" s="377"/>
      <c r="AL498" s="375" t="s">
        <v>173</v>
      </c>
      <c r="AM498" s="377"/>
      <c r="AN498" s="377"/>
      <c r="AO498" s="378">
        <v>0</v>
      </c>
      <c r="AP498" s="384">
        <v>0</v>
      </c>
      <c r="AQ498" s="384">
        <v>0</v>
      </c>
      <c r="AR498" s="382"/>
      <c r="AS498" s="386">
        <f t="shared" si="335"/>
        <v>0</v>
      </c>
      <c r="AT498">
        <f t="shared" si="336"/>
        <v>0</v>
      </c>
      <c r="AU498" s="386" t="str">
        <f>IF(AT498=0,"",IF(AND(AT498=1,M498="F",SUMIF(C2:C557,C498,AS2:AS557)&lt;=1),SUMIF(C2:C557,C498,AS2:AS557),IF(AND(AT498=1,M498="F",SUMIF(C2:C557,C498,AS2:AS557)&gt;1),1,"")))</f>
        <v/>
      </c>
      <c r="AV498" s="386" t="str">
        <f>IF(AT498=0,"",IF(AND(AT498=3,M498="F",SUMIF(C2:C557,C498,AS2:AS557)&lt;=1),SUMIF(C2:C557,C498,AS2:AS557),IF(AND(AT498=3,M498="F",SUMIF(C2:C557,C498,AS2:AS557)&gt;1),1,"")))</f>
        <v/>
      </c>
      <c r="AW498" s="386">
        <f>SUMIF(C2:C557,C498,O2:O557)</f>
        <v>0</v>
      </c>
      <c r="AX498" s="386">
        <f>IF(AND(M498="F",AS498&lt;&gt;0),SUMIF(C2:C557,C498,W2:W557),0)</f>
        <v>0</v>
      </c>
      <c r="AY498" s="386" t="str">
        <f t="shared" si="337"/>
        <v/>
      </c>
      <c r="AZ498" s="386" t="str">
        <f t="shared" si="338"/>
        <v/>
      </c>
      <c r="BA498" s="386">
        <f t="shared" si="339"/>
        <v>0</v>
      </c>
      <c r="BB498" s="386">
        <f t="shared" si="308"/>
        <v>0</v>
      </c>
      <c r="BC498" s="386">
        <f t="shared" si="309"/>
        <v>0</v>
      </c>
      <c r="BD498" s="386">
        <f t="shared" si="310"/>
        <v>0</v>
      </c>
      <c r="BE498" s="386">
        <f t="shared" si="311"/>
        <v>0</v>
      </c>
      <c r="BF498" s="386">
        <f t="shared" si="312"/>
        <v>0</v>
      </c>
      <c r="BG498" s="386">
        <f t="shared" si="313"/>
        <v>0</v>
      </c>
      <c r="BH498" s="386">
        <f t="shared" si="314"/>
        <v>0</v>
      </c>
      <c r="BI498" s="386">
        <f t="shared" si="315"/>
        <v>0</v>
      </c>
      <c r="BJ498" s="386">
        <f t="shared" si="316"/>
        <v>0</v>
      </c>
      <c r="BK498" s="386">
        <f t="shared" si="317"/>
        <v>0</v>
      </c>
      <c r="BL498" s="386">
        <f t="shared" si="340"/>
        <v>0</v>
      </c>
      <c r="BM498" s="386">
        <f t="shared" si="341"/>
        <v>0</v>
      </c>
      <c r="BN498" s="386">
        <f t="shared" si="318"/>
        <v>0</v>
      </c>
      <c r="BO498" s="386">
        <f t="shared" si="319"/>
        <v>0</v>
      </c>
      <c r="BP498" s="386">
        <f t="shared" si="320"/>
        <v>0</v>
      </c>
      <c r="BQ498" s="386">
        <f t="shared" si="321"/>
        <v>0</v>
      </c>
      <c r="BR498" s="386">
        <f t="shared" si="322"/>
        <v>0</v>
      </c>
      <c r="BS498" s="386">
        <f t="shared" si="323"/>
        <v>0</v>
      </c>
      <c r="BT498" s="386">
        <f t="shared" si="324"/>
        <v>0</v>
      </c>
      <c r="BU498" s="386">
        <f t="shared" si="325"/>
        <v>0</v>
      </c>
      <c r="BV498" s="386">
        <f t="shared" si="326"/>
        <v>0</v>
      </c>
      <c r="BW498" s="386">
        <f t="shared" si="327"/>
        <v>0</v>
      </c>
      <c r="BX498" s="386">
        <f t="shared" si="342"/>
        <v>0</v>
      </c>
      <c r="BY498" s="386">
        <f t="shared" si="343"/>
        <v>0</v>
      </c>
      <c r="BZ498" s="386">
        <f t="shared" si="344"/>
        <v>0</v>
      </c>
      <c r="CA498" s="386">
        <f t="shared" si="345"/>
        <v>0</v>
      </c>
      <c r="CB498" s="386">
        <f t="shared" si="346"/>
        <v>0</v>
      </c>
      <c r="CC498" s="386">
        <f t="shared" si="328"/>
        <v>0</v>
      </c>
      <c r="CD498" s="386">
        <f t="shared" si="329"/>
        <v>0</v>
      </c>
      <c r="CE498" s="386">
        <f t="shared" si="330"/>
        <v>0</v>
      </c>
      <c r="CF498" s="386">
        <f t="shared" si="331"/>
        <v>0</v>
      </c>
      <c r="CG498" s="386">
        <f t="shared" si="332"/>
        <v>0</v>
      </c>
      <c r="CH498" s="386">
        <f t="shared" si="333"/>
        <v>0</v>
      </c>
      <c r="CI498" s="386">
        <f t="shared" si="334"/>
        <v>0</v>
      </c>
      <c r="CJ498" s="386">
        <f t="shared" si="347"/>
        <v>0</v>
      </c>
      <c r="CK498" s="386" t="str">
        <f t="shared" si="348"/>
        <v/>
      </c>
      <c r="CL498" s="386" t="str">
        <f t="shared" si="349"/>
        <v/>
      </c>
      <c r="CM498" s="386" t="str">
        <f t="shared" si="350"/>
        <v/>
      </c>
      <c r="CN498" s="386" t="str">
        <f t="shared" si="351"/>
        <v>0001-00</v>
      </c>
    </row>
    <row r="499" spans="1:92" ht="15.75" thickBot="1" x14ac:dyDescent="0.3">
      <c r="A499" s="375" t="s">
        <v>161</v>
      </c>
      <c r="B499" s="375" t="s">
        <v>162</v>
      </c>
      <c r="C499" s="375" t="s">
        <v>1790</v>
      </c>
      <c r="D499" s="375" t="s">
        <v>1629</v>
      </c>
      <c r="E499" s="375" t="s">
        <v>165</v>
      </c>
      <c r="F499" s="376" t="s">
        <v>166</v>
      </c>
      <c r="G499" s="375" t="s">
        <v>1599</v>
      </c>
      <c r="H499" s="377"/>
      <c r="I499" s="377"/>
      <c r="J499" s="375" t="s">
        <v>168</v>
      </c>
      <c r="K499" s="375" t="s">
        <v>1630</v>
      </c>
      <c r="L499" s="375" t="s">
        <v>198</v>
      </c>
      <c r="M499" s="375" t="s">
        <v>177</v>
      </c>
      <c r="N499" s="375" t="s">
        <v>199</v>
      </c>
      <c r="O499" s="378">
        <v>1</v>
      </c>
      <c r="P499" s="384">
        <v>1</v>
      </c>
      <c r="Q499" s="384">
        <v>1</v>
      </c>
      <c r="R499" s="379">
        <v>80</v>
      </c>
      <c r="S499" s="384">
        <v>1</v>
      </c>
      <c r="T499" s="379">
        <v>32067.42</v>
      </c>
      <c r="U499" s="379">
        <v>0</v>
      </c>
      <c r="V499" s="379">
        <v>15309.52</v>
      </c>
      <c r="W499" s="379">
        <v>44865.599999999999</v>
      </c>
      <c r="X499" s="379">
        <v>21227.43</v>
      </c>
      <c r="Y499" s="379">
        <v>44865.599999999999</v>
      </c>
      <c r="Z499" s="379">
        <v>21012.080000000002</v>
      </c>
      <c r="AA499" s="375" t="s">
        <v>1791</v>
      </c>
      <c r="AB499" s="375" t="s">
        <v>1059</v>
      </c>
      <c r="AC499" s="375" t="s">
        <v>1792</v>
      </c>
      <c r="AD499" s="375" t="s">
        <v>233</v>
      </c>
      <c r="AE499" s="375" t="s">
        <v>1630</v>
      </c>
      <c r="AF499" s="375" t="s">
        <v>245</v>
      </c>
      <c r="AG499" s="375" t="s">
        <v>183</v>
      </c>
      <c r="AH499" s="380">
        <v>21.57</v>
      </c>
      <c r="AI499" s="380">
        <v>17615.900000000001</v>
      </c>
      <c r="AJ499" s="375" t="s">
        <v>184</v>
      </c>
      <c r="AK499" s="375" t="s">
        <v>185</v>
      </c>
      <c r="AL499" s="375" t="s">
        <v>173</v>
      </c>
      <c r="AM499" s="375" t="s">
        <v>186</v>
      </c>
      <c r="AN499" s="375" t="s">
        <v>68</v>
      </c>
      <c r="AO499" s="378">
        <v>80</v>
      </c>
      <c r="AP499" s="384">
        <v>1</v>
      </c>
      <c r="AQ499" s="384">
        <v>1</v>
      </c>
      <c r="AR499" s="383" t="s">
        <v>187</v>
      </c>
      <c r="AS499" s="386">
        <f t="shared" si="335"/>
        <v>1</v>
      </c>
      <c r="AT499">
        <f t="shared" si="336"/>
        <v>1</v>
      </c>
      <c r="AU499" s="386">
        <f>IF(AT499=0,"",IF(AND(AT499=1,M499="F",SUMIF(C2:C557,C499,AS2:AS557)&lt;=1),SUMIF(C2:C557,C499,AS2:AS557),IF(AND(AT499=1,M499="F",SUMIF(C2:C557,C499,AS2:AS557)&gt;1),1,"")))</f>
        <v>1</v>
      </c>
      <c r="AV499" s="386" t="str">
        <f>IF(AT499=0,"",IF(AND(AT499=3,M499="F",SUMIF(C2:C557,C499,AS2:AS557)&lt;=1),SUMIF(C2:C557,C499,AS2:AS557),IF(AND(AT499=3,M499="F",SUMIF(C2:C557,C499,AS2:AS557)&gt;1),1,"")))</f>
        <v/>
      </c>
      <c r="AW499" s="386">
        <f>SUMIF(C2:C557,C499,O2:O557)</f>
        <v>1</v>
      </c>
      <c r="AX499" s="386">
        <f>IF(AND(M499="F",AS499&lt;&gt;0),SUMIF(C2:C557,C499,W2:W557),0)</f>
        <v>44865.599999999999</v>
      </c>
      <c r="AY499" s="386">
        <f t="shared" si="337"/>
        <v>44865.599999999999</v>
      </c>
      <c r="AZ499" s="386" t="str">
        <f t="shared" si="338"/>
        <v/>
      </c>
      <c r="BA499" s="386">
        <f t="shared" si="339"/>
        <v>0</v>
      </c>
      <c r="BB499" s="386">
        <f t="shared" si="308"/>
        <v>11650</v>
      </c>
      <c r="BC499" s="386">
        <f t="shared" si="309"/>
        <v>0</v>
      </c>
      <c r="BD499" s="386">
        <f t="shared" si="310"/>
        <v>2781.6671999999999</v>
      </c>
      <c r="BE499" s="386">
        <f t="shared" si="311"/>
        <v>650.55119999999999</v>
      </c>
      <c r="BF499" s="386">
        <f t="shared" si="312"/>
        <v>5356.9526400000004</v>
      </c>
      <c r="BG499" s="386">
        <f t="shared" si="313"/>
        <v>323.480976</v>
      </c>
      <c r="BH499" s="386">
        <f t="shared" si="314"/>
        <v>219.84143999999998</v>
      </c>
      <c r="BI499" s="386">
        <f t="shared" si="315"/>
        <v>137.288736</v>
      </c>
      <c r="BJ499" s="386">
        <f t="shared" si="316"/>
        <v>107.67743999999999</v>
      </c>
      <c r="BK499" s="386">
        <f t="shared" si="317"/>
        <v>0</v>
      </c>
      <c r="BL499" s="386">
        <f t="shared" si="340"/>
        <v>9577.4596320000019</v>
      </c>
      <c r="BM499" s="386">
        <f t="shared" si="341"/>
        <v>0</v>
      </c>
      <c r="BN499" s="386">
        <f t="shared" si="318"/>
        <v>11650</v>
      </c>
      <c r="BO499" s="386">
        <f t="shared" si="319"/>
        <v>0</v>
      </c>
      <c r="BP499" s="386">
        <f t="shared" si="320"/>
        <v>2781.6671999999999</v>
      </c>
      <c r="BQ499" s="386">
        <f t="shared" si="321"/>
        <v>650.55119999999999</v>
      </c>
      <c r="BR499" s="386">
        <f t="shared" si="322"/>
        <v>5356.9526400000004</v>
      </c>
      <c r="BS499" s="386">
        <f t="shared" si="323"/>
        <v>323.480976</v>
      </c>
      <c r="BT499" s="386">
        <f t="shared" si="324"/>
        <v>0</v>
      </c>
      <c r="BU499" s="386">
        <f t="shared" si="325"/>
        <v>137.288736</v>
      </c>
      <c r="BV499" s="386">
        <f t="shared" si="326"/>
        <v>112.164</v>
      </c>
      <c r="BW499" s="386">
        <f t="shared" si="327"/>
        <v>0</v>
      </c>
      <c r="BX499" s="386">
        <f t="shared" si="342"/>
        <v>9362.1047520000029</v>
      </c>
      <c r="BY499" s="386">
        <f t="shared" si="343"/>
        <v>0</v>
      </c>
      <c r="BZ499" s="386">
        <f t="shared" si="344"/>
        <v>0</v>
      </c>
      <c r="CA499" s="386">
        <f t="shared" si="345"/>
        <v>0</v>
      </c>
      <c r="CB499" s="386">
        <f t="shared" si="346"/>
        <v>0</v>
      </c>
      <c r="CC499" s="386">
        <f t="shared" si="328"/>
        <v>0</v>
      </c>
      <c r="CD499" s="386">
        <f t="shared" si="329"/>
        <v>0</v>
      </c>
      <c r="CE499" s="386">
        <f t="shared" si="330"/>
        <v>0</v>
      </c>
      <c r="CF499" s="386">
        <f t="shared" si="331"/>
        <v>-219.84143999999998</v>
      </c>
      <c r="CG499" s="386">
        <f t="shared" si="332"/>
        <v>0</v>
      </c>
      <c r="CH499" s="386">
        <f t="shared" si="333"/>
        <v>4.4865600000000114</v>
      </c>
      <c r="CI499" s="386">
        <f t="shared" si="334"/>
        <v>0</v>
      </c>
      <c r="CJ499" s="386">
        <f t="shared" si="347"/>
        <v>-215.35487999999998</v>
      </c>
      <c r="CK499" s="386" t="str">
        <f t="shared" si="348"/>
        <v/>
      </c>
      <c r="CL499" s="386" t="str">
        <f t="shared" si="349"/>
        <v/>
      </c>
      <c r="CM499" s="386" t="str">
        <f t="shared" si="350"/>
        <v/>
      </c>
      <c r="CN499" s="386" t="str">
        <f t="shared" si="351"/>
        <v>0001-00</v>
      </c>
    </row>
    <row r="500" spans="1:92" ht="15.75" thickBot="1" x14ac:dyDescent="0.3">
      <c r="A500" s="375" t="s">
        <v>161</v>
      </c>
      <c r="B500" s="375" t="s">
        <v>162</v>
      </c>
      <c r="C500" s="375" t="s">
        <v>1793</v>
      </c>
      <c r="D500" s="375" t="s">
        <v>1598</v>
      </c>
      <c r="E500" s="375" t="s">
        <v>165</v>
      </c>
      <c r="F500" s="376" t="s">
        <v>166</v>
      </c>
      <c r="G500" s="375" t="s">
        <v>1599</v>
      </c>
      <c r="H500" s="377"/>
      <c r="I500" s="377"/>
      <c r="J500" s="375" t="s">
        <v>168</v>
      </c>
      <c r="K500" s="375" t="s">
        <v>1600</v>
      </c>
      <c r="L500" s="375" t="s">
        <v>233</v>
      </c>
      <c r="M500" s="375" t="s">
        <v>177</v>
      </c>
      <c r="N500" s="375" t="s">
        <v>199</v>
      </c>
      <c r="O500" s="378">
        <v>1</v>
      </c>
      <c r="P500" s="384">
        <v>1</v>
      </c>
      <c r="Q500" s="384">
        <v>1</v>
      </c>
      <c r="R500" s="379">
        <v>80</v>
      </c>
      <c r="S500" s="384">
        <v>1</v>
      </c>
      <c r="T500" s="379">
        <v>37486.44</v>
      </c>
      <c r="U500" s="379">
        <v>0</v>
      </c>
      <c r="V500" s="379">
        <v>18176.48</v>
      </c>
      <c r="W500" s="379">
        <v>40185.599999999999</v>
      </c>
      <c r="X500" s="379">
        <v>20228.38</v>
      </c>
      <c r="Y500" s="379">
        <v>40185.599999999999</v>
      </c>
      <c r="Z500" s="379">
        <v>20035.5</v>
      </c>
      <c r="AA500" s="375" t="s">
        <v>1794</v>
      </c>
      <c r="AB500" s="375" t="s">
        <v>1795</v>
      </c>
      <c r="AC500" s="375" t="s">
        <v>438</v>
      </c>
      <c r="AD500" s="375" t="s">
        <v>739</v>
      </c>
      <c r="AE500" s="375" t="s">
        <v>1600</v>
      </c>
      <c r="AF500" s="375" t="s">
        <v>237</v>
      </c>
      <c r="AG500" s="375" t="s">
        <v>183</v>
      </c>
      <c r="AH500" s="380">
        <v>19.32</v>
      </c>
      <c r="AI500" s="378">
        <v>5360</v>
      </c>
      <c r="AJ500" s="375" t="s">
        <v>184</v>
      </c>
      <c r="AK500" s="375" t="s">
        <v>185</v>
      </c>
      <c r="AL500" s="375" t="s">
        <v>173</v>
      </c>
      <c r="AM500" s="375" t="s">
        <v>186</v>
      </c>
      <c r="AN500" s="375" t="s">
        <v>68</v>
      </c>
      <c r="AO500" s="378">
        <v>80</v>
      </c>
      <c r="AP500" s="384">
        <v>1</v>
      </c>
      <c r="AQ500" s="384">
        <v>1</v>
      </c>
      <c r="AR500" s="383" t="s">
        <v>187</v>
      </c>
      <c r="AS500" s="386">
        <f t="shared" si="335"/>
        <v>1</v>
      </c>
      <c r="AT500">
        <f t="shared" si="336"/>
        <v>1</v>
      </c>
      <c r="AU500" s="386">
        <f>IF(AT500=0,"",IF(AND(AT500=1,M500="F",SUMIF(C2:C557,C500,AS2:AS557)&lt;=1),SUMIF(C2:C557,C500,AS2:AS557),IF(AND(AT500=1,M500="F",SUMIF(C2:C557,C500,AS2:AS557)&gt;1),1,"")))</f>
        <v>1</v>
      </c>
      <c r="AV500" s="386" t="str">
        <f>IF(AT500=0,"",IF(AND(AT500=3,M500="F",SUMIF(C2:C557,C500,AS2:AS557)&lt;=1),SUMIF(C2:C557,C500,AS2:AS557),IF(AND(AT500=3,M500="F",SUMIF(C2:C557,C500,AS2:AS557)&gt;1),1,"")))</f>
        <v/>
      </c>
      <c r="AW500" s="386">
        <f>SUMIF(C2:C557,C500,O2:O557)</f>
        <v>1</v>
      </c>
      <c r="AX500" s="386">
        <f>IF(AND(M500="F",AS500&lt;&gt;0),SUMIF(C2:C557,C500,W2:W557),0)</f>
        <v>40185.599999999999</v>
      </c>
      <c r="AY500" s="386">
        <f t="shared" si="337"/>
        <v>40185.599999999999</v>
      </c>
      <c r="AZ500" s="386" t="str">
        <f t="shared" si="338"/>
        <v/>
      </c>
      <c r="BA500" s="386">
        <f t="shared" si="339"/>
        <v>0</v>
      </c>
      <c r="BB500" s="386">
        <f t="shared" si="308"/>
        <v>11650</v>
      </c>
      <c r="BC500" s="386">
        <f t="shared" si="309"/>
        <v>0</v>
      </c>
      <c r="BD500" s="386">
        <f t="shared" si="310"/>
        <v>2491.5072</v>
      </c>
      <c r="BE500" s="386">
        <f t="shared" si="311"/>
        <v>582.69119999999998</v>
      </c>
      <c r="BF500" s="386">
        <f t="shared" si="312"/>
        <v>4798.1606400000001</v>
      </c>
      <c r="BG500" s="386">
        <f t="shared" si="313"/>
        <v>289.73817600000001</v>
      </c>
      <c r="BH500" s="386">
        <f t="shared" si="314"/>
        <v>196.90943999999999</v>
      </c>
      <c r="BI500" s="386">
        <f t="shared" si="315"/>
        <v>122.96793599999998</v>
      </c>
      <c r="BJ500" s="386">
        <f t="shared" si="316"/>
        <v>96.445439999999991</v>
      </c>
      <c r="BK500" s="386">
        <f t="shared" si="317"/>
        <v>0</v>
      </c>
      <c r="BL500" s="386">
        <f t="shared" si="340"/>
        <v>8578.4200319999982</v>
      </c>
      <c r="BM500" s="386">
        <f t="shared" si="341"/>
        <v>0</v>
      </c>
      <c r="BN500" s="386">
        <f t="shared" si="318"/>
        <v>11650</v>
      </c>
      <c r="BO500" s="386">
        <f t="shared" si="319"/>
        <v>0</v>
      </c>
      <c r="BP500" s="386">
        <f t="shared" si="320"/>
        <v>2491.5072</v>
      </c>
      <c r="BQ500" s="386">
        <f t="shared" si="321"/>
        <v>582.69119999999998</v>
      </c>
      <c r="BR500" s="386">
        <f t="shared" si="322"/>
        <v>4798.1606400000001</v>
      </c>
      <c r="BS500" s="386">
        <f t="shared" si="323"/>
        <v>289.73817600000001</v>
      </c>
      <c r="BT500" s="386">
        <f t="shared" si="324"/>
        <v>0</v>
      </c>
      <c r="BU500" s="386">
        <f t="shared" si="325"/>
        <v>122.96793599999998</v>
      </c>
      <c r="BV500" s="386">
        <f t="shared" si="326"/>
        <v>100.464</v>
      </c>
      <c r="BW500" s="386">
        <f t="shared" si="327"/>
        <v>0</v>
      </c>
      <c r="BX500" s="386">
        <f t="shared" si="342"/>
        <v>8385.5291519999992</v>
      </c>
      <c r="BY500" s="386">
        <f t="shared" si="343"/>
        <v>0</v>
      </c>
      <c r="BZ500" s="386">
        <f t="shared" si="344"/>
        <v>0</v>
      </c>
      <c r="CA500" s="386">
        <f t="shared" si="345"/>
        <v>0</v>
      </c>
      <c r="CB500" s="386">
        <f t="shared" si="346"/>
        <v>0</v>
      </c>
      <c r="CC500" s="386">
        <f t="shared" si="328"/>
        <v>0</v>
      </c>
      <c r="CD500" s="386">
        <f t="shared" si="329"/>
        <v>0</v>
      </c>
      <c r="CE500" s="386">
        <f t="shared" si="330"/>
        <v>0</v>
      </c>
      <c r="CF500" s="386">
        <f t="shared" si="331"/>
        <v>-196.90943999999999</v>
      </c>
      <c r="CG500" s="386">
        <f t="shared" si="332"/>
        <v>0</v>
      </c>
      <c r="CH500" s="386">
        <f t="shared" si="333"/>
        <v>4.0185600000000106</v>
      </c>
      <c r="CI500" s="386">
        <f t="shared" si="334"/>
        <v>0</v>
      </c>
      <c r="CJ500" s="386">
        <f t="shared" si="347"/>
        <v>-192.89087999999998</v>
      </c>
      <c r="CK500" s="386" t="str">
        <f t="shared" si="348"/>
        <v/>
      </c>
      <c r="CL500" s="386" t="str">
        <f t="shared" si="349"/>
        <v/>
      </c>
      <c r="CM500" s="386" t="str">
        <f t="shared" si="350"/>
        <v/>
      </c>
      <c r="CN500" s="386" t="str">
        <f t="shared" si="351"/>
        <v>0001-00</v>
      </c>
    </row>
    <row r="501" spans="1:92" ht="15.75" thickBot="1" x14ac:dyDescent="0.3">
      <c r="A501" s="375" t="s">
        <v>161</v>
      </c>
      <c r="B501" s="375" t="s">
        <v>162</v>
      </c>
      <c r="C501" s="375" t="s">
        <v>1796</v>
      </c>
      <c r="D501" s="375" t="s">
        <v>1598</v>
      </c>
      <c r="E501" s="375" t="s">
        <v>165</v>
      </c>
      <c r="F501" s="376" t="s">
        <v>166</v>
      </c>
      <c r="G501" s="375" t="s">
        <v>1599</v>
      </c>
      <c r="H501" s="377"/>
      <c r="I501" s="377"/>
      <c r="J501" s="375" t="s">
        <v>168</v>
      </c>
      <c r="K501" s="375" t="s">
        <v>1600</v>
      </c>
      <c r="L501" s="375" t="s">
        <v>233</v>
      </c>
      <c r="M501" s="375" t="s">
        <v>177</v>
      </c>
      <c r="N501" s="375" t="s">
        <v>199</v>
      </c>
      <c r="O501" s="378">
        <v>1</v>
      </c>
      <c r="P501" s="384">
        <v>1</v>
      </c>
      <c r="Q501" s="384">
        <v>1</v>
      </c>
      <c r="R501" s="379">
        <v>80</v>
      </c>
      <c r="S501" s="384">
        <v>1</v>
      </c>
      <c r="T501" s="379">
        <v>37508.800000000003</v>
      </c>
      <c r="U501" s="379">
        <v>0</v>
      </c>
      <c r="V501" s="379">
        <v>18751.580000000002</v>
      </c>
      <c r="W501" s="379">
        <v>40185.599999999999</v>
      </c>
      <c r="X501" s="379">
        <v>20228.38</v>
      </c>
      <c r="Y501" s="379">
        <v>40185.599999999999</v>
      </c>
      <c r="Z501" s="379">
        <v>20035.5</v>
      </c>
      <c r="AA501" s="375" t="s">
        <v>1797</v>
      </c>
      <c r="AB501" s="375" t="s">
        <v>1798</v>
      </c>
      <c r="AC501" s="375" t="s">
        <v>1799</v>
      </c>
      <c r="AD501" s="375" t="s">
        <v>233</v>
      </c>
      <c r="AE501" s="375" t="s">
        <v>1600</v>
      </c>
      <c r="AF501" s="375" t="s">
        <v>237</v>
      </c>
      <c r="AG501" s="375" t="s">
        <v>183</v>
      </c>
      <c r="AH501" s="380">
        <v>19.32</v>
      </c>
      <c r="AI501" s="378">
        <v>9832</v>
      </c>
      <c r="AJ501" s="375" t="s">
        <v>184</v>
      </c>
      <c r="AK501" s="375" t="s">
        <v>185</v>
      </c>
      <c r="AL501" s="375" t="s">
        <v>173</v>
      </c>
      <c r="AM501" s="375" t="s">
        <v>186</v>
      </c>
      <c r="AN501" s="375" t="s">
        <v>68</v>
      </c>
      <c r="AO501" s="378">
        <v>80</v>
      </c>
      <c r="AP501" s="384">
        <v>1</v>
      </c>
      <c r="AQ501" s="384">
        <v>1</v>
      </c>
      <c r="AR501" s="383" t="s">
        <v>187</v>
      </c>
      <c r="AS501" s="386">
        <f t="shared" si="335"/>
        <v>1</v>
      </c>
      <c r="AT501">
        <f t="shared" si="336"/>
        <v>1</v>
      </c>
      <c r="AU501" s="386">
        <f>IF(AT501=0,"",IF(AND(AT501=1,M501="F",SUMIF(C2:C557,C501,AS2:AS557)&lt;=1),SUMIF(C2:C557,C501,AS2:AS557),IF(AND(AT501=1,M501="F",SUMIF(C2:C557,C501,AS2:AS557)&gt;1),1,"")))</f>
        <v>1</v>
      </c>
      <c r="AV501" s="386" t="str">
        <f>IF(AT501=0,"",IF(AND(AT501=3,M501="F",SUMIF(C2:C557,C501,AS2:AS557)&lt;=1),SUMIF(C2:C557,C501,AS2:AS557),IF(AND(AT501=3,M501="F",SUMIF(C2:C557,C501,AS2:AS557)&gt;1),1,"")))</f>
        <v/>
      </c>
      <c r="AW501" s="386">
        <f>SUMIF(C2:C557,C501,O2:O557)</f>
        <v>1</v>
      </c>
      <c r="AX501" s="386">
        <f>IF(AND(M501="F",AS501&lt;&gt;0),SUMIF(C2:C557,C501,W2:W557),0)</f>
        <v>40185.599999999999</v>
      </c>
      <c r="AY501" s="386">
        <f t="shared" si="337"/>
        <v>40185.599999999999</v>
      </c>
      <c r="AZ501" s="386" t="str">
        <f t="shared" si="338"/>
        <v/>
      </c>
      <c r="BA501" s="386">
        <f t="shared" si="339"/>
        <v>0</v>
      </c>
      <c r="BB501" s="386">
        <f t="shared" si="308"/>
        <v>11650</v>
      </c>
      <c r="BC501" s="386">
        <f t="shared" si="309"/>
        <v>0</v>
      </c>
      <c r="BD501" s="386">
        <f t="shared" si="310"/>
        <v>2491.5072</v>
      </c>
      <c r="BE501" s="386">
        <f t="shared" si="311"/>
        <v>582.69119999999998</v>
      </c>
      <c r="BF501" s="386">
        <f t="shared" si="312"/>
        <v>4798.1606400000001</v>
      </c>
      <c r="BG501" s="386">
        <f t="shared" si="313"/>
        <v>289.73817600000001</v>
      </c>
      <c r="BH501" s="386">
        <f t="shared" si="314"/>
        <v>196.90943999999999</v>
      </c>
      <c r="BI501" s="386">
        <f t="shared" si="315"/>
        <v>122.96793599999998</v>
      </c>
      <c r="BJ501" s="386">
        <f t="shared" si="316"/>
        <v>96.445439999999991</v>
      </c>
      <c r="BK501" s="386">
        <f t="shared" si="317"/>
        <v>0</v>
      </c>
      <c r="BL501" s="386">
        <f t="shared" si="340"/>
        <v>8578.4200319999982</v>
      </c>
      <c r="BM501" s="386">
        <f t="shared" si="341"/>
        <v>0</v>
      </c>
      <c r="BN501" s="386">
        <f t="shared" si="318"/>
        <v>11650</v>
      </c>
      <c r="BO501" s="386">
        <f t="shared" si="319"/>
        <v>0</v>
      </c>
      <c r="BP501" s="386">
        <f t="shared" si="320"/>
        <v>2491.5072</v>
      </c>
      <c r="BQ501" s="386">
        <f t="shared" si="321"/>
        <v>582.69119999999998</v>
      </c>
      <c r="BR501" s="386">
        <f t="shared" si="322"/>
        <v>4798.1606400000001</v>
      </c>
      <c r="BS501" s="386">
        <f t="shared" si="323"/>
        <v>289.73817600000001</v>
      </c>
      <c r="BT501" s="386">
        <f t="shared" si="324"/>
        <v>0</v>
      </c>
      <c r="BU501" s="386">
        <f t="shared" si="325"/>
        <v>122.96793599999998</v>
      </c>
      <c r="BV501" s="386">
        <f t="shared" si="326"/>
        <v>100.464</v>
      </c>
      <c r="BW501" s="386">
        <f t="shared" si="327"/>
        <v>0</v>
      </c>
      <c r="BX501" s="386">
        <f t="shared" si="342"/>
        <v>8385.5291519999992</v>
      </c>
      <c r="BY501" s="386">
        <f t="shared" si="343"/>
        <v>0</v>
      </c>
      <c r="BZ501" s="386">
        <f t="shared" si="344"/>
        <v>0</v>
      </c>
      <c r="CA501" s="386">
        <f t="shared" si="345"/>
        <v>0</v>
      </c>
      <c r="CB501" s="386">
        <f t="shared" si="346"/>
        <v>0</v>
      </c>
      <c r="CC501" s="386">
        <f t="shared" si="328"/>
        <v>0</v>
      </c>
      <c r="CD501" s="386">
        <f t="shared" si="329"/>
        <v>0</v>
      </c>
      <c r="CE501" s="386">
        <f t="shared" si="330"/>
        <v>0</v>
      </c>
      <c r="CF501" s="386">
        <f t="shared" si="331"/>
        <v>-196.90943999999999</v>
      </c>
      <c r="CG501" s="386">
        <f t="shared" si="332"/>
        <v>0</v>
      </c>
      <c r="CH501" s="386">
        <f t="shared" si="333"/>
        <v>4.0185600000000106</v>
      </c>
      <c r="CI501" s="386">
        <f t="shared" si="334"/>
        <v>0</v>
      </c>
      <c r="CJ501" s="386">
        <f t="shared" si="347"/>
        <v>-192.89087999999998</v>
      </c>
      <c r="CK501" s="386" t="str">
        <f t="shared" si="348"/>
        <v/>
      </c>
      <c r="CL501" s="386" t="str">
        <f t="shared" si="349"/>
        <v/>
      </c>
      <c r="CM501" s="386" t="str">
        <f t="shared" si="350"/>
        <v/>
      </c>
      <c r="CN501" s="386" t="str">
        <f t="shared" si="351"/>
        <v>0001-00</v>
      </c>
    </row>
    <row r="502" spans="1:92" ht="15.75" thickBot="1" x14ac:dyDescent="0.3">
      <c r="A502" s="375" t="s">
        <v>161</v>
      </c>
      <c r="B502" s="375" t="s">
        <v>162</v>
      </c>
      <c r="C502" s="375" t="s">
        <v>1800</v>
      </c>
      <c r="D502" s="375" t="s">
        <v>1598</v>
      </c>
      <c r="E502" s="375" t="s">
        <v>165</v>
      </c>
      <c r="F502" s="376" t="s">
        <v>166</v>
      </c>
      <c r="G502" s="375" t="s">
        <v>1599</v>
      </c>
      <c r="H502" s="377"/>
      <c r="I502" s="377"/>
      <c r="J502" s="375" t="s">
        <v>168</v>
      </c>
      <c r="K502" s="375" t="s">
        <v>1600</v>
      </c>
      <c r="L502" s="375" t="s">
        <v>233</v>
      </c>
      <c r="M502" s="375" t="s">
        <v>177</v>
      </c>
      <c r="N502" s="375" t="s">
        <v>199</v>
      </c>
      <c r="O502" s="378">
        <v>1</v>
      </c>
      <c r="P502" s="384">
        <v>1</v>
      </c>
      <c r="Q502" s="384">
        <v>1</v>
      </c>
      <c r="R502" s="379">
        <v>80</v>
      </c>
      <c r="S502" s="384">
        <v>1</v>
      </c>
      <c r="T502" s="379">
        <v>28299.24</v>
      </c>
      <c r="U502" s="379">
        <v>0</v>
      </c>
      <c r="V502" s="379">
        <v>15973.97</v>
      </c>
      <c r="W502" s="379">
        <v>40081.599999999999</v>
      </c>
      <c r="X502" s="379">
        <v>20206.169999999998</v>
      </c>
      <c r="Y502" s="379">
        <v>40081.599999999999</v>
      </c>
      <c r="Z502" s="379">
        <v>20013.79</v>
      </c>
      <c r="AA502" s="375" t="s">
        <v>1801</v>
      </c>
      <c r="AB502" s="375" t="s">
        <v>1802</v>
      </c>
      <c r="AC502" s="375" t="s">
        <v>1803</v>
      </c>
      <c r="AD502" s="375" t="s">
        <v>233</v>
      </c>
      <c r="AE502" s="375" t="s">
        <v>1600</v>
      </c>
      <c r="AF502" s="375" t="s">
        <v>237</v>
      </c>
      <c r="AG502" s="375" t="s">
        <v>183</v>
      </c>
      <c r="AH502" s="380">
        <v>19.27</v>
      </c>
      <c r="AI502" s="380">
        <v>5914.4</v>
      </c>
      <c r="AJ502" s="375" t="s">
        <v>184</v>
      </c>
      <c r="AK502" s="375" t="s">
        <v>185</v>
      </c>
      <c r="AL502" s="375" t="s">
        <v>173</v>
      </c>
      <c r="AM502" s="375" t="s">
        <v>186</v>
      </c>
      <c r="AN502" s="375" t="s">
        <v>68</v>
      </c>
      <c r="AO502" s="378">
        <v>80</v>
      </c>
      <c r="AP502" s="384">
        <v>1</v>
      </c>
      <c r="AQ502" s="384">
        <v>1</v>
      </c>
      <c r="AR502" s="383" t="s">
        <v>187</v>
      </c>
      <c r="AS502" s="386">
        <f t="shared" si="335"/>
        <v>1</v>
      </c>
      <c r="AT502">
        <f t="shared" si="336"/>
        <v>1</v>
      </c>
      <c r="AU502" s="386">
        <f>IF(AT502=0,"",IF(AND(AT502=1,M502="F",SUMIF(C2:C557,C502,AS2:AS557)&lt;=1),SUMIF(C2:C557,C502,AS2:AS557),IF(AND(AT502=1,M502="F",SUMIF(C2:C557,C502,AS2:AS557)&gt;1),1,"")))</f>
        <v>1</v>
      </c>
      <c r="AV502" s="386" t="str">
        <f>IF(AT502=0,"",IF(AND(AT502=3,M502="F",SUMIF(C2:C557,C502,AS2:AS557)&lt;=1),SUMIF(C2:C557,C502,AS2:AS557),IF(AND(AT502=3,M502="F",SUMIF(C2:C557,C502,AS2:AS557)&gt;1),1,"")))</f>
        <v/>
      </c>
      <c r="AW502" s="386">
        <f>SUMIF(C2:C557,C502,O2:O557)</f>
        <v>1</v>
      </c>
      <c r="AX502" s="386">
        <f>IF(AND(M502="F",AS502&lt;&gt;0),SUMIF(C2:C557,C502,W2:W557),0)</f>
        <v>40081.599999999999</v>
      </c>
      <c r="AY502" s="386">
        <f t="shared" si="337"/>
        <v>40081.599999999999</v>
      </c>
      <c r="AZ502" s="386" t="str">
        <f t="shared" si="338"/>
        <v/>
      </c>
      <c r="BA502" s="386">
        <f t="shared" si="339"/>
        <v>0</v>
      </c>
      <c r="BB502" s="386">
        <f t="shared" si="308"/>
        <v>11650</v>
      </c>
      <c r="BC502" s="386">
        <f t="shared" si="309"/>
        <v>0</v>
      </c>
      <c r="BD502" s="386">
        <f t="shared" si="310"/>
        <v>2485.0591999999997</v>
      </c>
      <c r="BE502" s="386">
        <f t="shared" si="311"/>
        <v>581.18320000000006</v>
      </c>
      <c r="BF502" s="386">
        <f t="shared" si="312"/>
        <v>4785.7430400000003</v>
      </c>
      <c r="BG502" s="386">
        <f t="shared" si="313"/>
        <v>288.988336</v>
      </c>
      <c r="BH502" s="386">
        <f t="shared" si="314"/>
        <v>196.39983999999998</v>
      </c>
      <c r="BI502" s="386">
        <f t="shared" si="315"/>
        <v>122.64969599999999</v>
      </c>
      <c r="BJ502" s="386">
        <f t="shared" si="316"/>
        <v>96.19583999999999</v>
      </c>
      <c r="BK502" s="386">
        <f t="shared" si="317"/>
        <v>0</v>
      </c>
      <c r="BL502" s="386">
        <f t="shared" si="340"/>
        <v>8556.2191520000015</v>
      </c>
      <c r="BM502" s="386">
        <f t="shared" si="341"/>
        <v>0</v>
      </c>
      <c r="BN502" s="386">
        <f t="shared" si="318"/>
        <v>11650</v>
      </c>
      <c r="BO502" s="386">
        <f t="shared" si="319"/>
        <v>0</v>
      </c>
      <c r="BP502" s="386">
        <f t="shared" si="320"/>
        <v>2485.0591999999997</v>
      </c>
      <c r="BQ502" s="386">
        <f t="shared" si="321"/>
        <v>581.18320000000006</v>
      </c>
      <c r="BR502" s="386">
        <f t="shared" si="322"/>
        <v>4785.7430400000003</v>
      </c>
      <c r="BS502" s="386">
        <f t="shared" si="323"/>
        <v>288.988336</v>
      </c>
      <c r="BT502" s="386">
        <f t="shared" si="324"/>
        <v>0</v>
      </c>
      <c r="BU502" s="386">
        <f t="shared" si="325"/>
        <v>122.64969599999999</v>
      </c>
      <c r="BV502" s="386">
        <f t="shared" si="326"/>
        <v>100.20399999999999</v>
      </c>
      <c r="BW502" s="386">
        <f t="shared" si="327"/>
        <v>0</v>
      </c>
      <c r="BX502" s="386">
        <f t="shared" si="342"/>
        <v>8363.8274720000009</v>
      </c>
      <c r="BY502" s="386">
        <f t="shared" si="343"/>
        <v>0</v>
      </c>
      <c r="BZ502" s="386">
        <f t="shared" si="344"/>
        <v>0</v>
      </c>
      <c r="CA502" s="386">
        <f t="shared" si="345"/>
        <v>0</v>
      </c>
      <c r="CB502" s="386">
        <f t="shared" si="346"/>
        <v>0</v>
      </c>
      <c r="CC502" s="386">
        <f t="shared" si="328"/>
        <v>0</v>
      </c>
      <c r="CD502" s="386">
        <f t="shared" si="329"/>
        <v>0</v>
      </c>
      <c r="CE502" s="386">
        <f t="shared" si="330"/>
        <v>0</v>
      </c>
      <c r="CF502" s="386">
        <f t="shared" si="331"/>
        <v>-196.39983999999998</v>
      </c>
      <c r="CG502" s="386">
        <f t="shared" si="332"/>
        <v>0</v>
      </c>
      <c r="CH502" s="386">
        <f t="shared" si="333"/>
        <v>4.0081600000000099</v>
      </c>
      <c r="CI502" s="386">
        <f t="shared" si="334"/>
        <v>0</v>
      </c>
      <c r="CJ502" s="386">
        <f t="shared" si="347"/>
        <v>-192.39167999999998</v>
      </c>
      <c r="CK502" s="386" t="str">
        <f t="shared" si="348"/>
        <v/>
      </c>
      <c r="CL502" s="386" t="str">
        <f t="shared" si="349"/>
        <v/>
      </c>
      <c r="CM502" s="386" t="str">
        <f t="shared" si="350"/>
        <v/>
      </c>
      <c r="CN502" s="386" t="str">
        <f t="shared" si="351"/>
        <v>0001-00</v>
      </c>
    </row>
    <row r="503" spans="1:92" ht="15.75" thickBot="1" x14ac:dyDescent="0.3">
      <c r="A503" s="375" t="s">
        <v>161</v>
      </c>
      <c r="B503" s="375" t="s">
        <v>162</v>
      </c>
      <c r="C503" s="375" t="s">
        <v>1804</v>
      </c>
      <c r="D503" s="375" t="s">
        <v>665</v>
      </c>
      <c r="E503" s="375" t="s">
        <v>165</v>
      </c>
      <c r="F503" s="376" t="s">
        <v>166</v>
      </c>
      <c r="G503" s="375" t="s">
        <v>1599</v>
      </c>
      <c r="H503" s="377"/>
      <c r="I503" s="377"/>
      <c r="J503" s="375" t="s">
        <v>168</v>
      </c>
      <c r="K503" s="375" t="s">
        <v>666</v>
      </c>
      <c r="L503" s="375" t="s">
        <v>183</v>
      </c>
      <c r="M503" s="375" t="s">
        <v>177</v>
      </c>
      <c r="N503" s="375" t="s">
        <v>199</v>
      </c>
      <c r="O503" s="378">
        <v>1</v>
      </c>
      <c r="P503" s="384">
        <v>1</v>
      </c>
      <c r="Q503" s="384">
        <v>1</v>
      </c>
      <c r="R503" s="379">
        <v>80</v>
      </c>
      <c r="S503" s="384">
        <v>1</v>
      </c>
      <c r="T503" s="379">
        <v>34016</v>
      </c>
      <c r="U503" s="379">
        <v>0</v>
      </c>
      <c r="V503" s="379">
        <v>18572.09</v>
      </c>
      <c r="W503" s="379">
        <v>35318.400000000001</v>
      </c>
      <c r="X503" s="379">
        <v>19189.39</v>
      </c>
      <c r="Y503" s="379">
        <v>35318.400000000001</v>
      </c>
      <c r="Z503" s="379">
        <v>19019.86</v>
      </c>
      <c r="AA503" s="375" t="s">
        <v>1805</v>
      </c>
      <c r="AB503" s="375" t="s">
        <v>1292</v>
      </c>
      <c r="AC503" s="375" t="s">
        <v>1806</v>
      </c>
      <c r="AD503" s="375" t="s">
        <v>195</v>
      </c>
      <c r="AE503" s="375" t="s">
        <v>666</v>
      </c>
      <c r="AF503" s="375" t="s">
        <v>206</v>
      </c>
      <c r="AG503" s="375" t="s">
        <v>183</v>
      </c>
      <c r="AH503" s="380">
        <v>16.98</v>
      </c>
      <c r="AI503" s="380">
        <v>20864.7</v>
      </c>
      <c r="AJ503" s="375" t="s">
        <v>184</v>
      </c>
      <c r="AK503" s="375" t="s">
        <v>185</v>
      </c>
      <c r="AL503" s="375" t="s">
        <v>173</v>
      </c>
      <c r="AM503" s="375" t="s">
        <v>186</v>
      </c>
      <c r="AN503" s="375" t="s">
        <v>68</v>
      </c>
      <c r="AO503" s="378">
        <v>80</v>
      </c>
      <c r="AP503" s="384">
        <v>1</v>
      </c>
      <c r="AQ503" s="384">
        <v>1</v>
      </c>
      <c r="AR503" s="383" t="s">
        <v>187</v>
      </c>
      <c r="AS503" s="386">
        <f t="shared" si="335"/>
        <v>1</v>
      </c>
      <c r="AT503">
        <f t="shared" si="336"/>
        <v>1</v>
      </c>
      <c r="AU503" s="386">
        <f>IF(AT503=0,"",IF(AND(AT503=1,M503="F",SUMIF(C2:C557,C503,AS2:AS557)&lt;=1),SUMIF(C2:C557,C503,AS2:AS557),IF(AND(AT503=1,M503="F",SUMIF(C2:C557,C503,AS2:AS557)&gt;1),1,"")))</f>
        <v>1</v>
      </c>
      <c r="AV503" s="386" t="str">
        <f>IF(AT503=0,"",IF(AND(AT503=3,M503="F",SUMIF(C2:C557,C503,AS2:AS557)&lt;=1),SUMIF(C2:C557,C503,AS2:AS557),IF(AND(AT503=3,M503="F",SUMIF(C2:C557,C503,AS2:AS557)&gt;1),1,"")))</f>
        <v/>
      </c>
      <c r="AW503" s="386">
        <f>SUMIF(C2:C557,C503,O2:O557)</f>
        <v>1</v>
      </c>
      <c r="AX503" s="386">
        <f>IF(AND(M503="F",AS503&lt;&gt;0),SUMIF(C2:C557,C503,W2:W557),0)</f>
        <v>35318.400000000001</v>
      </c>
      <c r="AY503" s="386">
        <f t="shared" si="337"/>
        <v>35318.400000000001</v>
      </c>
      <c r="AZ503" s="386" t="str">
        <f t="shared" si="338"/>
        <v/>
      </c>
      <c r="BA503" s="386">
        <f t="shared" si="339"/>
        <v>0</v>
      </c>
      <c r="BB503" s="386">
        <f t="shared" si="308"/>
        <v>11650</v>
      </c>
      <c r="BC503" s="386">
        <f t="shared" si="309"/>
        <v>0</v>
      </c>
      <c r="BD503" s="386">
        <f t="shared" si="310"/>
        <v>2189.7408</v>
      </c>
      <c r="BE503" s="386">
        <f t="shared" si="311"/>
        <v>512.11680000000001</v>
      </c>
      <c r="BF503" s="386">
        <f t="shared" si="312"/>
        <v>4217.0169600000008</v>
      </c>
      <c r="BG503" s="386">
        <f t="shared" si="313"/>
        <v>254.64566400000001</v>
      </c>
      <c r="BH503" s="386">
        <f t="shared" si="314"/>
        <v>173.06016</v>
      </c>
      <c r="BI503" s="386">
        <f t="shared" si="315"/>
        <v>108.074304</v>
      </c>
      <c r="BJ503" s="386">
        <f t="shared" si="316"/>
        <v>84.76415999999999</v>
      </c>
      <c r="BK503" s="386">
        <f t="shared" si="317"/>
        <v>0</v>
      </c>
      <c r="BL503" s="386">
        <f t="shared" si="340"/>
        <v>7539.4188480000003</v>
      </c>
      <c r="BM503" s="386">
        <f t="shared" si="341"/>
        <v>0</v>
      </c>
      <c r="BN503" s="386">
        <f t="shared" si="318"/>
        <v>11650</v>
      </c>
      <c r="BO503" s="386">
        <f t="shared" si="319"/>
        <v>0</v>
      </c>
      <c r="BP503" s="386">
        <f t="shared" si="320"/>
        <v>2189.7408</v>
      </c>
      <c r="BQ503" s="386">
        <f t="shared" si="321"/>
        <v>512.11680000000001</v>
      </c>
      <c r="BR503" s="386">
        <f t="shared" si="322"/>
        <v>4217.0169600000008</v>
      </c>
      <c r="BS503" s="386">
        <f t="shared" si="323"/>
        <v>254.64566400000001</v>
      </c>
      <c r="BT503" s="386">
        <f t="shared" si="324"/>
        <v>0</v>
      </c>
      <c r="BU503" s="386">
        <f t="shared" si="325"/>
        <v>108.074304</v>
      </c>
      <c r="BV503" s="386">
        <f t="shared" si="326"/>
        <v>88.296000000000006</v>
      </c>
      <c r="BW503" s="386">
        <f t="shared" si="327"/>
        <v>0</v>
      </c>
      <c r="BX503" s="386">
        <f t="shared" si="342"/>
        <v>7369.8905280000008</v>
      </c>
      <c r="BY503" s="386">
        <f t="shared" si="343"/>
        <v>0</v>
      </c>
      <c r="BZ503" s="386">
        <f t="shared" si="344"/>
        <v>0</v>
      </c>
      <c r="CA503" s="386">
        <f t="shared" si="345"/>
        <v>0</v>
      </c>
      <c r="CB503" s="386">
        <f t="shared" si="346"/>
        <v>0</v>
      </c>
      <c r="CC503" s="386">
        <f t="shared" si="328"/>
        <v>0</v>
      </c>
      <c r="CD503" s="386">
        <f t="shared" si="329"/>
        <v>0</v>
      </c>
      <c r="CE503" s="386">
        <f t="shared" si="330"/>
        <v>0</v>
      </c>
      <c r="CF503" s="386">
        <f t="shared" si="331"/>
        <v>-173.06016</v>
      </c>
      <c r="CG503" s="386">
        <f t="shared" si="332"/>
        <v>0</v>
      </c>
      <c r="CH503" s="386">
        <f t="shared" si="333"/>
        <v>3.5318400000000092</v>
      </c>
      <c r="CI503" s="386">
        <f t="shared" si="334"/>
        <v>0</v>
      </c>
      <c r="CJ503" s="386">
        <f t="shared" si="347"/>
        <v>-169.52831999999998</v>
      </c>
      <c r="CK503" s="386" t="str">
        <f t="shared" si="348"/>
        <v/>
      </c>
      <c r="CL503" s="386" t="str">
        <f t="shared" si="349"/>
        <v/>
      </c>
      <c r="CM503" s="386" t="str">
        <f t="shared" si="350"/>
        <v/>
      </c>
      <c r="CN503" s="386" t="str">
        <f t="shared" si="351"/>
        <v>0001-00</v>
      </c>
    </row>
    <row r="504" spans="1:92" ht="15.75" thickBot="1" x14ac:dyDescent="0.3">
      <c r="A504" s="375" t="s">
        <v>161</v>
      </c>
      <c r="B504" s="375" t="s">
        <v>162</v>
      </c>
      <c r="C504" s="375" t="s">
        <v>1807</v>
      </c>
      <c r="D504" s="375" t="s">
        <v>208</v>
      </c>
      <c r="E504" s="375" t="s">
        <v>165</v>
      </c>
      <c r="F504" s="376" t="s">
        <v>166</v>
      </c>
      <c r="G504" s="375" t="s">
        <v>1599</v>
      </c>
      <c r="H504" s="377"/>
      <c r="I504" s="377"/>
      <c r="J504" s="375" t="s">
        <v>168</v>
      </c>
      <c r="K504" s="375" t="s">
        <v>209</v>
      </c>
      <c r="L504" s="375" t="s">
        <v>210</v>
      </c>
      <c r="M504" s="375" t="s">
        <v>171</v>
      </c>
      <c r="N504" s="375" t="s">
        <v>199</v>
      </c>
      <c r="O504" s="378">
        <v>0</v>
      </c>
      <c r="P504" s="384">
        <v>1</v>
      </c>
      <c r="Q504" s="384">
        <v>1</v>
      </c>
      <c r="R504" s="379">
        <v>80</v>
      </c>
      <c r="S504" s="384">
        <v>1</v>
      </c>
      <c r="T504" s="379">
        <v>9836.7999999999993</v>
      </c>
      <c r="U504" s="379">
        <v>0</v>
      </c>
      <c r="V504" s="379">
        <v>6360.63</v>
      </c>
      <c r="W504" s="379">
        <v>37502.400000000001</v>
      </c>
      <c r="X504" s="379">
        <v>16426.05</v>
      </c>
      <c r="Y504" s="379">
        <v>37502.400000000001</v>
      </c>
      <c r="Z504" s="379">
        <v>16238.53</v>
      </c>
      <c r="AA504" s="377"/>
      <c r="AB504" s="375" t="s">
        <v>45</v>
      </c>
      <c r="AC504" s="375" t="s">
        <v>45</v>
      </c>
      <c r="AD504" s="377"/>
      <c r="AE504" s="377"/>
      <c r="AF504" s="377"/>
      <c r="AG504" s="377"/>
      <c r="AH504" s="378">
        <v>0</v>
      </c>
      <c r="AI504" s="378">
        <v>0</v>
      </c>
      <c r="AJ504" s="377"/>
      <c r="AK504" s="377"/>
      <c r="AL504" s="375" t="s">
        <v>173</v>
      </c>
      <c r="AM504" s="377"/>
      <c r="AN504" s="377"/>
      <c r="AO504" s="378">
        <v>0</v>
      </c>
      <c r="AP504" s="384">
        <v>0</v>
      </c>
      <c r="AQ504" s="384">
        <v>0</v>
      </c>
      <c r="AR504" s="382"/>
      <c r="AS504" s="386">
        <f t="shared" si="335"/>
        <v>0</v>
      </c>
      <c r="AT504">
        <f t="shared" si="336"/>
        <v>0</v>
      </c>
      <c r="AU504" s="386" t="str">
        <f>IF(AT504=0,"",IF(AND(AT504=1,M504="F",SUMIF(C2:C557,C504,AS2:AS557)&lt;=1),SUMIF(C2:C557,C504,AS2:AS557),IF(AND(AT504=1,M504="F",SUMIF(C2:C557,C504,AS2:AS557)&gt;1),1,"")))</f>
        <v/>
      </c>
      <c r="AV504" s="386" t="str">
        <f>IF(AT504=0,"",IF(AND(AT504=3,M504="F",SUMIF(C2:C557,C504,AS2:AS557)&lt;=1),SUMIF(C2:C557,C504,AS2:AS557),IF(AND(AT504=3,M504="F",SUMIF(C2:C557,C504,AS2:AS557)&gt;1),1,"")))</f>
        <v/>
      </c>
      <c r="AW504" s="386">
        <f>SUMIF(C2:C557,C504,O2:O557)</f>
        <v>0</v>
      </c>
      <c r="AX504" s="386">
        <f>IF(AND(M504="F",AS504&lt;&gt;0),SUMIF(C2:C557,C504,W2:W557),0)</f>
        <v>0</v>
      </c>
      <c r="AY504" s="386" t="str">
        <f t="shared" si="337"/>
        <v/>
      </c>
      <c r="AZ504" s="386" t="str">
        <f t="shared" si="338"/>
        <v/>
      </c>
      <c r="BA504" s="386">
        <f t="shared" si="339"/>
        <v>0</v>
      </c>
      <c r="BB504" s="386">
        <f t="shared" si="308"/>
        <v>0</v>
      </c>
      <c r="BC504" s="386">
        <f t="shared" si="309"/>
        <v>0</v>
      </c>
      <c r="BD504" s="386">
        <f t="shared" si="310"/>
        <v>0</v>
      </c>
      <c r="BE504" s="386">
        <f t="shared" si="311"/>
        <v>0</v>
      </c>
      <c r="BF504" s="386">
        <f t="shared" si="312"/>
        <v>0</v>
      </c>
      <c r="BG504" s="386">
        <f t="shared" si="313"/>
        <v>0</v>
      </c>
      <c r="BH504" s="386">
        <f t="shared" si="314"/>
        <v>0</v>
      </c>
      <c r="BI504" s="386">
        <f t="shared" si="315"/>
        <v>0</v>
      </c>
      <c r="BJ504" s="386">
        <f t="shared" si="316"/>
        <v>0</v>
      </c>
      <c r="BK504" s="386">
        <f t="shared" si="317"/>
        <v>0</v>
      </c>
      <c r="BL504" s="386">
        <f t="shared" si="340"/>
        <v>0</v>
      </c>
      <c r="BM504" s="386">
        <f t="shared" si="341"/>
        <v>0</v>
      </c>
      <c r="BN504" s="386">
        <f t="shared" si="318"/>
        <v>0</v>
      </c>
      <c r="BO504" s="386">
        <f t="shared" si="319"/>
        <v>0</v>
      </c>
      <c r="BP504" s="386">
        <f t="shared" si="320"/>
        <v>0</v>
      </c>
      <c r="BQ504" s="386">
        <f t="shared" si="321"/>
        <v>0</v>
      </c>
      <c r="BR504" s="386">
        <f t="shared" si="322"/>
        <v>0</v>
      </c>
      <c r="BS504" s="386">
        <f t="shared" si="323"/>
        <v>0</v>
      </c>
      <c r="BT504" s="386">
        <f t="shared" si="324"/>
        <v>0</v>
      </c>
      <c r="BU504" s="386">
        <f t="shared" si="325"/>
        <v>0</v>
      </c>
      <c r="BV504" s="386">
        <f t="shared" si="326"/>
        <v>0</v>
      </c>
      <c r="BW504" s="386">
        <f t="shared" si="327"/>
        <v>0</v>
      </c>
      <c r="BX504" s="386">
        <f t="shared" si="342"/>
        <v>0</v>
      </c>
      <c r="BY504" s="386">
        <f t="shared" si="343"/>
        <v>0</v>
      </c>
      <c r="BZ504" s="386">
        <f t="shared" si="344"/>
        <v>0</v>
      </c>
      <c r="CA504" s="386">
        <f t="shared" si="345"/>
        <v>0</v>
      </c>
      <c r="CB504" s="386">
        <f t="shared" si="346"/>
        <v>0</v>
      </c>
      <c r="CC504" s="386">
        <f t="shared" si="328"/>
        <v>0</v>
      </c>
      <c r="CD504" s="386">
        <f t="shared" si="329"/>
        <v>0</v>
      </c>
      <c r="CE504" s="386">
        <f t="shared" si="330"/>
        <v>0</v>
      </c>
      <c r="CF504" s="386">
        <f t="shared" si="331"/>
        <v>0</v>
      </c>
      <c r="CG504" s="386">
        <f t="shared" si="332"/>
        <v>0</v>
      </c>
      <c r="CH504" s="386">
        <f t="shared" si="333"/>
        <v>0</v>
      </c>
      <c r="CI504" s="386">
        <f t="shared" si="334"/>
        <v>0</v>
      </c>
      <c r="CJ504" s="386">
        <f t="shared" si="347"/>
        <v>0</v>
      </c>
      <c r="CK504" s="386" t="str">
        <f t="shared" si="348"/>
        <v/>
      </c>
      <c r="CL504" s="386" t="str">
        <f t="shared" si="349"/>
        <v/>
      </c>
      <c r="CM504" s="386" t="str">
        <f t="shared" si="350"/>
        <v/>
      </c>
      <c r="CN504" s="386" t="str">
        <f t="shared" si="351"/>
        <v>0001-00</v>
      </c>
    </row>
    <row r="505" spans="1:92" ht="15.75" thickBot="1" x14ac:dyDescent="0.3">
      <c r="A505" s="375" t="s">
        <v>161</v>
      </c>
      <c r="B505" s="375" t="s">
        <v>162</v>
      </c>
      <c r="C505" s="375" t="s">
        <v>1808</v>
      </c>
      <c r="D505" s="375" t="s">
        <v>239</v>
      </c>
      <c r="E505" s="375" t="s">
        <v>165</v>
      </c>
      <c r="F505" s="376" t="s">
        <v>166</v>
      </c>
      <c r="G505" s="375" t="s">
        <v>1599</v>
      </c>
      <c r="H505" s="377"/>
      <c r="I505" s="377"/>
      <c r="J505" s="375" t="s">
        <v>168</v>
      </c>
      <c r="K505" s="375" t="s">
        <v>240</v>
      </c>
      <c r="L505" s="375" t="s">
        <v>198</v>
      </c>
      <c r="M505" s="375" t="s">
        <v>177</v>
      </c>
      <c r="N505" s="375" t="s">
        <v>199</v>
      </c>
      <c r="O505" s="378">
        <v>1</v>
      </c>
      <c r="P505" s="384">
        <v>1</v>
      </c>
      <c r="Q505" s="384">
        <v>1</v>
      </c>
      <c r="R505" s="379">
        <v>80</v>
      </c>
      <c r="S505" s="384">
        <v>1</v>
      </c>
      <c r="T505" s="379">
        <v>29457.23</v>
      </c>
      <c r="U505" s="379">
        <v>0</v>
      </c>
      <c r="V505" s="379">
        <v>15368.55</v>
      </c>
      <c r="W505" s="379">
        <v>44969.599999999999</v>
      </c>
      <c r="X505" s="379">
        <v>21249.63</v>
      </c>
      <c r="Y505" s="379">
        <v>44969.599999999999</v>
      </c>
      <c r="Z505" s="379">
        <v>21033.78</v>
      </c>
      <c r="AA505" s="375" t="s">
        <v>1809</v>
      </c>
      <c r="AB505" s="375" t="s">
        <v>998</v>
      </c>
      <c r="AC505" s="375" t="s">
        <v>1810</v>
      </c>
      <c r="AD505" s="375" t="s">
        <v>194</v>
      </c>
      <c r="AE505" s="375" t="s">
        <v>240</v>
      </c>
      <c r="AF505" s="375" t="s">
        <v>245</v>
      </c>
      <c r="AG505" s="375" t="s">
        <v>183</v>
      </c>
      <c r="AH505" s="380">
        <v>21.62</v>
      </c>
      <c r="AI505" s="380">
        <v>3974.7</v>
      </c>
      <c r="AJ505" s="375" t="s">
        <v>184</v>
      </c>
      <c r="AK505" s="375" t="s">
        <v>185</v>
      </c>
      <c r="AL505" s="375" t="s">
        <v>173</v>
      </c>
      <c r="AM505" s="375" t="s">
        <v>186</v>
      </c>
      <c r="AN505" s="375" t="s">
        <v>68</v>
      </c>
      <c r="AO505" s="378">
        <v>80</v>
      </c>
      <c r="AP505" s="384">
        <v>1</v>
      </c>
      <c r="AQ505" s="384">
        <v>1</v>
      </c>
      <c r="AR505" s="383" t="s">
        <v>187</v>
      </c>
      <c r="AS505" s="386">
        <f t="shared" si="335"/>
        <v>1</v>
      </c>
      <c r="AT505">
        <f t="shared" si="336"/>
        <v>1</v>
      </c>
      <c r="AU505" s="386">
        <f>IF(AT505=0,"",IF(AND(AT505=1,M505="F",SUMIF(C2:C557,C505,AS2:AS557)&lt;=1),SUMIF(C2:C557,C505,AS2:AS557),IF(AND(AT505=1,M505="F",SUMIF(C2:C557,C505,AS2:AS557)&gt;1),1,"")))</f>
        <v>1</v>
      </c>
      <c r="AV505" s="386" t="str">
        <f>IF(AT505=0,"",IF(AND(AT505=3,M505="F",SUMIF(C2:C557,C505,AS2:AS557)&lt;=1),SUMIF(C2:C557,C505,AS2:AS557),IF(AND(AT505=3,M505="F",SUMIF(C2:C557,C505,AS2:AS557)&gt;1),1,"")))</f>
        <v/>
      </c>
      <c r="AW505" s="386">
        <f>SUMIF(C2:C557,C505,O2:O557)</f>
        <v>1</v>
      </c>
      <c r="AX505" s="386">
        <f>IF(AND(M505="F",AS505&lt;&gt;0),SUMIF(C2:C557,C505,W2:W557),0)</f>
        <v>44969.599999999999</v>
      </c>
      <c r="AY505" s="386">
        <f t="shared" si="337"/>
        <v>44969.599999999999</v>
      </c>
      <c r="AZ505" s="386" t="str">
        <f t="shared" si="338"/>
        <v/>
      </c>
      <c r="BA505" s="386">
        <f t="shared" si="339"/>
        <v>0</v>
      </c>
      <c r="BB505" s="386">
        <f t="shared" si="308"/>
        <v>11650</v>
      </c>
      <c r="BC505" s="386">
        <f t="shared" si="309"/>
        <v>0</v>
      </c>
      <c r="BD505" s="386">
        <f t="shared" si="310"/>
        <v>2788.1151999999997</v>
      </c>
      <c r="BE505" s="386">
        <f t="shared" si="311"/>
        <v>652.05920000000003</v>
      </c>
      <c r="BF505" s="386">
        <f t="shared" si="312"/>
        <v>5369.3702400000002</v>
      </c>
      <c r="BG505" s="386">
        <f t="shared" si="313"/>
        <v>324.230816</v>
      </c>
      <c r="BH505" s="386">
        <f t="shared" si="314"/>
        <v>220.35103999999998</v>
      </c>
      <c r="BI505" s="386">
        <f t="shared" si="315"/>
        <v>137.60697599999997</v>
      </c>
      <c r="BJ505" s="386">
        <f t="shared" si="316"/>
        <v>107.92703999999999</v>
      </c>
      <c r="BK505" s="386">
        <f t="shared" si="317"/>
        <v>0</v>
      </c>
      <c r="BL505" s="386">
        <f t="shared" si="340"/>
        <v>9599.6605119999986</v>
      </c>
      <c r="BM505" s="386">
        <f t="shared" si="341"/>
        <v>0</v>
      </c>
      <c r="BN505" s="386">
        <f t="shared" si="318"/>
        <v>11650</v>
      </c>
      <c r="BO505" s="386">
        <f t="shared" si="319"/>
        <v>0</v>
      </c>
      <c r="BP505" s="386">
        <f t="shared" si="320"/>
        <v>2788.1151999999997</v>
      </c>
      <c r="BQ505" s="386">
        <f t="shared" si="321"/>
        <v>652.05920000000003</v>
      </c>
      <c r="BR505" s="386">
        <f t="shared" si="322"/>
        <v>5369.3702400000002</v>
      </c>
      <c r="BS505" s="386">
        <f t="shared" si="323"/>
        <v>324.230816</v>
      </c>
      <c r="BT505" s="386">
        <f t="shared" si="324"/>
        <v>0</v>
      </c>
      <c r="BU505" s="386">
        <f t="shared" si="325"/>
        <v>137.60697599999997</v>
      </c>
      <c r="BV505" s="386">
        <f t="shared" si="326"/>
        <v>112.42399999999999</v>
      </c>
      <c r="BW505" s="386">
        <f t="shared" si="327"/>
        <v>0</v>
      </c>
      <c r="BX505" s="386">
        <f t="shared" si="342"/>
        <v>9383.8064319999994</v>
      </c>
      <c r="BY505" s="386">
        <f t="shared" si="343"/>
        <v>0</v>
      </c>
      <c r="BZ505" s="386">
        <f t="shared" si="344"/>
        <v>0</v>
      </c>
      <c r="CA505" s="386">
        <f t="shared" si="345"/>
        <v>0</v>
      </c>
      <c r="CB505" s="386">
        <f t="shared" si="346"/>
        <v>0</v>
      </c>
      <c r="CC505" s="386">
        <f t="shared" si="328"/>
        <v>0</v>
      </c>
      <c r="CD505" s="386">
        <f t="shared" si="329"/>
        <v>0</v>
      </c>
      <c r="CE505" s="386">
        <f t="shared" si="330"/>
        <v>0</v>
      </c>
      <c r="CF505" s="386">
        <f t="shared" si="331"/>
        <v>-220.35103999999998</v>
      </c>
      <c r="CG505" s="386">
        <f t="shared" si="332"/>
        <v>0</v>
      </c>
      <c r="CH505" s="386">
        <f t="shared" si="333"/>
        <v>4.4969600000000121</v>
      </c>
      <c r="CI505" s="386">
        <f t="shared" si="334"/>
        <v>0</v>
      </c>
      <c r="CJ505" s="386">
        <f t="shared" si="347"/>
        <v>-215.85407999999998</v>
      </c>
      <c r="CK505" s="386" t="str">
        <f t="shared" si="348"/>
        <v/>
      </c>
      <c r="CL505" s="386" t="str">
        <f t="shared" si="349"/>
        <v/>
      </c>
      <c r="CM505" s="386" t="str">
        <f t="shared" si="350"/>
        <v/>
      </c>
      <c r="CN505" s="386" t="str">
        <f t="shared" si="351"/>
        <v>0001-00</v>
      </c>
    </row>
    <row r="506" spans="1:92" ht="15.75" thickBot="1" x14ac:dyDescent="0.3">
      <c r="A506" s="375" t="s">
        <v>161</v>
      </c>
      <c r="B506" s="375" t="s">
        <v>162</v>
      </c>
      <c r="C506" s="375" t="s">
        <v>1811</v>
      </c>
      <c r="D506" s="375" t="s">
        <v>665</v>
      </c>
      <c r="E506" s="375" t="s">
        <v>165</v>
      </c>
      <c r="F506" s="376" t="s">
        <v>166</v>
      </c>
      <c r="G506" s="375" t="s">
        <v>1599</v>
      </c>
      <c r="H506" s="377"/>
      <c r="I506" s="377"/>
      <c r="J506" s="375" t="s">
        <v>168</v>
      </c>
      <c r="K506" s="375" t="s">
        <v>666</v>
      </c>
      <c r="L506" s="375" t="s">
        <v>183</v>
      </c>
      <c r="M506" s="375" t="s">
        <v>177</v>
      </c>
      <c r="N506" s="375" t="s">
        <v>199</v>
      </c>
      <c r="O506" s="378">
        <v>1</v>
      </c>
      <c r="P506" s="384">
        <v>1</v>
      </c>
      <c r="Q506" s="384">
        <v>1</v>
      </c>
      <c r="R506" s="379">
        <v>80</v>
      </c>
      <c r="S506" s="384">
        <v>1</v>
      </c>
      <c r="T506" s="379">
        <v>20503.54</v>
      </c>
      <c r="U506" s="379">
        <v>0</v>
      </c>
      <c r="V506" s="379">
        <v>12024.78</v>
      </c>
      <c r="W506" s="379">
        <v>30056</v>
      </c>
      <c r="X506" s="379">
        <v>18066.03</v>
      </c>
      <c r="Y506" s="379">
        <v>30056</v>
      </c>
      <c r="Z506" s="379">
        <v>17921.77</v>
      </c>
      <c r="AA506" s="375" t="s">
        <v>1812</v>
      </c>
      <c r="AB506" s="375" t="s">
        <v>1813</v>
      </c>
      <c r="AC506" s="375" t="s">
        <v>1814</v>
      </c>
      <c r="AD506" s="375" t="s">
        <v>181</v>
      </c>
      <c r="AE506" s="375" t="s">
        <v>666</v>
      </c>
      <c r="AF506" s="375" t="s">
        <v>206</v>
      </c>
      <c r="AG506" s="375" t="s">
        <v>183</v>
      </c>
      <c r="AH506" s="380">
        <v>14.45</v>
      </c>
      <c r="AI506" s="380">
        <v>795.5</v>
      </c>
      <c r="AJ506" s="375" t="s">
        <v>184</v>
      </c>
      <c r="AK506" s="375" t="s">
        <v>185</v>
      </c>
      <c r="AL506" s="375" t="s">
        <v>173</v>
      </c>
      <c r="AM506" s="375" t="s">
        <v>186</v>
      </c>
      <c r="AN506" s="375" t="s">
        <v>68</v>
      </c>
      <c r="AO506" s="378">
        <v>80</v>
      </c>
      <c r="AP506" s="384">
        <v>1</v>
      </c>
      <c r="AQ506" s="384">
        <v>1</v>
      </c>
      <c r="AR506" s="383" t="s">
        <v>187</v>
      </c>
      <c r="AS506" s="386">
        <f t="shared" si="335"/>
        <v>1</v>
      </c>
      <c r="AT506">
        <f t="shared" si="336"/>
        <v>1</v>
      </c>
      <c r="AU506" s="386">
        <f>IF(AT506=0,"",IF(AND(AT506=1,M506="F",SUMIF(C2:C557,C506,AS2:AS557)&lt;=1),SUMIF(C2:C557,C506,AS2:AS557),IF(AND(AT506=1,M506="F",SUMIF(C2:C557,C506,AS2:AS557)&gt;1),1,"")))</f>
        <v>1</v>
      </c>
      <c r="AV506" s="386" t="str">
        <f>IF(AT506=0,"",IF(AND(AT506=3,M506="F",SUMIF(C2:C557,C506,AS2:AS557)&lt;=1),SUMIF(C2:C557,C506,AS2:AS557),IF(AND(AT506=3,M506="F",SUMIF(C2:C557,C506,AS2:AS557)&gt;1),1,"")))</f>
        <v/>
      </c>
      <c r="AW506" s="386">
        <f>SUMIF(C2:C557,C506,O2:O557)</f>
        <v>1</v>
      </c>
      <c r="AX506" s="386">
        <f>IF(AND(M506="F",AS506&lt;&gt;0),SUMIF(C2:C557,C506,W2:W557),0)</f>
        <v>30056</v>
      </c>
      <c r="AY506" s="386">
        <f t="shared" si="337"/>
        <v>30056</v>
      </c>
      <c r="AZ506" s="386" t="str">
        <f t="shared" si="338"/>
        <v/>
      </c>
      <c r="BA506" s="386">
        <f t="shared" si="339"/>
        <v>0</v>
      </c>
      <c r="BB506" s="386">
        <f t="shared" si="308"/>
        <v>11650</v>
      </c>
      <c r="BC506" s="386">
        <f t="shared" si="309"/>
        <v>0</v>
      </c>
      <c r="BD506" s="386">
        <f t="shared" si="310"/>
        <v>1863.472</v>
      </c>
      <c r="BE506" s="386">
        <f t="shared" si="311"/>
        <v>435.81200000000001</v>
      </c>
      <c r="BF506" s="386">
        <f t="shared" si="312"/>
        <v>3588.6864</v>
      </c>
      <c r="BG506" s="386">
        <f t="shared" si="313"/>
        <v>216.70376000000002</v>
      </c>
      <c r="BH506" s="386">
        <f t="shared" si="314"/>
        <v>147.27439999999999</v>
      </c>
      <c r="BI506" s="386">
        <f t="shared" si="315"/>
        <v>91.97135999999999</v>
      </c>
      <c r="BJ506" s="386">
        <f t="shared" si="316"/>
        <v>72.134399999999999</v>
      </c>
      <c r="BK506" s="386">
        <f t="shared" si="317"/>
        <v>0</v>
      </c>
      <c r="BL506" s="386">
        <f t="shared" si="340"/>
        <v>6416.0543200000002</v>
      </c>
      <c r="BM506" s="386">
        <f t="shared" si="341"/>
        <v>0</v>
      </c>
      <c r="BN506" s="386">
        <f t="shared" si="318"/>
        <v>11650</v>
      </c>
      <c r="BO506" s="386">
        <f t="shared" si="319"/>
        <v>0</v>
      </c>
      <c r="BP506" s="386">
        <f t="shared" si="320"/>
        <v>1863.472</v>
      </c>
      <c r="BQ506" s="386">
        <f t="shared" si="321"/>
        <v>435.81200000000001</v>
      </c>
      <c r="BR506" s="386">
        <f t="shared" si="322"/>
        <v>3588.6864</v>
      </c>
      <c r="BS506" s="386">
        <f t="shared" si="323"/>
        <v>216.70376000000002</v>
      </c>
      <c r="BT506" s="386">
        <f t="shared" si="324"/>
        <v>0</v>
      </c>
      <c r="BU506" s="386">
        <f t="shared" si="325"/>
        <v>91.97135999999999</v>
      </c>
      <c r="BV506" s="386">
        <f t="shared" si="326"/>
        <v>75.14</v>
      </c>
      <c r="BW506" s="386">
        <f t="shared" si="327"/>
        <v>0</v>
      </c>
      <c r="BX506" s="386">
        <f t="shared" si="342"/>
        <v>6271.7855200000004</v>
      </c>
      <c r="BY506" s="386">
        <f t="shared" si="343"/>
        <v>0</v>
      </c>
      <c r="BZ506" s="386">
        <f t="shared" si="344"/>
        <v>0</v>
      </c>
      <c r="CA506" s="386">
        <f t="shared" si="345"/>
        <v>0</v>
      </c>
      <c r="CB506" s="386">
        <f t="shared" si="346"/>
        <v>0</v>
      </c>
      <c r="CC506" s="386">
        <f t="shared" si="328"/>
        <v>0</v>
      </c>
      <c r="CD506" s="386">
        <f t="shared" si="329"/>
        <v>0</v>
      </c>
      <c r="CE506" s="386">
        <f t="shared" si="330"/>
        <v>0</v>
      </c>
      <c r="CF506" s="386">
        <f t="shared" si="331"/>
        <v>-147.27439999999999</v>
      </c>
      <c r="CG506" s="386">
        <f t="shared" si="332"/>
        <v>0</v>
      </c>
      <c r="CH506" s="386">
        <f t="shared" si="333"/>
        <v>3.0056000000000078</v>
      </c>
      <c r="CI506" s="386">
        <f t="shared" si="334"/>
        <v>0</v>
      </c>
      <c r="CJ506" s="386">
        <f t="shared" si="347"/>
        <v>-144.26879999999997</v>
      </c>
      <c r="CK506" s="386" t="str">
        <f t="shared" si="348"/>
        <v/>
      </c>
      <c r="CL506" s="386" t="str">
        <f t="shared" si="349"/>
        <v/>
      </c>
      <c r="CM506" s="386" t="str">
        <f t="shared" si="350"/>
        <v/>
      </c>
      <c r="CN506" s="386" t="str">
        <f t="shared" si="351"/>
        <v>0001-00</v>
      </c>
    </row>
    <row r="507" spans="1:92" ht="15.75" thickBot="1" x14ac:dyDescent="0.3">
      <c r="A507" s="375" t="s">
        <v>161</v>
      </c>
      <c r="B507" s="375" t="s">
        <v>162</v>
      </c>
      <c r="C507" s="375" t="s">
        <v>1815</v>
      </c>
      <c r="D507" s="375" t="s">
        <v>1598</v>
      </c>
      <c r="E507" s="375" t="s">
        <v>165</v>
      </c>
      <c r="F507" s="376" t="s">
        <v>166</v>
      </c>
      <c r="G507" s="375" t="s">
        <v>1599</v>
      </c>
      <c r="H507" s="377"/>
      <c r="I507" s="377"/>
      <c r="J507" s="375" t="s">
        <v>168</v>
      </c>
      <c r="K507" s="375" t="s">
        <v>1600</v>
      </c>
      <c r="L507" s="375" t="s">
        <v>233</v>
      </c>
      <c r="M507" s="375" t="s">
        <v>171</v>
      </c>
      <c r="N507" s="375" t="s">
        <v>199</v>
      </c>
      <c r="O507" s="378">
        <v>0</v>
      </c>
      <c r="P507" s="384">
        <v>1</v>
      </c>
      <c r="Q507" s="384">
        <v>1</v>
      </c>
      <c r="R507" s="379">
        <v>80</v>
      </c>
      <c r="S507" s="384">
        <v>1</v>
      </c>
      <c r="T507" s="379">
        <v>22132.81</v>
      </c>
      <c r="U507" s="379">
        <v>0</v>
      </c>
      <c r="V507" s="379">
        <v>12768.33</v>
      </c>
      <c r="W507" s="379">
        <v>42328</v>
      </c>
      <c r="X507" s="379">
        <v>18539.66</v>
      </c>
      <c r="Y507" s="379">
        <v>42328</v>
      </c>
      <c r="Z507" s="379">
        <v>18328.02</v>
      </c>
      <c r="AA507" s="377"/>
      <c r="AB507" s="375" t="s">
        <v>45</v>
      </c>
      <c r="AC507" s="375" t="s">
        <v>45</v>
      </c>
      <c r="AD507" s="377"/>
      <c r="AE507" s="377"/>
      <c r="AF507" s="377"/>
      <c r="AG507" s="377"/>
      <c r="AH507" s="378">
        <v>0</v>
      </c>
      <c r="AI507" s="378">
        <v>0</v>
      </c>
      <c r="AJ507" s="377"/>
      <c r="AK507" s="377"/>
      <c r="AL507" s="375" t="s">
        <v>173</v>
      </c>
      <c r="AM507" s="377"/>
      <c r="AN507" s="377"/>
      <c r="AO507" s="378">
        <v>0</v>
      </c>
      <c r="AP507" s="384">
        <v>0</v>
      </c>
      <c r="AQ507" s="384">
        <v>0</v>
      </c>
      <c r="AR507" s="382"/>
      <c r="AS507" s="386">
        <f t="shared" si="335"/>
        <v>0</v>
      </c>
      <c r="AT507">
        <f t="shared" si="336"/>
        <v>0</v>
      </c>
      <c r="AU507" s="386" t="str">
        <f>IF(AT507=0,"",IF(AND(AT507=1,M507="F",SUMIF(C2:C557,C507,AS2:AS557)&lt;=1),SUMIF(C2:C557,C507,AS2:AS557),IF(AND(AT507=1,M507="F",SUMIF(C2:C557,C507,AS2:AS557)&gt;1),1,"")))</f>
        <v/>
      </c>
      <c r="AV507" s="386" t="str">
        <f>IF(AT507=0,"",IF(AND(AT507=3,M507="F",SUMIF(C2:C557,C507,AS2:AS557)&lt;=1),SUMIF(C2:C557,C507,AS2:AS557),IF(AND(AT507=3,M507="F",SUMIF(C2:C557,C507,AS2:AS557)&gt;1),1,"")))</f>
        <v/>
      </c>
      <c r="AW507" s="386">
        <f>SUMIF(C2:C557,C507,O2:O557)</f>
        <v>0</v>
      </c>
      <c r="AX507" s="386">
        <f>IF(AND(M507="F",AS507&lt;&gt;0),SUMIF(C2:C557,C507,W2:W557),0)</f>
        <v>0</v>
      </c>
      <c r="AY507" s="386" t="str">
        <f t="shared" si="337"/>
        <v/>
      </c>
      <c r="AZ507" s="386" t="str">
        <f t="shared" si="338"/>
        <v/>
      </c>
      <c r="BA507" s="386">
        <f t="shared" si="339"/>
        <v>0</v>
      </c>
      <c r="BB507" s="386">
        <f t="shared" si="308"/>
        <v>0</v>
      </c>
      <c r="BC507" s="386">
        <f t="shared" si="309"/>
        <v>0</v>
      </c>
      <c r="BD507" s="386">
        <f t="shared" si="310"/>
        <v>0</v>
      </c>
      <c r="BE507" s="386">
        <f t="shared" si="311"/>
        <v>0</v>
      </c>
      <c r="BF507" s="386">
        <f t="shared" si="312"/>
        <v>0</v>
      </c>
      <c r="BG507" s="386">
        <f t="shared" si="313"/>
        <v>0</v>
      </c>
      <c r="BH507" s="386">
        <f t="shared" si="314"/>
        <v>0</v>
      </c>
      <c r="BI507" s="386">
        <f t="shared" si="315"/>
        <v>0</v>
      </c>
      <c r="BJ507" s="386">
        <f t="shared" si="316"/>
        <v>0</v>
      </c>
      <c r="BK507" s="386">
        <f t="shared" si="317"/>
        <v>0</v>
      </c>
      <c r="BL507" s="386">
        <f t="shared" si="340"/>
        <v>0</v>
      </c>
      <c r="BM507" s="386">
        <f t="shared" si="341"/>
        <v>0</v>
      </c>
      <c r="BN507" s="386">
        <f t="shared" si="318"/>
        <v>0</v>
      </c>
      <c r="BO507" s="386">
        <f t="shared" si="319"/>
        <v>0</v>
      </c>
      <c r="BP507" s="386">
        <f t="shared" si="320"/>
        <v>0</v>
      </c>
      <c r="BQ507" s="386">
        <f t="shared" si="321"/>
        <v>0</v>
      </c>
      <c r="BR507" s="386">
        <f t="shared" si="322"/>
        <v>0</v>
      </c>
      <c r="BS507" s="386">
        <f t="shared" si="323"/>
        <v>0</v>
      </c>
      <c r="BT507" s="386">
        <f t="shared" si="324"/>
        <v>0</v>
      </c>
      <c r="BU507" s="386">
        <f t="shared" si="325"/>
        <v>0</v>
      </c>
      <c r="BV507" s="386">
        <f t="shared" si="326"/>
        <v>0</v>
      </c>
      <c r="BW507" s="386">
        <f t="shared" si="327"/>
        <v>0</v>
      </c>
      <c r="BX507" s="386">
        <f t="shared" si="342"/>
        <v>0</v>
      </c>
      <c r="BY507" s="386">
        <f t="shared" si="343"/>
        <v>0</v>
      </c>
      <c r="BZ507" s="386">
        <f t="shared" si="344"/>
        <v>0</v>
      </c>
      <c r="CA507" s="386">
        <f t="shared" si="345"/>
        <v>0</v>
      </c>
      <c r="CB507" s="386">
        <f t="shared" si="346"/>
        <v>0</v>
      </c>
      <c r="CC507" s="386">
        <f t="shared" si="328"/>
        <v>0</v>
      </c>
      <c r="CD507" s="386">
        <f t="shared" si="329"/>
        <v>0</v>
      </c>
      <c r="CE507" s="386">
        <f t="shared" si="330"/>
        <v>0</v>
      </c>
      <c r="CF507" s="386">
        <f t="shared" si="331"/>
        <v>0</v>
      </c>
      <c r="CG507" s="386">
        <f t="shared" si="332"/>
        <v>0</v>
      </c>
      <c r="CH507" s="386">
        <f t="shared" si="333"/>
        <v>0</v>
      </c>
      <c r="CI507" s="386">
        <f t="shared" si="334"/>
        <v>0</v>
      </c>
      <c r="CJ507" s="386">
        <f t="shared" si="347"/>
        <v>0</v>
      </c>
      <c r="CK507" s="386" t="str">
        <f t="shared" si="348"/>
        <v/>
      </c>
      <c r="CL507" s="386" t="str">
        <f t="shared" si="349"/>
        <v/>
      </c>
      <c r="CM507" s="386" t="str">
        <f t="shared" si="350"/>
        <v/>
      </c>
      <c r="CN507" s="386" t="str">
        <f t="shared" si="351"/>
        <v>0001-00</v>
      </c>
    </row>
    <row r="508" spans="1:92" ht="15.75" thickBot="1" x14ac:dyDescent="0.3">
      <c r="A508" s="375" t="s">
        <v>161</v>
      </c>
      <c r="B508" s="375" t="s">
        <v>162</v>
      </c>
      <c r="C508" s="375" t="s">
        <v>1816</v>
      </c>
      <c r="D508" s="375" t="s">
        <v>1321</v>
      </c>
      <c r="E508" s="375" t="s">
        <v>165</v>
      </c>
      <c r="F508" s="376" t="s">
        <v>166</v>
      </c>
      <c r="G508" s="375" t="s">
        <v>1599</v>
      </c>
      <c r="H508" s="377"/>
      <c r="I508" s="377"/>
      <c r="J508" s="375" t="s">
        <v>168</v>
      </c>
      <c r="K508" s="375" t="s">
        <v>1322</v>
      </c>
      <c r="L508" s="375" t="s">
        <v>170</v>
      </c>
      <c r="M508" s="375" t="s">
        <v>177</v>
      </c>
      <c r="N508" s="375" t="s">
        <v>199</v>
      </c>
      <c r="O508" s="378">
        <v>1</v>
      </c>
      <c r="P508" s="384">
        <v>1</v>
      </c>
      <c r="Q508" s="384">
        <v>1</v>
      </c>
      <c r="R508" s="379">
        <v>80</v>
      </c>
      <c r="S508" s="384">
        <v>1</v>
      </c>
      <c r="T508" s="379">
        <v>57873.65</v>
      </c>
      <c r="U508" s="379">
        <v>0</v>
      </c>
      <c r="V508" s="379">
        <v>23581.53</v>
      </c>
      <c r="W508" s="379">
        <v>60091.199999999997</v>
      </c>
      <c r="X508" s="379">
        <v>24477.62</v>
      </c>
      <c r="Y508" s="379">
        <v>60091.199999999997</v>
      </c>
      <c r="Z508" s="379">
        <v>24189.19</v>
      </c>
      <c r="AA508" s="375" t="s">
        <v>1817</v>
      </c>
      <c r="AB508" s="375" t="s">
        <v>1818</v>
      </c>
      <c r="AC508" s="375" t="s">
        <v>438</v>
      </c>
      <c r="AD508" s="375" t="s">
        <v>220</v>
      </c>
      <c r="AE508" s="375" t="s">
        <v>1322</v>
      </c>
      <c r="AF508" s="375" t="s">
        <v>269</v>
      </c>
      <c r="AG508" s="375" t="s">
        <v>183</v>
      </c>
      <c r="AH508" s="380">
        <v>28.89</v>
      </c>
      <c r="AI508" s="380">
        <v>49922.400000000001</v>
      </c>
      <c r="AJ508" s="375" t="s">
        <v>184</v>
      </c>
      <c r="AK508" s="375" t="s">
        <v>185</v>
      </c>
      <c r="AL508" s="375" t="s">
        <v>173</v>
      </c>
      <c r="AM508" s="375" t="s">
        <v>186</v>
      </c>
      <c r="AN508" s="375" t="s">
        <v>68</v>
      </c>
      <c r="AO508" s="378">
        <v>80</v>
      </c>
      <c r="AP508" s="384">
        <v>1</v>
      </c>
      <c r="AQ508" s="384">
        <v>1</v>
      </c>
      <c r="AR508" s="383" t="s">
        <v>187</v>
      </c>
      <c r="AS508" s="386">
        <f t="shared" si="335"/>
        <v>1</v>
      </c>
      <c r="AT508">
        <f t="shared" si="336"/>
        <v>1</v>
      </c>
      <c r="AU508" s="386">
        <f>IF(AT508=0,"",IF(AND(AT508=1,M508="F",SUMIF(C2:C557,C508,AS2:AS557)&lt;=1),SUMIF(C2:C557,C508,AS2:AS557),IF(AND(AT508=1,M508="F",SUMIF(C2:C557,C508,AS2:AS557)&gt;1),1,"")))</f>
        <v>1</v>
      </c>
      <c r="AV508" s="386" t="str">
        <f>IF(AT508=0,"",IF(AND(AT508=3,M508="F",SUMIF(C2:C557,C508,AS2:AS557)&lt;=1),SUMIF(C2:C557,C508,AS2:AS557),IF(AND(AT508=3,M508="F",SUMIF(C2:C557,C508,AS2:AS557)&gt;1),1,"")))</f>
        <v/>
      </c>
      <c r="AW508" s="386">
        <f>SUMIF(C2:C557,C508,O2:O557)</f>
        <v>1</v>
      </c>
      <c r="AX508" s="386">
        <f>IF(AND(M508="F",AS508&lt;&gt;0),SUMIF(C2:C557,C508,W2:W557),0)</f>
        <v>60091.199999999997</v>
      </c>
      <c r="AY508" s="386">
        <f t="shared" si="337"/>
        <v>60091.199999999997</v>
      </c>
      <c r="AZ508" s="386" t="str">
        <f t="shared" si="338"/>
        <v/>
      </c>
      <c r="BA508" s="386">
        <f t="shared" si="339"/>
        <v>0</v>
      </c>
      <c r="BB508" s="386">
        <f t="shared" si="308"/>
        <v>11650</v>
      </c>
      <c r="BC508" s="386">
        <f t="shared" si="309"/>
        <v>0</v>
      </c>
      <c r="BD508" s="386">
        <f t="shared" si="310"/>
        <v>3725.6543999999999</v>
      </c>
      <c r="BE508" s="386">
        <f t="shared" si="311"/>
        <v>871.32240000000002</v>
      </c>
      <c r="BF508" s="386">
        <f t="shared" si="312"/>
        <v>7174.8892800000003</v>
      </c>
      <c r="BG508" s="386">
        <f t="shared" si="313"/>
        <v>433.25755199999998</v>
      </c>
      <c r="BH508" s="386">
        <f t="shared" si="314"/>
        <v>294.44687999999996</v>
      </c>
      <c r="BI508" s="386">
        <f t="shared" si="315"/>
        <v>183.87907199999998</v>
      </c>
      <c r="BJ508" s="386">
        <f t="shared" si="316"/>
        <v>144.21887999999998</v>
      </c>
      <c r="BK508" s="386">
        <f t="shared" si="317"/>
        <v>0</v>
      </c>
      <c r="BL508" s="386">
        <f t="shared" si="340"/>
        <v>12827.668463999998</v>
      </c>
      <c r="BM508" s="386">
        <f t="shared" si="341"/>
        <v>0</v>
      </c>
      <c r="BN508" s="386">
        <f t="shared" si="318"/>
        <v>11650</v>
      </c>
      <c r="BO508" s="386">
        <f t="shared" si="319"/>
        <v>0</v>
      </c>
      <c r="BP508" s="386">
        <f t="shared" si="320"/>
        <v>3725.6543999999999</v>
      </c>
      <c r="BQ508" s="386">
        <f t="shared" si="321"/>
        <v>871.32240000000002</v>
      </c>
      <c r="BR508" s="386">
        <f t="shared" si="322"/>
        <v>7174.8892800000003</v>
      </c>
      <c r="BS508" s="386">
        <f t="shared" si="323"/>
        <v>433.25755199999998</v>
      </c>
      <c r="BT508" s="386">
        <f t="shared" si="324"/>
        <v>0</v>
      </c>
      <c r="BU508" s="386">
        <f t="shared" si="325"/>
        <v>183.87907199999998</v>
      </c>
      <c r="BV508" s="386">
        <f t="shared" si="326"/>
        <v>150.22800000000001</v>
      </c>
      <c r="BW508" s="386">
        <f t="shared" si="327"/>
        <v>0</v>
      </c>
      <c r="BX508" s="386">
        <f t="shared" si="342"/>
        <v>12539.230703999998</v>
      </c>
      <c r="BY508" s="386">
        <f t="shared" si="343"/>
        <v>0</v>
      </c>
      <c r="BZ508" s="386">
        <f t="shared" si="344"/>
        <v>0</v>
      </c>
      <c r="CA508" s="386">
        <f t="shared" si="345"/>
        <v>0</v>
      </c>
      <c r="CB508" s="386">
        <f t="shared" si="346"/>
        <v>0</v>
      </c>
      <c r="CC508" s="386">
        <f t="shared" si="328"/>
        <v>0</v>
      </c>
      <c r="CD508" s="386">
        <f t="shared" si="329"/>
        <v>0</v>
      </c>
      <c r="CE508" s="386">
        <f t="shared" si="330"/>
        <v>0</v>
      </c>
      <c r="CF508" s="386">
        <f t="shared" si="331"/>
        <v>-294.44687999999996</v>
      </c>
      <c r="CG508" s="386">
        <f t="shared" si="332"/>
        <v>0</v>
      </c>
      <c r="CH508" s="386">
        <f t="shared" si="333"/>
        <v>6.0091200000000153</v>
      </c>
      <c r="CI508" s="386">
        <f t="shared" si="334"/>
        <v>0</v>
      </c>
      <c r="CJ508" s="386">
        <f t="shared" si="347"/>
        <v>-288.43775999999997</v>
      </c>
      <c r="CK508" s="386" t="str">
        <f t="shared" si="348"/>
        <v/>
      </c>
      <c r="CL508" s="386" t="str">
        <f t="shared" si="349"/>
        <v/>
      </c>
      <c r="CM508" s="386" t="str">
        <f t="shared" si="350"/>
        <v/>
      </c>
      <c r="CN508" s="386" t="str">
        <f t="shared" si="351"/>
        <v>0001-00</v>
      </c>
    </row>
    <row r="509" spans="1:92" ht="15.75" thickBot="1" x14ac:dyDescent="0.3">
      <c r="A509" s="375" t="s">
        <v>161</v>
      </c>
      <c r="B509" s="375" t="s">
        <v>162</v>
      </c>
      <c r="C509" s="375" t="s">
        <v>1819</v>
      </c>
      <c r="D509" s="375" t="s">
        <v>665</v>
      </c>
      <c r="E509" s="375" t="s">
        <v>165</v>
      </c>
      <c r="F509" s="376" t="s">
        <v>166</v>
      </c>
      <c r="G509" s="375" t="s">
        <v>1599</v>
      </c>
      <c r="H509" s="377"/>
      <c r="I509" s="377"/>
      <c r="J509" s="375" t="s">
        <v>168</v>
      </c>
      <c r="K509" s="375" t="s">
        <v>666</v>
      </c>
      <c r="L509" s="375" t="s">
        <v>183</v>
      </c>
      <c r="M509" s="375" t="s">
        <v>177</v>
      </c>
      <c r="N509" s="375" t="s">
        <v>199</v>
      </c>
      <c r="O509" s="378">
        <v>1</v>
      </c>
      <c r="P509" s="384">
        <v>1</v>
      </c>
      <c r="Q509" s="384">
        <v>1</v>
      </c>
      <c r="R509" s="379">
        <v>80</v>
      </c>
      <c r="S509" s="384">
        <v>1</v>
      </c>
      <c r="T509" s="379">
        <v>27928.32</v>
      </c>
      <c r="U509" s="379">
        <v>0</v>
      </c>
      <c r="V509" s="379">
        <v>17324.18</v>
      </c>
      <c r="W509" s="379">
        <v>32115.200000000001</v>
      </c>
      <c r="X509" s="379">
        <v>18505.61</v>
      </c>
      <c r="Y509" s="379">
        <v>32115.200000000001</v>
      </c>
      <c r="Z509" s="379">
        <v>18351.46</v>
      </c>
      <c r="AA509" s="375" t="s">
        <v>1820</v>
      </c>
      <c r="AB509" s="375" t="s">
        <v>1821</v>
      </c>
      <c r="AC509" s="375" t="s">
        <v>1822</v>
      </c>
      <c r="AD509" s="375" t="s">
        <v>214</v>
      </c>
      <c r="AE509" s="375" t="s">
        <v>666</v>
      </c>
      <c r="AF509" s="375" t="s">
        <v>206</v>
      </c>
      <c r="AG509" s="375" t="s">
        <v>183</v>
      </c>
      <c r="AH509" s="380">
        <v>15.44</v>
      </c>
      <c r="AI509" s="380">
        <v>32953.5</v>
      </c>
      <c r="AJ509" s="375" t="s">
        <v>184</v>
      </c>
      <c r="AK509" s="375" t="s">
        <v>185</v>
      </c>
      <c r="AL509" s="375" t="s">
        <v>173</v>
      </c>
      <c r="AM509" s="375" t="s">
        <v>186</v>
      </c>
      <c r="AN509" s="375" t="s">
        <v>68</v>
      </c>
      <c r="AO509" s="378">
        <v>80</v>
      </c>
      <c r="AP509" s="384">
        <v>1</v>
      </c>
      <c r="AQ509" s="384">
        <v>1</v>
      </c>
      <c r="AR509" s="383" t="s">
        <v>187</v>
      </c>
      <c r="AS509" s="386">
        <f t="shared" si="335"/>
        <v>1</v>
      </c>
      <c r="AT509">
        <f t="shared" si="336"/>
        <v>1</v>
      </c>
      <c r="AU509" s="386">
        <f>IF(AT509=0,"",IF(AND(AT509=1,M509="F",SUMIF(C2:C557,C509,AS2:AS557)&lt;=1),SUMIF(C2:C557,C509,AS2:AS557),IF(AND(AT509=1,M509="F",SUMIF(C2:C557,C509,AS2:AS557)&gt;1),1,"")))</f>
        <v>1</v>
      </c>
      <c r="AV509" s="386" t="str">
        <f>IF(AT509=0,"",IF(AND(AT509=3,M509="F",SUMIF(C2:C557,C509,AS2:AS557)&lt;=1),SUMIF(C2:C557,C509,AS2:AS557),IF(AND(AT509=3,M509="F",SUMIF(C2:C557,C509,AS2:AS557)&gt;1),1,"")))</f>
        <v/>
      </c>
      <c r="AW509" s="386">
        <f>SUMIF(C2:C557,C509,O2:O557)</f>
        <v>1</v>
      </c>
      <c r="AX509" s="386">
        <f>IF(AND(M509="F",AS509&lt;&gt;0),SUMIF(C2:C557,C509,W2:W557),0)</f>
        <v>32115.200000000001</v>
      </c>
      <c r="AY509" s="386">
        <f t="shared" si="337"/>
        <v>32115.200000000001</v>
      </c>
      <c r="AZ509" s="386" t="str">
        <f t="shared" si="338"/>
        <v/>
      </c>
      <c r="BA509" s="386">
        <f t="shared" si="339"/>
        <v>0</v>
      </c>
      <c r="BB509" s="386">
        <f t="shared" si="308"/>
        <v>11650</v>
      </c>
      <c r="BC509" s="386">
        <f t="shared" si="309"/>
        <v>0</v>
      </c>
      <c r="BD509" s="386">
        <f t="shared" si="310"/>
        <v>1991.1424</v>
      </c>
      <c r="BE509" s="386">
        <f t="shared" si="311"/>
        <v>465.67040000000003</v>
      </c>
      <c r="BF509" s="386">
        <f t="shared" si="312"/>
        <v>3834.5548800000001</v>
      </c>
      <c r="BG509" s="386">
        <f t="shared" si="313"/>
        <v>231.55059200000002</v>
      </c>
      <c r="BH509" s="386">
        <f t="shared" si="314"/>
        <v>157.36447999999999</v>
      </c>
      <c r="BI509" s="386">
        <f t="shared" si="315"/>
        <v>98.272511999999992</v>
      </c>
      <c r="BJ509" s="386">
        <f t="shared" si="316"/>
        <v>77.076479999999989</v>
      </c>
      <c r="BK509" s="386">
        <f t="shared" si="317"/>
        <v>0</v>
      </c>
      <c r="BL509" s="386">
        <f t="shared" si="340"/>
        <v>6855.6317439999993</v>
      </c>
      <c r="BM509" s="386">
        <f t="shared" si="341"/>
        <v>0</v>
      </c>
      <c r="BN509" s="386">
        <f t="shared" si="318"/>
        <v>11650</v>
      </c>
      <c r="BO509" s="386">
        <f t="shared" si="319"/>
        <v>0</v>
      </c>
      <c r="BP509" s="386">
        <f t="shared" si="320"/>
        <v>1991.1424</v>
      </c>
      <c r="BQ509" s="386">
        <f t="shared" si="321"/>
        <v>465.67040000000003</v>
      </c>
      <c r="BR509" s="386">
        <f t="shared" si="322"/>
        <v>3834.5548800000001</v>
      </c>
      <c r="BS509" s="386">
        <f t="shared" si="323"/>
        <v>231.55059200000002</v>
      </c>
      <c r="BT509" s="386">
        <f t="shared" si="324"/>
        <v>0</v>
      </c>
      <c r="BU509" s="386">
        <f t="shared" si="325"/>
        <v>98.272511999999992</v>
      </c>
      <c r="BV509" s="386">
        <f t="shared" si="326"/>
        <v>80.287999999999997</v>
      </c>
      <c r="BW509" s="386">
        <f t="shared" si="327"/>
        <v>0</v>
      </c>
      <c r="BX509" s="386">
        <f t="shared" si="342"/>
        <v>6701.478783999999</v>
      </c>
      <c r="BY509" s="386">
        <f t="shared" si="343"/>
        <v>0</v>
      </c>
      <c r="BZ509" s="386">
        <f t="shared" si="344"/>
        <v>0</v>
      </c>
      <c r="CA509" s="386">
        <f t="shared" si="345"/>
        <v>0</v>
      </c>
      <c r="CB509" s="386">
        <f t="shared" si="346"/>
        <v>0</v>
      </c>
      <c r="CC509" s="386">
        <f t="shared" si="328"/>
        <v>0</v>
      </c>
      <c r="CD509" s="386">
        <f t="shared" si="329"/>
        <v>0</v>
      </c>
      <c r="CE509" s="386">
        <f t="shared" si="330"/>
        <v>0</v>
      </c>
      <c r="CF509" s="386">
        <f t="shared" si="331"/>
        <v>-157.36447999999999</v>
      </c>
      <c r="CG509" s="386">
        <f t="shared" si="332"/>
        <v>0</v>
      </c>
      <c r="CH509" s="386">
        <f t="shared" si="333"/>
        <v>3.2115200000000086</v>
      </c>
      <c r="CI509" s="386">
        <f t="shared" si="334"/>
        <v>0</v>
      </c>
      <c r="CJ509" s="386">
        <f t="shared" si="347"/>
        <v>-154.15295999999998</v>
      </c>
      <c r="CK509" s="386" t="str">
        <f t="shared" si="348"/>
        <v/>
      </c>
      <c r="CL509" s="386" t="str">
        <f t="shared" si="349"/>
        <v/>
      </c>
      <c r="CM509" s="386" t="str">
        <f t="shared" si="350"/>
        <v/>
      </c>
      <c r="CN509" s="386" t="str">
        <f t="shared" si="351"/>
        <v>0001-00</v>
      </c>
    </row>
    <row r="510" spans="1:92" ht="15.75" thickBot="1" x14ac:dyDescent="0.3">
      <c r="A510" s="375" t="s">
        <v>161</v>
      </c>
      <c r="B510" s="375" t="s">
        <v>162</v>
      </c>
      <c r="C510" s="375" t="s">
        <v>1823</v>
      </c>
      <c r="D510" s="375" t="s">
        <v>208</v>
      </c>
      <c r="E510" s="375" t="s">
        <v>165</v>
      </c>
      <c r="F510" s="376" t="s">
        <v>166</v>
      </c>
      <c r="G510" s="375" t="s">
        <v>1599</v>
      </c>
      <c r="H510" s="377"/>
      <c r="I510" s="377"/>
      <c r="J510" s="375" t="s">
        <v>168</v>
      </c>
      <c r="K510" s="375" t="s">
        <v>209</v>
      </c>
      <c r="L510" s="375" t="s">
        <v>210</v>
      </c>
      <c r="M510" s="375" t="s">
        <v>171</v>
      </c>
      <c r="N510" s="375" t="s">
        <v>199</v>
      </c>
      <c r="O510" s="378">
        <v>0</v>
      </c>
      <c r="P510" s="384">
        <v>1</v>
      </c>
      <c r="Q510" s="384">
        <v>1</v>
      </c>
      <c r="R510" s="379">
        <v>80</v>
      </c>
      <c r="S510" s="384">
        <v>1</v>
      </c>
      <c r="T510" s="379">
        <v>22177.599999999999</v>
      </c>
      <c r="U510" s="379">
        <v>0</v>
      </c>
      <c r="V510" s="379">
        <v>14238.5</v>
      </c>
      <c r="W510" s="379">
        <v>37502.400000000001</v>
      </c>
      <c r="X510" s="379">
        <v>16426.05</v>
      </c>
      <c r="Y510" s="379">
        <v>37502.400000000001</v>
      </c>
      <c r="Z510" s="379">
        <v>16238.53</v>
      </c>
      <c r="AA510" s="377"/>
      <c r="AB510" s="375" t="s">
        <v>45</v>
      </c>
      <c r="AC510" s="375" t="s">
        <v>45</v>
      </c>
      <c r="AD510" s="377"/>
      <c r="AE510" s="377"/>
      <c r="AF510" s="377"/>
      <c r="AG510" s="377"/>
      <c r="AH510" s="378">
        <v>0</v>
      </c>
      <c r="AI510" s="378">
        <v>0</v>
      </c>
      <c r="AJ510" s="377"/>
      <c r="AK510" s="377"/>
      <c r="AL510" s="375" t="s">
        <v>173</v>
      </c>
      <c r="AM510" s="377"/>
      <c r="AN510" s="377"/>
      <c r="AO510" s="378">
        <v>0</v>
      </c>
      <c r="AP510" s="384">
        <v>0</v>
      </c>
      <c r="AQ510" s="384">
        <v>0</v>
      </c>
      <c r="AR510" s="382"/>
      <c r="AS510" s="386">
        <f t="shared" si="335"/>
        <v>0</v>
      </c>
      <c r="AT510">
        <f t="shared" si="336"/>
        <v>0</v>
      </c>
      <c r="AU510" s="386" t="str">
        <f>IF(AT510=0,"",IF(AND(AT510=1,M510="F",SUMIF(C2:C557,C510,AS2:AS557)&lt;=1),SUMIF(C2:C557,C510,AS2:AS557),IF(AND(AT510=1,M510="F",SUMIF(C2:C557,C510,AS2:AS557)&gt;1),1,"")))</f>
        <v/>
      </c>
      <c r="AV510" s="386" t="str">
        <f>IF(AT510=0,"",IF(AND(AT510=3,M510="F",SUMIF(C2:C557,C510,AS2:AS557)&lt;=1),SUMIF(C2:C557,C510,AS2:AS557),IF(AND(AT510=3,M510="F",SUMIF(C2:C557,C510,AS2:AS557)&gt;1),1,"")))</f>
        <v/>
      </c>
      <c r="AW510" s="386">
        <f>SUMIF(C2:C557,C510,O2:O557)</f>
        <v>0</v>
      </c>
      <c r="AX510" s="386">
        <f>IF(AND(M510="F",AS510&lt;&gt;0),SUMIF(C2:C557,C510,W2:W557),0)</f>
        <v>0</v>
      </c>
      <c r="AY510" s="386" t="str">
        <f t="shared" si="337"/>
        <v/>
      </c>
      <c r="AZ510" s="386" t="str">
        <f t="shared" si="338"/>
        <v/>
      </c>
      <c r="BA510" s="386">
        <f t="shared" si="339"/>
        <v>0</v>
      </c>
      <c r="BB510" s="386">
        <f t="shared" si="308"/>
        <v>0</v>
      </c>
      <c r="BC510" s="386">
        <f t="shared" si="309"/>
        <v>0</v>
      </c>
      <c r="BD510" s="386">
        <f t="shared" si="310"/>
        <v>0</v>
      </c>
      <c r="BE510" s="386">
        <f t="shared" si="311"/>
        <v>0</v>
      </c>
      <c r="BF510" s="386">
        <f t="shared" si="312"/>
        <v>0</v>
      </c>
      <c r="BG510" s="386">
        <f t="shared" si="313"/>
        <v>0</v>
      </c>
      <c r="BH510" s="386">
        <f t="shared" si="314"/>
        <v>0</v>
      </c>
      <c r="BI510" s="386">
        <f t="shared" si="315"/>
        <v>0</v>
      </c>
      <c r="BJ510" s="386">
        <f t="shared" si="316"/>
        <v>0</v>
      </c>
      <c r="BK510" s="386">
        <f t="shared" si="317"/>
        <v>0</v>
      </c>
      <c r="BL510" s="386">
        <f t="shared" si="340"/>
        <v>0</v>
      </c>
      <c r="BM510" s="386">
        <f t="shared" si="341"/>
        <v>0</v>
      </c>
      <c r="BN510" s="386">
        <f t="shared" si="318"/>
        <v>0</v>
      </c>
      <c r="BO510" s="386">
        <f t="shared" si="319"/>
        <v>0</v>
      </c>
      <c r="BP510" s="386">
        <f t="shared" si="320"/>
        <v>0</v>
      </c>
      <c r="BQ510" s="386">
        <f t="shared" si="321"/>
        <v>0</v>
      </c>
      <c r="BR510" s="386">
        <f t="shared" si="322"/>
        <v>0</v>
      </c>
      <c r="BS510" s="386">
        <f t="shared" si="323"/>
        <v>0</v>
      </c>
      <c r="BT510" s="386">
        <f t="shared" si="324"/>
        <v>0</v>
      </c>
      <c r="BU510" s="386">
        <f t="shared" si="325"/>
        <v>0</v>
      </c>
      <c r="BV510" s="386">
        <f t="shared" si="326"/>
        <v>0</v>
      </c>
      <c r="BW510" s="386">
        <f t="shared" si="327"/>
        <v>0</v>
      </c>
      <c r="BX510" s="386">
        <f t="shared" si="342"/>
        <v>0</v>
      </c>
      <c r="BY510" s="386">
        <f t="shared" si="343"/>
        <v>0</v>
      </c>
      <c r="BZ510" s="386">
        <f t="shared" si="344"/>
        <v>0</v>
      </c>
      <c r="CA510" s="386">
        <f t="shared" si="345"/>
        <v>0</v>
      </c>
      <c r="CB510" s="386">
        <f t="shared" si="346"/>
        <v>0</v>
      </c>
      <c r="CC510" s="386">
        <f t="shared" si="328"/>
        <v>0</v>
      </c>
      <c r="CD510" s="386">
        <f t="shared" si="329"/>
        <v>0</v>
      </c>
      <c r="CE510" s="386">
        <f t="shared" si="330"/>
        <v>0</v>
      </c>
      <c r="CF510" s="386">
        <f t="shared" si="331"/>
        <v>0</v>
      </c>
      <c r="CG510" s="386">
        <f t="shared" si="332"/>
        <v>0</v>
      </c>
      <c r="CH510" s="386">
        <f t="shared" si="333"/>
        <v>0</v>
      </c>
      <c r="CI510" s="386">
        <f t="shared" si="334"/>
        <v>0</v>
      </c>
      <c r="CJ510" s="386">
        <f t="shared" si="347"/>
        <v>0</v>
      </c>
      <c r="CK510" s="386" t="str">
        <f t="shared" si="348"/>
        <v/>
      </c>
      <c r="CL510" s="386" t="str">
        <f t="shared" si="349"/>
        <v/>
      </c>
      <c r="CM510" s="386" t="str">
        <f t="shared" si="350"/>
        <v/>
      </c>
      <c r="CN510" s="386" t="str">
        <f t="shared" si="351"/>
        <v>0001-00</v>
      </c>
    </row>
    <row r="511" spans="1:92" ht="15.75" thickBot="1" x14ac:dyDescent="0.3">
      <c r="A511" s="375" t="s">
        <v>161</v>
      </c>
      <c r="B511" s="375" t="s">
        <v>162</v>
      </c>
      <c r="C511" s="375" t="s">
        <v>1824</v>
      </c>
      <c r="D511" s="375" t="s">
        <v>1321</v>
      </c>
      <c r="E511" s="375" t="s">
        <v>165</v>
      </c>
      <c r="F511" s="376" t="s">
        <v>166</v>
      </c>
      <c r="G511" s="375" t="s">
        <v>1599</v>
      </c>
      <c r="H511" s="377"/>
      <c r="I511" s="377"/>
      <c r="J511" s="375" t="s">
        <v>168</v>
      </c>
      <c r="K511" s="375" t="s">
        <v>1322</v>
      </c>
      <c r="L511" s="375" t="s">
        <v>170</v>
      </c>
      <c r="M511" s="375" t="s">
        <v>177</v>
      </c>
      <c r="N511" s="375" t="s">
        <v>199</v>
      </c>
      <c r="O511" s="378">
        <v>1</v>
      </c>
      <c r="P511" s="384">
        <v>1</v>
      </c>
      <c r="Q511" s="384">
        <v>1</v>
      </c>
      <c r="R511" s="379">
        <v>80</v>
      </c>
      <c r="S511" s="384">
        <v>1</v>
      </c>
      <c r="T511" s="379">
        <v>52168.03</v>
      </c>
      <c r="U511" s="379">
        <v>0</v>
      </c>
      <c r="V511" s="379">
        <v>22406.75</v>
      </c>
      <c r="W511" s="379">
        <v>54121.599999999999</v>
      </c>
      <c r="X511" s="379">
        <v>23203.3</v>
      </c>
      <c r="Y511" s="379">
        <v>54121.599999999999</v>
      </c>
      <c r="Z511" s="379">
        <v>22943.52</v>
      </c>
      <c r="AA511" s="375" t="s">
        <v>1825</v>
      </c>
      <c r="AB511" s="375" t="s">
        <v>1826</v>
      </c>
      <c r="AC511" s="375" t="s">
        <v>479</v>
      </c>
      <c r="AD511" s="375" t="s">
        <v>352</v>
      </c>
      <c r="AE511" s="375" t="s">
        <v>1322</v>
      </c>
      <c r="AF511" s="375" t="s">
        <v>269</v>
      </c>
      <c r="AG511" s="375" t="s">
        <v>183</v>
      </c>
      <c r="AH511" s="380">
        <v>26.02</v>
      </c>
      <c r="AI511" s="378">
        <v>20640</v>
      </c>
      <c r="AJ511" s="375" t="s">
        <v>184</v>
      </c>
      <c r="AK511" s="375" t="s">
        <v>185</v>
      </c>
      <c r="AL511" s="375" t="s">
        <v>173</v>
      </c>
      <c r="AM511" s="375" t="s">
        <v>186</v>
      </c>
      <c r="AN511" s="375" t="s">
        <v>68</v>
      </c>
      <c r="AO511" s="378">
        <v>80</v>
      </c>
      <c r="AP511" s="384">
        <v>1</v>
      </c>
      <c r="AQ511" s="384">
        <v>1</v>
      </c>
      <c r="AR511" s="383" t="s">
        <v>187</v>
      </c>
      <c r="AS511" s="386">
        <f t="shared" si="335"/>
        <v>1</v>
      </c>
      <c r="AT511">
        <f t="shared" si="336"/>
        <v>1</v>
      </c>
      <c r="AU511" s="386">
        <f>IF(AT511=0,"",IF(AND(AT511=1,M511="F",SUMIF(C2:C557,C511,AS2:AS557)&lt;=1),SUMIF(C2:C557,C511,AS2:AS557),IF(AND(AT511=1,M511="F",SUMIF(C2:C557,C511,AS2:AS557)&gt;1),1,"")))</f>
        <v>1</v>
      </c>
      <c r="AV511" s="386" t="str">
        <f>IF(AT511=0,"",IF(AND(AT511=3,M511="F",SUMIF(C2:C557,C511,AS2:AS557)&lt;=1),SUMIF(C2:C557,C511,AS2:AS557),IF(AND(AT511=3,M511="F",SUMIF(C2:C557,C511,AS2:AS557)&gt;1),1,"")))</f>
        <v/>
      </c>
      <c r="AW511" s="386">
        <f>SUMIF(C2:C557,C511,O2:O557)</f>
        <v>1</v>
      </c>
      <c r="AX511" s="386">
        <f>IF(AND(M511="F",AS511&lt;&gt;0),SUMIF(C2:C557,C511,W2:W557),0)</f>
        <v>54121.599999999999</v>
      </c>
      <c r="AY511" s="386">
        <f t="shared" si="337"/>
        <v>54121.599999999999</v>
      </c>
      <c r="AZ511" s="386" t="str">
        <f t="shared" si="338"/>
        <v/>
      </c>
      <c r="BA511" s="386">
        <f t="shared" si="339"/>
        <v>0</v>
      </c>
      <c r="BB511" s="386">
        <f t="shared" si="308"/>
        <v>11650</v>
      </c>
      <c r="BC511" s="386">
        <f t="shared" si="309"/>
        <v>0</v>
      </c>
      <c r="BD511" s="386">
        <f t="shared" si="310"/>
        <v>3355.5391999999997</v>
      </c>
      <c r="BE511" s="386">
        <f t="shared" si="311"/>
        <v>784.76319999999998</v>
      </c>
      <c r="BF511" s="386">
        <f t="shared" si="312"/>
        <v>6462.1190400000005</v>
      </c>
      <c r="BG511" s="386">
        <f t="shared" si="313"/>
        <v>390.21673600000003</v>
      </c>
      <c r="BH511" s="386">
        <f t="shared" si="314"/>
        <v>265.19583999999998</v>
      </c>
      <c r="BI511" s="386">
        <f t="shared" si="315"/>
        <v>165.61209599999998</v>
      </c>
      <c r="BJ511" s="386">
        <f t="shared" si="316"/>
        <v>129.89183999999997</v>
      </c>
      <c r="BK511" s="386">
        <f t="shared" si="317"/>
        <v>0</v>
      </c>
      <c r="BL511" s="386">
        <f t="shared" si="340"/>
        <v>11553.337952000002</v>
      </c>
      <c r="BM511" s="386">
        <f t="shared" si="341"/>
        <v>0</v>
      </c>
      <c r="BN511" s="386">
        <f t="shared" si="318"/>
        <v>11650</v>
      </c>
      <c r="BO511" s="386">
        <f t="shared" si="319"/>
        <v>0</v>
      </c>
      <c r="BP511" s="386">
        <f t="shared" si="320"/>
        <v>3355.5391999999997</v>
      </c>
      <c r="BQ511" s="386">
        <f t="shared" si="321"/>
        <v>784.76319999999998</v>
      </c>
      <c r="BR511" s="386">
        <f t="shared" si="322"/>
        <v>6462.1190400000005</v>
      </c>
      <c r="BS511" s="386">
        <f t="shared" si="323"/>
        <v>390.21673600000003</v>
      </c>
      <c r="BT511" s="386">
        <f t="shared" si="324"/>
        <v>0</v>
      </c>
      <c r="BU511" s="386">
        <f t="shared" si="325"/>
        <v>165.61209599999998</v>
      </c>
      <c r="BV511" s="386">
        <f t="shared" si="326"/>
        <v>135.304</v>
      </c>
      <c r="BW511" s="386">
        <f t="shared" si="327"/>
        <v>0</v>
      </c>
      <c r="BX511" s="386">
        <f t="shared" si="342"/>
        <v>11293.554272000001</v>
      </c>
      <c r="BY511" s="386">
        <f t="shared" si="343"/>
        <v>0</v>
      </c>
      <c r="BZ511" s="386">
        <f t="shared" si="344"/>
        <v>0</v>
      </c>
      <c r="CA511" s="386">
        <f t="shared" si="345"/>
        <v>0</v>
      </c>
      <c r="CB511" s="386">
        <f t="shared" si="346"/>
        <v>0</v>
      </c>
      <c r="CC511" s="386">
        <f t="shared" si="328"/>
        <v>0</v>
      </c>
      <c r="CD511" s="386">
        <f t="shared" si="329"/>
        <v>0</v>
      </c>
      <c r="CE511" s="386">
        <f t="shared" si="330"/>
        <v>0</v>
      </c>
      <c r="CF511" s="386">
        <f t="shared" si="331"/>
        <v>-265.19583999999998</v>
      </c>
      <c r="CG511" s="386">
        <f t="shared" si="332"/>
        <v>0</v>
      </c>
      <c r="CH511" s="386">
        <f t="shared" si="333"/>
        <v>5.4121600000000143</v>
      </c>
      <c r="CI511" s="386">
        <f t="shared" si="334"/>
        <v>0</v>
      </c>
      <c r="CJ511" s="386">
        <f t="shared" si="347"/>
        <v>-259.78367999999995</v>
      </c>
      <c r="CK511" s="386" t="str">
        <f t="shared" si="348"/>
        <v/>
      </c>
      <c r="CL511" s="386" t="str">
        <f t="shared" si="349"/>
        <v/>
      </c>
      <c r="CM511" s="386" t="str">
        <f t="shared" si="350"/>
        <v/>
      </c>
      <c r="CN511" s="386" t="str">
        <f t="shared" si="351"/>
        <v>0001-00</v>
      </c>
    </row>
    <row r="512" spans="1:92" ht="15.75" thickBot="1" x14ac:dyDescent="0.3">
      <c r="A512" s="375" t="s">
        <v>161</v>
      </c>
      <c r="B512" s="375" t="s">
        <v>162</v>
      </c>
      <c r="C512" s="375" t="s">
        <v>1827</v>
      </c>
      <c r="D512" s="375" t="s">
        <v>746</v>
      </c>
      <c r="E512" s="375" t="s">
        <v>165</v>
      </c>
      <c r="F512" s="376" t="s">
        <v>166</v>
      </c>
      <c r="G512" s="375" t="s">
        <v>1599</v>
      </c>
      <c r="H512" s="377"/>
      <c r="I512" s="377"/>
      <c r="J512" s="375" t="s">
        <v>168</v>
      </c>
      <c r="K512" s="375" t="s">
        <v>747</v>
      </c>
      <c r="L512" s="375" t="s">
        <v>210</v>
      </c>
      <c r="M512" s="375" t="s">
        <v>177</v>
      </c>
      <c r="N512" s="375" t="s">
        <v>199</v>
      </c>
      <c r="O512" s="378">
        <v>1</v>
      </c>
      <c r="P512" s="384">
        <v>1</v>
      </c>
      <c r="Q512" s="384">
        <v>1</v>
      </c>
      <c r="R512" s="379">
        <v>80</v>
      </c>
      <c r="S512" s="384">
        <v>1</v>
      </c>
      <c r="T512" s="379">
        <v>44617.61</v>
      </c>
      <c r="U512" s="379">
        <v>0</v>
      </c>
      <c r="V512" s="379">
        <v>20871.11</v>
      </c>
      <c r="W512" s="379">
        <v>46113.599999999999</v>
      </c>
      <c r="X512" s="379">
        <v>21493.83</v>
      </c>
      <c r="Y512" s="379">
        <v>46113.599999999999</v>
      </c>
      <c r="Z512" s="379">
        <v>21272.49</v>
      </c>
      <c r="AA512" s="375" t="s">
        <v>1828</v>
      </c>
      <c r="AB512" s="375" t="s">
        <v>1829</v>
      </c>
      <c r="AC512" s="375" t="s">
        <v>1830</v>
      </c>
      <c r="AD512" s="375" t="s">
        <v>181</v>
      </c>
      <c r="AE512" s="375" t="s">
        <v>747</v>
      </c>
      <c r="AF512" s="375" t="s">
        <v>215</v>
      </c>
      <c r="AG512" s="375" t="s">
        <v>183</v>
      </c>
      <c r="AH512" s="380">
        <v>22.17</v>
      </c>
      <c r="AI512" s="380">
        <v>29883.3</v>
      </c>
      <c r="AJ512" s="375" t="s">
        <v>184</v>
      </c>
      <c r="AK512" s="375" t="s">
        <v>185</v>
      </c>
      <c r="AL512" s="375" t="s">
        <v>173</v>
      </c>
      <c r="AM512" s="375" t="s">
        <v>186</v>
      </c>
      <c r="AN512" s="375" t="s">
        <v>68</v>
      </c>
      <c r="AO512" s="378">
        <v>80</v>
      </c>
      <c r="AP512" s="384">
        <v>1</v>
      </c>
      <c r="AQ512" s="384">
        <v>1</v>
      </c>
      <c r="AR512" s="383" t="s">
        <v>187</v>
      </c>
      <c r="AS512" s="386">
        <f t="shared" si="335"/>
        <v>1</v>
      </c>
      <c r="AT512">
        <f t="shared" si="336"/>
        <v>1</v>
      </c>
      <c r="AU512" s="386">
        <f>IF(AT512=0,"",IF(AND(AT512=1,M512="F",SUMIF(C2:C557,C512,AS2:AS557)&lt;=1),SUMIF(C2:C557,C512,AS2:AS557),IF(AND(AT512=1,M512="F",SUMIF(C2:C557,C512,AS2:AS557)&gt;1),1,"")))</f>
        <v>1</v>
      </c>
      <c r="AV512" s="386" t="str">
        <f>IF(AT512=0,"",IF(AND(AT512=3,M512="F",SUMIF(C2:C557,C512,AS2:AS557)&lt;=1),SUMIF(C2:C557,C512,AS2:AS557),IF(AND(AT512=3,M512="F",SUMIF(C2:C557,C512,AS2:AS557)&gt;1),1,"")))</f>
        <v/>
      </c>
      <c r="AW512" s="386">
        <f>SUMIF(C2:C557,C512,O2:O557)</f>
        <v>1</v>
      </c>
      <c r="AX512" s="386">
        <f>IF(AND(M512="F",AS512&lt;&gt;0),SUMIF(C2:C557,C512,W2:W557),0)</f>
        <v>46113.599999999999</v>
      </c>
      <c r="AY512" s="386">
        <f t="shared" si="337"/>
        <v>46113.599999999999</v>
      </c>
      <c r="AZ512" s="386" t="str">
        <f t="shared" si="338"/>
        <v/>
      </c>
      <c r="BA512" s="386">
        <f t="shared" si="339"/>
        <v>0</v>
      </c>
      <c r="BB512" s="386">
        <f t="shared" si="308"/>
        <v>11650</v>
      </c>
      <c r="BC512" s="386">
        <f t="shared" si="309"/>
        <v>0</v>
      </c>
      <c r="BD512" s="386">
        <f t="shared" si="310"/>
        <v>2859.0432000000001</v>
      </c>
      <c r="BE512" s="386">
        <f t="shared" si="311"/>
        <v>668.6472</v>
      </c>
      <c r="BF512" s="386">
        <f t="shared" si="312"/>
        <v>5505.9638400000003</v>
      </c>
      <c r="BG512" s="386">
        <f t="shared" si="313"/>
        <v>332.47905600000001</v>
      </c>
      <c r="BH512" s="386">
        <f t="shared" si="314"/>
        <v>225.95663999999999</v>
      </c>
      <c r="BI512" s="386">
        <f t="shared" si="315"/>
        <v>141.10761599999998</v>
      </c>
      <c r="BJ512" s="386">
        <f t="shared" si="316"/>
        <v>110.67263999999999</v>
      </c>
      <c r="BK512" s="386">
        <f t="shared" si="317"/>
        <v>0</v>
      </c>
      <c r="BL512" s="386">
        <f t="shared" si="340"/>
        <v>9843.8701920000003</v>
      </c>
      <c r="BM512" s="386">
        <f t="shared" si="341"/>
        <v>0</v>
      </c>
      <c r="BN512" s="386">
        <f t="shared" si="318"/>
        <v>11650</v>
      </c>
      <c r="BO512" s="386">
        <f t="shared" si="319"/>
        <v>0</v>
      </c>
      <c r="BP512" s="386">
        <f t="shared" si="320"/>
        <v>2859.0432000000001</v>
      </c>
      <c r="BQ512" s="386">
        <f t="shared" si="321"/>
        <v>668.6472</v>
      </c>
      <c r="BR512" s="386">
        <f t="shared" si="322"/>
        <v>5505.9638400000003</v>
      </c>
      <c r="BS512" s="386">
        <f t="shared" si="323"/>
        <v>332.47905600000001</v>
      </c>
      <c r="BT512" s="386">
        <f t="shared" si="324"/>
        <v>0</v>
      </c>
      <c r="BU512" s="386">
        <f t="shared" si="325"/>
        <v>141.10761599999998</v>
      </c>
      <c r="BV512" s="386">
        <f t="shared" si="326"/>
        <v>115.28399999999999</v>
      </c>
      <c r="BW512" s="386">
        <f t="shared" si="327"/>
        <v>0</v>
      </c>
      <c r="BX512" s="386">
        <f t="shared" si="342"/>
        <v>9622.5249119999989</v>
      </c>
      <c r="BY512" s="386">
        <f t="shared" si="343"/>
        <v>0</v>
      </c>
      <c r="BZ512" s="386">
        <f t="shared" si="344"/>
        <v>0</v>
      </c>
      <c r="CA512" s="386">
        <f t="shared" si="345"/>
        <v>0</v>
      </c>
      <c r="CB512" s="386">
        <f t="shared" si="346"/>
        <v>0</v>
      </c>
      <c r="CC512" s="386">
        <f t="shared" si="328"/>
        <v>0</v>
      </c>
      <c r="CD512" s="386">
        <f t="shared" si="329"/>
        <v>0</v>
      </c>
      <c r="CE512" s="386">
        <f t="shared" si="330"/>
        <v>0</v>
      </c>
      <c r="CF512" s="386">
        <f t="shared" si="331"/>
        <v>-225.95663999999999</v>
      </c>
      <c r="CG512" s="386">
        <f t="shared" si="332"/>
        <v>0</v>
      </c>
      <c r="CH512" s="386">
        <f t="shared" si="333"/>
        <v>4.6113600000000119</v>
      </c>
      <c r="CI512" s="386">
        <f t="shared" si="334"/>
        <v>0</v>
      </c>
      <c r="CJ512" s="386">
        <f t="shared" si="347"/>
        <v>-221.34527999999997</v>
      </c>
      <c r="CK512" s="386" t="str">
        <f t="shared" si="348"/>
        <v/>
      </c>
      <c r="CL512" s="386" t="str">
        <f t="shared" si="349"/>
        <v/>
      </c>
      <c r="CM512" s="386" t="str">
        <f t="shared" si="350"/>
        <v/>
      </c>
      <c r="CN512" s="386" t="str">
        <f t="shared" si="351"/>
        <v>0001-00</v>
      </c>
    </row>
    <row r="513" spans="1:92" ht="15.75" thickBot="1" x14ac:dyDescent="0.3">
      <c r="A513" s="375" t="s">
        <v>161</v>
      </c>
      <c r="B513" s="375" t="s">
        <v>162</v>
      </c>
      <c r="C513" s="375" t="s">
        <v>1831</v>
      </c>
      <c r="D513" s="375" t="s">
        <v>1629</v>
      </c>
      <c r="E513" s="375" t="s">
        <v>165</v>
      </c>
      <c r="F513" s="376" t="s">
        <v>166</v>
      </c>
      <c r="G513" s="375" t="s">
        <v>1599</v>
      </c>
      <c r="H513" s="377"/>
      <c r="I513" s="377"/>
      <c r="J513" s="375" t="s">
        <v>168</v>
      </c>
      <c r="K513" s="375" t="s">
        <v>1630</v>
      </c>
      <c r="L513" s="375" t="s">
        <v>198</v>
      </c>
      <c r="M513" s="375" t="s">
        <v>177</v>
      </c>
      <c r="N513" s="375" t="s">
        <v>199</v>
      </c>
      <c r="O513" s="378">
        <v>1</v>
      </c>
      <c r="P513" s="384">
        <v>1</v>
      </c>
      <c r="Q513" s="384">
        <v>1</v>
      </c>
      <c r="R513" s="379">
        <v>80</v>
      </c>
      <c r="S513" s="384">
        <v>1</v>
      </c>
      <c r="T513" s="379">
        <v>41341.269999999997</v>
      </c>
      <c r="U513" s="379">
        <v>0</v>
      </c>
      <c r="V513" s="379">
        <v>20122.36</v>
      </c>
      <c r="W513" s="379">
        <v>46716.800000000003</v>
      </c>
      <c r="X513" s="379">
        <v>21622.61</v>
      </c>
      <c r="Y513" s="379">
        <v>46716.800000000003</v>
      </c>
      <c r="Z513" s="379">
        <v>21398.37</v>
      </c>
      <c r="AA513" s="375" t="s">
        <v>1832</v>
      </c>
      <c r="AB513" s="375" t="s">
        <v>1833</v>
      </c>
      <c r="AC513" s="375" t="s">
        <v>1834</v>
      </c>
      <c r="AD513" s="375" t="s">
        <v>244</v>
      </c>
      <c r="AE513" s="375" t="s">
        <v>1630</v>
      </c>
      <c r="AF513" s="375" t="s">
        <v>245</v>
      </c>
      <c r="AG513" s="375" t="s">
        <v>183</v>
      </c>
      <c r="AH513" s="380">
        <v>22.46</v>
      </c>
      <c r="AI513" s="380">
        <v>43974.6</v>
      </c>
      <c r="AJ513" s="375" t="s">
        <v>184</v>
      </c>
      <c r="AK513" s="375" t="s">
        <v>185</v>
      </c>
      <c r="AL513" s="375" t="s">
        <v>173</v>
      </c>
      <c r="AM513" s="375" t="s">
        <v>186</v>
      </c>
      <c r="AN513" s="375" t="s">
        <v>68</v>
      </c>
      <c r="AO513" s="378">
        <v>80</v>
      </c>
      <c r="AP513" s="384">
        <v>1</v>
      </c>
      <c r="AQ513" s="384">
        <v>1</v>
      </c>
      <c r="AR513" s="383" t="s">
        <v>187</v>
      </c>
      <c r="AS513" s="386">
        <f t="shared" si="335"/>
        <v>1</v>
      </c>
      <c r="AT513">
        <f t="shared" si="336"/>
        <v>1</v>
      </c>
      <c r="AU513" s="386">
        <f>IF(AT513=0,"",IF(AND(AT513=1,M513="F",SUMIF(C2:C557,C513,AS2:AS557)&lt;=1),SUMIF(C2:C557,C513,AS2:AS557),IF(AND(AT513=1,M513="F",SUMIF(C2:C557,C513,AS2:AS557)&gt;1),1,"")))</f>
        <v>1</v>
      </c>
      <c r="AV513" s="386" t="str">
        <f>IF(AT513=0,"",IF(AND(AT513=3,M513="F",SUMIF(C2:C557,C513,AS2:AS557)&lt;=1),SUMIF(C2:C557,C513,AS2:AS557),IF(AND(AT513=3,M513="F",SUMIF(C2:C557,C513,AS2:AS557)&gt;1),1,"")))</f>
        <v/>
      </c>
      <c r="AW513" s="386">
        <f>SUMIF(C2:C557,C513,O2:O557)</f>
        <v>1</v>
      </c>
      <c r="AX513" s="386">
        <f>IF(AND(M513="F",AS513&lt;&gt;0),SUMIF(C2:C557,C513,W2:W557),0)</f>
        <v>46716.800000000003</v>
      </c>
      <c r="AY513" s="386">
        <f t="shared" si="337"/>
        <v>46716.800000000003</v>
      </c>
      <c r="AZ513" s="386" t="str">
        <f t="shared" si="338"/>
        <v/>
      </c>
      <c r="BA513" s="386">
        <f t="shared" si="339"/>
        <v>0</v>
      </c>
      <c r="BB513" s="386">
        <f t="shared" si="308"/>
        <v>11650</v>
      </c>
      <c r="BC513" s="386">
        <f t="shared" si="309"/>
        <v>0</v>
      </c>
      <c r="BD513" s="386">
        <f t="shared" si="310"/>
        <v>2896.4416000000001</v>
      </c>
      <c r="BE513" s="386">
        <f t="shared" si="311"/>
        <v>677.39360000000011</v>
      </c>
      <c r="BF513" s="386">
        <f t="shared" si="312"/>
        <v>5577.985920000001</v>
      </c>
      <c r="BG513" s="386">
        <f t="shared" si="313"/>
        <v>336.82812800000005</v>
      </c>
      <c r="BH513" s="386">
        <f t="shared" si="314"/>
        <v>228.91231999999999</v>
      </c>
      <c r="BI513" s="386">
        <f t="shared" si="315"/>
        <v>142.953408</v>
      </c>
      <c r="BJ513" s="386">
        <f t="shared" si="316"/>
        <v>112.12031999999999</v>
      </c>
      <c r="BK513" s="386">
        <f t="shared" si="317"/>
        <v>0</v>
      </c>
      <c r="BL513" s="386">
        <f t="shared" si="340"/>
        <v>9972.6352959999986</v>
      </c>
      <c r="BM513" s="386">
        <f t="shared" si="341"/>
        <v>0</v>
      </c>
      <c r="BN513" s="386">
        <f t="shared" si="318"/>
        <v>11650</v>
      </c>
      <c r="BO513" s="386">
        <f t="shared" si="319"/>
        <v>0</v>
      </c>
      <c r="BP513" s="386">
        <f t="shared" si="320"/>
        <v>2896.4416000000001</v>
      </c>
      <c r="BQ513" s="386">
        <f t="shared" si="321"/>
        <v>677.39360000000011</v>
      </c>
      <c r="BR513" s="386">
        <f t="shared" si="322"/>
        <v>5577.985920000001</v>
      </c>
      <c r="BS513" s="386">
        <f t="shared" si="323"/>
        <v>336.82812800000005</v>
      </c>
      <c r="BT513" s="386">
        <f t="shared" si="324"/>
        <v>0</v>
      </c>
      <c r="BU513" s="386">
        <f t="shared" si="325"/>
        <v>142.953408</v>
      </c>
      <c r="BV513" s="386">
        <f t="shared" si="326"/>
        <v>116.79200000000002</v>
      </c>
      <c r="BW513" s="386">
        <f t="shared" si="327"/>
        <v>0</v>
      </c>
      <c r="BX513" s="386">
        <f t="shared" si="342"/>
        <v>9748.3946559999986</v>
      </c>
      <c r="BY513" s="386">
        <f t="shared" si="343"/>
        <v>0</v>
      </c>
      <c r="BZ513" s="386">
        <f t="shared" si="344"/>
        <v>0</v>
      </c>
      <c r="CA513" s="386">
        <f t="shared" si="345"/>
        <v>0</v>
      </c>
      <c r="CB513" s="386">
        <f t="shared" si="346"/>
        <v>0</v>
      </c>
      <c r="CC513" s="386">
        <f t="shared" si="328"/>
        <v>0</v>
      </c>
      <c r="CD513" s="386">
        <f t="shared" si="329"/>
        <v>0</v>
      </c>
      <c r="CE513" s="386">
        <f t="shared" si="330"/>
        <v>0</v>
      </c>
      <c r="CF513" s="386">
        <f t="shared" si="331"/>
        <v>-228.91231999999999</v>
      </c>
      <c r="CG513" s="386">
        <f t="shared" si="332"/>
        <v>0</v>
      </c>
      <c r="CH513" s="386">
        <f t="shared" si="333"/>
        <v>4.6716800000000127</v>
      </c>
      <c r="CI513" s="386">
        <f t="shared" si="334"/>
        <v>0</v>
      </c>
      <c r="CJ513" s="386">
        <f t="shared" si="347"/>
        <v>-224.24063999999998</v>
      </c>
      <c r="CK513" s="386" t="str">
        <f t="shared" si="348"/>
        <v/>
      </c>
      <c r="CL513" s="386" t="str">
        <f t="shared" si="349"/>
        <v/>
      </c>
      <c r="CM513" s="386" t="str">
        <f t="shared" si="350"/>
        <v/>
      </c>
      <c r="CN513" s="386" t="str">
        <f t="shared" si="351"/>
        <v>0001-00</v>
      </c>
    </row>
    <row r="514" spans="1:92" ht="15.75" thickBot="1" x14ac:dyDescent="0.3">
      <c r="A514" s="375" t="s">
        <v>161</v>
      </c>
      <c r="B514" s="375" t="s">
        <v>162</v>
      </c>
      <c r="C514" s="375" t="s">
        <v>1835</v>
      </c>
      <c r="D514" s="375" t="s">
        <v>746</v>
      </c>
      <c r="E514" s="375" t="s">
        <v>165</v>
      </c>
      <c r="F514" s="376" t="s">
        <v>166</v>
      </c>
      <c r="G514" s="375" t="s">
        <v>1599</v>
      </c>
      <c r="H514" s="377"/>
      <c r="I514" s="377"/>
      <c r="J514" s="375" t="s">
        <v>168</v>
      </c>
      <c r="K514" s="375" t="s">
        <v>747</v>
      </c>
      <c r="L514" s="375" t="s">
        <v>210</v>
      </c>
      <c r="M514" s="375" t="s">
        <v>177</v>
      </c>
      <c r="N514" s="375" t="s">
        <v>199</v>
      </c>
      <c r="O514" s="378">
        <v>1</v>
      </c>
      <c r="P514" s="384">
        <v>1</v>
      </c>
      <c r="Q514" s="384">
        <v>1</v>
      </c>
      <c r="R514" s="379">
        <v>80</v>
      </c>
      <c r="S514" s="384">
        <v>1</v>
      </c>
      <c r="T514" s="379">
        <v>44321.65</v>
      </c>
      <c r="U514" s="379">
        <v>0</v>
      </c>
      <c r="V514" s="379">
        <v>20695.650000000001</v>
      </c>
      <c r="W514" s="379">
        <v>45905.599999999999</v>
      </c>
      <c r="X514" s="379">
        <v>21449.43</v>
      </c>
      <c r="Y514" s="379">
        <v>45905.599999999999</v>
      </c>
      <c r="Z514" s="379">
        <v>21229.09</v>
      </c>
      <c r="AA514" s="375" t="s">
        <v>1836</v>
      </c>
      <c r="AB514" s="375" t="s">
        <v>1837</v>
      </c>
      <c r="AC514" s="375" t="s">
        <v>442</v>
      </c>
      <c r="AD514" s="375" t="s">
        <v>214</v>
      </c>
      <c r="AE514" s="375" t="s">
        <v>747</v>
      </c>
      <c r="AF514" s="375" t="s">
        <v>215</v>
      </c>
      <c r="AG514" s="375" t="s">
        <v>183</v>
      </c>
      <c r="AH514" s="380">
        <v>22.07</v>
      </c>
      <c r="AI514" s="380">
        <v>47567.8</v>
      </c>
      <c r="AJ514" s="375" t="s">
        <v>184</v>
      </c>
      <c r="AK514" s="375" t="s">
        <v>185</v>
      </c>
      <c r="AL514" s="375" t="s">
        <v>173</v>
      </c>
      <c r="AM514" s="375" t="s">
        <v>186</v>
      </c>
      <c r="AN514" s="375" t="s">
        <v>68</v>
      </c>
      <c r="AO514" s="378">
        <v>80</v>
      </c>
      <c r="AP514" s="384">
        <v>1</v>
      </c>
      <c r="AQ514" s="384">
        <v>1</v>
      </c>
      <c r="AR514" s="383" t="s">
        <v>187</v>
      </c>
      <c r="AS514" s="386">
        <f t="shared" si="335"/>
        <v>1</v>
      </c>
      <c r="AT514">
        <f t="shared" si="336"/>
        <v>1</v>
      </c>
      <c r="AU514" s="386">
        <f>IF(AT514=0,"",IF(AND(AT514=1,M514="F",SUMIF(C2:C557,C514,AS2:AS557)&lt;=1),SUMIF(C2:C557,C514,AS2:AS557),IF(AND(AT514=1,M514="F",SUMIF(C2:C557,C514,AS2:AS557)&gt;1),1,"")))</f>
        <v>1</v>
      </c>
      <c r="AV514" s="386" t="str">
        <f>IF(AT514=0,"",IF(AND(AT514=3,M514="F",SUMIF(C2:C557,C514,AS2:AS557)&lt;=1),SUMIF(C2:C557,C514,AS2:AS557),IF(AND(AT514=3,M514="F",SUMIF(C2:C557,C514,AS2:AS557)&gt;1),1,"")))</f>
        <v/>
      </c>
      <c r="AW514" s="386">
        <f>SUMIF(C2:C557,C514,O2:O557)</f>
        <v>1</v>
      </c>
      <c r="AX514" s="386">
        <f>IF(AND(M514="F",AS514&lt;&gt;0),SUMIF(C2:C557,C514,W2:W557),0)</f>
        <v>45905.599999999999</v>
      </c>
      <c r="AY514" s="386">
        <f t="shared" si="337"/>
        <v>45905.599999999999</v>
      </c>
      <c r="AZ514" s="386" t="str">
        <f t="shared" si="338"/>
        <v/>
      </c>
      <c r="BA514" s="386">
        <f t="shared" si="339"/>
        <v>0</v>
      </c>
      <c r="BB514" s="386">
        <f t="shared" ref="BB514:BB557" si="352">IF(AND(AT514=1,AK514="E",AU514&gt;=0.75,AW514=1),Health,IF(AND(AT514=1,AK514="E",AU514&gt;=0.75),Health*P514,IF(AND(AT514=1,AK514="E",AU514&gt;=0.5,AW514=1),PTHealth,IF(AND(AT514=1,AK514="E",AU514&gt;=0.5),PTHealth*P514,0))))</f>
        <v>11650</v>
      </c>
      <c r="BC514" s="386">
        <f t="shared" ref="BC514:BC557" si="353">IF(AND(AT514=3,AK514="E",AV514&gt;=0.75,AW514=1),Health,IF(AND(AT514=3,AK514="E",AV514&gt;=0.75),Health*P514,IF(AND(AT514=3,AK514="E",AV514&gt;=0.5,AW514=1),PTHealth,IF(AND(AT514=3,AK514="E",AV514&gt;=0.5),PTHealth*P514,0))))</f>
        <v>0</v>
      </c>
      <c r="BD514" s="386">
        <f t="shared" ref="BD514:BD557" si="354">IF(AND(AT514&lt;&gt;0,AX514&gt;=MAXSSDI),SSDI*MAXSSDI*P514,IF(AT514&lt;&gt;0,SSDI*W514,0))</f>
        <v>2846.1471999999999</v>
      </c>
      <c r="BE514" s="386">
        <f t="shared" ref="BE514:BE557" si="355">IF(AT514&lt;&gt;0,SSHI*W514,0)</f>
        <v>665.63120000000004</v>
      </c>
      <c r="BF514" s="386">
        <f t="shared" ref="BF514:BF557" si="356">IF(AND(AT514&lt;&gt;0,AN514&lt;&gt;"NE"),VLOOKUP(AN514,Retirement_Rates,3,FALSE)*W514,0)</f>
        <v>5481.1286399999999</v>
      </c>
      <c r="BG514" s="386">
        <f t="shared" ref="BG514:BG557" si="357">IF(AND(AT514&lt;&gt;0,AJ514&lt;&gt;"PF"),Life*W514,0)</f>
        <v>330.979376</v>
      </c>
      <c r="BH514" s="386">
        <f t="shared" ref="BH514:BH557" si="358">IF(AND(AT514&lt;&gt;0,AM514="Y"),UI*W514,0)</f>
        <v>224.93743999999998</v>
      </c>
      <c r="BI514" s="386">
        <f t="shared" ref="BI514:BI557" si="359">IF(AND(AT514&lt;&gt;0,N514&lt;&gt;"NR"),DHR*W514,0)</f>
        <v>140.47113599999997</v>
      </c>
      <c r="BJ514" s="386">
        <f t="shared" ref="BJ514:BJ557" si="360">IF(AT514&lt;&gt;0,WC*W514,0)</f>
        <v>110.17343999999999</v>
      </c>
      <c r="BK514" s="386">
        <f t="shared" ref="BK514:BK557" si="361">IF(OR(AND(AT514&lt;&gt;0,AJ514&lt;&gt;"PF",AN514&lt;&gt;"NE",AG514&lt;&gt;"A"),AND(AL514="E",OR(AT514=1,AT514=3))),Sick*W514,0)</f>
        <v>0</v>
      </c>
      <c r="BL514" s="386">
        <f t="shared" si="340"/>
        <v>9799.4684319999997</v>
      </c>
      <c r="BM514" s="386">
        <f t="shared" si="341"/>
        <v>0</v>
      </c>
      <c r="BN514" s="386">
        <f t="shared" ref="BN514:BN557" si="362">IF(AND(AT514=1,AK514="E",AU514&gt;=0.75,AW514=1),HealthBY,IF(AND(AT514=1,AK514="E",AU514&gt;=0.75),HealthBY*P514,IF(AND(AT514=1,AK514="E",AU514&gt;=0.5,AW514=1),PTHealthBY,IF(AND(AT514=1,AK514="E",AU514&gt;=0.5),PTHealthBY*P514,0))))</f>
        <v>11650</v>
      </c>
      <c r="BO514" s="386">
        <f t="shared" ref="BO514:BO557" si="363">IF(AND(AT514=3,AK514="E",AV514&gt;=0.75,AW514=1),HealthBY,IF(AND(AT514=3,AK514="E",AV514&gt;=0.75),HealthBY*P514,IF(AND(AT514=3,AK514="E",AV514&gt;=0.5,AW514=1),PTHealthBY,IF(AND(AT514=3,AK514="E",AV514&gt;=0.5),PTHealthBY*P514,0))))</f>
        <v>0</v>
      </c>
      <c r="BP514" s="386">
        <f t="shared" ref="BP514:BP557" si="364">IF(AND(AT514&lt;&gt;0,(AX514+BA514)&gt;=MAXSSDIBY),SSDIBY*MAXSSDIBY*P514,IF(AT514&lt;&gt;0,SSDIBY*W514,0))</f>
        <v>2846.1471999999999</v>
      </c>
      <c r="BQ514" s="386">
        <f t="shared" ref="BQ514:BQ557" si="365">IF(AT514&lt;&gt;0,SSHIBY*W514,0)</f>
        <v>665.63120000000004</v>
      </c>
      <c r="BR514" s="386">
        <f t="shared" ref="BR514:BR557" si="366">IF(AND(AT514&lt;&gt;0,AN514&lt;&gt;"NE"),VLOOKUP(AN514,Retirement_Rates,4,FALSE)*W514,0)</f>
        <v>5481.1286399999999</v>
      </c>
      <c r="BS514" s="386">
        <f t="shared" ref="BS514:BS557" si="367">IF(AND(AT514&lt;&gt;0,AJ514&lt;&gt;"PF"),LifeBY*W514,0)</f>
        <v>330.979376</v>
      </c>
      <c r="BT514" s="386">
        <f t="shared" ref="BT514:BT557" si="368">IF(AND(AT514&lt;&gt;0,AM514="Y"),UIBY*W514,0)</f>
        <v>0</v>
      </c>
      <c r="BU514" s="386">
        <f t="shared" ref="BU514:BU557" si="369">IF(AND(AT514&lt;&gt;0,N514&lt;&gt;"NR"),DHRBY*W514,0)</f>
        <v>140.47113599999997</v>
      </c>
      <c r="BV514" s="386">
        <f t="shared" ref="BV514:BV557" si="370">IF(AT514&lt;&gt;0,WCBY*W514,0)</f>
        <v>114.764</v>
      </c>
      <c r="BW514" s="386">
        <f t="shared" ref="BW514:BW557" si="371">IF(OR(AND(AT514&lt;&gt;0,AJ514&lt;&gt;"PF",AN514&lt;&gt;"NE",AG514&lt;&gt;"A"),AND(AL514="E",OR(AT514=1,AT514=3))),SickBY*W514,0)</f>
        <v>0</v>
      </c>
      <c r="BX514" s="386">
        <f t="shared" si="342"/>
        <v>9579.1215519999987</v>
      </c>
      <c r="BY514" s="386">
        <f t="shared" si="343"/>
        <v>0</v>
      </c>
      <c r="BZ514" s="386">
        <f t="shared" si="344"/>
        <v>0</v>
      </c>
      <c r="CA514" s="386">
        <f t="shared" si="345"/>
        <v>0</v>
      </c>
      <c r="CB514" s="386">
        <f t="shared" si="346"/>
        <v>0</v>
      </c>
      <c r="CC514" s="386">
        <f t="shared" ref="CC514:CC557" si="372">IF(AT514&lt;&gt;0,SSHICHG*Y514,0)</f>
        <v>0</v>
      </c>
      <c r="CD514" s="386">
        <f t="shared" ref="CD514:CD557" si="373">IF(AND(AT514&lt;&gt;0,AN514&lt;&gt;"NE"),VLOOKUP(AN514,Retirement_Rates,5,FALSE)*Y514,0)</f>
        <v>0</v>
      </c>
      <c r="CE514" s="386">
        <f t="shared" ref="CE514:CE557" si="374">IF(AND(AT514&lt;&gt;0,AJ514&lt;&gt;"PF"),LifeCHG*Y514,0)</f>
        <v>0</v>
      </c>
      <c r="CF514" s="386">
        <f t="shared" ref="CF514:CF557" si="375">IF(AND(AT514&lt;&gt;0,AM514="Y"),UICHG*Y514,0)</f>
        <v>-224.93743999999998</v>
      </c>
      <c r="CG514" s="386">
        <f t="shared" ref="CG514:CG557" si="376">IF(AND(AT514&lt;&gt;0,N514&lt;&gt;"NR"),DHRCHG*Y514,0)</f>
        <v>0</v>
      </c>
      <c r="CH514" s="386">
        <f t="shared" ref="CH514:CH557" si="377">IF(AT514&lt;&gt;0,WCCHG*Y514,0)</f>
        <v>4.5905600000000115</v>
      </c>
      <c r="CI514" s="386">
        <f t="shared" ref="CI514:CI557" si="378">IF(OR(AND(AT514&lt;&gt;0,AJ514&lt;&gt;"PF",AN514&lt;&gt;"NE",AG514&lt;&gt;"A"),AND(AL514="E",OR(AT514=1,AT514=3))),SickCHG*Y514,0)</f>
        <v>0</v>
      </c>
      <c r="CJ514" s="386">
        <f t="shared" si="347"/>
        <v>-220.34687999999997</v>
      </c>
      <c r="CK514" s="386" t="str">
        <f t="shared" si="348"/>
        <v/>
      </c>
      <c r="CL514" s="386" t="str">
        <f t="shared" si="349"/>
        <v/>
      </c>
      <c r="CM514" s="386" t="str">
        <f t="shared" si="350"/>
        <v/>
      </c>
      <c r="CN514" s="386" t="str">
        <f t="shared" si="351"/>
        <v>0001-00</v>
      </c>
    </row>
    <row r="515" spans="1:92" ht="15.75" thickBot="1" x14ac:dyDescent="0.3">
      <c r="A515" s="375" t="s">
        <v>161</v>
      </c>
      <c r="B515" s="375" t="s">
        <v>162</v>
      </c>
      <c r="C515" s="375" t="s">
        <v>1838</v>
      </c>
      <c r="D515" s="375" t="s">
        <v>1598</v>
      </c>
      <c r="E515" s="375" t="s">
        <v>165</v>
      </c>
      <c r="F515" s="376" t="s">
        <v>166</v>
      </c>
      <c r="G515" s="375" t="s">
        <v>1599</v>
      </c>
      <c r="H515" s="377"/>
      <c r="I515" s="377"/>
      <c r="J515" s="375" t="s">
        <v>168</v>
      </c>
      <c r="K515" s="375" t="s">
        <v>1600</v>
      </c>
      <c r="L515" s="375" t="s">
        <v>233</v>
      </c>
      <c r="M515" s="375" t="s">
        <v>171</v>
      </c>
      <c r="N515" s="375" t="s">
        <v>199</v>
      </c>
      <c r="O515" s="378">
        <v>0</v>
      </c>
      <c r="P515" s="384">
        <v>1</v>
      </c>
      <c r="Q515" s="384">
        <v>1</v>
      </c>
      <c r="R515" s="379">
        <v>80</v>
      </c>
      <c r="S515" s="384">
        <v>1</v>
      </c>
      <c r="T515" s="379">
        <v>9857.35</v>
      </c>
      <c r="U515" s="379">
        <v>0</v>
      </c>
      <c r="V515" s="379">
        <v>4384.8100000000004</v>
      </c>
      <c r="W515" s="379">
        <v>42328</v>
      </c>
      <c r="X515" s="379">
        <v>18539.66</v>
      </c>
      <c r="Y515" s="379">
        <v>42328</v>
      </c>
      <c r="Z515" s="379">
        <v>18328.02</v>
      </c>
      <c r="AA515" s="377"/>
      <c r="AB515" s="375" t="s">
        <v>45</v>
      </c>
      <c r="AC515" s="375" t="s">
        <v>45</v>
      </c>
      <c r="AD515" s="377"/>
      <c r="AE515" s="377"/>
      <c r="AF515" s="377"/>
      <c r="AG515" s="377"/>
      <c r="AH515" s="378">
        <v>0</v>
      </c>
      <c r="AI515" s="378">
        <v>0</v>
      </c>
      <c r="AJ515" s="377"/>
      <c r="AK515" s="377"/>
      <c r="AL515" s="375" t="s">
        <v>173</v>
      </c>
      <c r="AM515" s="377"/>
      <c r="AN515" s="377"/>
      <c r="AO515" s="378">
        <v>0</v>
      </c>
      <c r="AP515" s="384">
        <v>0</v>
      </c>
      <c r="AQ515" s="384">
        <v>0</v>
      </c>
      <c r="AR515" s="382"/>
      <c r="AS515" s="386">
        <f t="shared" ref="AS515:AS557" si="379">IF(((AO515/80)*AP515*P515)&gt;1,AQ515,((AO515/80)*AP515*P515))</f>
        <v>0</v>
      </c>
      <c r="AT515">
        <f t="shared" ref="AT515:AT557" si="380">IF(AND(M515="F",N515&lt;&gt;"NG",AS515&lt;&gt;0,AND(AR515&lt;&gt;6,AR515&lt;&gt;36,AR515&lt;&gt;56),AG515&lt;&gt;"A",OR(AG515="H",AJ515="FS")),1,IF(AND(M515="F",N515&lt;&gt;"NG",AS515&lt;&gt;0,AG515="A"),3,0))</f>
        <v>0</v>
      </c>
      <c r="AU515" s="386" t="str">
        <f>IF(AT515=0,"",IF(AND(AT515=1,M515="F",SUMIF(C2:C557,C515,AS2:AS557)&lt;=1),SUMIF(C2:C557,C515,AS2:AS557),IF(AND(AT515=1,M515="F",SUMIF(C2:C557,C515,AS2:AS557)&gt;1),1,"")))</f>
        <v/>
      </c>
      <c r="AV515" s="386" t="str">
        <f>IF(AT515=0,"",IF(AND(AT515=3,M515="F",SUMIF(C2:C557,C515,AS2:AS557)&lt;=1),SUMIF(C2:C557,C515,AS2:AS557),IF(AND(AT515=3,M515="F",SUMIF(C2:C557,C515,AS2:AS557)&gt;1),1,"")))</f>
        <v/>
      </c>
      <c r="AW515" s="386">
        <f>SUMIF(C2:C557,C515,O2:O557)</f>
        <v>0</v>
      </c>
      <c r="AX515" s="386">
        <f>IF(AND(M515="F",AS515&lt;&gt;0),SUMIF(C2:C557,C515,W2:W557),0)</f>
        <v>0</v>
      </c>
      <c r="AY515" s="386" t="str">
        <f t="shared" ref="AY515:AY557" si="381">IF(AT515=1,W515,"")</f>
        <v/>
      </c>
      <c r="AZ515" s="386" t="str">
        <f t="shared" ref="AZ515:AZ557" si="382">IF(AT515=3,W515,"")</f>
        <v/>
      </c>
      <c r="BA515" s="386">
        <f t="shared" ref="BA515:BA557" si="383">IF(AT515=1,Y515-W515,0)</f>
        <v>0</v>
      </c>
      <c r="BB515" s="386">
        <f t="shared" si="352"/>
        <v>0</v>
      </c>
      <c r="BC515" s="386">
        <f t="shared" si="353"/>
        <v>0</v>
      </c>
      <c r="BD515" s="386">
        <f t="shared" si="354"/>
        <v>0</v>
      </c>
      <c r="BE515" s="386">
        <f t="shared" si="355"/>
        <v>0</v>
      </c>
      <c r="BF515" s="386">
        <f t="shared" si="356"/>
        <v>0</v>
      </c>
      <c r="BG515" s="386">
        <f t="shared" si="357"/>
        <v>0</v>
      </c>
      <c r="BH515" s="386">
        <f t="shared" si="358"/>
        <v>0</v>
      </c>
      <c r="BI515" s="386">
        <f t="shared" si="359"/>
        <v>0</v>
      </c>
      <c r="BJ515" s="386">
        <f t="shared" si="360"/>
        <v>0</v>
      </c>
      <c r="BK515" s="386">
        <f t="shared" si="361"/>
        <v>0</v>
      </c>
      <c r="BL515" s="386">
        <f t="shared" ref="BL515:BL557" si="384">IF(AT515=1,SUM(BD515:BK515),0)</f>
        <v>0</v>
      </c>
      <c r="BM515" s="386">
        <f t="shared" ref="BM515:BM557" si="385">IF(AT515=3,SUM(BD515:BK515),0)</f>
        <v>0</v>
      </c>
      <c r="BN515" s="386">
        <f t="shared" si="362"/>
        <v>0</v>
      </c>
      <c r="BO515" s="386">
        <f t="shared" si="363"/>
        <v>0</v>
      </c>
      <c r="BP515" s="386">
        <f t="shared" si="364"/>
        <v>0</v>
      </c>
      <c r="BQ515" s="386">
        <f t="shared" si="365"/>
        <v>0</v>
      </c>
      <c r="BR515" s="386">
        <f t="shared" si="366"/>
        <v>0</v>
      </c>
      <c r="BS515" s="386">
        <f t="shared" si="367"/>
        <v>0</v>
      </c>
      <c r="BT515" s="386">
        <f t="shared" si="368"/>
        <v>0</v>
      </c>
      <c r="BU515" s="386">
        <f t="shared" si="369"/>
        <v>0</v>
      </c>
      <c r="BV515" s="386">
        <f t="shared" si="370"/>
        <v>0</v>
      </c>
      <c r="BW515" s="386">
        <f t="shared" si="371"/>
        <v>0</v>
      </c>
      <c r="BX515" s="386">
        <f t="shared" ref="BX515:BX557" si="386">IF(AT515=1,SUM(BP515:BW515),0)</f>
        <v>0</v>
      </c>
      <c r="BY515" s="386">
        <f t="shared" ref="BY515:BY557" si="387">IF(AT515=3,SUM(BP515:BW515),0)</f>
        <v>0</v>
      </c>
      <c r="BZ515" s="386">
        <f t="shared" ref="BZ515:BZ557" si="388">IF(AT515=1,BN515-BB515,0)</f>
        <v>0</v>
      </c>
      <c r="CA515" s="386">
        <f t="shared" ref="CA515:CA557" si="389">IF(AT515=3,BO515-BC515,0)</f>
        <v>0</v>
      </c>
      <c r="CB515" s="386">
        <f t="shared" ref="CB515:CB557" si="390">BP515-BD515</f>
        <v>0</v>
      </c>
      <c r="CC515" s="386">
        <f t="shared" si="372"/>
        <v>0</v>
      </c>
      <c r="CD515" s="386">
        <f t="shared" si="373"/>
        <v>0</v>
      </c>
      <c r="CE515" s="386">
        <f t="shared" si="374"/>
        <v>0</v>
      </c>
      <c r="CF515" s="386">
        <f t="shared" si="375"/>
        <v>0</v>
      </c>
      <c r="CG515" s="386">
        <f t="shared" si="376"/>
        <v>0</v>
      </c>
      <c r="CH515" s="386">
        <f t="shared" si="377"/>
        <v>0</v>
      </c>
      <c r="CI515" s="386">
        <f t="shared" si="378"/>
        <v>0</v>
      </c>
      <c r="CJ515" s="386">
        <f t="shared" ref="CJ515:CJ557" si="391">IF(AT515=1,SUM(CB515:CI515),0)</f>
        <v>0</v>
      </c>
      <c r="CK515" s="386" t="str">
        <f t="shared" ref="CK515:CK557" si="392">IF(AT515=3,SUM(CB515:CI515),"")</f>
        <v/>
      </c>
      <c r="CL515" s="386" t="str">
        <f t="shared" ref="CL515:CL557" si="393">IF(OR(N515="NG",AG515="D"),(T515+U515),"")</f>
        <v/>
      </c>
      <c r="CM515" s="386" t="str">
        <f t="shared" ref="CM515:CM557" si="394">IF(OR(N515="NG",AG515="D"),V515,"")</f>
        <v/>
      </c>
      <c r="CN515" s="386" t="str">
        <f t="shared" ref="CN515:CN557" si="395">E515 &amp; "-" &amp; F515</f>
        <v>0001-00</v>
      </c>
    </row>
    <row r="516" spans="1:92" ht="15.75" thickBot="1" x14ac:dyDescent="0.3">
      <c r="A516" s="375" t="s">
        <v>161</v>
      </c>
      <c r="B516" s="375" t="s">
        <v>162</v>
      </c>
      <c r="C516" s="375" t="s">
        <v>1839</v>
      </c>
      <c r="D516" s="375" t="s">
        <v>1321</v>
      </c>
      <c r="E516" s="375" t="s">
        <v>165</v>
      </c>
      <c r="F516" s="376" t="s">
        <v>166</v>
      </c>
      <c r="G516" s="375" t="s">
        <v>1599</v>
      </c>
      <c r="H516" s="377"/>
      <c r="I516" s="377"/>
      <c r="J516" s="375" t="s">
        <v>168</v>
      </c>
      <c r="K516" s="375" t="s">
        <v>1322</v>
      </c>
      <c r="L516" s="375" t="s">
        <v>170</v>
      </c>
      <c r="M516" s="375" t="s">
        <v>177</v>
      </c>
      <c r="N516" s="375" t="s">
        <v>199</v>
      </c>
      <c r="O516" s="378">
        <v>1</v>
      </c>
      <c r="P516" s="384">
        <v>1</v>
      </c>
      <c r="Q516" s="384">
        <v>1</v>
      </c>
      <c r="R516" s="379">
        <v>80</v>
      </c>
      <c r="S516" s="384">
        <v>1</v>
      </c>
      <c r="T516" s="379">
        <v>57473.599999999999</v>
      </c>
      <c r="U516" s="379">
        <v>0</v>
      </c>
      <c r="V516" s="379">
        <v>23305.91</v>
      </c>
      <c r="W516" s="379">
        <v>59550.400000000001</v>
      </c>
      <c r="X516" s="379">
        <v>24362.19</v>
      </c>
      <c r="Y516" s="379">
        <v>59550.400000000001</v>
      </c>
      <c r="Z516" s="379">
        <v>24076.35</v>
      </c>
      <c r="AA516" s="375" t="s">
        <v>1840</v>
      </c>
      <c r="AB516" s="375" t="s">
        <v>871</v>
      </c>
      <c r="AC516" s="375" t="s">
        <v>205</v>
      </c>
      <c r="AD516" s="375" t="s">
        <v>220</v>
      </c>
      <c r="AE516" s="375" t="s">
        <v>1322</v>
      </c>
      <c r="AF516" s="375" t="s">
        <v>269</v>
      </c>
      <c r="AG516" s="375" t="s">
        <v>183</v>
      </c>
      <c r="AH516" s="380">
        <v>28.63</v>
      </c>
      <c r="AI516" s="380">
        <v>22415.200000000001</v>
      </c>
      <c r="AJ516" s="375" t="s">
        <v>184</v>
      </c>
      <c r="AK516" s="375" t="s">
        <v>185</v>
      </c>
      <c r="AL516" s="375" t="s">
        <v>173</v>
      </c>
      <c r="AM516" s="375" t="s">
        <v>186</v>
      </c>
      <c r="AN516" s="375" t="s">
        <v>68</v>
      </c>
      <c r="AO516" s="378">
        <v>80</v>
      </c>
      <c r="AP516" s="384">
        <v>1</v>
      </c>
      <c r="AQ516" s="384">
        <v>1</v>
      </c>
      <c r="AR516" s="383" t="s">
        <v>187</v>
      </c>
      <c r="AS516" s="386">
        <f t="shared" si="379"/>
        <v>1</v>
      </c>
      <c r="AT516">
        <f t="shared" si="380"/>
        <v>1</v>
      </c>
      <c r="AU516" s="386">
        <f>IF(AT516=0,"",IF(AND(AT516=1,M516="F",SUMIF(C2:C557,C516,AS2:AS557)&lt;=1),SUMIF(C2:C557,C516,AS2:AS557),IF(AND(AT516=1,M516="F",SUMIF(C2:C557,C516,AS2:AS557)&gt;1),1,"")))</f>
        <v>1</v>
      </c>
      <c r="AV516" s="386" t="str">
        <f>IF(AT516=0,"",IF(AND(AT516=3,M516="F",SUMIF(C2:C557,C516,AS2:AS557)&lt;=1),SUMIF(C2:C557,C516,AS2:AS557),IF(AND(AT516=3,M516="F",SUMIF(C2:C557,C516,AS2:AS557)&gt;1),1,"")))</f>
        <v/>
      </c>
      <c r="AW516" s="386">
        <f>SUMIF(C2:C557,C516,O2:O557)</f>
        <v>1</v>
      </c>
      <c r="AX516" s="386">
        <f>IF(AND(M516="F",AS516&lt;&gt;0),SUMIF(C2:C557,C516,W2:W557),0)</f>
        <v>59550.400000000001</v>
      </c>
      <c r="AY516" s="386">
        <f t="shared" si="381"/>
        <v>59550.400000000001</v>
      </c>
      <c r="AZ516" s="386" t="str">
        <f t="shared" si="382"/>
        <v/>
      </c>
      <c r="BA516" s="386">
        <f t="shared" si="383"/>
        <v>0</v>
      </c>
      <c r="BB516" s="386">
        <f t="shared" si="352"/>
        <v>11650</v>
      </c>
      <c r="BC516" s="386">
        <f t="shared" si="353"/>
        <v>0</v>
      </c>
      <c r="BD516" s="386">
        <f t="shared" si="354"/>
        <v>3692.1248000000001</v>
      </c>
      <c r="BE516" s="386">
        <f t="shared" si="355"/>
        <v>863.48080000000004</v>
      </c>
      <c r="BF516" s="386">
        <f t="shared" si="356"/>
        <v>7110.3177600000008</v>
      </c>
      <c r="BG516" s="386">
        <f t="shared" si="357"/>
        <v>429.358384</v>
      </c>
      <c r="BH516" s="386">
        <f t="shared" si="358"/>
        <v>291.79696000000001</v>
      </c>
      <c r="BI516" s="386">
        <f t="shared" si="359"/>
        <v>182.22422399999999</v>
      </c>
      <c r="BJ516" s="386">
        <f t="shared" si="360"/>
        <v>142.92095999999998</v>
      </c>
      <c r="BK516" s="386">
        <f t="shared" si="361"/>
        <v>0</v>
      </c>
      <c r="BL516" s="386">
        <f t="shared" si="384"/>
        <v>12712.223887999999</v>
      </c>
      <c r="BM516" s="386">
        <f t="shared" si="385"/>
        <v>0</v>
      </c>
      <c r="BN516" s="386">
        <f t="shared" si="362"/>
        <v>11650</v>
      </c>
      <c r="BO516" s="386">
        <f t="shared" si="363"/>
        <v>0</v>
      </c>
      <c r="BP516" s="386">
        <f t="shared" si="364"/>
        <v>3692.1248000000001</v>
      </c>
      <c r="BQ516" s="386">
        <f t="shared" si="365"/>
        <v>863.48080000000004</v>
      </c>
      <c r="BR516" s="386">
        <f t="shared" si="366"/>
        <v>7110.3177600000008</v>
      </c>
      <c r="BS516" s="386">
        <f t="shared" si="367"/>
        <v>429.358384</v>
      </c>
      <c r="BT516" s="386">
        <f t="shared" si="368"/>
        <v>0</v>
      </c>
      <c r="BU516" s="386">
        <f t="shared" si="369"/>
        <v>182.22422399999999</v>
      </c>
      <c r="BV516" s="386">
        <f t="shared" si="370"/>
        <v>148.876</v>
      </c>
      <c r="BW516" s="386">
        <f t="shared" si="371"/>
        <v>0</v>
      </c>
      <c r="BX516" s="386">
        <f t="shared" si="386"/>
        <v>12426.381968</v>
      </c>
      <c r="BY516" s="386">
        <f t="shared" si="387"/>
        <v>0</v>
      </c>
      <c r="BZ516" s="386">
        <f t="shared" si="388"/>
        <v>0</v>
      </c>
      <c r="CA516" s="386">
        <f t="shared" si="389"/>
        <v>0</v>
      </c>
      <c r="CB516" s="386">
        <f t="shared" si="390"/>
        <v>0</v>
      </c>
      <c r="CC516" s="386">
        <f t="shared" si="372"/>
        <v>0</v>
      </c>
      <c r="CD516" s="386">
        <f t="shared" si="373"/>
        <v>0</v>
      </c>
      <c r="CE516" s="386">
        <f t="shared" si="374"/>
        <v>0</v>
      </c>
      <c r="CF516" s="386">
        <f t="shared" si="375"/>
        <v>-291.79696000000001</v>
      </c>
      <c r="CG516" s="386">
        <f t="shared" si="376"/>
        <v>0</v>
      </c>
      <c r="CH516" s="386">
        <f t="shared" si="377"/>
        <v>5.9550400000000154</v>
      </c>
      <c r="CI516" s="386">
        <f t="shared" si="378"/>
        <v>0</v>
      </c>
      <c r="CJ516" s="386">
        <f t="shared" si="391"/>
        <v>-285.84192000000002</v>
      </c>
      <c r="CK516" s="386" t="str">
        <f t="shared" si="392"/>
        <v/>
      </c>
      <c r="CL516" s="386" t="str">
        <f t="shared" si="393"/>
        <v/>
      </c>
      <c r="CM516" s="386" t="str">
        <f t="shared" si="394"/>
        <v/>
      </c>
      <c r="CN516" s="386" t="str">
        <f t="shared" si="395"/>
        <v>0001-00</v>
      </c>
    </row>
    <row r="517" spans="1:92" ht="15.75" thickBot="1" x14ac:dyDescent="0.3">
      <c r="A517" s="375" t="s">
        <v>161</v>
      </c>
      <c r="B517" s="375" t="s">
        <v>162</v>
      </c>
      <c r="C517" s="375" t="s">
        <v>1841</v>
      </c>
      <c r="D517" s="375" t="s">
        <v>1598</v>
      </c>
      <c r="E517" s="375" t="s">
        <v>165</v>
      </c>
      <c r="F517" s="376" t="s">
        <v>166</v>
      </c>
      <c r="G517" s="375" t="s">
        <v>1599</v>
      </c>
      <c r="H517" s="377"/>
      <c r="I517" s="377"/>
      <c r="J517" s="375" t="s">
        <v>168</v>
      </c>
      <c r="K517" s="375" t="s">
        <v>1600</v>
      </c>
      <c r="L517" s="375" t="s">
        <v>233</v>
      </c>
      <c r="M517" s="375" t="s">
        <v>177</v>
      </c>
      <c r="N517" s="375" t="s">
        <v>199</v>
      </c>
      <c r="O517" s="378">
        <v>1</v>
      </c>
      <c r="P517" s="384">
        <v>1</v>
      </c>
      <c r="Q517" s="384">
        <v>1</v>
      </c>
      <c r="R517" s="379">
        <v>80</v>
      </c>
      <c r="S517" s="384">
        <v>1</v>
      </c>
      <c r="T517" s="379">
        <v>30610.38</v>
      </c>
      <c r="U517" s="379">
        <v>0</v>
      </c>
      <c r="V517" s="379">
        <v>16423.759999999998</v>
      </c>
      <c r="W517" s="379">
        <v>39582.400000000001</v>
      </c>
      <c r="X517" s="379">
        <v>20099.61</v>
      </c>
      <c r="Y517" s="379">
        <v>39582.400000000001</v>
      </c>
      <c r="Z517" s="379">
        <v>19909.62</v>
      </c>
      <c r="AA517" s="375" t="s">
        <v>1842</v>
      </c>
      <c r="AB517" s="375" t="s">
        <v>1843</v>
      </c>
      <c r="AC517" s="375" t="s">
        <v>1844</v>
      </c>
      <c r="AD517" s="375" t="s">
        <v>181</v>
      </c>
      <c r="AE517" s="375" t="s">
        <v>1600</v>
      </c>
      <c r="AF517" s="375" t="s">
        <v>237</v>
      </c>
      <c r="AG517" s="375" t="s">
        <v>183</v>
      </c>
      <c r="AH517" s="380">
        <v>19.03</v>
      </c>
      <c r="AI517" s="378">
        <v>1280</v>
      </c>
      <c r="AJ517" s="375" t="s">
        <v>184</v>
      </c>
      <c r="AK517" s="375" t="s">
        <v>185</v>
      </c>
      <c r="AL517" s="375" t="s">
        <v>173</v>
      </c>
      <c r="AM517" s="375" t="s">
        <v>186</v>
      </c>
      <c r="AN517" s="375" t="s">
        <v>68</v>
      </c>
      <c r="AO517" s="378">
        <v>80</v>
      </c>
      <c r="AP517" s="384">
        <v>1</v>
      </c>
      <c r="AQ517" s="384">
        <v>1</v>
      </c>
      <c r="AR517" s="383" t="s">
        <v>187</v>
      </c>
      <c r="AS517" s="386">
        <f t="shared" si="379"/>
        <v>1</v>
      </c>
      <c r="AT517">
        <f t="shared" si="380"/>
        <v>1</v>
      </c>
      <c r="AU517" s="386">
        <f>IF(AT517=0,"",IF(AND(AT517=1,M517="F",SUMIF(C2:C557,C517,AS2:AS557)&lt;=1),SUMIF(C2:C557,C517,AS2:AS557),IF(AND(AT517=1,M517="F",SUMIF(C2:C557,C517,AS2:AS557)&gt;1),1,"")))</f>
        <v>1</v>
      </c>
      <c r="AV517" s="386" t="str">
        <f>IF(AT517=0,"",IF(AND(AT517=3,M517="F",SUMIF(C2:C557,C517,AS2:AS557)&lt;=1),SUMIF(C2:C557,C517,AS2:AS557),IF(AND(AT517=3,M517="F",SUMIF(C2:C557,C517,AS2:AS557)&gt;1),1,"")))</f>
        <v/>
      </c>
      <c r="AW517" s="386">
        <f>SUMIF(C2:C557,C517,O2:O557)</f>
        <v>1</v>
      </c>
      <c r="AX517" s="386">
        <f>IF(AND(M517="F",AS517&lt;&gt;0),SUMIF(C2:C557,C517,W2:W557),0)</f>
        <v>39582.400000000001</v>
      </c>
      <c r="AY517" s="386">
        <f t="shared" si="381"/>
        <v>39582.400000000001</v>
      </c>
      <c r="AZ517" s="386" t="str">
        <f t="shared" si="382"/>
        <v/>
      </c>
      <c r="BA517" s="386">
        <f t="shared" si="383"/>
        <v>0</v>
      </c>
      <c r="BB517" s="386">
        <f t="shared" si="352"/>
        <v>11650</v>
      </c>
      <c r="BC517" s="386">
        <f t="shared" si="353"/>
        <v>0</v>
      </c>
      <c r="BD517" s="386">
        <f t="shared" si="354"/>
        <v>2454.1088</v>
      </c>
      <c r="BE517" s="386">
        <f t="shared" si="355"/>
        <v>573.9448000000001</v>
      </c>
      <c r="BF517" s="386">
        <f t="shared" si="356"/>
        <v>4726.1385600000003</v>
      </c>
      <c r="BG517" s="386">
        <f t="shared" si="357"/>
        <v>285.38910400000003</v>
      </c>
      <c r="BH517" s="386">
        <f t="shared" si="358"/>
        <v>193.95375999999999</v>
      </c>
      <c r="BI517" s="386">
        <f t="shared" si="359"/>
        <v>121.12214399999999</v>
      </c>
      <c r="BJ517" s="386">
        <f t="shared" si="360"/>
        <v>94.99776</v>
      </c>
      <c r="BK517" s="386">
        <f t="shared" si="361"/>
        <v>0</v>
      </c>
      <c r="BL517" s="386">
        <f t="shared" si="384"/>
        <v>8449.6549280000017</v>
      </c>
      <c r="BM517" s="386">
        <f t="shared" si="385"/>
        <v>0</v>
      </c>
      <c r="BN517" s="386">
        <f t="shared" si="362"/>
        <v>11650</v>
      </c>
      <c r="BO517" s="386">
        <f t="shared" si="363"/>
        <v>0</v>
      </c>
      <c r="BP517" s="386">
        <f t="shared" si="364"/>
        <v>2454.1088</v>
      </c>
      <c r="BQ517" s="386">
        <f t="shared" si="365"/>
        <v>573.9448000000001</v>
      </c>
      <c r="BR517" s="386">
        <f t="shared" si="366"/>
        <v>4726.1385600000003</v>
      </c>
      <c r="BS517" s="386">
        <f t="shared" si="367"/>
        <v>285.38910400000003</v>
      </c>
      <c r="BT517" s="386">
        <f t="shared" si="368"/>
        <v>0</v>
      </c>
      <c r="BU517" s="386">
        <f t="shared" si="369"/>
        <v>121.12214399999999</v>
      </c>
      <c r="BV517" s="386">
        <f t="shared" si="370"/>
        <v>98.956000000000003</v>
      </c>
      <c r="BW517" s="386">
        <f t="shared" si="371"/>
        <v>0</v>
      </c>
      <c r="BX517" s="386">
        <f t="shared" si="386"/>
        <v>8259.6594079999995</v>
      </c>
      <c r="BY517" s="386">
        <f t="shared" si="387"/>
        <v>0</v>
      </c>
      <c r="BZ517" s="386">
        <f t="shared" si="388"/>
        <v>0</v>
      </c>
      <c r="CA517" s="386">
        <f t="shared" si="389"/>
        <v>0</v>
      </c>
      <c r="CB517" s="386">
        <f t="shared" si="390"/>
        <v>0</v>
      </c>
      <c r="CC517" s="386">
        <f t="shared" si="372"/>
        <v>0</v>
      </c>
      <c r="CD517" s="386">
        <f t="shared" si="373"/>
        <v>0</v>
      </c>
      <c r="CE517" s="386">
        <f t="shared" si="374"/>
        <v>0</v>
      </c>
      <c r="CF517" s="386">
        <f t="shared" si="375"/>
        <v>-193.95375999999999</v>
      </c>
      <c r="CG517" s="386">
        <f t="shared" si="376"/>
        <v>0</v>
      </c>
      <c r="CH517" s="386">
        <f t="shared" si="377"/>
        <v>3.9582400000000106</v>
      </c>
      <c r="CI517" s="386">
        <f t="shared" si="378"/>
        <v>0</v>
      </c>
      <c r="CJ517" s="386">
        <f t="shared" si="391"/>
        <v>-189.99551999999997</v>
      </c>
      <c r="CK517" s="386" t="str">
        <f t="shared" si="392"/>
        <v/>
      </c>
      <c r="CL517" s="386" t="str">
        <f t="shared" si="393"/>
        <v/>
      </c>
      <c r="CM517" s="386" t="str">
        <f t="shared" si="394"/>
        <v/>
      </c>
      <c r="CN517" s="386" t="str">
        <f t="shared" si="395"/>
        <v>0001-00</v>
      </c>
    </row>
    <row r="518" spans="1:92" ht="15.75" thickBot="1" x14ac:dyDescent="0.3">
      <c r="A518" s="375" t="s">
        <v>161</v>
      </c>
      <c r="B518" s="375" t="s">
        <v>162</v>
      </c>
      <c r="C518" s="375" t="s">
        <v>1845</v>
      </c>
      <c r="D518" s="375" t="s">
        <v>1598</v>
      </c>
      <c r="E518" s="375" t="s">
        <v>165</v>
      </c>
      <c r="F518" s="376" t="s">
        <v>166</v>
      </c>
      <c r="G518" s="375" t="s">
        <v>1599</v>
      </c>
      <c r="H518" s="377"/>
      <c r="I518" s="377"/>
      <c r="J518" s="375" t="s">
        <v>168</v>
      </c>
      <c r="K518" s="375" t="s">
        <v>1600</v>
      </c>
      <c r="L518" s="375" t="s">
        <v>233</v>
      </c>
      <c r="M518" s="375" t="s">
        <v>171</v>
      </c>
      <c r="N518" s="375" t="s">
        <v>199</v>
      </c>
      <c r="O518" s="378">
        <v>0</v>
      </c>
      <c r="P518" s="384">
        <v>1</v>
      </c>
      <c r="Q518" s="384">
        <v>1</v>
      </c>
      <c r="R518" s="379">
        <v>80</v>
      </c>
      <c r="S518" s="384">
        <v>1</v>
      </c>
      <c r="T518" s="379">
        <v>20903.2</v>
      </c>
      <c r="U518" s="379">
        <v>0</v>
      </c>
      <c r="V518" s="379">
        <v>13056.97</v>
      </c>
      <c r="W518" s="379">
        <v>42328</v>
      </c>
      <c r="X518" s="379">
        <v>18539.66</v>
      </c>
      <c r="Y518" s="379">
        <v>42328</v>
      </c>
      <c r="Z518" s="379">
        <v>18328.02</v>
      </c>
      <c r="AA518" s="377"/>
      <c r="AB518" s="375" t="s">
        <v>45</v>
      </c>
      <c r="AC518" s="375" t="s">
        <v>45</v>
      </c>
      <c r="AD518" s="377"/>
      <c r="AE518" s="377"/>
      <c r="AF518" s="377"/>
      <c r="AG518" s="377"/>
      <c r="AH518" s="378">
        <v>0</v>
      </c>
      <c r="AI518" s="378">
        <v>0</v>
      </c>
      <c r="AJ518" s="377"/>
      <c r="AK518" s="377"/>
      <c r="AL518" s="375" t="s">
        <v>173</v>
      </c>
      <c r="AM518" s="377"/>
      <c r="AN518" s="377"/>
      <c r="AO518" s="378">
        <v>0</v>
      </c>
      <c r="AP518" s="384">
        <v>0</v>
      </c>
      <c r="AQ518" s="384">
        <v>0</v>
      </c>
      <c r="AR518" s="382"/>
      <c r="AS518" s="386">
        <f t="shared" si="379"/>
        <v>0</v>
      </c>
      <c r="AT518">
        <f t="shared" si="380"/>
        <v>0</v>
      </c>
      <c r="AU518" s="386" t="str">
        <f>IF(AT518=0,"",IF(AND(AT518=1,M518="F",SUMIF(C2:C557,C518,AS2:AS557)&lt;=1),SUMIF(C2:C557,C518,AS2:AS557),IF(AND(AT518=1,M518="F",SUMIF(C2:C557,C518,AS2:AS557)&gt;1),1,"")))</f>
        <v/>
      </c>
      <c r="AV518" s="386" t="str">
        <f>IF(AT518=0,"",IF(AND(AT518=3,M518="F",SUMIF(C2:C557,C518,AS2:AS557)&lt;=1),SUMIF(C2:C557,C518,AS2:AS557),IF(AND(AT518=3,M518="F",SUMIF(C2:C557,C518,AS2:AS557)&gt;1),1,"")))</f>
        <v/>
      </c>
      <c r="AW518" s="386">
        <f>SUMIF(C2:C557,C518,O2:O557)</f>
        <v>0</v>
      </c>
      <c r="AX518" s="386">
        <f>IF(AND(M518="F",AS518&lt;&gt;0),SUMIF(C2:C557,C518,W2:W557),0)</f>
        <v>0</v>
      </c>
      <c r="AY518" s="386" t="str">
        <f t="shared" si="381"/>
        <v/>
      </c>
      <c r="AZ518" s="386" t="str">
        <f t="shared" si="382"/>
        <v/>
      </c>
      <c r="BA518" s="386">
        <f t="shared" si="383"/>
        <v>0</v>
      </c>
      <c r="BB518" s="386">
        <f t="shared" si="352"/>
        <v>0</v>
      </c>
      <c r="BC518" s="386">
        <f t="shared" si="353"/>
        <v>0</v>
      </c>
      <c r="BD518" s="386">
        <f t="shared" si="354"/>
        <v>0</v>
      </c>
      <c r="BE518" s="386">
        <f t="shared" si="355"/>
        <v>0</v>
      </c>
      <c r="BF518" s="386">
        <f t="shared" si="356"/>
        <v>0</v>
      </c>
      <c r="BG518" s="386">
        <f t="shared" si="357"/>
        <v>0</v>
      </c>
      <c r="BH518" s="386">
        <f t="shared" si="358"/>
        <v>0</v>
      </c>
      <c r="BI518" s="386">
        <f t="shared" si="359"/>
        <v>0</v>
      </c>
      <c r="BJ518" s="386">
        <f t="shared" si="360"/>
        <v>0</v>
      </c>
      <c r="BK518" s="386">
        <f t="shared" si="361"/>
        <v>0</v>
      </c>
      <c r="BL518" s="386">
        <f t="shared" si="384"/>
        <v>0</v>
      </c>
      <c r="BM518" s="386">
        <f t="shared" si="385"/>
        <v>0</v>
      </c>
      <c r="BN518" s="386">
        <f t="shared" si="362"/>
        <v>0</v>
      </c>
      <c r="BO518" s="386">
        <f t="shared" si="363"/>
        <v>0</v>
      </c>
      <c r="BP518" s="386">
        <f t="shared" si="364"/>
        <v>0</v>
      </c>
      <c r="BQ518" s="386">
        <f t="shared" si="365"/>
        <v>0</v>
      </c>
      <c r="BR518" s="386">
        <f t="shared" si="366"/>
        <v>0</v>
      </c>
      <c r="BS518" s="386">
        <f t="shared" si="367"/>
        <v>0</v>
      </c>
      <c r="BT518" s="386">
        <f t="shared" si="368"/>
        <v>0</v>
      </c>
      <c r="BU518" s="386">
        <f t="shared" si="369"/>
        <v>0</v>
      </c>
      <c r="BV518" s="386">
        <f t="shared" si="370"/>
        <v>0</v>
      </c>
      <c r="BW518" s="386">
        <f t="shared" si="371"/>
        <v>0</v>
      </c>
      <c r="BX518" s="386">
        <f t="shared" si="386"/>
        <v>0</v>
      </c>
      <c r="BY518" s="386">
        <f t="shared" si="387"/>
        <v>0</v>
      </c>
      <c r="BZ518" s="386">
        <f t="shared" si="388"/>
        <v>0</v>
      </c>
      <c r="CA518" s="386">
        <f t="shared" si="389"/>
        <v>0</v>
      </c>
      <c r="CB518" s="386">
        <f t="shared" si="390"/>
        <v>0</v>
      </c>
      <c r="CC518" s="386">
        <f t="shared" si="372"/>
        <v>0</v>
      </c>
      <c r="CD518" s="386">
        <f t="shared" si="373"/>
        <v>0</v>
      </c>
      <c r="CE518" s="386">
        <f t="shared" si="374"/>
        <v>0</v>
      </c>
      <c r="CF518" s="386">
        <f t="shared" si="375"/>
        <v>0</v>
      </c>
      <c r="CG518" s="386">
        <f t="shared" si="376"/>
        <v>0</v>
      </c>
      <c r="CH518" s="386">
        <f t="shared" si="377"/>
        <v>0</v>
      </c>
      <c r="CI518" s="386">
        <f t="shared" si="378"/>
        <v>0</v>
      </c>
      <c r="CJ518" s="386">
        <f t="shared" si="391"/>
        <v>0</v>
      </c>
      <c r="CK518" s="386" t="str">
        <f t="shared" si="392"/>
        <v/>
      </c>
      <c r="CL518" s="386" t="str">
        <f t="shared" si="393"/>
        <v/>
      </c>
      <c r="CM518" s="386" t="str">
        <f t="shared" si="394"/>
        <v/>
      </c>
      <c r="CN518" s="386" t="str">
        <f t="shared" si="395"/>
        <v>0001-00</v>
      </c>
    </row>
    <row r="519" spans="1:92" ht="15.75" thickBot="1" x14ac:dyDescent="0.3">
      <c r="A519" s="375" t="s">
        <v>161</v>
      </c>
      <c r="B519" s="375" t="s">
        <v>162</v>
      </c>
      <c r="C519" s="375" t="s">
        <v>1846</v>
      </c>
      <c r="D519" s="375" t="s">
        <v>1629</v>
      </c>
      <c r="E519" s="375" t="s">
        <v>165</v>
      </c>
      <c r="F519" s="376" t="s">
        <v>166</v>
      </c>
      <c r="G519" s="375" t="s">
        <v>1599</v>
      </c>
      <c r="H519" s="377"/>
      <c r="I519" s="377"/>
      <c r="J519" s="375" t="s">
        <v>168</v>
      </c>
      <c r="K519" s="375" t="s">
        <v>1630</v>
      </c>
      <c r="L519" s="375" t="s">
        <v>198</v>
      </c>
      <c r="M519" s="375" t="s">
        <v>177</v>
      </c>
      <c r="N519" s="375" t="s">
        <v>199</v>
      </c>
      <c r="O519" s="378">
        <v>1</v>
      </c>
      <c r="P519" s="384">
        <v>1</v>
      </c>
      <c r="Q519" s="384">
        <v>1</v>
      </c>
      <c r="R519" s="379">
        <v>80</v>
      </c>
      <c r="S519" s="384">
        <v>1</v>
      </c>
      <c r="T519" s="379">
        <v>38343.769999999997</v>
      </c>
      <c r="U519" s="379">
        <v>0</v>
      </c>
      <c r="V519" s="379">
        <v>19662.91</v>
      </c>
      <c r="W519" s="379">
        <v>46217.599999999999</v>
      </c>
      <c r="X519" s="379">
        <v>21516.04</v>
      </c>
      <c r="Y519" s="379">
        <v>46217.599999999999</v>
      </c>
      <c r="Z519" s="379">
        <v>21294.2</v>
      </c>
      <c r="AA519" s="375" t="s">
        <v>1847</v>
      </c>
      <c r="AB519" s="375" t="s">
        <v>1848</v>
      </c>
      <c r="AC519" s="375" t="s">
        <v>1849</v>
      </c>
      <c r="AD519" s="375" t="s">
        <v>261</v>
      </c>
      <c r="AE519" s="375" t="s">
        <v>1630</v>
      </c>
      <c r="AF519" s="375" t="s">
        <v>245</v>
      </c>
      <c r="AG519" s="375" t="s">
        <v>183</v>
      </c>
      <c r="AH519" s="380">
        <v>22.22</v>
      </c>
      <c r="AI519" s="380">
        <v>9115.1</v>
      </c>
      <c r="AJ519" s="375" t="s">
        <v>184</v>
      </c>
      <c r="AK519" s="375" t="s">
        <v>185</v>
      </c>
      <c r="AL519" s="375" t="s">
        <v>173</v>
      </c>
      <c r="AM519" s="375" t="s">
        <v>186</v>
      </c>
      <c r="AN519" s="375" t="s">
        <v>68</v>
      </c>
      <c r="AO519" s="378">
        <v>80</v>
      </c>
      <c r="AP519" s="384">
        <v>1</v>
      </c>
      <c r="AQ519" s="384">
        <v>1</v>
      </c>
      <c r="AR519" s="383" t="s">
        <v>187</v>
      </c>
      <c r="AS519" s="386">
        <f t="shared" si="379"/>
        <v>1</v>
      </c>
      <c r="AT519">
        <f t="shared" si="380"/>
        <v>1</v>
      </c>
      <c r="AU519" s="386">
        <f>IF(AT519=0,"",IF(AND(AT519=1,M519="F",SUMIF(C2:C557,C519,AS2:AS557)&lt;=1),SUMIF(C2:C557,C519,AS2:AS557),IF(AND(AT519=1,M519="F",SUMIF(C2:C557,C519,AS2:AS557)&gt;1),1,"")))</f>
        <v>1</v>
      </c>
      <c r="AV519" s="386" t="str">
        <f>IF(AT519=0,"",IF(AND(AT519=3,M519="F",SUMIF(C2:C557,C519,AS2:AS557)&lt;=1),SUMIF(C2:C557,C519,AS2:AS557),IF(AND(AT519=3,M519="F",SUMIF(C2:C557,C519,AS2:AS557)&gt;1),1,"")))</f>
        <v/>
      </c>
      <c r="AW519" s="386">
        <f>SUMIF(C2:C557,C519,O2:O557)</f>
        <v>1</v>
      </c>
      <c r="AX519" s="386">
        <f>IF(AND(M519="F",AS519&lt;&gt;0),SUMIF(C2:C557,C519,W2:W557),0)</f>
        <v>46217.599999999999</v>
      </c>
      <c r="AY519" s="386">
        <f t="shared" si="381"/>
        <v>46217.599999999999</v>
      </c>
      <c r="AZ519" s="386" t="str">
        <f t="shared" si="382"/>
        <v/>
      </c>
      <c r="BA519" s="386">
        <f t="shared" si="383"/>
        <v>0</v>
      </c>
      <c r="BB519" s="386">
        <f t="shared" si="352"/>
        <v>11650</v>
      </c>
      <c r="BC519" s="386">
        <f t="shared" si="353"/>
        <v>0</v>
      </c>
      <c r="BD519" s="386">
        <f t="shared" si="354"/>
        <v>2865.4911999999999</v>
      </c>
      <c r="BE519" s="386">
        <f t="shared" si="355"/>
        <v>670.15520000000004</v>
      </c>
      <c r="BF519" s="386">
        <f t="shared" si="356"/>
        <v>5518.3814400000001</v>
      </c>
      <c r="BG519" s="386">
        <f t="shared" si="357"/>
        <v>333.22889600000002</v>
      </c>
      <c r="BH519" s="386">
        <f t="shared" si="358"/>
        <v>226.46624</v>
      </c>
      <c r="BI519" s="386">
        <f t="shared" si="359"/>
        <v>141.42585599999998</v>
      </c>
      <c r="BJ519" s="386">
        <f t="shared" si="360"/>
        <v>110.92223999999999</v>
      </c>
      <c r="BK519" s="386">
        <f t="shared" si="361"/>
        <v>0</v>
      </c>
      <c r="BL519" s="386">
        <f t="shared" si="384"/>
        <v>9866.0710720000006</v>
      </c>
      <c r="BM519" s="386">
        <f t="shared" si="385"/>
        <v>0</v>
      </c>
      <c r="BN519" s="386">
        <f t="shared" si="362"/>
        <v>11650</v>
      </c>
      <c r="BO519" s="386">
        <f t="shared" si="363"/>
        <v>0</v>
      </c>
      <c r="BP519" s="386">
        <f t="shared" si="364"/>
        <v>2865.4911999999999</v>
      </c>
      <c r="BQ519" s="386">
        <f t="shared" si="365"/>
        <v>670.15520000000004</v>
      </c>
      <c r="BR519" s="386">
        <f t="shared" si="366"/>
        <v>5518.3814400000001</v>
      </c>
      <c r="BS519" s="386">
        <f t="shared" si="367"/>
        <v>333.22889600000002</v>
      </c>
      <c r="BT519" s="386">
        <f t="shared" si="368"/>
        <v>0</v>
      </c>
      <c r="BU519" s="386">
        <f t="shared" si="369"/>
        <v>141.42585599999998</v>
      </c>
      <c r="BV519" s="386">
        <f t="shared" si="370"/>
        <v>115.544</v>
      </c>
      <c r="BW519" s="386">
        <f t="shared" si="371"/>
        <v>0</v>
      </c>
      <c r="BX519" s="386">
        <f t="shared" si="386"/>
        <v>9644.2265920000009</v>
      </c>
      <c r="BY519" s="386">
        <f t="shared" si="387"/>
        <v>0</v>
      </c>
      <c r="BZ519" s="386">
        <f t="shared" si="388"/>
        <v>0</v>
      </c>
      <c r="CA519" s="386">
        <f t="shared" si="389"/>
        <v>0</v>
      </c>
      <c r="CB519" s="386">
        <f t="shared" si="390"/>
        <v>0</v>
      </c>
      <c r="CC519" s="386">
        <f t="shared" si="372"/>
        <v>0</v>
      </c>
      <c r="CD519" s="386">
        <f t="shared" si="373"/>
        <v>0</v>
      </c>
      <c r="CE519" s="386">
        <f t="shared" si="374"/>
        <v>0</v>
      </c>
      <c r="CF519" s="386">
        <f t="shared" si="375"/>
        <v>-226.46624</v>
      </c>
      <c r="CG519" s="386">
        <f t="shared" si="376"/>
        <v>0</v>
      </c>
      <c r="CH519" s="386">
        <f t="shared" si="377"/>
        <v>4.6217600000000116</v>
      </c>
      <c r="CI519" s="386">
        <f t="shared" si="378"/>
        <v>0</v>
      </c>
      <c r="CJ519" s="386">
        <f t="shared" si="391"/>
        <v>-221.84447999999998</v>
      </c>
      <c r="CK519" s="386" t="str">
        <f t="shared" si="392"/>
        <v/>
      </c>
      <c r="CL519" s="386" t="str">
        <f t="shared" si="393"/>
        <v/>
      </c>
      <c r="CM519" s="386" t="str">
        <f t="shared" si="394"/>
        <v/>
      </c>
      <c r="CN519" s="386" t="str">
        <f t="shared" si="395"/>
        <v>0001-00</v>
      </c>
    </row>
    <row r="520" spans="1:92" ht="15.75" thickBot="1" x14ac:dyDescent="0.3">
      <c r="A520" s="375" t="s">
        <v>161</v>
      </c>
      <c r="B520" s="375" t="s">
        <v>162</v>
      </c>
      <c r="C520" s="375" t="s">
        <v>1850</v>
      </c>
      <c r="D520" s="375" t="s">
        <v>1321</v>
      </c>
      <c r="E520" s="375" t="s">
        <v>165</v>
      </c>
      <c r="F520" s="376" t="s">
        <v>166</v>
      </c>
      <c r="G520" s="375" t="s">
        <v>1599</v>
      </c>
      <c r="H520" s="377"/>
      <c r="I520" s="377"/>
      <c r="J520" s="375" t="s">
        <v>168</v>
      </c>
      <c r="K520" s="375" t="s">
        <v>1322</v>
      </c>
      <c r="L520" s="375" t="s">
        <v>170</v>
      </c>
      <c r="M520" s="375" t="s">
        <v>177</v>
      </c>
      <c r="N520" s="375" t="s">
        <v>199</v>
      </c>
      <c r="O520" s="378">
        <v>1</v>
      </c>
      <c r="P520" s="384">
        <v>1</v>
      </c>
      <c r="Q520" s="384">
        <v>1</v>
      </c>
      <c r="R520" s="379">
        <v>80</v>
      </c>
      <c r="S520" s="384">
        <v>1</v>
      </c>
      <c r="T520" s="379">
        <v>55032.04</v>
      </c>
      <c r="U520" s="379">
        <v>0</v>
      </c>
      <c r="V520" s="379">
        <v>21953.63</v>
      </c>
      <c r="W520" s="379">
        <v>50793.599999999999</v>
      </c>
      <c r="X520" s="379">
        <v>22492.87</v>
      </c>
      <c r="Y520" s="379">
        <v>50793.599999999999</v>
      </c>
      <c r="Z520" s="379">
        <v>22249.07</v>
      </c>
      <c r="AA520" s="375" t="s">
        <v>1851</v>
      </c>
      <c r="AB520" s="375" t="s">
        <v>1852</v>
      </c>
      <c r="AC520" s="375" t="s">
        <v>257</v>
      </c>
      <c r="AD520" s="375" t="s">
        <v>366</v>
      </c>
      <c r="AE520" s="375" t="s">
        <v>1322</v>
      </c>
      <c r="AF520" s="375" t="s">
        <v>269</v>
      </c>
      <c r="AG520" s="375" t="s">
        <v>183</v>
      </c>
      <c r="AH520" s="380">
        <v>24.42</v>
      </c>
      <c r="AI520" s="380">
        <v>5449.5</v>
      </c>
      <c r="AJ520" s="375" t="s">
        <v>184</v>
      </c>
      <c r="AK520" s="375" t="s">
        <v>185</v>
      </c>
      <c r="AL520" s="375" t="s">
        <v>173</v>
      </c>
      <c r="AM520" s="375" t="s">
        <v>186</v>
      </c>
      <c r="AN520" s="375" t="s">
        <v>68</v>
      </c>
      <c r="AO520" s="378">
        <v>80</v>
      </c>
      <c r="AP520" s="384">
        <v>1</v>
      </c>
      <c r="AQ520" s="384">
        <v>1</v>
      </c>
      <c r="AR520" s="383" t="s">
        <v>187</v>
      </c>
      <c r="AS520" s="386">
        <f t="shared" si="379"/>
        <v>1</v>
      </c>
      <c r="AT520">
        <f t="shared" si="380"/>
        <v>1</v>
      </c>
      <c r="AU520" s="386">
        <f>IF(AT520=0,"",IF(AND(AT520=1,M520="F",SUMIF(C2:C557,C520,AS2:AS557)&lt;=1),SUMIF(C2:C557,C520,AS2:AS557),IF(AND(AT520=1,M520="F",SUMIF(C2:C557,C520,AS2:AS557)&gt;1),1,"")))</f>
        <v>1</v>
      </c>
      <c r="AV520" s="386" t="str">
        <f>IF(AT520=0,"",IF(AND(AT520=3,M520="F",SUMIF(C2:C557,C520,AS2:AS557)&lt;=1),SUMIF(C2:C557,C520,AS2:AS557),IF(AND(AT520=3,M520="F",SUMIF(C2:C557,C520,AS2:AS557)&gt;1),1,"")))</f>
        <v/>
      </c>
      <c r="AW520" s="386">
        <f>SUMIF(C2:C557,C520,O2:O557)</f>
        <v>1</v>
      </c>
      <c r="AX520" s="386">
        <f>IF(AND(M520="F",AS520&lt;&gt;0),SUMIF(C2:C557,C520,W2:W557),0)</f>
        <v>50793.599999999999</v>
      </c>
      <c r="AY520" s="386">
        <f t="shared" si="381"/>
        <v>50793.599999999999</v>
      </c>
      <c r="AZ520" s="386" t="str">
        <f t="shared" si="382"/>
        <v/>
      </c>
      <c r="BA520" s="386">
        <f t="shared" si="383"/>
        <v>0</v>
      </c>
      <c r="BB520" s="386">
        <f t="shared" si="352"/>
        <v>11650</v>
      </c>
      <c r="BC520" s="386">
        <f t="shared" si="353"/>
        <v>0</v>
      </c>
      <c r="BD520" s="386">
        <f t="shared" si="354"/>
        <v>3149.2031999999999</v>
      </c>
      <c r="BE520" s="386">
        <f t="shared" si="355"/>
        <v>736.50720000000001</v>
      </c>
      <c r="BF520" s="386">
        <f t="shared" si="356"/>
        <v>6064.7558399999998</v>
      </c>
      <c r="BG520" s="386">
        <f t="shared" si="357"/>
        <v>366.221856</v>
      </c>
      <c r="BH520" s="386">
        <f t="shared" si="358"/>
        <v>248.88863999999998</v>
      </c>
      <c r="BI520" s="386">
        <f t="shared" si="359"/>
        <v>155.428416</v>
      </c>
      <c r="BJ520" s="386">
        <f t="shared" si="360"/>
        <v>121.90463999999999</v>
      </c>
      <c r="BK520" s="386">
        <f t="shared" si="361"/>
        <v>0</v>
      </c>
      <c r="BL520" s="386">
        <f t="shared" si="384"/>
        <v>10842.909792</v>
      </c>
      <c r="BM520" s="386">
        <f t="shared" si="385"/>
        <v>0</v>
      </c>
      <c r="BN520" s="386">
        <f t="shared" si="362"/>
        <v>11650</v>
      </c>
      <c r="BO520" s="386">
        <f t="shared" si="363"/>
        <v>0</v>
      </c>
      <c r="BP520" s="386">
        <f t="shared" si="364"/>
        <v>3149.2031999999999</v>
      </c>
      <c r="BQ520" s="386">
        <f t="shared" si="365"/>
        <v>736.50720000000001</v>
      </c>
      <c r="BR520" s="386">
        <f t="shared" si="366"/>
        <v>6064.7558399999998</v>
      </c>
      <c r="BS520" s="386">
        <f t="shared" si="367"/>
        <v>366.221856</v>
      </c>
      <c r="BT520" s="386">
        <f t="shared" si="368"/>
        <v>0</v>
      </c>
      <c r="BU520" s="386">
        <f t="shared" si="369"/>
        <v>155.428416</v>
      </c>
      <c r="BV520" s="386">
        <f t="shared" si="370"/>
        <v>126.98399999999999</v>
      </c>
      <c r="BW520" s="386">
        <f t="shared" si="371"/>
        <v>0</v>
      </c>
      <c r="BX520" s="386">
        <f t="shared" si="386"/>
        <v>10599.100512000001</v>
      </c>
      <c r="BY520" s="386">
        <f t="shared" si="387"/>
        <v>0</v>
      </c>
      <c r="BZ520" s="386">
        <f t="shared" si="388"/>
        <v>0</v>
      </c>
      <c r="CA520" s="386">
        <f t="shared" si="389"/>
        <v>0</v>
      </c>
      <c r="CB520" s="386">
        <f t="shared" si="390"/>
        <v>0</v>
      </c>
      <c r="CC520" s="386">
        <f t="shared" si="372"/>
        <v>0</v>
      </c>
      <c r="CD520" s="386">
        <f t="shared" si="373"/>
        <v>0</v>
      </c>
      <c r="CE520" s="386">
        <f t="shared" si="374"/>
        <v>0</v>
      </c>
      <c r="CF520" s="386">
        <f t="shared" si="375"/>
        <v>-248.88863999999998</v>
      </c>
      <c r="CG520" s="386">
        <f t="shared" si="376"/>
        <v>0</v>
      </c>
      <c r="CH520" s="386">
        <f t="shared" si="377"/>
        <v>5.0793600000000128</v>
      </c>
      <c r="CI520" s="386">
        <f t="shared" si="378"/>
        <v>0</v>
      </c>
      <c r="CJ520" s="386">
        <f t="shared" si="391"/>
        <v>-243.80927999999997</v>
      </c>
      <c r="CK520" s="386" t="str">
        <f t="shared" si="392"/>
        <v/>
      </c>
      <c r="CL520" s="386" t="str">
        <f t="shared" si="393"/>
        <v/>
      </c>
      <c r="CM520" s="386" t="str">
        <f t="shared" si="394"/>
        <v/>
      </c>
      <c r="CN520" s="386" t="str">
        <f t="shared" si="395"/>
        <v>0001-00</v>
      </c>
    </row>
    <row r="521" spans="1:92" ht="15.75" thickBot="1" x14ac:dyDescent="0.3">
      <c r="A521" s="375" t="s">
        <v>161</v>
      </c>
      <c r="B521" s="375" t="s">
        <v>162</v>
      </c>
      <c r="C521" s="375" t="s">
        <v>1853</v>
      </c>
      <c r="D521" s="375" t="s">
        <v>1598</v>
      </c>
      <c r="E521" s="375" t="s">
        <v>165</v>
      </c>
      <c r="F521" s="376" t="s">
        <v>166</v>
      </c>
      <c r="G521" s="375" t="s">
        <v>1599</v>
      </c>
      <c r="H521" s="377"/>
      <c r="I521" s="377"/>
      <c r="J521" s="375" t="s">
        <v>168</v>
      </c>
      <c r="K521" s="375" t="s">
        <v>1600</v>
      </c>
      <c r="L521" s="375" t="s">
        <v>233</v>
      </c>
      <c r="M521" s="375" t="s">
        <v>171</v>
      </c>
      <c r="N521" s="375" t="s">
        <v>199</v>
      </c>
      <c r="O521" s="378">
        <v>0</v>
      </c>
      <c r="P521" s="384">
        <v>1</v>
      </c>
      <c r="Q521" s="384">
        <v>1</v>
      </c>
      <c r="R521" s="379">
        <v>80</v>
      </c>
      <c r="S521" s="384">
        <v>1</v>
      </c>
      <c r="T521" s="379">
        <v>8192.43</v>
      </c>
      <c r="U521" s="379">
        <v>0</v>
      </c>
      <c r="V521" s="379">
        <v>4898.55</v>
      </c>
      <c r="W521" s="379">
        <v>42328</v>
      </c>
      <c r="X521" s="379">
        <v>18539.66</v>
      </c>
      <c r="Y521" s="379">
        <v>42328</v>
      </c>
      <c r="Z521" s="379">
        <v>18328.02</v>
      </c>
      <c r="AA521" s="377"/>
      <c r="AB521" s="375" t="s">
        <v>45</v>
      </c>
      <c r="AC521" s="375" t="s">
        <v>45</v>
      </c>
      <c r="AD521" s="377"/>
      <c r="AE521" s="377"/>
      <c r="AF521" s="377"/>
      <c r="AG521" s="377"/>
      <c r="AH521" s="378">
        <v>0</v>
      </c>
      <c r="AI521" s="378">
        <v>0</v>
      </c>
      <c r="AJ521" s="377"/>
      <c r="AK521" s="377"/>
      <c r="AL521" s="375" t="s">
        <v>173</v>
      </c>
      <c r="AM521" s="377"/>
      <c r="AN521" s="377"/>
      <c r="AO521" s="378">
        <v>0</v>
      </c>
      <c r="AP521" s="384">
        <v>0</v>
      </c>
      <c r="AQ521" s="384">
        <v>0</v>
      </c>
      <c r="AR521" s="382"/>
      <c r="AS521" s="386">
        <f t="shared" si="379"/>
        <v>0</v>
      </c>
      <c r="AT521">
        <f t="shared" si="380"/>
        <v>0</v>
      </c>
      <c r="AU521" s="386" t="str">
        <f>IF(AT521=0,"",IF(AND(AT521=1,M521="F",SUMIF(C2:C557,C521,AS2:AS557)&lt;=1),SUMIF(C2:C557,C521,AS2:AS557),IF(AND(AT521=1,M521="F",SUMIF(C2:C557,C521,AS2:AS557)&gt;1),1,"")))</f>
        <v/>
      </c>
      <c r="AV521" s="386" t="str">
        <f>IF(AT521=0,"",IF(AND(AT521=3,M521="F",SUMIF(C2:C557,C521,AS2:AS557)&lt;=1),SUMIF(C2:C557,C521,AS2:AS557),IF(AND(AT521=3,M521="F",SUMIF(C2:C557,C521,AS2:AS557)&gt;1),1,"")))</f>
        <v/>
      </c>
      <c r="AW521" s="386">
        <f>SUMIF(C2:C557,C521,O2:O557)</f>
        <v>0</v>
      </c>
      <c r="AX521" s="386">
        <f>IF(AND(M521="F",AS521&lt;&gt;0),SUMIF(C2:C557,C521,W2:W557),0)</f>
        <v>0</v>
      </c>
      <c r="AY521" s="386" t="str">
        <f t="shared" si="381"/>
        <v/>
      </c>
      <c r="AZ521" s="386" t="str">
        <f t="shared" si="382"/>
        <v/>
      </c>
      <c r="BA521" s="386">
        <f t="shared" si="383"/>
        <v>0</v>
      </c>
      <c r="BB521" s="386">
        <f t="shared" si="352"/>
        <v>0</v>
      </c>
      <c r="BC521" s="386">
        <f t="shared" si="353"/>
        <v>0</v>
      </c>
      <c r="BD521" s="386">
        <f t="shared" si="354"/>
        <v>0</v>
      </c>
      <c r="BE521" s="386">
        <f t="shared" si="355"/>
        <v>0</v>
      </c>
      <c r="BF521" s="386">
        <f t="shared" si="356"/>
        <v>0</v>
      </c>
      <c r="BG521" s="386">
        <f t="shared" si="357"/>
        <v>0</v>
      </c>
      <c r="BH521" s="386">
        <f t="shared" si="358"/>
        <v>0</v>
      </c>
      <c r="BI521" s="386">
        <f t="shared" si="359"/>
        <v>0</v>
      </c>
      <c r="BJ521" s="386">
        <f t="shared" si="360"/>
        <v>0</v>
      </c>
      <c r="BK521" s="386">
        <f t="shared" si="361"/>
        <v>0</v>
      </c>
      <c r="BL521" s="386">
        <f t="shared" si="384"/>
        <v>0</v>
      </c>
      <c r="BM521" s="386">
        <f t="shared" si="385"/>
        <v>0</v>
      </c>
      <c r="BN521" s="386">
        <f t="shared" si="362"/>
        <v>0</v>
      </c>
      <c r="BO521" s="386">
        <f t="shared" si="363"/>
        <v>0</v>
      </c>
      <c r="BP521" s="386">
        <f t="shared" si="364"/>
        <v>0</v>
      </c>
      <c r="BQ521" s="386">
        <f t="shared" si="365"/>
        <v>0</v>
      </c>
      <c r="BR521" s="386">
        <f t="shared" si="366"/>
        <v>0</v>
      </c>
      <c r="BS521" s="386">
        <f t="shared" si="367"/>
        <v>0</v>
      </c>
      <c r="BT521" s="386">
        <f t="shared" si="368"/>
        <v>0</v>
      </c>
      <c r="BU521" s="386">
        <f t="shared" si="369"/>
        <v>0</v>
      </c>
      <c r="BV521" s="386">
        <f t="shared" si="370"/>
        <v>0</v>
      </c>
      <c r="BW521" s="386">
        <f t="shared" si="371"/>
        <v>0</v>
      </c>
      <c r="BX521" s="386">
        <f t="shared" si="386"/>
        <v>0</v>
      </c>
      <c r="BY521" s="386">
        <f t="shared" si="387"/>
        <v>0</v>
      </c>
      <c r="BZ521" s="386">
        <f t="shared" si="388"/>
        <v>0</v>
      </c>
      <c r="CA521" s="386">
        <f t="shared" si="389"/>
        <v>0</v>
      </c>
      <c r="CB521" s="386">
        <f t="shared" si="390"/>
        <v>0</v>
      </c>
      <c r="CC521" s="386">
        <f t="shared" si="372"/>
        <v>0</v>
      </c>
      <c r="CD521" s="386">
        <f t="shared" si="373"/>
        <v>0</v>
      </c>
      <c r="CE521" s="386">
        <f t="shared" si="374"/>
        <v>0</v>
      </c>
      <c r="CF521" s="386">
        <f t="shared" si="375"/>
        <v>0</v>
      </c>
      <c r="CG521" s="386">
        <f t="shared" si="376"/>
        <v>0</v>
      </c>
      <c r="CH521" s="386">
        <f t="shared" si="377"/>
        <v>0</v>
      </c>
      <c r="CI521" s="386">
        <f t="shared" si="378"/>
        <v>0</v>
      </c>
      <c r="CJ521" s="386">
        <f t="shared" si="391"/>
        <v>0</v>
      </c>
      <c r="CK521" s="386" t="str">
        <f t="shared" si="392"/>
        <v/>
      </c>
      <c r="CL521" s="386" t="str">
        <f t="shared" si="393"/>
        <v/>
      </c>
      <c r="CM521" s="386" t="str">
        <f t="shared" si="394"/>
        <v/>
      </c>
      <c r="CN521" s="386" t="str">
        <f t="shared" si="395"/>
        <v>0001-00</v>
      </c>
    </row>
    <row r="522" spans="1:92" ht="15.75" thickBot="1" x14ac:dyDescent="0.3">
      <c r="A522" s="375" t="s">
        <v>161</v>
      </c>
      <c r="B522" s="375" t="s">
        <v>162</v>
      </c>
      <c r="C522" s="375" t="s">
        <v>1854</v>
      </c>
      <c r="D522" s="375" t="s">
        <v>1629</v>
      </c>
      <c r="E522" s="375" t="s">
        <v>165</v>
      </c>
      <c r="F522" s="376" t="s">
        <v>166</v>
      </c>
      <c r="G522" s="375" t="s">
        <v>1599</v>
      </c>
      <c r="H522" s="377"/>
      <c r="I522" s="377"/>
      <c r="J522" s="375" t="s">
        <v>168</v>
      </c>
      <c r="K522" s="375" t="s">
        <v>1630</v>
      </c>
      <c r="L522" s="375" t="s">
        <v>198</v>
      </c>
      <c r="M522" s="375" t="s">
        <v>177</v>
      </c>
      <c r="N522" s="375" t="s">
        <v>199</v>
      </c>
      <c r="O522" s="378">
        <v>1</v>
      </c>
      <c r="P522" s="384">
        <v>1</v>
      </c>
      <c r="Q522" s="384">
        <v>1</v>
      </c>
      <c r="R522" s="379">
        <v>80</v>
      </c>
      <c r="S522" s="384">
        <v>1</v>
      </c>
      <c r="T522" s="379">
        <v>32166.43</v>
      </c>
      <c r="U522" s="379">
        <v>0</v>
      </c>
      <c r="V522" s="379">
        <v>15374.32</v>
      </c>
      <c r="W522" s="379">
        <v>44865.599999999999</v>
      </c>
      <c r="X522" s="379">
        <v>21227.43</v>
      </c>
      <c r="Y522" s="379">
        <v>44865.599999999999</v>
      </c>
      <c r="Z522" s="379">
        <v>21012.080000000002</v>
      </c>
      <c r="AA522" s="375" t="s">
        <v>1855</v>
      </c>
      <c r="AB522" s="375" t="s">
        <v>1856</v>
      </c>
      <c r="AC522" s="375" t="s">
        <v>1857</v>
      </c>
      <c r="AD522" s="375" t="s">
        <v>220</v>
      </c>
      <c r="AE522" s="375" t="s">
        <v>1630</v>
      </c>
      <c r="AF522" s="375" t="s">
        <v>245</v>
      </c>
      <c r="AG522" s="375" t="s">
        <v>183</v>
      </c>
      <c r="AH522" s="380">
        <v>21.57</v>
      </c>
      <c r="AI522" s="380">
        <v>9579.2999999999993</v>
      </c>
      <c r="AJ522" s="375" t="s">
        <v>184</v>
      </c>
      <c r="AK522" s="375" t="s">
        <v>185</v>
      </c>
      <c r="AL522" s="375" t="s">
        <v>173</v>
      </c>
      <c r="AM522" s="375" t="s">
        <v>186</v>
      </c>
      <c r="AN522" s="375" t="s">
        <v>68</v>
      </c>
      <c r="AO522" s="378">
        <v>80</v>
      </c>
      <c r="AP522" s="384">
        <v>1</v>
      </c>
      <c r="AQ522" s="384">
        <v>1</v>
      </c>
      <c r="AR522" s="383" t="s">
        <v>187</v>
      </c>
      <c r="AS522" s="386">
        <f t="shared" si="379"/>
        <v>1</v>
      </c>
      <c r="AT522">
        <f t="shared" si="380"/>
        <v>1</v>
      </c>
      <c r="AU522" s="386">
        <f>IF(AT522=0,"",IF(AND(AT522=1,M522="F",SUMIF(C2:C557,C522,AS2:AS557)&lt;=1),SUMIF(C2:C557,C522,AS2:AS557),IF(AND(AT522=1,M522="F",SUMIF(C2:C557,C522,AS2:AS557)&gt;1),1,"")))</f>
        <v>1</v>
      </c>
      <c r="AV522" s="386" t="str">
        <f>IF(AT522=0,"",IF(AND(AT522=3,M522="F",SUMIF(C2:C557,C522,AS2:AS557)&lt;=1),SUMIF(C2:C557,C522,AS2:AS557),IF(AND(AT522=3,M522="F",SUMIF(C2:C557,C522,AS2:AS557)&gt;1),1,"")))</f>
        <v/>
      </c>
      <c r="AW522" s="386">
        <f>SUMIF(C2:C557,C522,O2:O557)</f>
        <v>1</v>
      </c>
      <c r="AX522" s="386">
        <f>IF(AND(M522="F",AS522&lt;&gt;0),SUMIF(C2:C557,C522,W2:W557),0)</f>
        <v>44865.599999999999</v>
      </c>
      <c r="AY522" s="386">
        <f t="shared" si="381"/>
        <v>44865.599999999999</v>
      </c>
      <c r="AZ522" s="386" t="str">
        <f t="shared" si="382"/>
        <v/>
      </c>
      <c r="BA522" s="386">
        <f t="shared" si="383"/>
        <v>0</v>
      </c>
      <c r="BB522" s="386">
        <f t="shared" si="352"/>
        <v>11650</v>
      </c>
      <c r="BC522" s="386">
        <f t="shared" si="353"/>
        <v>0</v>
      </c>
      <c r="BD522" s="386">
        <f t="shared" si="354"/>
        <v>2781.6671999999999</v>
      </c>
      <c r="BE522" s="386">
        <f t="shared" si="355"/>
        <v>650.55119999999999</v>
      </c>
      <c r="BF522" s="386">
        <f t="shared" si="356"/>
        <v>5356.9526400000004</v>
      </c>
      <c r="BG522" s="386">
        <f t="shared" si="357"/>
        <v>323.480976</v>
      </c>
      <c r="BH522" s="386">
        <f t="shared" si="358"/>
        <v>219.84143999999998</v>
      </c>
      <c r="BI522" s="386">
        <f t="shared" si="359"/>
        <v>137.288736</v>
      </c>
      <c r="BJ522" s="386">
        <f t="shared" si="360"/>
        <v>107.67743999999999</v>
      </c>
      <c r="BK522" s="386">
        <f t="shared" si="361"/>
        <v>0</v>
      </c>
      <c r="BL522" s="386">
        <f t="shared" si="384"/>
        <v>9577.4596320000019</v>
      </c>
      <c r="BM522" s="386">
        <f t="shared" si="385"/>
        <v>0</v>
      </c>
      <c r="BN522" s="386">
        <f t="shared" si="362"/>
        <v>11650</v>
      </c>
      <c r="BO522" s="386">
        <f t="shared" si="363"/>
        <v>0</v>
      </c>
      <c r="BP522" s="386">
        <f t="shared" si="364"/>
        <v>2781.6671999999999</v>
      </c>
      <c r="BQ522" s="386">
        <f t="shared" si="365"/>
        <v>650.55119999999999</v>
      </c>
      <c r="BR522" s="386">
        <f t="shared" si="366"/>
        <v>5356.9526400000004</v>
      </c>
      <c r="BS522" s="386">
        <f t="shared" si="367"/>
        <v>323.480976</v>
      </c>
      <c r="BT522" s="386">
        <f t="shared" si="368"/>
        <v>0</v>
      </c>
      <c r="BU522" s="386">
        <f t="shared" si="369"/>
        <v>137.288736</v>
      </c>
      <c r="BV522" s="386">
        <f t="shared" si="370"/>
        <v>112.164</v>
      </c>
      <c r="BW522" s="386">
        <f t="shared" si="371"/>
        <v>0</v>
      </c>
      <c r="BX522" s="386">
        <f t="shared" si="386"/>
        <v>9362.1047520000029</v>
      </c>
      <c r="BY522" s="386">
        <f t="shared" si="387"/>
        <v>0</v>
      </c>
      <c r="BZ522" s="386">
        <f t="shared" si="388"/>
        <v>0</v>
      </c>
      <c r="CA522" s="386">
        <f t="shared" si="389"/>
        <v>0</v>
      </c>
      <c r="CB522" s="386">
        <f t="shared" si="390"/>
        <v>0</v>
      </c>
      <c r="CC522" s="386">
        <f t="shared" si="372"/>
        <v>0</v>
      </c>
      <c r="CD522" s="386">
        <f t="shared" si="373"/>
        <v>0</v>
      </c>
      <c r="CE522" s="386">
        <f t="shared" si="374"/>
        <v>0</v>
      </c>
      <c r="CF522" s="386">
        <f t="shared" si="375"/>
        <v>-219.84143999999998</v>
      </c>
      <c r="CG522" s="386">
        <f t="shared" si="376"/>
        <v>0</v>
      </c>
      <c r="CH522" s="386">
        <f t="shared" si="377"/>
        <v>4.4865600000000114</v>
      </c>
      <c r="CI522" s="386">
        <f t="shared" si="378"/>
        <v>0</v>
      </c>
      <c r="CJ522" s="386">
        <f t="shared" si="391"/>
        <v>-215.35487999999998</v>
      </c>
      <c r="CK522" s="386" t="str">
        <f t="shared" si="392"/>
        <v/>
      </c>
      <c r="CL522" s="386" t="str">
        <f t="shared" si="393"/>
        <v/>
      </c>
      <c r="CM522" s="386" t="str">
        <f t="shared" si="394"/>
        <v/>
      </c>
      <c r="CN522" s="386" t="str">
        <f t="shared" si="395"/>
        <v>0001-00</v>
      </c>
    </row>
    <row r="523" spans="1:92" ht="15.75" thickBot="1" x14ac:dyDescent="0.3">
      <c r="A523" s="375" t="s">
        <v>161</v>
      </c>
      <c r="B523" s="375" t="s">
        <v>162</v>
      </c>
      <c r="C523" s="375" t="s">
        <v>1858</v>
      </c>
      <c r="D523" s="375" t="s">
        <v>1598</v>
      </c>
      <c r="E523" s="375" t="s">
        <v>165</v>
      </c>
      <c r="F523" s="376" t="s">
        <v>166</v>
      </c>
      <c r="G523" s="375" t="s">
        <v>1599</v>
      </c>
      <c r="H523" s="377"/>
      <c r="I523" s="377"/>
      <c r="J523" s="375" t="s">
        <v>168</v>
      </c>
      <c r="K523" s="375" t="s">
        <v>1600</v>
      </c>
      <c r="L523" s="375" t="s">
        <v>233</v>
      </c>
      <c r="M523" s="375" t="s">
        <v>177</v>
      </c>
      <c r="N523" s="375" t="s">
        <v>199</v>
      </c>
      <c r="O523" s="378">
        <v>1</v>
      </c>
      <c r="P523" s="384">
        <v>1</v>
      </c>
      <c r="Q523" s="384">
        <v>1</v>
      </c>
      <c r="R523" s="379">
        <v>80</v>
      </c>
      <c r="S523" s="384">
        <v>1</v>
      </c>
      <c r="T523" s="379">
        <v>13532.8</v>
      </c>
      <c r="U523" s="379">
        <v>0</v>
      </c>
      <c r="V523" s="379">
        <v>5654.84</v>
      </c>
      <c r="W523" s="379">
        <v>44990.400000000001</v>
      </c>
      <c r="X523" s="379">
        <v>21254.080000000002</v>
      </c>
      <c r="Y523" s="379">
        <v>44990.400000000001</v>
      </c>
      <c r="Z523" s="379">
        <v>21038.13</v>
      </c>
      <c r="AA523" s="375" t="s">
        <v>1859</v>
      </c>
      <c r="AB523" s="375" t="s">
        <v>1860</v>
      </c>
      <c r="AC523" s="375" t="s">
        <v>236</v>
      </c>
      <c r="AD523" s="375" t="s">
        <v>198</v>
      </c>
      <c r="AE523" s="375" t="s">
        <v>1600</v>
      </c>
      <c r="AF523" s="375" t="s">
        <v>237</v>
      </c>
      <c r="AG523" s="375" t="s">
        <v>183</v>
      </c>
      <c r="AH523" s="380">
        <v>21.63</v>
      </c>
      <c r="AI523" s="380">
        <v>19504.599999999999</v>
      </c>
      <c r="AJ523" s="375" t="s">
        <v>184</v>
      </c>
      <c r="AK523" s="375" t="s">
        <v>185</v>
      </c>
      <c r="AL523" s="375" t="s">
        <v>173</v>
      </c>
      <c r="AM523" s="375" t="s">
        <v>186</v>
      </c>
      <c r="AN523" s="375" t="s">
        <v>68</v>
      </c>
      <c r="AO523" s="378">
        <v>80</v>
      </c>
      <c r="AP523" s="384">
        <v>1</v>
      </c>
      <c r="AQ523" s="384">
        <v>1</v>
      </c>
      <c r="AR523" s="383" t="s">
        <v>187</v>
      </c>
      <c r="AS523" s="386">
        <f t="shared" si="379"/>
        <v>1</v>
      </c>
      <c r="AT523">
        <f t="shared" si="380"/>
        <v>1</v>
      </c>
      <c r="AU523" s="386">
        <f>IF(AT523=0,"",IF(AND(AT523=1,M523="F",SUMIF(C2:C557,C523,AS2:AS557)&lt;=1),SUMIF(C2:C557,C523,AS2:AS557),IF(AND(AT523=1,M523="F",SUMIF(C2:C557,C523,AS2:AS557)&gt;1),1,"")))</f>
        <v>1</v>
      </c>
      <c r="AV523" s="386" t="str">
        <f>IF(AT523=0,"",IF(AND(AT523=3,M523="F",SUMIF(C2:C557,C523,AS2:AS557)&lt;=1),SUMIF(C2:C557,C523,AS2:AS557),IF(AND(AT523=3,M523="F",SUMIF(C2:C557,C523,AS2:AS557)&gt;1),1,"")))</f>
        <v/>
      </c>
      <c r="AW523" s="386">
        <f>SUMIF(C2:C557,C523,O2:O557)</f>
        <v>1</v>
      </c>
      <c r="AX523" s="386">
        <f>IF(AND(M523="F",AS523&lt;&gt;0),SUMIF(C2:C557,C523,W2:W557),0)</f>
        <v>44990.400000000001</v>
      </c>
      <c r="AY523" s="386">
        <f t="shared" si="381"/>
        <v>44990.400000000001</v>
      </c>
      <c r="AZ523" s="386" t="str">
        <f t="shared" si="382"/>
        <v/>
      </c>
      <c r="BA523" s="386">
        <f t="shared" si="383"/>
        <v>0</v>
      </c>
      <c r="BB523" s="386">
        <f t="shared" si="352"/>
        <v>11650</v>
      </c>
      <c r="BC523" s="386">
        <f t="shared" si="353"/>
        <v>0</v>
      </c>
      <c r="BD523" s="386">
        <f t="shared" si="354"/>
        <v>2789.4048000000003</v>
      </c>
      <c r="BE523" s="386">
        <f t="shared" si="355"/>
        <v>652.36080000000004</v>
      </c>
      <c r="BF523" s="386">
        <f t="shared" si="356"/>
        <v>5371.8537600000009</v>
      </c>
      <c r="BG523" s="386">
        <f t="shared" si="357"/>
        <v>324.38078400000001</v>
      </c>
      <c r="BH523" s="386">
        <f t="shared" si="358"/>
        <v>220.45295999999999</v>
      </c>
      <c r="BI523" s="386">
        <f t="shared" si="359"/>
        <v>137.670624</v>
      </c>
      <c r="BJ523" s="386">
        <f t="shared" si="360"/>
        <v>107.97695999999999</v>
      </c>
      <c r="BK523" s="386">
        <f t="shared" si="361"/>
        <v>0</v>
      </c>
      <c r="BL523" s="386">
        <f t="shared" si="384"/>
        <v>9604.1006880000023</v>
      </c>
      <c r="BM523" s="386">
        <f t="shared" si="385"/>
        <v>0</v>
      </c>
      <c r="BN523" s="386">
        <f t="shared" si="362"/>
        <v>11650</v>
      </c>
      <c r="BO523" s="386">
        <f t="shared" si="363"/>
        <v>0</v>
      </c>
      <c r="BP523" s="386">
        <f t="shared" si="364"/>
        <v>2789.4048000000003</v>
      </c>
      <c r="BQ523" s="386">
        <f t="shared" si="365"/>
        <v>652.36080000000004</v>
      </c>
      <c r="BR523" s="386">
        <f t="shared" si="366"/>
        <v>5371.8537600000009</v>
      </c>
      <c r="BS523" s="386">
        <f t="shared" si="367"/>
        <v>324.38078400000001</v>
      </c>
      <c r="BT523" s="386">
        <f t="shared" si="368"/>
        <v>0</v>
      </c>
      <c r="BU523" s="386">
        <f t="shared" si="369"/>
        <v>137.670624</v>
      </c>
      <c r="BV523" s="386">
        <f t="shared" si="370"/>
        <v>112.476</v>
      </c>
      <c r="BW523" s="386">
        <f t="shared" si="371"/>
        <v>0</v>
      </c>
      <c r="BX523" s="386">
        <f t="shared" si="386"/>
        <v>9388.1467680000023</v>
      </c>
      <c r="BY523" s="386">
        <f t="shared" si="387"/>
        <v>0</v>
      </c>
      <c r="BZ523" s="386">
        <f t="shared" si="388"/>
        <v>0</v>
      </c>
      <c r="CA523" s="386">
        <f t="shared" si="389"/>
        <v>0</v>
      </c>
      <c r="CB523" s="386">
        <f t="shared" si="390"/>
        <v>0</v>
      </c>
      <c r="CC523" s="386">
        <f t="shared" si="372"/>
        <v>0</v>
      </c>
      <c r="CD523" s="386">
        <f t="shared" si="373"/>
        <v>0</v>
      </c>
      <c r="CE523" s="386">
        <f t="shared" si="374"/>
        <v>0</v>
      </c>
      <c r="CF523" s="386">
        <f t="shared" si="375"/>
        <v>-220.45295999999999</v>
      </c>
      <c r="CG523" s="386">
        <f t="shared" si="376"/>
        <v>0</v>
      </c>
      <c r="CH523" s="386">
        <f t="shared" si="377"/>
        <v>4.4990400000000124</v>
      </c>
      <c r="CI523" s="386">
        <f t="shared" si="378"/>
        <v>0</v>
      </c>
      <c r="CJ523" s="386">
        <f t="shared" si="391"/>
        <v>-215.95391999999998</v>
      </c>
      <c r="CK523" s="386" t="str">
        <f t="shared" si="392"/>
        <v/>
      </c>
      <c r="CL523" s="386" t="str">
        <f t="shared" si="393"/>
        <v/>
      </c>
      <c r="CM523" s="386" t="str">
        <f t="shared" si="394"/>
        <v/>
      </c>
      <c r="CN523" s="386" t="str">
        <f t="shared" si="395"/>
        <v>0001-00</v>
      </c>
    </row>
    <row r="524" spans="1:92" ht="15.75" thickBot="1" x14ac:dyDescent="0.3">
      <c r="A524" s="375" t="s">
        <v>161</v>
      </c>
      <c r="B524" s="375" t="s">
        <v>162</v>
      </c>
      <c r="C524" s="375" t="s">
        <v>1861</v>
      </c>
      <c r="D524" s="375" t="s">
        <v>1862</v>
      </c>
      <c r="E524" s="375" t="s">
        <v>165</v>
      </c>
      <c r="F524" s="376" t="s">
        <v>166</v>
      </c>
      <c r="G524" s="375" t="s">
        <v>1599</v>
      </c>
      <c r="H524" s="377"/>
      <c r="I524" s="377"/>
      <c r="J524" s="375" t="s">
        <v>168</v>
      </c>
      <c r="K524" s="375" t="s">
        <v>1863</v>
      </c>
      <c r="L524" s="375" t="s">
        <v>233</v>
      </c>
      <c r="M524" s="375" t="s">
        <v>177</v>
      </c>
      <c r="N524" s="375" t="s">
        <v>199</v>
      </c>
      <c r="O524" s="378">
        <v>1</v>
      </c>
      <c r="P524" s="384">
        <v>1</v>
      </c>
      <c r="Q524" s="384">
        <v>1</v>
      </c>
      <c r="R524" s="379">
        <v>80</v>
      </c>
      <c r="S524" s="384">
        <v>1</v>
      </c>
      <c r="T524" s="379">
        <v>42092.800000000003</v>
      </c>
      <c r="U524" s="379">
        <v>0</v>
      </c>
      <c r="V524" s="379">
        <v>20237.39</v>
      </c>
      <c r="W524" s="379">
        <v>43659.199999999997</v>
      </c>
      <c r="X524" s="379">
        <v>20969.900000000001</v>
      </c>
      <c r="Y524" s="379">
        <v>43659.199999999997</v>
      </c>
      <c r="Z524" s="379">
        <v>20760.330000000002</v>
      </c>
      <c r="AA524" s="375" t="s">
        <v>1864</v>
      </c>
      <c r="AB524" s="375" t="s">
        <v>1865</v>
      </c>
      <c r="AC524" s="375" t="s">
        <v>351</v>
      </c>
      <c r="AD524" s="375" t="s">
        <v>261</v>
      </c>
      <c r="AE524" s="375" t="s">
        <v>1863</v>
      </c>
      <c r="AF524" s="375" t="s">
        <v>237</v>
      </c>
      <c r="AG524" s="375" t="s">
        <v>183</v>
      </c>
      <c r="AH524" s="380">
        <v>20.99</v>
      </c>
      <c r="AI524" s="378">
        <v>28512</v>
      </c>
      <c r="AJ524" s="375" t="s">
        <v>184</v>
      </c>
      <c r="AK524" s="375" t="s">
        <v>185</v>
      </c>
      <c r="AL524" s="375" t="s">
        <v>173</v>
      </c>
      <c r="AM524" s="375" t="s">
        <v>186</v>
      </c>
      <c r="AN524" s="375" t="s">
        <v>68</v>
      </c>
      <c r="AO524" s="378">
        <v>80</v>
      </c>
      <c r="AP524" s="384">
        <v>1</v>
      </c>
      <c r="AQ524" s="384">
        <v>1</v>
      </c>
      <c r="AR524" s="383" t="s">
        <v>187</v>
      </c>
      <c r="AS524" s="386">
        <f t="shared" si="379"/>
        <v>1</v>
      </c>
      <c r="AT524">
        <f t="shared" si="380"/>
        <v>1</v>
      </c>
      <c r="AU524" s="386">
        <f>IF(AT524=0,"",IF(AND(AT524=1,M524="F",SUMIF(C2:C557,C524,AS2:AS557)&lt;=1),SUMIF(C2:C557,C524,AS2:AS557),IF(AND(AT524=1,M524="F",SUMIF(C2:C557,C524,AS2:AS557)&gt;1),1,"")))</f>
        <v>1</v>
      </c>
      <c r="AV524" s="386" t="str">
        <f>IF(AT524=0,"",IF(AND(AT524=3,M524="F",SUMIF(C2:C557,C524,AS2:AS557)&lt;=1),SUMIF(C2:C557,C524,AS2:AS557),IF(AND(AT524=3,M524="F",SUMIF(C2:C557,C524,AS2:AS557)&gt;1),1,"")))</f>
        <v/>
      </c>
      <c r="AW524" s="386">
        <f>SUMIF(C2:C557,C524,O2:O557)</f>
        <v>1</v>
      </c>
      <c r="AX524" s="386">
        <f>IF(AND(M524="F",AS524&lt;&gt;0),SUMIF(C2:C557,C524,W2:W557),0)</f>
        <v>43659.199999999997</v>
      </c>
      <c r="AY524" s="386">
        <f t="shared" si="381"/>
        <v>43659.199999999997</v>
      </c>
      <c r="AZ524" s="386" t="str">
        <f t="shared" si="382"/>
        <v/>
      </c>
      <c r="BA524" s="386">
        <f t="shared" si="383"/>
        <v>0</v>
      </c>
      <c r="BB524" s="386">
        <f t="shared" si="352"/>
        <v>11650</v>
      </c>
      <c r="BC524" s="386">
        <f t="shared" si="353"/>
        <v>0</v>
      </c>
      <c r="BD524" s="386">
        <f t="shared" si="354"/>
        <v>2706.8703999999998</v>
      </c>
      <c r="BE524" s="386">
        <f t="shared" si="355"/>
        <v>633.05840000000001</v>
      </c>
      <c r="BF524" s="386">
        <f t="shared" si="356"/>
        <v>5212.9084800000001</v>
      </c>
      <c r="BG524" s="386">
        <f t="shared" si="357"/>
        <v>314.78283199999998</v>
      </c>
      <c r="BH524" s="386">
        <f t="shared" si="358"/>
        <v>213.93007999999998</v>
      </c>
      <c r="BI524" s="386">
        <f t="shared" si="359"/>
        <v>133.59715199999999</v>
      </c>
      <c r="BJ524" s="386">
        <f t="shared" si="360"/>
        <v>104.78207999999998</v>
      </c>
      <c r="BK524" s="386">
        <f t="shared" si="361"/>
        <v>0</v>
      </c>
      <c r="BL524" s="386">
        <f t="shared" si="384"/>
        <v>9319.9294240000017</v>
      </c>
      <c r="BM524" s="386">
        <f t="shared" si="385"/>
        <v>0</v>
      </c>
      <c r="BN524" s="386">
        <f t="shared" si="362"/>
        <v>11650</v>
      </c>
      <c r="BO524" s="386">
        <f t="shared" si="363"/>
        <v>0</v>
      </c>
      <c r="BP524" s="386">
        <f t="shared" si="364"/>
        <v>2706.8703999999998</v>
      </c>
      <c r="BQ524" s="386">
        <f t="shared" si="365"/>
        <v>633.05840000000001</v>
      </c>
      <c r="BR524" s="386">
        <f t="shared" si="366"/>
        <v>5212.9084800000001</v>
      </c>
      <c r="BS524" s="386">
        <f t="shared" si="367"/>
        <v>314.78283199999998</v>
      </c>
      <c r="BT524" s="386">
        <f t="shared" si="368"/>
        <v>0</v>
      </c>
      <c r="BU524" s="386">
        <f t="shared" si="369"/>
        <v>133.59715199999999</v>
      </c>
      <c r="BV524" s="386">
        <f t="shared" si="370"/>
        <v>109.148</v>
      </c>
      <c r="BW524" s="386">
        <f t="shared" si="371"/>
        <v>0</v>
      </c>
      <c r="BX524" s="386">
        <f t="shared" si="386"/>
        <v>9110.365264</v>
      </c>
      <c r="BY524" s="386">
        <f t="shared" si="387"/>
        <v>0</v>
      </c>
      <c r="BZ524" s="386">
        <f t="shared" si="388"/>
        <v>0</v>
      </c>
      <c r="CA524" s="386">
        <f t="shared" si="389"/>
        <v>0</v>
      </c>
      <c r="CB524" s="386">
        <f t="shared" si="390"/>
        <v>0</v>
      </c>
      <c r="CC524" s="386">
        <f t="shared" si="372"/>
        <v>0</v>
      </c>
      <c r="CD524" s="386">
        <f t="shared" si="373"/>
        <v>0</v>
      </c>
      <c r="CE524" s="386">
        <f t="shared" si="374"/>
        <v>0</v>
      </c>
      <c r="CF524" s="386">
        <f t="shared" si="375"/>
        <v>-213.93007999999998</v>
      </c>
      <c r="CG524" s="386">
        <f t="shared" si="376"/>
        <v>0</v>
      </c>
      <c r="CH524" s="386">
        <f t="shared" si="377"/>
        <v>4.3659200000000116</v>
      </c>
      <c r="CI524" s="386">
        <f t="shared" si="378"/>
        <v>0</v>
      </c>
      <c r="CJ524" s="386">
        <f t="shared" si="391"/>
        <v>-209.56415999999996</v>
      </c>
      <c r="CK524" s="386" t="str">
        <f t="shared" si="392"/>
        <v/>
      </c>
      <c r="CL524" s="386" t="str">
        <f t="shared" si="393"/>
        <v/>
      </c>
      <c r="CM524" s="386" t="str">
        <f t="shared" si="394"/>
        <v/>
      </c>
      <c r="CN524" s="386" t="str">
        <f t="shared" si="395"/>
        <v>0001-00</v>
      </c>
    </row>
    <row r="525" spans="1:92" ht="15.75" thickBot="1" x14ac:dyDescent="0.3">
      <c r="A525" s="375" t="s">
        <v>161</v>
      </c>
      <c r="B525" s="375" t="s">
        <v>162</v>
      </c>
      <c r="C525" s="375" t="s">
        <v>1866</v>
      </c>
      <c r="D525" s="375" t="s">
        <v>1598</v>
      </c>
      <c r="E525" s="375" t="s">
        <v>165</v>
      </c>
      <c r="F525" s="376" t="s">
        <v>166</v>
      </c>
      <c r="G525" s="375" t="s">
        <v>1599</v>
      </c>
      <c r="H525" s="377"/>
      <c r="I525" s="377"/>
      <c r="J525" s="375" t="s">
        <v>168</v>
      </c>
      <c r="K525" s="375" t="s">
        <v>1600</v>
      </c>
      <c r="L525" s="375" t="s">
        <v>233</v>
      </c>
      <c r="M525" s="375" t="s">
        <v>171</v>
      </c>
      <c r="N525" s="375" t="s">
        <v>199</v>
      </c>
      <c r="O525" s="378">
        <v>0</v>
      </c>
      <c r="P525" s="384">
        <v>1</v>
      </c>
      <c r="Q525" s="384">
        <v>1</v>
      </c>
      <c r="R525" s="379">
        <v>80</v>
      </c>
      <c r="S525" s="384">
        <v>1</v>
      </c>
      <c r="T525" s="379">
        <v>24371.23</v>
      </c>
      <c r="U525" s="379">
        <v>0</v>
      </c>
      <c r="V525" s="379">
        <v>13190.5</v>
      </c>
      <c r="W525" s="379">
        <v>42328</v>
      </c>
      <c r="X525" s="379">
        <v>18539.66</v>
      </c>
      <c r="Y525" s="379">
        <v>42328</v>
      </c>
      <c r="Z525" s="379">
        <v>18328.02</v>
      </c>
      <c r="AA525" s="377"/>
      <c r="AB525" s="375" t="s">
        <v>45</v>
      </c>
      <c r="AC525" s="375" t="s">
        <v>45</v>
      </c>
      <c r="AD525" s="377"/>
      <c r="AE525" s="377"/>
      <c r="AF525" s="377"/>
      <c r="AG525" s="377"/>
      <c r="AH525" s="378">
        <v>0</v>
      </c>
      <c r="AI525" s="378">
        <v>0</v>
      </c>
      <c r="AJ525" s="377"/>
      <c r="AK525" s="377"/>
      <c r="AL525" s="375" t="s">
        <v>173</v>
      </c>
      <c r="AM525" s="377"/>
      <c r="AN525" s="377"/>
      <c r="AO525" s="378">
        <v>0</v>
      </c>
      <c r="AP525" s="384">
        <v>0</v>
      </c>
      <c r="AQ525" s="384">
        <v>0</v>
      </c>
      <c r="AR525" s="382"/>
      <c r="AS525" s="386">
        <f t="shared" si="379"/>
        <v>0</v>
      </c>
      <c r="AT525">
        <f t="shared" si="380"/>
        <v>0</v>
      </c>
      <c r="AU525" s="386" t="str">
        <f>IF(AT525=0,"",IF(AND(AT525=1,M525="F",SUMIF(C2:C557,C525,AS2:AS557)&lt;=1),SUMIF(C2:C557,C525,AS2:AS557),IF(AND(AT525=1,M525="F",SUMIF(C2:C557,C525,AS2:AS557)&gt;1),1,"")))</f>
        <v/>
      </c>
      <c r="AV525" s="386" t="str">
        <f>IF(AT525=0,"",IF(AND(AT525=3,M525="F",SUMIF(C2:C557,C525,AS2:AS557)&lt;=1),SUMIF(C2:C557,C525,AS2:AS557),IF(AND(AT525=3,M525="F",SUMIF(C2:C557,C525,AS2:AS557)&gt;1),1,"")))</f>
        <v/>
      </c>
      <c r="AW525" s="386">
        <f>SUMIF(C2:C557,C525,O2:O557)</f>
        <v>0</v>
      </c>
      <c r="AX525" s="386">
        <f>IF(AND(M525="F",AS525&lt;&gt;0),SUMIF(C2:C557,C525,W2:W557),0)</f>
        <v>0</v>
      </c>
      <c r="AY525" s="386" t="str">
        <f t="shared" si="381"/>
        <v/>
      </c>
      <c r="AZ525" s="386" t="str">
        <f t="shared" si="382"/>
        <v/>
      </c>
      <c r="BA525" s="386">
        <f t="shared" si="383"/>
        <v>0</v>
      </c>
      <c r="BB525" s="386">
        <f t="shared" si="352"/>
        <v>0</v>
      </c>
      <c r="BC525" s="386">
        <f t="shared" si="353"/>
        <v>0</v>
      </c>
      <c r="BD525" s="386">
        <f t="shared" si="354"/>
        <v>0</v>
      </c>
      <c r="BE525" s="386">
        <f t="shared" si="355"/>
        <v>0</v>
      </c>
      <c r="BF525" s="386">
        <f t="shared" si="356"/>
        <v>0</v>
      </c>
      <c r="BG525" s="386">
        <f t="shared" si="357"/>
        <v>0</v>
      </c>
      <c r="BH525" s="386">
        <f t="shared" si="358"/>
        <v>0</v>
      </c>
      <c r="BI525" s="386">
        <f t="shared" si="359"/>
        <v>0</v>
      </c>
      <c r="BJ525" s="386">
        <f t="shared" si="360"/>
        <v>0</v>
      </c>
      <c r="BK525" s="386">
        <f t="shared" si="361"/>
        <v>0</v>
      </c>
      <c r="BL525" s="386">
        <f t="shared" si="384"/>
        <v>0</v>
      </c>
      <c r="BM525" s="386">
        <f t="shared" si="385"/>
        <v>0</v>
      </c>
      <c r="BN525" s="386">
        <f t="shared" si="362"/>
        <v>0</v>
      </c>
      <c r="BO525" s="386">
        <f t="shared" si="363"/>
        <v>0</v>
      </c>
      <c r="BP525" s="386">
        <f t="shared" si="364"/>
        <v>0</v>
      </c>
      <c r="BQ525" s="386">
        <f t="shared" si="365"/>
        <v>0</v>
      </c>
      <c r="BR525" s="386">
        <f t="shared" si="366"/>
        <v>0</v>
      </c>
      <c r="BS525" s="386">
        <f t="shared" si="367"/>
        <v>0</v>
      </c>
      <c r="BT525" s="386">
        <f t="shared" si="368"/>
        <v>0</v>
      </c>
      <c r="BU525" s="386">
        <f t="shared" si="369"/>
        <v>0</v>
      </c>
      <c r="BV525" s="386">
        <f t="shared" si="370"/>
        <v>0</v>
      </c>
      <c r="BW525" s="386">
        <f t="shared" si="371"/>
        <v>0</v>
      </c>
      <c r="BX525" s="386">
        <f t="shared" si="386"/>
        <v>0</v>
      </c>
      <c r="BY525" s="386">
        <f t="shared" si="387"/>
        <v>0</v>
      </c>
      <c r="BZ525" s="386">
        <f t="shared" si="388"/>
        <v>0</v>
      </c>
      <c r="CA525" s="386">
        <f t="shared" si="389"/>
        <v>0</v>
      </c>
      <c r="CB525" s="386">
        <f t="shared" si="390"/>
        <v>0</v>
      </c>
      <c r="CC525" s="386">
        <f t="shared" si="372"/>
        <v>0</v>
      </c>
      <c r="CD525" s="386">
        <f t="shared" si="373"/>
        <v>0</v>
      </c>
      <c r="CE525" s="386">
        <f t="shared" si="374"/>
        <v>0</v>
      </c>
      <c r="CF525" s="386">
        <f t="shared" si="375"/>
        <v>0</v>
      </c>
      <c r="CG525" s="386">
        <f t="shared" si="376"/>
        <v>0</v>
      </c>
      <c r="CH525" s="386">
        <f t="shared" si="377"/>
        <v>0</v>
      </c>
      <c r="CI525" s="386">
        <f t="shared" si="378"/>
        <v>0</v>
      </c>
      <c r="CJ525" s="386">
        <f t="shared" si="391"/>
        <v>0</v>
      </c>
      <c r="CK525" s="386" t="str">
        <f t="shared" si="392"/>
        <v/>
      </c>
      <c r="CL525" s="386" t="str">
        <f t="shared" si="393"/>
        <v/>
      </c>
      <c r="CM525" s="386" t="str">
        <f t="shared" si="394"/>
        <v/>
      </c>
      <c r="CN525" s="386" t="str">
        <f t="shared" si="395"/>
        <v>0001-00</v>
      </c>
    </row>
    <row r="526" spans="1:92" ht="15.75" thickBot="1" x14ac:dyDescent="0.3">
      <c r="A526" s="375" t="s">
        <v>161</v>
      </c>
      <c r="B526" s="375" t="s">
        <v>162</v>
      </c>
      <c r="C526" s="375" t="s">
        <v>1867</v>
      </c>
      <c r="D526" s="375" t="s">
        <v>1629</v>
      </c>
      <c r="E526" s="375" t="s">
        <v>165</v>
      </c>
      <c r="F526" s="376" t="s">
        <v>166</v>
      </c>
      <c r="G526" s="375" t="s">
        <v>1599</v>
      </c>
      <c r="H526" s="377"/>
      <c r="I526" s="377"/>
      <c r="J526" s="375" t="s">
        <v>168</v>
      </c>
      <c r="K526" s="375" t="s">
        <v>1630</v>
      </c>
      <c r="L526" s="375" t="s">
        <v>198</v>
      </c>
      <c r="M526" s="375" t="s">
        <v>177</v>
      </c>
      <c r="N526" s="375" t="s">
        <v>199</v>
      </c>
      <c r="O526" s="378">
        <v>1</v>
      </c>
      <c r="P526" s="384">
        <v>1</v>
      </c>
      <c r="Q526" s="384">
        <v>1</v>
      </c>
      <c r="R526" s="379">
        <v>80</v>
      </c>
      <c r="S526" s="384">
        <v>1</v>
      </c>
      <c r="T526" s="379">
        <v>41406.480000000003</v>
      </c>
      <c r="U526" s="379">
        <v>0</v>
      </c>
      <c r="V526" s="379">
        <v>19829.990000000002</v>
      </c>
      <c r="W526" s="379">
        <v>44304</v>
      </c>
      <c r="X526" s="379">
        <v>21107.53</v>
      </c>
      <c r="Y526" s="379">
        <v>44304</v>
      </c>
      <c r="Z526" s="379">
        <v>20894.89</v>
      </c>
      <c r="AA526" s="375" t="s">
        <v>1868</v>
      </c>
      <c r="AB526" s="375" t="s">
        <v>1869</v>
      </c>
      <c r="AC526" s="375" t="s">
        <v>1870</v>
      </c>
      <c r="AD526" s="375" t="s">
        <v>173</v>
      </c>
      <c r="AE526" s="375" t="s">
        <v>1630</v>
      </c>
      <c r="AF526" s="375" t="s">
        <v>245</v>
      </c>
      <c r="AG526" s="375" t="s">
        <v>183</v>
      </c>
      <c r="AH526" s="380">
        <v>21.3</v>
      </c>
      <c r="AI526" s="380">
        <v>10718.5</v>
      </c>
      <c r="AJ526" s="375" t="s">
        <v>184</v>
      </c>
      <c r="AK526" s="375" t="s">
        <v>185</v>
      </c>
      <c r="AL526" s="375" t="s">
        <v>173</v>
      </c>
      <c r="AM526" s="375" t="s">
        <v>186</v>
      </c>
      <c r="AN526" s="375" t="s">
        <v>68</v>
      </c>
      <c r="AO526" s="378">
        <v>80</v>
      </c>
      <c r="AP526" s="384">
        <v>1</v>
      </c>
      <c r="AQ526" s="384">
        <v>1</v>
      </c>
      <c r="AR526" s="383" t="s">
        <v>187</v>
      </c>
      <c r="AS526" s="386">
        <f t="shared" si="379"/>
        <v>1</v>
      </c>
      <c r="AT526">
        <f t="shared" si="380"/>
        <v>1</v>
      </c>
      <c r="AU526" s="386">
        <f>IF(AT526=0,"",IF(AND(AT526=1,M526="F",SUMIF(C2:C557,C526,AS2:AS557)&lt;=1),SUMIF(C2:C557,C526,AS2:AS557),IF(AND(AT526=1,M526="F",SUMIF(C2:C557,C526,AS2:AS557)&gt;1),1,"")))</f>
        <v>1</v>
      </c>
      <c r="AV526" s="386" t="str">
        <f>IF(AT526=0,"",IF(AND(AT526=3,M526="F",SUMIF(C2:C557,C526,AS2:AS557)&lt;=1),SUMIF(C2:C557,C526,AS2:AS557),IF(AND(AT526=3,M526="F",SUMIF(C2:C557,C526,AS2:AS557)&gt;1),1,"")))</f>
        <v/>
      </c>
      <c r="AW526" s="386">
        <f>SUMIF(C2:C557,C526,O2:O557)</f>
        <v>1</v>
      </c>
      <c r="AX526" s="386">
        <f>IF(AND(M526="F",AS526&lt;&gt;0),SUMIF(C2:C557,C526,W2:W557),0)</f>
        <v>44304</v>
      </c>
      <c r="AY526" s="386">
        <f t="shared" si="381"/>
        <v>44304</v>
      </c>
      <c r="AZ526" s="386" t="str">
        <f t="shared" si="382"/>
        <v/>
      </c>
      <c r="BA526" s="386">
        <f t="shared" si="383"/>
        <v>0</v>
      </c>
      <c r="BB526" s="386">
        <f t="shared" si="352"/>
        <v>11650</v>
      </c>
      <c r="BC526" s="386">
        <f t="shared" si="353"/>
        <v>0</v>
      </c>
      <c r="BD526" s="386">
        <f t="shared" si="354"/>
        <v>2746.848</v>
      </c>
      <c r="BE526" s="386">
        <f t="shared" si="355"/>
        <v>642.40800000000002</v>
      </c>
      <c r="BF526" s="386">
        <f t="shared" si="356"/>
        <v>5289.8976000000002</v>
      </c>
      <c r="BG526" s="386">
        <f t="shared" si="357"/>
        <v>319.43184000000002</v>
      </c>
      <c r="BH526" s="386">
        <f t="shared" si="358"/>
        <v>217.08959999999999</v>
      </c>
      <c r="BI526" s="386">
        <f t="shared" si="359"/>
        <v>135.57023999999998</v>
      </c>
      <c r="BJ526" s="386">
        <f t="shared" si="360"/>
        <v>106.32959999999999</v>
      </c>
      <c r="BK526" s="386">
        <f t="shared" si="361"/>
        <v>0</v>
      </c>
      <c r="BL526" s="386">
        <f t="shared" si="384"/>
        <v>9457.5748799999965</v>
      </c>
      <c r="BM526" s="386">
        <f t="shared" si="385"/>
        <v>0</v>
      </c>
      <c r="BN526" s="386">
        <f t="shared" si="362"/>
        <v>11650</v>
      </c>
      <c r="BO526" s="386">
        <f t="shared" si="363"/>
        <v>0</v>
      </c>
      <c r="BP526" s="386">
        <f t="shared" si="364"/>
        <v>2746.848</v>
      </c>
      <c r="BQ526" s="386">
        <f t="shared" si="365"/>
        <v>642.40800000000002</v>
      </c>
      <c r="BR526" s="386">
        <f t="shared" si="366"/>
        <v>5289.8976000000002</v>
      </c>
      <c r="BS526" s="386">
        <f t="shared" si="367"/>
        <v>319.43184000000002</v>
      </c>
      <c r="BT526" s="386">
        <f t="shared" si="368"/>
        <v>0</v>
      </c>
      <c r="BU526" s="386">
        <f t="shared" si="369"/>
        <v>135.57023999999998</v>
      </c>
      <c r="BV526" s="386">
        <f t="shared" si="370"/>
        <v>110.76</v>
      </c>
      <c r="BW526" s="386">
        <f t="shared" si="371"/>
        <v>0</v>
      </c>
      <c r="BX526" s="386">
        <f t="shared" si="386"/>
        <v>9244.9156799999982</v>
      </c>
      <c r="BY526" s="386">
        <f t="shared" si="387"/>
        <v>0</v>
      </c>
      <c r="BZ526" s="386">
        <f t="shared" si="388"/>
        <v>0</v>
      </c>
      <c r="CA526" s="386">
        <f t="shared" si="389"/>
        <v>0</v>
      </c>
      <c r="CB526" s="386">
        <f t="shared" si="390"/>
        <v>0</v>
      </c>
      <c r="CC526" s="386">
        <f t="shared" si="372"/>
        <v>0</v>
      </c>
      <c r="CD526" s="386">
        <f t="shared" si="373"/>
        <v>0</v>
      </c>
      <c r="CE526" s="386">
        <f t="shared" si="374"/>
        <v>0</v>
      </c>
      <c r="CF526" s="386">
        <f t="shared" si="375"/>
        <v>-217.08959999999999</v>
      </c>
      <c r="CG526" s="386">
        <f t="shared" si="376"/>
        <v>0</v>
      </c>
      <c r="CH526" s="386">
        <f t="shared" si="377"/>
        <v>4.4304000000000112</v>
      </c>
      <c r="CI526" s="386">
        <f t="shared" si="378"/>
        <v>0</v>
      </c>
      <c r="CJ526" s="386">
        <f t="shared" si="391"/>
        <v>-212.65919999999997</v>
      </c>
      <c r="CK526" s="386" t="str">
        <f t="shared" si="392"/>
        <v/>
      </c>
      <c r="CL526" s="386" t="str">
        <f t="shared" si="393"/>
        <v/>
      </c>
      <c r="CM526" s="386" t="str">
        <f t="shared" si="394"/>
        <v/>
      </c>
      <c r="CN526" s="386" t="str">
        <f t="shared" si="395"/>
        <v>0001-00</v>
      </c>
    </row>
    <row r="527" spans="1:92" ht="15.75" thickBot="1" x14ac:dyDescent="0.3">
      <c r="A527" s="375" t="s">
        <v>161</v>
      </c>
      <c r="B527" s="375" t="s">
        <v>162</v>
      </c>
      <c r="C527" s="375" t="s">
        <v>1871</v>
      </c>
      <c r="D527" s="375" t="s">
        <v>239</v>
      </c>
      <c r="E527" s="375" t="s">
        <v>165</v>
      </c>
      <c r="F527" s="376" t="s">
        <v>166</v>
      </c>
      <c r="G527" s="375" t="s">
        <v>1599</v>
      </c>
      <c r="H527" s="377"/>
      <c r="I527" s="377"/>
      <c r="J527" s="375" t="s">
        <v>168</v>
      </c>
      <c r="K527" s="375" t="s">
        <v>240</v>
      </c>
      <c r="L527" s="375" t="s">
        <v>198</v>
      </c>
      <c r="M527" s="375" t="s">
        <v>177</v>
      </c>
      <c r="N527" s="375" t="s">
        <v>199</v>
      </c>
      <c r="O527" s="378">
        <v>1</v>
      </c>
      <c r="P527" s="384">
        <v>1</v>
      </c>
      <c r="Q527" s="384">
        <v>1</v>
      </c>
      <c r="R527" s="379">
        <v>80</v>
      </c>
      <c r="S527" s="384">
        <v>1</v>
      </c>
      <c r="T527" s="379">
        <v>41528.120000000003</v>
      </c>
      <c r="U527" s="379">
        <v>0</v>
      </c>
      <c r="V527" s="379">
        <v>19903.03</v>
      </c>
      <c r="W527" s="379">
        <v>47424</v>
      </c>
      <c r="X527" s="379">
        <v>21773.55</v>
      </c>
      <c r="Y527" s="379">
        <v>47424</v>
      </c>
      <c r="Z527" s="379">
        <v>21545.93</v>
      </c>
      <c r="AA527" s="375" t="s">
        <v>1872</v>
      </c>
      <c r="AB527" s="375" t="s">
        <v>1873</v>
      </c>
      <c r="AC527" s="375" t="s">
        <v>1874</v>
      </c>
      <c r="AD527" s="375" t="s">
        <v>194</v>
      </c>
      <c r="AE527" s="375" t="s">
        <v>240</v>
      </c>
      <c r="AF527" s="375" t="s">
        <v>245</v>
      </c>
      <c r="AG527" s="375" t="s">
        <v>183</v>
      </c>
      <c r="AH527" s="380">
        <v>22.8</v>
      </c>
      <c r="AI527" s="380">
        <v>10701.1</v>
      </c>
      <c r="AJ527" s="375" t="s">
        <v>184</v>
      </c>
      <c r="AK527" s="375" t="s">
        <v>185</v>
      </c>
      <c r="AL527" s="375" t="s">
        <v>173</v>
      </c>
      <c r="AM527" s="375" t="s">
        <v>186</v>
      </c>
      <c r="AN527" s="375" t="s">
        <v>68</v>
      </c>
      <c r="AO527" s="378">
        <v>80</v>
      </c>
      <c r="AP527" s="384">
        <v>1</v>
      </c>
      <c r="AQ527" s="384">
        <v>1</v>
      </c>
      <c r="AR527" s="383" t="s">
        <v>187</v>
      </c>
      <c r="AS527" s="386">
        <f t="shared" si="379"/>
        <v>1</v>
      </c>
      <c r="AT527">
        <f t="shared" si="380"/>
        <v>1</v>
      </c>
      <c r="AU527" s="386">
        <f>IF(AT527=0,"",IF(AND(AT527=1,M527="F",SUMIF(C2:C557,C527,AS2:AS557)&lt;=1),SUMIF(C2:C557,C527,AS2:AS557),IF(AND(AT527=1,M527="F",SUMIF(C2:C557,C527,AS2:AS557)&gt;1),1,"")))</f>
        <v>1</v>
      </c>
      <c r="AV527" s="386" t="str">
        <f>IF(AT527=0,"",IF(AND(AT527=3,M527="F",SUMIF(C2:C557,C527,AS2:AS557)&lt;=1),SUMIF(C2:C557,C527,AS2:AS557),IF(AND(AT527=3,M527="F",SUMIF(C2:C557,C527,AS2:AS557)&gt;1),1,"")))</f>
        <v/>
      </c>
      <c r="AW527" s="386">
        <f>SUMIF(C2:C557,C527,O2:O557)</f>
        <v>1</v>
      </c>
      <c r="AX527" s="386">
        <f>IF(AND(M527="F",AS527&lt;&gt;0),SUMIF(C2:C557,C527,W2:W557),0)</f>
        <v>47424</v>
      </c>
      <c r="AY527" s="386">
        <f t="shared" si="381"/>
        <v>47424</v>
      </c>
      <c r="AZ527" s="386" t="str">
        <f t="shared" si="382"/>
        <v/>
      </c>
      <c r="BA527" s="386">
        <f t="shared" si="383"/>
        <v>0</v>
      </c>
      <c r="BB527" s="386">
        <f t="shared" si="352"/>
        <v>11650</v>
      </c>
      <c r="BC527" s="386">
        <f t="shared" si="353"/>
        <v>0</v>
      </c>
      <c r="BD527" s="386">
        <f t="shared" si="354"/>
        <v>2940.288</v>
      </c>
      <c r="BE527" s="386">
        <f t="shared" si="355"/>
        <v>687.64800000000002</v>
      </c>
      <c r="BF527" s="386">
        <f t="shared" si="356"/>
        <v>5662.4256000000005</v>
      </c>
      <c r="BG527" s="386">
        <f t="shared" si="357"/>
        <v>341.92704000000003</v>
      </c>
      <c r="BH527" s="386">
        <f t="shared" si="358"/>
        <v>232.3776</v>
      </c>
      <c r="BI527" s="386">
        <f t="shared" si="359"/>
        <v>145.11743999999999</v>
      </c>
      <c r="BJ527" s="386">
        <f t="shared" si="360"/>
        <v>113.81759999999998</v>
      </c>
      <c r="BK527" s="386">
        <f t="shared" si="361"/>
        <v>0</v>
      </c>
      <c r="BL527" s="386">
        <f t="shared" si="384"/>
        <v>10123.601280000001</v>
      </c>
      <c r="BM527" s="386">
        <f t="shared" si="385"/>
        <v>0</v>
      </c>
      <c r="BN527" s="386">
        <f t="shared" si="362"/>
        <v>11650</v>
      </c>
      <c r="BO527" s="386">
        <f t="shared" si="363"/>
        <v>0</v>
      </c>
      <c r="BP527" s="386">
        <f t="shared" si="364"/>
        <v>2940.288</v>
      </c>
      <c r="BQ527" s="386">
        <f t="shared" si="365"/>
        <v>687.64800000000002</v>
      </c>
      <c r="BR527" s="386">
        <f t="shared" si="366"/>
        <v>5662.4256000000005</v>
      </c>
      <c r="BS527" s="386">
        <f t="shared" si="367"/>
        <v>341.92704000000003</v>
      </c>
      <c r="BT527" s="386">
        <f t="shared" si="368"/>
        <v>0</v>
      </c>
      <c r="BU527" s="386">
        <f t="shared" si="369"/>
        <v>145.11743999999999</v>
      </c>
      <c r="BV527" s="386">
        <f t="shared" si="370"/>
        <v>118.56</v>
      </c>
      <c r="BW527" s="386">
        <f t="shared" si="371"/>
        <v>0</v>
      </c>
      <c r="BX527" s="386">
        <f t="shared" si="386"/>
        <v>9895.9660800000001</v>
      </c>
      <c r="BY527" s="386">
        <f t="shared" si="387"/>
        <v>0</v>
      </c>
      <c r="BZ527" s="386">
        <f t="shared" si="388"/>
        <v>0</v>
      </c>
      <c r="CA527" s="386">
        <f t="shared" si="389"/>
        <v>0</v>
      </c>
      <c r="CB527" s="386">
        <f t="shared" si="390"/>
        <v>0</v>
      </c>
      <c r="CC527" s="386">
        <f t="shared" si="372"/>
        <v>0</v>
      </c>
      <c r="CD527" s="386">
        <f t="shared" si="373"/>
        <v>0</v>
      </c>
      <c r="CE527" s="386">
        <f t="shared" si="374"/>
        <v>0</v>
      </c>
      <c r="CF527" s="386">
        <f t="shared" si="375"/>
        <v>-232.3776</v>
      </c>
      <c r="CG527" s="386">
        <f t="shared" si="376"/>
        <v>0</v>
      </c>
      <c r="CH527" s="386">
        <f t="shared" si="377"/>
        <v>4.7424000000000124</v>
      </c>
      <c r="CI527" s="386">
        <f t="shared" si="378"/>
        <v>0</v>
      </c>
      <c r="CJ527" s="386">
        <f t="shared" si="391"/>
        <v>-227.6352</v>
      </c>
      <c r="CK527" s="386" t="str">
        <f t="shared" si="392"/>
        <v/>
      </c>
      <c r="CL527" s="386" t="str">
        <f t="shared" si="393"/>
        <v/>
      </c>
      <c r="CM527" s="386" t="str">
        <f t="shared" si="394"/>
        <v/>
      </c>
      <c r="CN527" s="386" t="str">
        <f t="shared" si="395"/>
        <v>0001-00</v>
      </c>
    </row>
    <row r="528" spans="1:92" ht="15.75" thickBot="1" x14ac:dyDescent="0.3">
      <c r="A528" s="375" t="s">
        <v>161</v>
      </c>
      <c r="B528" s="375" t="s">
        <v>162</v>
      </c>
      <c r="C528" s="375" t="s">
        <v>1875</v>
      </c>
      <c r="D528" s="375" t="s">
        <v>259</v>
      </c>
      <c r="E528" s="375" t="s">
        <v>165</v>
      </c>
      <c r="F528" s="376" t="s">
        <v>166</v>
      </c>
      <c r="G528" s="375" t="s">
        <v>1599</v>
      </c>
      <c r="H528" s="377"/>
      <c r="I528" s="377"/>
      <c r="J528" s="375" t="s">
        <v>168</v>
      </c>
      <c r="K528" s="375" t="s">
        <v>260</v>
      </c>
      <c r="L528" s="375" t="s">
        <v>261</v>
      </c>
      <c r="M528" s="375" t="s">
        <v>171</v>
      </c>
      <c r="N528" s="375" t="s">
        <v>262</v>
      </c>
      <c r="O528" s="378">
        <v>0</v>
      </c>
      <c r="P528" s="384">
        <v>1</v>
      </c>
      <c r="Q528" s="384">
        <v>0</v>
      </c>
      <c r="R528" s="379">
        <v>0</v>
      </c>
      <c r="S528" s="384">
        <v>0</v>
      </c>
      <c r="T528" s="379">
        <v>0</v>
      </c>
      <c r="U528" s="379">
        <v>0</v>
      </c>
      <c r="V528" s="379">
        <v>0</v>
      </c>
      <c r="W528" s="379">
        <v>0</v>
      </c>
      <c r="X528" s="379">
        <v>0</v>
      </c>
      <c r="Y528" s="379">
        <v>0</v>
      </c>
      <c r="Z528" s="379">
        <v>0</v>
      </c>
      <c r="AA528" s="377"/>
      <c r="AB528" s="375" t="s">
        <v>45</v>
      </c>
      <c r="AC528" s="375" t="s">
        <v>45</v>
      </c>
      <c r="AD528" s="377"/>
      <c r="AE528" s="377"/>
      <c r="AF528" s="377"/>
      <c r="AG528" s="377"/>
      <c r="AH528" s="378">
        <v>0</v>
      </c>
      <c r="AI528" s="378">
        <v>0</v>
      </c>
      <c r="AJ528" s="377"/>
      <c r="AK528" s="377"/>
      <c r="AL528" s="375" t="s">
        <v>173</v>
      </c>
      <c r="AM528" s="377"/>
      <c r="AN528" s="377"/>
      <c r="AO528" s="378">
        <v>0</v>
      </c>
      <c r="AP528" s="384">
        <v>0</v>
      </c>
      <c r="AQ528" s="384">
        <v>0</v>
      </c>
      <c r="AR528" s="382"/>
      <c r="AS528" s="386">
        <f t="shared" si="379"/>
        <v>0</v>
      </c>
      <c r="AT528">
        <f t="shared" si="380"/>
        <v>0</v>
      </c>
      <c r="AU528" s="386" t="str">
        <f>IF(AT528=0,"",IF(AND(AT528=1,M528="F",SUMIF(C2:C557,C528,AS2:AS557)&lt;=1),SUMIF(C2:C557,C528,AS2:AS557),IF(AND(AT528=1,M528="F",SUMIF(C2:C557,C528,AS2:AS557)&gt;1),1,"")))</f>
        <v/>
      </c>
      <c r="AV528" s="386" t="str">
        <f>IF(AT528=0,"",IF(AND(AT528=3,M528="F",SUMIF(C2:C557,C528,AS2:AS557)&lt;=1),SUMIF(C2:C557,C528,AS2:AS557),IF(AND(AT528=3,M528="F",SUMIF(C2:C557,C528,AS2:AS557)&gt;1),1,"")))</f>
        <v/>
      </c>
      <c r="AW528" s="386">
        <f>SUMIF(C2:C557,C528,O2:O557)</f>
        <v>0</v>
      </c>
      <c r="AX528" s="386">
        <f>IF(AND(M528="F",AS528&lt;&gt;0),SUMIF(C2:C557,C528,W2:W557),0)</f>
        <v>0</v>
      </c>
      <c r="AY528" s="386" t="str">
        <f t="shared" si="381"/>
        <v/>
      </c>
      <c r="AZ528" s="386" t="str">
        <f t="shared" si="382"/>
        <v/>
      </c>
      <c r="BA528" s="386">
        <f t="shared" si="383"/>
        <v>0</v>
      </c>
      <c r="BB528" s="386">
        <f t="shared" si="352"/>
        <v>0</v>
      </c>
      <c r="BC528" s="386">
        <f t="shared" si="353"/>
        <v>0</v>
      </c>
      <c r="BD528" s="386">
        <f t="shared" si="354"/>
        <v>0</v>
      </c>
      <c r="BE528" s="386">
        <f t="shared" si="355"/>
        <v>0</v>
      </c>
      <c r="BF528" s="386">
        <f t="shared" si="356"/>
        <v>0</v>
      </c>
      <c r="BG528" s="386">
        <f t="shared" si="357"/>
        <v>0</v>
      </c>
      <c r="BH528" s="386">
        <f t="shared" si="358"/>
        <v>0</v>
      </c>
      <c r="BI528" s="386">
        <f t="shared" si="359"/>
        <v>0</v>
      </c>
      <c r="BJ528" s="386">
        <f t="shared" si="360"/>
        <v>0</v>
      </c>
      <c r="BK528" s="386">
        <f t="shared" si="361"/>
        <v>0</v>
      </c>
      <c r="BL528" s="386">
        <f t="shared" si="384"/>
        <v>0</v>
      </c>
      <c r="BM528" s="386">
        <f t="shared" si="385"/>
        <v>0</v>
      </c>
      <c r="BN528" s="386">
        <f t="shared" si="362"/>
        <v>0</v>
      </c>
      <c r="BO528" s="386">
        <f t="shared" si="363"/>
        <v>0</v>
      </c>
      <c r="BP528" s="386">
        <f t="shared" si="364"/>
        <v>0</v>
      </c>
      <c r="BQ528" s="386">
        <f t="shared" si="365"/>
        <v>0</v>
      </c>
      <c r="BR528" s="386">
        <f t="shared" si="366"/>
        <v>0</v>
      </c>
      <c r="BS528" s="386">
        <f t="shared" si="367"/>
        <v>0</v>
      </c>
      <c r="BT528" s="386">
        <f t="shared" si="368"/>
        <v>0</v>
      </c>
      <c r="BU528" s="386">
        <f t="shared" si="369"/>
        <v>0</v>
      </c>
      <c r="BV528" s="386">
        <f t="shared" si="370"/>
        <v>0</v>
      </c>
      <c r="BW528" s="386">
        <f t="shared" si="371"/>
        <v>0</v>
      </c>
      <c r="BX528" s="386">
        <f t="shared" si="386"/>
        <v>0</v>
      </c>
      <c r="BY528" s="386">
        <f t="shared" si="387"/>
        <v>0</v>
      </c>
      <c r="BZ528" s="386">
        <f t="shared" si="388"/>
        <v>0</v>
      </c>
      <c r="CA528" s="386">
        <f t="shared" si="389"/>
        <v>0</v>
      </c>
      <c r="CB528" s="386">
        <f t="shared" si="390"/>
        <v>0</v>
      </c>
      <c r="CC528" s="386">
        <f t="shared" si="372"/>
        <v>0</v>
      </c>
      <c r="CD528" s="386">
        <f t="shared" si="373"/>
        <v>0</v>
      </c>
      <c r="CE528" s="386">
        <f t="shared" si="374"/>
        <v>0</v>
      </c>
      <c r="CF528" s="386">
        <f t="shared" si="375"/>
        <v>0</v>
      </c>
      <c r="CG528" s="386">
        <f t="shared" si="376"/>
        <v>0</v>
      </c>
      <c r="CH528" s="386">
        <f t="shared" si="377"/>
        <v>0</v>
      </c>
      <c r="CI528" s="386">
        <f t="shared" si="378"/>
        <v>0</v>
      </c>
      <c r="CJ528" s="386">
        <f t="shared" si="391"/>
        <v>0</v>
      </c>
      <c r="CK528" s="386" t="str">
        <f t="shared" si="392"/>
        <v/>
      </c>
      <c r="CL528" s="386">
        <f t="shared" si="393"/>
        <v>0</v>
      </c>
      <c r="CM528" s="386">
        <f t="shared" si="394"/>
        <v>0</v>
      </c>
      <c r="CN528" s="386" t="str">
        <f t="shared" si="395"/>
        <v>0001-00</v>
      </c>
    </row>
    <row r="529" spans="1:92" ht="15.75" thickBot="1" x14ac:dyDescent="0.3">
      <c r="A529" s="375" t="s">
        <v>161</v>
      </c>
      <c r="B529" s="375" t="s">
        <v>162</v>
      </c>
      <c r="C529" s="375" t="s">
        <v>1876</v>
      </c>
      <c r="D529" s="375" t="s">
        <v>324</v>
      </c>
      <c r="E529" s="375" t="s">
        <v>165</v>
      </c>
      <c r="F529" s="376" t="s">
        <v>166</v>
      </c>
      <c r="G529" s="375" t="s">
        <v>1599</v>
      </c>
      <c r="H529" s="377"/>
      <c r="I529" s="377"/>
      <c r="J529" s="375" t="s">
        <v>168</v>
      </c>
      <c r="K529" s="375" t="s">
        <v>325</v>
      </c>
      <c r="L529" s="375" t="s">
        <v>170</v>
      </c>
      <c r="M529" s="375" t="s">
        <v>177</v>
      </c>
      <c r="N529" s="375" t="s">
        <v>199</v>
      </c>
      <c r="O529" s="378">
        <v>1</v>
      </c>
      <c r="P529" s="384">
        <v>1</v>
      </c>
      <c r="Q529" s="384">
        <v>1</v>
      </c>
      <c r="R529" s="379">
        <v>80</v>
      </c>
      <c r="S529" s="384">
        <v>1</v>
      </c>
      <c r="T529" s="379">
        <v>51162.44</v>
      </c>
      <c r="U529" s="379">
        <v>0</v>
      </c>
      <c r="V529" s="379">
        <v>22241.64</v>
      </c>
      <c r="W529" s="379">
        <v>55411.199999999997</v>
      </c>
      <c r="X529" s="379">
        <v>23478.59</v>
      </c>
      <c r="Y529" s="379">
        <v>55411.199999999997</v>
      </c>
      <c r="Z529" s="379">
        <v>23212.62</v>
      </c>
      <c r="AA529" s="375" t="s">
        <v>1877</v>
      </c>
      <c r="AB529" s="375" t="s">
        <v>1878</v>
      </c>
      <c r="AC529" s="375" t="s">
        <v>1756</v>
      </c>
      <c r="AD529" s="375" t="s">
        <v>1879</v>
      </c>
      <c r="AE529" s="375" t="s">
        <v>325</v>
      </c>
      <c r="AF529" s="375" t="s">
        <v>269</v>
      </c>
      <c r="AG529" s="375" t="s">
        <v>183</v>
      </c>
      <c r="AH529" s="380">
        <v>26.64</v>
      </c>
      <c r="AI529" s="380">
        <v>19036.8</v>
      </c>
      <c r="AJ529" s="375" t="s">
        <v>184</v>
      </c>
      <c r="AK529" s="375" t="s">
        <v>185</v>
      </c>
      <c r="AL529" s="375" t="s">
        <v>173</v>
      </c>
      <c r="AM529" s="375" t="s">
        <v>186</v>
      </c>
      <c r="AN529" s="375" t="s">
        <v>68</v>
      </c>
      <c r="AO529" s="378">
        <v>80</v>
      </c>
      <c r="AP529" s="384">
        <v>1</v>
      </c>
      <c r="AQ529" s="384">
        <v>1</v>
      </c>
      <c r="AR529" s="383" t="s">
        <v>187</v>
      </c>
      <c r="AS529" s="386">
        <f t="shared" si="379"/>
        <v>1</v>
      </c>
      <c r="AT529">
        <f t="shared" si="380"/>
        <v>1</v>
      </c>
      <c r="AU529" s="386">
        <f>IF(AT529=0,"",IF(AND(AT529=1,M529="F",SUMIF(C2:C557,C529,AS2:AS557)&lt;=1),SUMIF(C2:C557,C529,AS2:AS557),IF(AND(AT529=1,M529="F",SUMIF(C2:C557,C529,AS2:AS557)&gt;1),1,"")))</f>
        <v>1</v>
      </c>
      <c r="AV529" s="386" t="str">
        <f>IF(AT529=0,"",IF(AND(AT529=3,M529="F",SUMIF(C2:C557,C529,AS2:AS557)&lt;=1),SUMIF(C2:C557,C529,AS2:AS557),IF(AND(AT529=3,M529="F",SUMIF(C2:C557,C529,AS2:AS557)&gt;1),1,"")))</f>
        <v/>
      </c>
      <c r="AW529" s="386">
        <f>SUMIF(C2:C557,C529,O2:O557)</f>
        <v>1</v>
      </c>
      <c r="AX529" s="386">
        <f>IF(AND(M529="F",AS529&lt;&gt;0),SUMIF(C2:C557,C529,W2:W557),0)</f>
        <v>55411.199999999997</v>
      </c>
      <c r="AY529" s="386">
        <f t="shared" si="381"/>
        <v>55411.199999999997</v>
      </c>
      <c r="AZ529" s="386" t="str">
        <f t="shared" si="382"/>
        <v/>
      </c>
      <c r="BA529" s="386">
        <f t="shared" si="383"/>
        <v>0</v>
      </c>
      <c r="BB529" s="386">
        <f t="shared" si="352"/>
        <v>11650</v>
      </c>
      <c r="BC529" s="386">
        <f t="shared" si="353"/>
        <v>0</v>
      </c>
      <c r="BD529" s="386">
        <f t="shared" si="354"/>
        <v>3435.4943999999996</v>
      </c>
      <c r="BE529" s="386">
        <f t="shared" si="355"/>
        <v>803.4624</v>
      </c>
      <c r="BF529" s="386">
        <f t="shared" si="356"/>
        <v>6616.09728</v>
      </c>
      <c r="BG529" s="386">
        <f t="shared" si="357"/>
        <v>399.51475199999999</v>
      </c>
      <c r="BH529" s="386">
        <f t="shared" si="358"/>
        <v>271.51488000000001</v>
      </c>
      <c r="BI529" s="386">
        <f t="shared" si="359"/>
        <v>169.55827199999999</v>
      </c>
      <c r="BJ529" s="386">
        <f t="shared" si="360"/>
        <v>132.98687999999999</v>
      </c>
      <c r="BK529" s="386">
        <f t="shared" si="361"/>
        <v>0</v>
      </c>
      <c r="BL529" s="386">
        <f t="shared" si="384"/>
        <v>11828.628864</v>
      </c>
      <c r="BM529" s="386">
        <f t="shared" si="385"/>
        <v>0</v>
      </c>
      <c r="BN529" s="386">
        <f t="shared" si="362"/>
        <v>11650</v>
      </c>
      <c r="BO529" s="386">
        <f t="shared" si="363"/>
        <v>0</v>
      </c>
      <c r="BP529" s="386">
        <f t="shared" si="364"/>
        <v>3435.4943999999996</v>
      </c>
      <c r="BQ529" s="386">
        <f t="shared" si="365"/>
        <v>803.4624</v>
      </c>
      <c r="BR529" s="386">
        <f t="shared" si="366"/>
        <v>6616.09728</v>
      </c>
      <c r="BS529" s="386">
        <f t="shared" si="367"/>
        <v>399.51475199999999</v>
      </c>
      <c r="BT529" s="386">
        <f t="shared" si="368"/>
        <v>0</v>
      </c>
      <c r="BU529" s="386">
        <f t="shared" si="369"/>
        <v>169.55827199999999</v>
      </c>
      <c r="BV529" s="386">
        <f t="shared" si="370"/>
        <v>138.52799999999999</v>
      </c>
      <c r="BW529" s="386">
        <f t="shared" si="371"/>
        <v>0</v>
      </c>
      <c r="BX529" s="386">
        <f t="shared" si="386"/>
        <v>11562.655103999999</v>
      </c>
      <c r="BY529" s="386">
        <f t="shared" si="387"/>
        <v>0</v>
      </c>
      <c r="BZ529" s="386">
        <f t="shared" si="388"/>
        <v>0</v>
      </c>
      <c r="CA529" s="386">
        <f t="shared" si="389"/>
        <v>0</v>
      </c>
      <c r="CB529" s="386">
        <f t="shared" si="390"/>
        <v>0</v>
      </c>
      <c r="CC529" s="386">
        <f t="shared" si="372"/>
        <v>0</v>
      </c>
      <c r="CD529" s="386">
        <f t="shared" si="373"/>
        <v>0</v>
      </c>
      <c r="CE529" s="386">
        <f t="shared" si="374"/>
        <v>0</v>
      </c>
      <c r="CF529" s="386">
        <f t="shared" si="375"/>
        <v>-271.51488000000001</v>
      </c>
      <c r="CG529" s="386">
        <f t="shared" si="376"/>
        <v>0</v>
      </c>
      <c r="CH529" s="386">
        <f t="shared" si="377"/>
        <v>5.5411200000000145</v>
      </c>
      <c r="CI529" s="386">
        <f t="shared" si="378"/>
        <v>0</v>
      </c>
      <c r="CJ529" s="386">
        <f t="shared" si="391"/>
        <v>-265.97375999999997</v>
      </c>
      <c r="CK529" s="386" t="str">
        <f t="shared" si="392"/>
        <v/>
      </c>
      <c r="CL529" s="386" t="str">
        <f t="shared" si="393"/>
        <v/>
      </c>
      <c r="CM529" s="386" t="str">
        <f t="shared" si="394"/>
        <v/>
      </c>
      <c r="CN529" s="386" t="str">
        <f t="shared" si="395"/>
        <v>0001-00</v>
      </c>
    </row>
    <row r="530" spans="1:92" ht="15.75" thickBot="1" x14ac:dyDescent="0.3">
      <c r="A530" s="375" t="s">
        <v>161</v>
      </c>
      <c r="B530" s="375" t="s">
        <v>162</v>
      </c>
      <c r="C530" s="375" t="s">
        <v>1880</v>
      </c>
      <c r="D530" s="375" t="s">
        <v>1598</v>
      </c>
      <c r="E530" s="375" t="s">
        <v>165</v>
      </c>
      <c r="F530" s="376" t="s">
        <v>166</v>
      </c>
      <c r="G530" s="375" t="s">
        <v>1599</v>
      </c>
      <c r="H530" s="377"/>
      <c r="I530" s="377"/>
      <c r="J530" s="375" t="s">
        <v>168</v>
      </c>
      <c r="K530" s="375" t="s">
        <v>1600</v>
      </c>
      <c r="L530" s="375" t="s">
        <v>233</v>
      </c>
      <c r="M530" s="375" t="s">
        <v>171</v>
      </c>
      <c r="N530" s="375" t="s">
        <v>199</v>
      </c>
      <c r="O530" s="378">
        <v>0</v>
      </c>
      <c r="P530" s="384">
        <v>1</v>
      </c>
      <c r="Q530" s="384">
        <v>1</v>
      </c>
      <c r="R530" s="379">
        <v>80</v>
      </c>
      <c r="S530" s="384">
        <v>1</v>
      </c>
      <c r="T530" s="379">
        <v>30187.200000000001</v>
      </c>
      <c r="U530" s="379">
        <v>0</v>
      </c>
      <c r="V530" s="379">
        <v>14854.82</v>
      </c>
      <c r="W530" s="379">
        <v>42328</v>
      </c>
      <c r="X530" s="379">
        <v>18539.66</v>
      </c>
      <c r="Y530" s="379">
        <v>42328</v>
      </c>
      <c r="Z530" s="379">
        <v>18328.02</v>
      </c>
      <c r="AA530" s="377"/>
      <c r="AB530" s="375" t="s">
        <v>45</v>
      </c>
      <c r="AC530" s="375" t="s">
        <v>45</v>
      </c>
      <c r="AD530" s="377"/>
      <c r="AE530" s="377"/>
      <c r="AF530" s="377"/>
      <c r="AG530" s="377"/>
      <c r="AH530" s="378">
        <v>0</v>
      </c>
      <c r="AI530" s="378">
        <v>0</v>
      </c>
      <c r="AJ530" s="377"/>
      <c r="AK530" s="377"/>
      <c r="AL530" s="375" t="s">
        <v>173</v>
      </c>
      <c r="AM530" s="377"/>
      <c r="AN530" s="377"/>
      <c r="AO530" s="378">
        <v>0</v>
      </c>
      <c r="AP530" s="384">
        <v>0</v>
      </c>
      <c r="AQ530" s="384">
        <v>0</v>
      </c>
      <c r="AR530" s="382"/>
      <c r="AS530" s="386">
        <f t="shared" si="379"/>
        <v>0</v>
      </c>
      <c r="AT530">
        <f t="shared" si="380"/>
        <v>0</v>
      </c>
      <c r="AU530" s="386" t="str">
        <f>IF(AT530=0,"",IF(AND(AT530=1,M530="F",SUMIF(C2:C557,C530,AS2:AS557)&lt;=1),SUMIF(C2:C557,C530,AS2:AS557),IF(AND(AT530=1,M530="F",SUMIF(C2:C557,C530,AS2:AS557)&gt;1),1,"")))</f>
        <v/>
      </c>
      <c r="AV530" s="386" t="str">
        <f>IF(AT530=0,"",IF(AND(AT530=3,M530="F",SUMIF(C2:C557,C530,AS2:AS557)&lt;=1),SUMIF(C2:C557,C530,AS2:AS557),IF(AND(AT530=3,M530="F",SUMIF(C2:C557,C530,AS2:AS557)&gt;1),1,"")))</f>
        <v/>
      </c>
      <c r="AW530" s="386">
        <f>SUMIF(C2:C557,C530,O2:O557)</f>
        <v>0</v>
      </c>
      <c r="AX530" s="386">
        <f>IF(AND(M530="F",AS530&lt;&gt;0),SUMIF(C2:C557,C530,W2:W557),0)</f>
        <v>0</v>
      </c>
      <c r="AY530" s="386" t="str">
        <f t="shared" si="381"/>
        <v/>
      </c>
      <c r="AZ530" s="386" t="str">
        <f t="shared" si="382"/>
        <v/>
      </c>
      <c r="BA530" s="386">
        <f t="shared" si="383"/>
        <v>0</v>
      </c>
      <c r="BB530" s="386">
        <f t="shared" si="352"/>
        <v>0</v>
      </c>
      <c r="BC530" s="386">
        <f t="shared" si="353"/>
        <v>0</v>
      </c>
      <c r="BD530" s="386">
        <f t="shared" si="354"/>
        <v>0</v>
      </c>
      <c r="BE530" s="386">
        <f t="shared" si="355"/>
        <v>0</v>
      </c>
      <c r="BF530" s="386">
        <f t="shared" si="356"/>
        <v>0</v>
      </c>
      <c r="BG530" s="386">
        <f t="shared" si="357"/>
        <v>0</v>
      </c>
      <c r="BH530" s="386">
        <f t="shared" si="358"/>
        <v>0</v>
      </c>
      <c r="BI530" s="386">
        <f t="shared" si="359"/>
        <v>0</v>
      </c>
      <c r="BJ530" s="386">
        <f t="shared" si="360"/>
        <v>0</v>
      </c>
      <c r="BK530" s="386">
        <f t="shared" si="361"/>
        <v>0</v>
      </c>
      <c r="BL530" s="386">
        <f t="shared" si="384"/>
        <v>0</v>
      </c>
      <c r="BM530" s="386">
        <f t="shared" si="385"/>
        <v>0</v>
      </c>
      <c r="BN530" s="386">
        <f t="shared" si="362"/>
        <v>0</v>
      </c>
      <c r="BO530" s="386">
        <f t="shared" si="363"/>
        <v>0</v>
      </c>
      <c r="BP530" s="386">
        <f t="shared" si="364"/>
        <v>0</v>
      </c>
      <c r="BQ530" s="386">
        <f t="shared" si="365"/>
        <v>0</v>
      </c>
      <c r="BR530" s="386">
        <f t="shared" si="366"/>
        <v>0</v>
      </c>
      <c r="BS530" s="386">
        <f t="shared" si="367"/>
        <v>0</v>
      </c>
      <c r="BT530" s="386">
        <f t="shared" si="368"/>
        <v>0</v>
      </c>
      <c r="BU530" s="386">
        <f t="shared" si="369"/>
        <v>0</v>
      </c>
      <c r="BV530" s="386">
        <f t="shared" si="370"/>
        <v>0</v>
      </c>
      <c r="BW530" s="386">
        <f t="shared" si="371"/>
        <v>0</v>
      </c>
      <c r="BX530" s="386">
        <f t="shared" si="386"/>
        <v>0</v>
      </c>
      <c r="BY530" s="386">
        <f t="shared" si="387"/>
        <v>0</v>
      </c>
      <c r="BZ530" s="386">
        <f t="shared" si="388"/>
        <v>0</v>
      </c>
      <c r="CA530" s="386">
        <f t="shared" si="389"/>
        <v>0</v>
      </c>
      <c r="CB530" s="386">
        <f t="shared" si="390"/>
        <v>0</v>
      </c>
      <c r="CC530" s="386">
        <f t="shared" si="372"/>
        <v>0</v>
      </c>
      <c r="CD530" s="386">
        <f t="shared" si="373"/>
        <v>0</v>
      </c>
      <c r="CE530" s="386">
        <f t="shared" si="374"/>
        <v>0</v>
      </c>
      <c r="CF530" s="386">
        <f t="shared" si="375"/>
        <v>0</v>
      </c>
      <c r="CG530" s="386">
        <f t="shared" si="376"/>
        <v>0</v>
      </c>
      <c r="CH530" s="386">
        <f t="shared" si="377"/>
        <v>0</v>
      </c>
      <c r="CI530" s="386">
        <f t="shared" si="378"/>
        <v>0</v>
      </c>
      <c r="CJ530" s="386">
        <f t="shared" si="391"/>
        <v>0</v>
      </c>
      <c r="CK530" s="386" t="str">
        <f t="shared" si="392"/>
        <v/>
      </c>
      <c r="CL530" s="386" t="str">
        <f t="shared" si="393"/>
        <v/>
      </c>
      <c r="CM530" s="386" t="str">
        <f t="shared" si="394"/>
        <v/>
      </c>
      <c r="CN530" s="386" t="str">
        <f t="shared" si="395"/>
        <v>0001-00</v>
      </c>
    </row>
    <row r="531" spans="1:92" ht="15.75" thickBot="1" x14ac:dyDescent="0.3">
      <c r="A531" s="375" t="s">
        <v>161</v>
      </c>
      <c r="B531" s="375" t="s">
        <v>162</v>
      </c>
      <c r="C531" s="375" t="s">
        <v>1881</v>
      </c>
      <c r="D531" s="375" t="s">
        <v>1629</v>
      </c>
      <c r="E531" s="375" t="s">
        <v>165</v>
      </c>
      <c r="F531" s="376" t="s">
        <v>166</v>
      </c>
      <c r="G531" s="375" t="s">
        <v>1599</v>
      </c>
      <c r="H531" s="377"/>
      <c r="I531" s="377"/>
      <c r="J531" s="375" t="s">
        <v>168</v>
      </c>
      <c r="K531" s="375" t="s">
        <v>1630</v>
      </c>
      <c r="L531" s="375" t="s">
        <v>198</v>
      </c>
      <c r="M531" s="375" t="s">
        <v>177</v>
      </c>
      <c r="N531" s="375" t="s">
        <v>199</v>
      </c>
      <c r="O531" s="378">
        <v>1</v>
      </c>
      <c r="P531" s="384">
        <v>1</v>
      </c>
      <c r="Q531" s="384">
        <v>1</v>
      </c>
      <c r="R531" s="379">
        <v>80</v>
      </c>
      <c r="S531" s="384">
        <v>1</v>
      </c>
      <c r="T531" s="379">
        <v>33312.01</v>
      </c>
      <c r="U531" s="379">
        <v>0</v>
      </c>
      <c r="V531" s="379">
        <v>15639.84</v>
      </c>
      <c r="W531" s="379">
        <v>44304</v>
      </c>
      <c r="X531" s="379">
        <v>21107.53</v>
      </c>
      <c r="Y531" s="379">
        <v>44304</v>
      </c>
      <c r="Z531" s="379">
        <v>20894.89</v>
      </c>
      <c r="AA531" s="375" t="s">
        <v>1882</v>
      </c>
      <c r="AB531" s="375" t="s">
        <v>1883</v>
      </c>
      <c r="AC531" s="375" t="s">
        <v>1884</v>
      </c>
      <c r="AD531" s="375" t="s">
        <v>181</v>
      </c>
      <c r="AE531" s="375" t="s">
        <v>1630</v>
      </c>
      <c r="AF531" s="375" t="s">
        <v>245</v>
      </c>
      <c r="AG531" s="375" t="s">
        <v>183</v>
      </c>
      <c r="AH531" s="380">
        <v>21.3</v>
      </c>
      <c r="AI531" s="378">
        <v>880</v>
      </c>
      <c r="AJ531" s="375" t="s">
        <v>184</v>
      </c>
      <c r="AK531" s="375" t="s">
        <v>185</v>
      </c>
      <c r="AL531" s="375" t="s">
        <v>173</v>
      </c>
      <c r="AM531" s="375" t="s">
        <v>186</v>
      </c>
      <c r="AN531" s="375" t="s">
        <v>68</v>
      </c>
      <c r="AO531" s="378">
        <v>80</v>
      </c>
      <c r="AP531" s="384">
        <v>1</v>
      </c>
      <c r="AQ531" s="384">
        <v>1</v>
      </c>
      <c r="AR531" s="383" t="s">
        <v>187</v>
      </c>
      <c r="AS531" s="386">
        <f t="shared" si="379"/>
        <v>1</v>
      </c>
      <c r="AT531">
        <f t="shared" si="380"/>
        <v>1</v>
      </c>
      <c r="AU531" s="386">
        <f>IF(AT531=0,"",IF(AND(AT531=1,M531="F",SUMIF(C2:C557,C531,AS2:AS557)&lt;=1),SUMIF(C2:C557,C531,AS2:AS557),IF(AND(AT531=1,M531="F",SUMIF(C2:C557,C531,AS2:AS557)&gt;1),1,"")))</f>
        <v>1</v>
      </c>
      <c r="AV531" s="386" t="str">
        <f>IF(AT531=0,"",IF(AND(AT531=3,M531="F",SUMIF(C2:C557,C531,AS2:AS557)&lt;=1),SUMIF(C2:C557,C531,AS2:AS557),IF(AND(AT531=3,M531="F",SUMIF(C2:C557,C531,AS2:AS557)&gt;1),1,"")))</f>
        <v/>
      </c>
      <c r="AW531" s="386">
        <f>SUMIF(C2:C557,C531,O2:O557)</f>
        <v>1</v>
      </c>
      <c r="AX531" s="386">
        <f>IF(AND(M531="F",AS531&lt;&gt;0),SUMIF(C2:C557,C531,W2:W557),0)</f>
        <v>44304</v>
      </c>
      <c r="AY531" s="386">
        <f t="shared" si="381"/>
        <v>44304</v>
      </c>
      <c r="AZ531" s="386" t="str">
        <f t="shared" si="382"/>
        <v/>
      </c>
      <c r="BA531" s="386">
        <f t="shared" si="383"/>
        <v>0</v>
      </c>
      <c r="BB531" s="386">
        <f t="shared" si="352"/>
        <v>11650</v>
      </c>
      <c r="BC531" s="386">
        <f t="shared" si="353"/>
        <v>0</v>
      </c>
      <c r="BD531" s="386">
        <f t="shared" si="354"/>
        <v>2746.848</v>
      </c>
      <c r="BE531" s="386">
        <f t="shared" si="355"/>
        <v>642.40800000000002</v>
      </c>
      <c r="BF531" s="386">
        <f t="shared" si="356"/>
        <v>5289.8976000000002</v>
      </c>
      <c r="BG531" s="386">
        <f t="shared" si="357"/>
        <v>319.43184000000002</v>
      </c>
      <c r="BH531" s="386">
        <f t="shared" si="358"/>
        <v>217.08959999999999</v>
      </c>
      <c r="BI531" s="386">
        <f t="shared" si="359"/>
        <v>135.57023999999998</v>
      </c>
      <c r="BJ531" s="386">
        <f t="shared" si="360"/>
        <v>106.32959999999999</v>
      </c>
      <c r="BK531" s="386">
        <f t="shared" si="361"/>
        <v>0</v>
      </c>
      <c r="BL531" s="386">
        <f t="shared" si="384"/>
        <v>9457.5748799999965</v>
      </c>
      <c r="BM531" s="386">
        <f t="shared" si="385"/>
        <v>0</v>
      </c>
      <c r="BN531" s="386">
        <f t="shared" si="362"/>
        <v>11650</v>
      </c>
      <c r="BO531" s="386">
        <f t="shared" si="363"/>
        <v>0</v>
      </c>
      <c r="BP531" s="386">
        <f t="shared" si="364"/>
        <v>2746.848</v>
      </c>
      <c r="BQ531" s="386">
        <f t="shared" si="365"/>
        <v>642.40800000000002</v>
      </c>
      <c r="BR531" s="386">
        <f t="shared" si="366"/>
        <v>5289.8976000000002</v>
      </c>
      <c r="BS531" s="386">
        <f t="shared" si="367"/>
        <v>319.43184000000002</v>
      </c>
      <c r="BT531" s="386">
        <f t="shared" si="368"/>
        <v>0</v>
      </c>
      <c r="BU531" s="386">
        <f t="shared" si="369"/>
        <v>135.57023999999998</v>
      </c>
      <c r="BV531" s="386">
        <f t="shared" si="370"/>
        <v>110.76</v>
      </c>
      <c r="BW531" s="386">
        <f t="shared" si="371"/>
        <v>0</v>
      </c>
      <c r="BX531" s="386">
        <f t="shared" si="386"/>
        <v>9244.9156799999982</v>
      </c>
      <c r="BY531" s="386">
        <f t="shared" si="387"/>
        <v>0</v>
      </c>
      <c r="BZ531" s="386">
        <f t="shared" si="388"/>
        <v>0</v>
      </c>
      <c r="CA531" s="386">
        <f t="shared" si="389"/>
        <v>0</v>
      </c>
      <c r="CB531" s="386">
        <f t="shared" si="390"/>
        <v>0</v>
      </c>
      <c r="CC531" s="386">
        <f t="shared" si="372"/>
        <v>0</v>
      </c>
      <c r="CD531" s="386">
        <f t="shared" si="373"/>
        <v>0</v>
      </c>
      <c r="CE531" s="386">
        <f t="shared" si="374"/>
        <v>0</v>
      </c>
      <c r="CF531" s="386">
        <f t="shared" si="375"/>
        <v>-217.08959999999999</v>
      </c>
      <c r="CG531" s="386">
        <f t="shared" si="376"/>
        <v>0</v>
      </c>
      <c r="CH531" s="386">
        <f t="shared" si="377"/>
        <v>4.4304000000000112</v>
      </c>
      <c r="CI531" s="386">
        <f t="shared" si="378"/>
        <v>0</v>
      </c>
      <c r="CJ531" s="386">
        <f t="shared" si="391"/>
        <v>-212.65919999999997</v>
      </c>
      <c r="CK531" s="386" t="str">
        <f t="shared" si="392"/>
        <v/>
      </c>
      <c r="CL531" s="386" t="str">
        <f t="shared" si="393"/>
        <v/>
      </c>
      <c r="CM531" s="386" t="str">
        <f t="shared" si="394"/>
        <v/>
      </c>
      <c r="CN531" s="386" t="str">
        <f t="shared" si="395"/>
        <v>0001-00</v>
      </c>
    </row>
    <row r="532" spans="1:92" ht="15.75" thickBot="1" x14ac:dyDescent="0.3">
      <c r="A532" s="375" t="s">
        <v>161</v>
      </c>
      <c r="B532" s="375" t="s">
        <v>162</v>
      </c>
      <c r="C532" s="375" t="s">
        <v>1885</v>
      </c>
      <c r="D532" s="375" t="s">
        <v>665</v>
      </c>
      <c r="E532" s="375" t="s">
        <v>165</v>
      </c>
      <c r="F532" s="376" t="s">
        <v>166</v>
      </c>
      <c r="G532" s="375" t="s">
        <v>1599</v>
      </c>
      <c r="H532" s="377"/>
      <c r="I532" s="377"/>
      <c r="J532" s="375" t="s">
        <v>168</v>
      </c>
      <c r="K532" s="375" t="s">
        <v>666</v>
      </c>
      <c r="L532" s="375" t="s">
        <v>183</v>
      </c>
      <c r="M532" s="375" t="s">
        <v>177</v>
      </c>
      <c r="N532" s="375" t="s">
        <v>199</v>
      </c>
      <c r="O532" s="378">
        <v>1</v>
      </c>
      <c r="P532" s="384">
        <v>1</v>
      </c>
      <c r="Q532" s="384">
        <v>1</v>
      </c>
      <c r="R532" s="379">
        <v>80</v>
      </c>
      <c r="S532" s="384">
        <v>1</v>
      </c>
      <c r="T532" s="379">
        <v>28182.43</v>
      </c>
      <c r="U532" s="379">
        <v>0</v>
      </c>
      <c r="V532" s="379">
        <v>17469.810000000001</v>
      </c>
      <c r="W532" s="379">
        <v>31262.400000000001</v>
      </c>
      <c r="X532" s="379">
        <v>18323.55</v>
      </c>
      <c r="Y532" s="379">
        <v>31262.400000000001</v>
      </c>
      <c r="Z532" s="379">
        <v>18173.5</v>
      </c>
      <c r="AA532" s="375" t="s">
        <v>1886</v>
      </c>
      <c r="AB532" s="375" t="s">
        <v>1887</v>
      </c>
      <c r="AC532" s="375" t="s">
        <v>1888</v>
      </c>
      <c r="AD532" s="375" t="s">
        <v>195</v>
      </c>
      <c r="AE532" s="375" t="s">
        <v>666</v>
      </c>
      <c r="AF532" s="375" t="s">
        <v>206</v>
      </c>
      <c r="AG532" s="375" t="s">
        <v>183</v>
      </c>
      <c r="AH532" s="380">
        <v>15.03</v>
      </c>
      <c r="AI532" s="380">
        <v>27635.3</v>
      </c>
      <c r="AJ532" s="375" t="s">
        <v>184</v>
      </c>
      <c r="AK532" s="375" t="s">
        <v>185</v>
      </c>
      <c r="AL532" s="375" t="s">
        <v>173</v>
      </c>
      <c r="AM532" s="375" t="s">
        <v>186</v>
      </c>
      <c r="AN532" s="375" t="s">
        <v>68</v>
      </c>
      <c r="AO532" s="378">
        <v>80</v>
      </c>
      <c r="AP532" s="384">
        <v>1</v>
      </c>
      <c r="AQ532" s="384">
        <v>1</v>
      </c>
      <c r="AR532" s="383" t="s">
        <v>187</v>
      </c>
      <c r="AS532" s="386">
        <f t="shared" si="379"/>
        <v>1</v>
      </c>
      <c r="AT532">
        <f t="shared" si="380"/>
        <v>1</v>
      </c>
      <c r="AU532" s="386">
        <f>IF(AT532=0,"",IF(AND(AT532=1,M532="F",SUMIF(C2:C557,C532,AS2:AS557)&lt;=1),SUMIF(C2:C557,C532,AS2:AS557),IF(AND(AT532=1,M532="F",SUMIF(C2:C557,C532,AS2:AS557)&gt;1),1,"")))</f>
        <v>1</v>
      </c>
      <c r="AV532" s="386" t="str">
        <f>IF(AT532=0,"",IF(AND(AT532=3,M532="F",SUMIF(C2:C557,C532,AS2:AS557)&lt;=1),SUMIF(C2:C557,C532,AS2:AS557),IF(AND(AT532=3,M532="F",SUMIF(C2:C557,C532,AS2:AS557)&gt;1),1,"")))</f>
        <v/>
      </c>
      <c r="AW532" s="386">
        <f>SUMIF(C2:C557,C532,O2:O557)</f>
        <v>1</v>
      </c>
      <c r="AX532" s="386">
        <f>IF(AND(M532="F",AS532&lt;&gt;0),SUMIF(C2:C557,C532,W2:W557),0)</f>
        <v>31262.400000000001</v>
      </c>
      <c r="AY532" s="386">
        <f t="shared" si="381"/>
        <v>31262.400000000001</v>
      </c>
      <c r="AZ532" s="386" t="str">
        <f t="shared" si="382"/>
        <v/>
      </c>
      <c r="BA532" s="386">
        <f t="shared" si="383"/>
        <v>0</v>
      </c>
      <c r="BB532" s="386">
        <f t="shared" si="352"/>
        <v>11650</v>
      </c>
      <c r="BC532" s="386">
        <f t="shared" si="353"/>
        <v>0</v>
      </c>
      <c r="BD532" s="386">
        <f t="shared" si="354"/>
        <v>1938.2688000000001</v>
      </c>
      <c r="BE532" s="386">
        <f t="shared" si="355"/>
        <v>453.30480000000006</v>
      </c>
      <c r="BF532" s="386">
        <f t="shared" si="356"/>
        <v>3732.7305600000004</v>
      </c>
      <c r="BG532" s="386">
        <f t="shared" si="357"/>
        <v>225.40190400000003</v>
      </c>
      <c r="BH532" s="386">
        <f t="shared" si="358"/>
        <v>153.18576000000002</v>
      </c>
      <c r="BI532" s="386">
        <f t="shared" si="359"/>
        <v>95.662943999999996</v>
      </c>
      <c r="BJ532" s="386">
        <f t="shared" si="360"/>
        <v>75.029759999999996</v>
      </c>
      <c r="BK532" s="386">
        <f t="shared" si="361"/>
        <v>0</v>
      </c>
      <c r="BL532" s="386">
        <f t="shared" si="384"/>
        <v>6673.5845280000012</v>
      </c>
      <c r="BM532" s="386">
        <f t="shared" si="385"/>
        <v>0</v>
      </c>
      <c r="BN532" s="386">
        <f t="shared" si="362"/>
        <v>11650</v>
      </c>
      <c r="BO532" s="386">
        <f t="shared" si="363"/>
        <v>0</v>
      </c>
      <c r="BP532" s="386">
        <f t="shared" si="364"/>
        <v>1938.2688000000001</v>
      </c>
      <c r="BQ532" s="386">
        <f t="shared" si="365"/>
        <v>453.30480000000006</v>
      </c>
      <c r="BR532" s="386">
        <f t="shared" si="366"/>
        <v>3732.7305600000004</v>
      </c>
      <c r="BS532" s="386">
        <f t="shared" si="367"/>
        <v>225.40190400000003</v>
      </c>
      <c r="BT532" s="386">
        <f t="shared" si="368"/>
        <v>0</v>
      </c>
      <c r="BU532" s="386">
        <f t="shared" si="369"/>
        <v>95.662943999999996</v>
      </c>
      <c r="BV532" s="386">
        <f t="shared" si="370"/>
        <v>78.156000000000006</v>
      </c>
      <c r="BW532" s="386">
        <f t="shared" si="371"/>
        <v>0</v>
      </c>
      <c r="BX532" s="386">
        <f t="shared" si="386"/>
        <v>6523.5250080000005</v>
      </c>
      <c r="BY532" s="386">
        <f t="shared" si="387"/>
        <v>0</v>
      </c>
      <c r="BZ532" s="386">
        <f t="shared" si="388"/>
        <v>0</v>
      </c>
      <c r="CA532" s="386">
        <f t="shared" si="389"/>
        <v>0</v>
      </c>
      <c r="CB532" s="386">
        <f t="shared" si="390"/>
        <v>0</v>
      </c>
      <c r="CC532" s="386">
        <f t="shared" si="372"/>
        <v>0</v>
      </c>
      <c r="CD532" s="386">
        <f t="shared" si="373"/>
        <v>0</v>
      </c>
      <c r="CE532" s="386">
        <f t="shared" si="374"/>
        <v>0</v>
      </c>
      <c r="CF532" s="386">
        <f t="shared" si="375"/>
        <v>-153.18576000000002</v>
      </c>
      <c r="CG532" s="386">
        <f t="shared" si="376"/>
        <v>0</v>
      </c>
      <c r="CH532" s="386">
        <f t="shared" si="377"/>
        <v>3.1262400000000081</v>
      </c>
      <c r="CI532" s="386">
        <f t="shared" si="378"/>
        <v>0</v>
      </c>
      <c r="CJ532" s="386">
        <f t="shared" si="391"/>
        <v>-150.05952000000002</v>
      </c>
      <c r="CK532" s="386" t="str">
        <f t="shared" si="392"/>
        <v/>
      </c>
      <c r="CL532" s="386" t="str">
        <f t="shared" si="393"/>
        <v/>
      </c>
      <c r="CM532" s="386" t="str">
        <f t="shared" si="394"/>
        <v/>
      </c>
      <c r="CN532" s="386" t="str">
        <f t="shared" si="395"/>
        <v>0001-00</v>
      </c>
    </row>
    <row r="533" spans="1:92" ht="15.75" thickBot="1" x14ac:dyDescent="0.3">
      <c r="A533" s="375" t="s">
        <v>161</v>
      </c>
      <c r="B533" s="375" t="s">
        <v>162</v>
      </c>
      <c r="C533" s="375" t="s">
        <v>1889</v>
      </c>
      <c r="D533" s="375" t="s">
        <v>1605</v>
      </c>
      <c r="E533" s="375" t="s">
        <v>165</v>
      </c>
      <c r="F533" s="376" t="s">
        <v>166</v>
      </c>
      <c r="G533" s="375" t="s">
        <v>1599</v>
      </c>
      <c r="H533" s="377"/>
      <c r="I533" s="377"/>
      <c r="J533" s="375" t="s">
        <v>218</v>
      </c>
      <c r="K533" s="375" t="s">
        <v>1606</v>
      </c>
      <c r="L533" s="375" t="s">
        <v>173</v>
      </c>
      <c r="M533" s="375" t="s">
        <v>177</v>
      </c>
      <c r="N533" s="375" t="s">
        <v>199</v>
      </c>
      <c r="O533" s="378">
        <v>1</v>
      </c>
      <c r="P533" s="384">
        <v>0.9</v>
      </c>
      <c r="Q533" s="384">
        <v>0.9</v>
      </c>
      <c r="R533" s="379">
        <v>80</v>
      </c>
      <c r="S533" s="384">
        <v>0.9</v>
      </c>
      <c r="T533" s="379">
        <v>66073.03</v>
      </c>
      <c r="U533" s="379">
        <v>0</v>
      </c>
      <c r="V533" s="379">
        <v>24271.37</v>
      </c>
      <c r="W533" s="379">
        <v>68215.679999999993</v>
      </c>
      <c r="X533" s="379">
        <v>25046.97</v>
      </c>
      <c r="Y533" s="379">
        <v>68215.679999999993</v>
      </c>
      <c r="Z533" s="379">
        <v>24719.54</v>
      </c>
      <c r="AA533" s="375" t="s">
        <v>1890</v>
      </c>
      <c r="AB533" s="375" t="s">
        <v>1891</v>
      </c>
      <c r="AC533" s="375" t="s">
        <v>1892</v>
      </c>
      <c r="AD533" s="375" t="s">
        <v>170</v>
      </c>
      <c r="AE533" s="375" t="s">
        <v>1606</v>
      </c>
      <c r="AF533" s="375" t="s">
        <v>305</v>
      </c>
      <c r="AG533" s="375" t="s">
        <v>183</v>
      </c>
      <c r="AH533" s="380">
        <v>36.44</v>
      </c>
      <c r="AI533" s="378">
        <v>32900</v>
      </c>
      <c r="AJ533" s="375" t="s">
        <v>184</v>
      </c>
      <c r="AK533" s="375" t="s">
        <v>185</v>
      </c>
      <c r="AL533" s="375" t="s">
        <v>173</v>
      </c>
      <c r="AM533" s="375" t="s">
        <v>186</v>
      </c>
      <c r="AN533" s="375" t="s">
        <v>68</v>
      </c>
      <c r="AO533" s="378">
        <v>80</v>
      </c>
      <c r="AP533" s="384">
        <v>1</v>
      </c>
      <c r="AQ533" s="384">
        <v>0.9</v>
      </c>
      <c r="AR533" s="383" t="s">
        <v>187</v>
      </c>
      <c r="AS533" s="386">
        <f t="shared" si="379"/>
        <v>0.9</v>
      </c>
      <c r="AT533">
        <f t="shared" si="380"/>
        <v>1</v>
      </c>
      <c r="AU533" s="386">
        <f>IF(AT533=0,"",IF(AND(AT533=1,M533="F",SUMIF(C2:C557,C533,AS2:AS557)&lt;=1),SUMIF(C2:C557,C533,AS2:AS557),IF(AND(AT533=1,M533="F",SUMIF(C2:C557,C533,AS2:AS557)&gt;1),1,"")))</f>
        <v>1</v>
      </c>
      <c r="AV533" s="386" t="str">
        <f>IF(AT533=0,"",IF(AND(AT533=3,M533="F",SUMIF(C2:C557,C533,AS2:AS557)&lt;=1),SUMIF(C2:C557,C533,AS2:AS557),IF(AND(AT533=3,M533="F",SUMIF(C2:C557,C533,AS2:AS557)&gt;1),1,"")))</f>
        <v/>
      </c>
      <c r="AW533" s="386">
        <f>SUMIF(C2:C557,C533,O2:O557)</f>
        <v>2</v>
      </c>
      <c r="AX533" s="386">
        <f>IF(AND(M533="F",AS533&lt;&gt;0),SUMIF(C2:C557,C533,W2:W557),0)</f>
        <v>75795.199999999997</v>
      </c>
      <c r="AY533" s="386">
        <f t="shared" si="381"/>
        <v>68215.679999999993</v>
      </c>
      <c r="AZ533" s="386" t="str">
        <f t="shared" si="382"/>
        <v/>
      </c>
      <c r="BA533" s="386">
        <f t="shared" si="383"/>
        <v>0</v>
      </c>
      <c r="BB533" s="386">
        <f t="shared" si="352"/>
        <v>10485</v>
      </c>
      <c r="BC533" s="386">
        <f t="shared" si="353"/>
        <v>0</v>
      </c>
      <c r="BD533" s="386">
        <f t="shared" si="354"/>
        <v>4229.3721599999999</v>
      </c>
      <c r="BE533" s="386">
        <f t="shared" si="355"/>
        <v>989.12735999999995</v>
      </c>
      <c r="BF533" s="386">
        <f t="shared" si="356"/>
        <v>8144.9521919999997</v>
      </c>
      <c r="BG533" s="386">
        <f t="shared" si="357"/>
        <v>491.83505279999997</v>
      </c>
      <c r="BH533" s="386">
        <f t="shared" si="358"/>
        <v>334.25683199999997</v>
      </c>
      <c r="BI533" s="386">
        <f t="shared" si="359"/>
        <v>208.73998079999996</v>
      </c>
      <c r="BJ533" s="386">
        <f t="shared" si="360"/>
        <v>163.71763199999998</v>
      </c>
      <c r="BK533" s="386">
        <f t="shared" si="361"/>
        <v>0</v>
      </c>
      <c r="BL533" s="386">
        <f t="shared" si="384"/>
        <v>14562.001209599995</v>
      </c>
      <c r="BM533" s="386">
        <f t="shared" si="385"/>
        <v>0</v>
      </c>
      <c r="BN533" s="386">
        <f t="shared" si="362"/>
        <v>10485</v>
      </c>
      <c r="BO533" s="386">
        <f t="shared" si="363"/>
        <v>0</v>
      </c>
      <c r="BP533" s="386">
        <f t="shared" si="364"/>
        <v>4229.3721599999999</v>
      </c>
      <c r="BQ533" s="386">
        <f t="shared" si="365"/>
        <v>989.12735999999995</v>
      </c>
      <c r="BR533" s="386">
        <f t="shared" si="366"/>
        <v>8144.9521919999997</v>
      </c>
      <c r="BS533" s="386">
        <f t="shared" si="367"/>
        <v>491.83505279999997</v>
      </c>
      <c r="BT533" s="386">
        <f t="shared" si="368"/>
        <v>0</v>
      </c>
      <c r="BU533" s="386">
        <f t="shared" si="369"/>
        <v>208.73998079999996</v>
      </c>
      <c r="BV533" s="386">
        <f t="shared" si="370"/>
        <v>170.53919999999999</v>
      </c>
      <c r="BW533" s="386">
        <f t="shared" si="371"/>
        <v>0</v>
      </c>
      <c r="BX533" s="386">
        <f t="shared" si="386"/>
        <v>14234.565945599996</v>
      </c>
      <c r="BY533" s="386">
        <f t="shared" si="387"/>
        <v>0</v>
      </c>
      <c r="BZ533" s="386">
        <f t="shared" si="388"/>
        <v>0</v>
      </c>
      <c r="CA533" s="386">
        <f t="shared" si="389"/>
        <v>0</v>
      </c>
      <c r="CB533" s="386">
        <f t="shared" si="390"/>
        <v>0</v>
      </c>
      <c r="CC533" s="386">
        <f t="shared" si="372"/>
        <v>0</v>
      </c>
      <c r="CD533" s="386">
        <f t="shared" si="373"/>
        <v>0</v>
      </c>
      <c r="CE533" s="386">
        <f t="shared" si="374"/>
        <v>0</v>
      </c>
      <c r="CF533" s="386">
        <f t="shared" si="375"/>
        <v>-334.25683199999997</v>
      </c>
      <c r="CG533" s="386">
        <f t="shared" si="376"/>
        <v>0</v>
      </c>
      <c r="CH533" s="386">
        <f t="shared" si="377"/>
        <v>6.821568000000017</v>
      </c>
      <c r="CI533" s="386">
        <f t="shared" si="378"/>
        <v>0</v>
      </c>
      <c r="CJ533" s="386">
        <f t="shared" si="391"/>
        <v>-327.43526399999996</v>
      </c>
      <c r="CK533" s="386" t="str">
        <f t="shared" si="392"/>
        <v/>
      </c>
      <c r="CL533" s="386" t="str">
        <f t="shared" si="393"/>
        <v/>
      </c>
      <c r="CM533" s="386" t="str">
        <f t="shared" si="394"/>
        <v/>
      </c>
      <c r="CN533" s="386" t="str">
        <f t="shared" si="395"/>
        <v>0001-00</v>
      </c>
    </row>
    <row r="534" spans="1:92" ht="15.75" thickBot="1" x14ac:dyDescent="0.3">
      <c r="A534" s="375" t="s">
        <v>161</v>
      </c>
      <c r="B534" s="375" t="s">
        <v>162</v>
      </c>
      <c r="C534" s="375" t="s">
        <v>1893</v>
      </c>
      <c r="D534" s="375" t="s">
        <v>1598</v>
      </c>
      <c r="E534" s="375" t="s">
        <v>165</v>
      </c>
      <c r="F534" s="376" t="s">
        <v>166</v>
      </c>
      <c r="G534" s="375" t="s">
        <v>1599</v>
      </c>
      <c r="H534" s="377"/>
      <c r="I534" s="377"/>
      <c r="J534" s="375" t="s">
        <v>168</v>
      </c>
      <c r="K534" s="375" t="s">
        <v>1600</v>
      </c>
      <c r="L534" s="375" t="s">
        <v>233</v>
      </c>
      <c r="M534" s="375" t="s">
        <v>171</v>
      </c>
      <c r="N534" s="375" t="s">
        <v>199</v>
      </c>
      <c r="O534" s="378">
        <v>0</v>
      </c>
      <c r="P534" s="384">
        <v>1</v>
      </c>
      <c r="Q534" s="384">
        <v>1</v>
      </c>
      <c r="R534" s="379">
        <v>80</v>
      </c>
      <c r="S534" s="384">
        <v>1</v>
      </c>
      <c r="T534" s="379">
        <v>15427.18</v>
      </c>
      <c r="U534" s="379">
        <v>0</v>
      </c>
      <c r="V534" s="379">
        <v>7951.04</v>
      </c>
      <c r="W534" s="379">
        <v>42328</v>
      </c>
      <c r="X534" s="379">
        <v>18539.66</v>
      </c>
      <c r="Y534" s="379">
        <v>42328</v>
      </c>
      <c r="Z534" s="379">
        <v>18328.02</v>
      </c>
      <c r="AA534" s="377"/>
      <c r="AB534" s="375" t="s">
        <v>45</v>
      </c>
      <c r="AC534" s="375" t="s">
        <v>45</v>
      </c>
      <c r="AD534" s="377"/>
      <c r="AE534" s="377"/>
      <c r="AF534" s="377"/>
      <c r="AG534" s="377"/>
      <c r="AH534" s="378">
        <v>0</v>
      </c>
      <c r="AI534" s="378">
        <v>0</v>
      </c>
      <c r="AJ534" s="377"/>
      <c r="AK534" s="377"/>
      <c r="AL534" s="375" t="s">
        <v>173</v>
      </c>
      <c r="AM534" s="377"/>
      <c r="AN534" s="377"/>
      <c r="AO534" s="378">
        <v>0</v>
      </c>
      <c r="AP534" s="384">
        <v>0</v>
      </c>
      <c r="AQ534" s="384">
        <v>0</v>
      </c>
      <c r="AR534" s="382"/>
      <c r="AS534" s="386">
        <f t="shared" si="379"/>
        <v>0</v>
      </c>
      <c r="AT534">
        <f t="shared" si="380"/>
        <v>0</v>
      </c>
      <c r="AU534" s="386" t="str">
        <f>IF(AT534=0,"",IF(AND(AT534=1,M534="F",SUMIF(C2:C557,C534,AS2:AS557)&lt;=1),SUMIF(C2:C557,C534,AS2:AS557),IF(AND(AT534=1,M534="F",SUMIF(C2:C557,C534,AS2:AS557)&gt;1),1,"")))</f>
        <v/>
      </c>
      <c r="AV534" s="386" t="str">
        <f>IF(AT534=0,"",IF(AND(AT534=3,M534="F",SUMIF(C2:C557,C534,AS2:AS557)&lt;=1),SUMIF(C2:C557,C534,AS2:AS557),IF(AND(AT534=3,M534="F",SUMIF(C2:C557,C534,AS2:AS557)&gt;1),1,"")))</f>
        <v/>
      </c>
      <c r="AW534" s="386">
        <f>SUMIF(C2:C557,C534,O2:O557)</f>
        <v>0</v>
      </c>
      <c r="AX534" s="386">
        <f>IF(AND(M534="F",AS534&lt;&gt;0),SUMIF(C2:C557,C534,W2:W557),0)</f>
        <v>0</v>
      </c>
      <c r="AY534" s="386" t="str">
        <f t="shared" si="381"/>
        <v/>
      </c>
      <c r="AZ534" s="386" t="str">
        <f t="shared" si="382"/>
        <v/>
      </c>
      <c r="BA534" s="386">
        <f t="shared" si="383"/>
        <v>0</v>
      </c>
      <c r="BB534" s="386">
        <f t="shared" si="352"/>
        <v>0</v>
      </c>
      <c r="BC534" s="386">
        <f t="shared" si="353"/>
        <v>0</v>
      </c>
      <c r="BD534" s="386">
        <f t="shared" si="354"/>
        <v>0</v>
      </c>
      <c r="BE534" s="386">
        <f t="shared" si="355"/>
        <v>0</v>
      </c>
      <c r="BF534" s="386">
        <f t="shared" si="356"/>
        <v>0</v>
      </c>
      <c r="BG534" s="386">
        <f t="shared" si="357"/>
        <v>0</v>
      </c>
      <c r="BH534" s="386">
        <f t="shared" si="358"/>
        <v>0</v>
      </c>
      <c r="BI534" s="386">
        <f t="shared" si="359"/>
        <v>0</v>
      </c>
      <c r="BJ534" s="386">
        <f t="shared" si="360"/>
        <v>0</v>
      </c>
      <c r="BK534" s="386">
        <f t="shared" si="361"/>
        <v>0</v>
      </c>
      <c r="BL534" s="386">
        <f t="shared" si="384"/>
        <v>0</v>
      </c>
      <c r="BM534" s="386">
        <f t="shared" si="385"/>
        <v>0</v>
      </c>
      <c r="BN534" s="386">
        <f t="shared" si="362"/>
        <v>0</v>
      </c>
      <c r="BO534" s="386">
        <f t="shared" si="363"/>
        <v>0</v>
      </c>
      <c r="BP534" s="386">
        <f t="shared" si="364"/>
        <v>0</v>
      </c>
      <c r="BQ534" s="386">
        <f t="shared" si="365"/>
        <v>0</v>
      </c>
      <c r="BR534" s="386">
        <f t="shared" si="366"/>
        <v>0</v>
      </c>
      <c r="BS534" s="386">
        <f t="shared" si="367"/>
        <v>0</v>
      </c>
      <c r="BT534" s="386">
        <f t="shared" si="368"/>
        <v>0</v>
      </c>
      <c r="BU534" s="386">
        <f t="shared" si="369"/>
        <v>0</v>
      </c>
      <c r="BV534" s="386">
        <f t="shared" si="370"/>
        <v>0</v>
      </c>
      <c r="BW534" s="386">
        <f t="shared" si="371"/>
        <v>0</v>
      </c>
      <c r="BX534" s="386">
        <f t="shared" si="386"/>
        <v>0</v>
      </c>
      <c r="BY534" s="386">
        <f t="shared" si="387"/>
        <v>0</v>
      </c>
      <c r="BZ534" s="386">
        <f t="shared" si="388"/>
        <v>0</v>
      </c>
      <c r="CA534" s="386">
        <f t="shared" si="389"/>
        <v>0</v>
      </c>
      <c r="CB534" s="386">
        <f t="shared" si="390"/>
        <v>0</v>
      </c>
      <c r="CC534" s="386">
        <f t="shared" si="372"/>
        <v>0</v>
      </c>
      <c r="CD534" s="386">
        <f t="shared" si="373"/>
        <v>0</v>
      </c>
      <c r="CE534" s="386">
        <f t="shared" si="374"/>
        <v>0</v>
      </c>
      <c r="CF534" s="386">
        <f t="shared" si="375"/>
        <v>0</v>
      </c>
      <c r="CG534" s="386">
        <f t="shared" si="376"/>
        <v>0</v>
      </c>
      <c r="CH534" s="386">
        <f t="shared" si="377"/>
        <v>0</v>
      </c>
      <c r="CI534" s="386">
        <f t="shared" si="378"/>
        <v>0</v>
      </c>
      <c r="CJ534" s="386">
        <f t="shared" si="391"/>
        <v>0</v>
      </c>
      <c r="CK534" s="386" t="str">
        <f t="shared" si="392"/>
        <v/>
      </c>
      <c r="CL534" s="386" t="str">
        <f t="shared" si="393"/>
        <v/>
      </c>
      <c r="CM534" s="386" t="str">
        <f t="shared" si="394"/>
        <v/>
      </c>
      <c r="CN534" s="386" t="str">
        <f t="shared" si="395"/>
        <v>0001-00</v>
      </c>
    </row>
    <row r="535" spans="1:92" ht="15.75" thickBot="1" x14ac:dyDescent="0.3">
      <c r="A535" s="375" t="s">
        <v>161</v>
      </c>
      <c r="B535" s="375" t="s">
        <v>162</v>
      </c>
      <c r="C535" s="375" t="s">
        <v>1894</v>
      </c>
      <c r="D535" s="375" t="s">
        <v>1629</v>
      </c>
      <c r="E535" s="375" t="s">
        <v>165</v>
      </c>
      <c r="F535" s="376" t="s">
        <v>166</v>
      </c>
      <c r="G535" s="375" t="s">
        <v>1599</v>
      </c>
      <c r="H535" s="377"/>
      <c r="I535" s="377"/>
      <c r="J535" s="375" t="s">
        <v>168</v>
      </c>
      <c r="K535" s="375" t="s">
        <v>1630</v>
      </c>
      <c r="L535" s="375" t="s">
        <v>198</v>
      </c>
      <c r="M535" s="375" t="s">
        <v>177</v>
      </c>
      <c r="N535" s="375" t="s">
        <v>199</v>
      </c>
      <c r="O535" s="378">
        <v>1</v>
      </c>
      <c r="P535" s="384">
        <v>1</v>
      </c>
      <c r="Q535" s="384">
        <v>1</v>
      </c>
      <c r="R535" s="379">
        <v>80</v>
      </c>
      <c r="S535" s="384">
        <v>1</v>
      </c>
      <c r="T535" s="379">
        <v>60298.33</v>
      </c>
      <c r="U535" s="379">
        <v>0</v>
      </c>
      <c r="V535" s="379">
        <v>24100.080000000002</v>
      </c>
      <c r="W535" s="379">
        <v>63024</v>
      </c>
      <c r="X535" s="379">
        <v>25103.69</v>
      </c>
      <c r="Y535" s="379">
        <v>63024</v>
      </c>
      <c r="Z535" s="379">
        <v>24801.19</v>
      </c>
      <c r="AA535" s="375" t="s">
        <v>1895</v>
      </c>
      <c r="AB535" s="375" t="s">
        <v>1305</v>
      </c>
      <c r="AC535" s="375" t="s">
        <v>1896</v>
      </c>
      <c r="AD535" s="375" t="s">
        <v>170</v>
      </c>
      <c r="AE535" s="375" t="s">
        <v>1630</v>
      </c>
      <c r="AF535" s="375" t="s">
        <v>245</v>
      </c>
      <c r="AG535" s="375" t="s">
        <v>183</v>
      </c>
      <c r="AH535" s="380">
        <v>30.3</v>
      </c>
      <c r="AI535" s="380">
        <v>79259.399999999994</v>
      </c>
      <c r="AJ535" s="375" t="s">
        <v>184</v>
      </c>
      <c r="AK535" s="375" t="s">
        <v>185</v>
      </c>
      <c r="AL535" s="375" t="s">
        <v>173</v>
      </c>
      <c r="AM535" s="375" t="s">
        <v>186</v>
      </c>
      <c r="AN535" s="375" t="s">
        <v>68</v>
      </c>
      <c r="AO535" s="378">
        <v>80</v>
      </c>
      <c r="AP535" s="384">
        <v>1</v>
      </c>
      <c r="AQ535" s="384">
        <v>1</v>
      </c>
      <c r="AR535" s="383" t="s">
        <v>187</v>
      </c>
      <c r="AS535" s="386">
        <f t="shared" si="379"/>
        <v>1</v>
      </c>
      <c r="AT535">
        <f t="shared" si="380"/>
        <v>1</v>
      </c>
      <c r="AU535" s="386">
        <f>IF(AT535=0,"",IF(AND(AT535=1,M535="F",SUMIF(C2:C557,C535,AS2:AS557)&lt;=1),SUMIF(C2:C557,C535,AS2:AS557),IF(AND(AT535=1,M535="F",SUMIF(C2:C557,C535,AS2:AS557)&gt;1),1,"")))</f>
        <v>1</v>
      </c>
      <c r="AV535" s="386" t="str">
        <f>IF(AT535=0,"",IF(AND(AT535=3,M535="F",SUMIF(C2:C557,C535,AS2:AS557)&lt;=1),SUMIF(C2:C557,C535,AS2:AS557),IF(AND(AT535=3,M535="F",SUMIF(C2:C557,C535,AS2:AS557)&gt;1),1,"")))</f>
        <v/>
      </c>
      <c r="AW535" s="386">
        <f>SUMIF(C2:C557,C535,O2:O557)</f>
        <v>1</v>
      </c>
      <c r="AX535" s="386">
        <f>IF(AND(M535="F",AS535&lt;&gt;0),SUMIF(C2:C557,C535,W2:W557),0)</f>
        <v>63024</v>
      </c>
      <c r="AY535" s="386">
        <f t="shared" si="381"/>
        <v>63024</v>
      </c>
      <c r="AZ535" s="386" t="str">
        <f t="shared" si="382"/>
        <v/>
      </c>
      <c r="BA535" s="386">
        <f t="shared" si="383"/>
        <v>0</v>
      </c>
      <c r="BB535" s="386">
        <f t="shared" si="352"/>
        <v>11650</v>
      </c>
      <c r="BC535" s="386">
        <f t="shared" si="353"/>
        <v>0</v>
      </c>
      <c r="BD535" s="386">
        <f t="shared" si="354"/>
        <v>3907.4879999999998</v>
      </c>
      <c r="BE535" s="386">
        <f t="shared" si="355"/>
        <v>913.84800000000007</v>
      </c>
      <c r="BF535" s="386">
        <f t="shared" si="356"/>
        <v>7525.0656000000008</v>
      </c>
      <c r="BG535" s="386">
        <f t="shared" si="357"/>
        <v>454.40304000000003</v>
      </c>
      <c r="BH535" s="386">
        <f t="shared" si="358"/>
        <v>308.81759999999997</v>
      </c>
      <c r="BI535" s="386">
        <f t="shared" si="359"/>
        <v>192.85343999999998</v>
      </c>
      <c r="BJ535" s="386">
        <f t="shared" si="360"/>
        <v>151.2576</v>
      </c>
      <c r="BK535" s="386">
        <f t="shared" si="361"/>
        <v>0</v>
      </c>
      <c r="BL535" s="386">
        <f t="shared" si="384"/>
        <v>13453.733280000002</v>
      </c>
      <c r="BM535" s="386">
        <f t="shared" si="385"/>
        <v>0</v>
      </c>
      <c r="BN535" s="386">
        <f t="shared" si="362"/>
        <v>11650</v>
      </c>
      <c r="BO535" s="386">
        <f t="shared" si="363"/>
        <v>0</v>
      </c>
      <c r="BP535" s="386">
        <f t="shared" si="364"/>
        <v>3907.4879999999998</v>
      </c>
      <c r="BQ535" s="386">
        <f t="shared" si="365"/>
        <v>913.84800000000007</v>
      </c>
      <c r="BR535" s="386">
        <f t="shared" si="366"/>
        <v>7525.0656000000008</v>
      </c>
      <c r="BS535" s="386">
        <f t="shared" si="367"/>
        <v>454.40304000000003</v>
      </c>
      <c r="BT535" s="386">
        <f t="shared" si="368"/>
        <v>0</v>
      </c>
      <c r="BU535" s="386">
        <f t="shared" si="369"/>
        <v>192.85343999999998</v>
      </c>
      <c r="BV535" s="386">
        <f t="shared" si="370"/>
        <v>157.56</v>
      </c>
      <c r="BW535" s="386">
        <f t="shared" si="371"/>
        <v>0</v>
      </c>
      <c r="BX535" s="386">
        <f t="shared" si="386"/>
        <v>13151.218080000001</v>
      </c>
      <c r="BY535" s="386">
        <f t="shared" si="387"/>
        <v>0</v>
      </c>
      <c r="BZ535" s="386">
        <f t="shared" si="388"/>
        <v>0</v>
      </c>
      <c r="CA535" s="386">
        <f t="shared" si="389"/>
        <v>0</v>
      </c>
      <c r="CB535" s="386">
        <f t="shared" si="390"/>
        <v>0</v>
      </c>
      <c r="CC535" s="386">
        <f t="shared" si="372"/>
        <v>0</v>
      </c>
      <c r="CD535" s="386">
        <f t="shared" si="373"/>
        <v>0</v>
      </c>
      <c r="CE535" s="386">
        <f t="shared" si="374"/>
        <v>0</v>
      </c>
      <c r="CF535" s="386">
        <f t="shared" si="375"/>
        <v>-308.81759999999997</v>
      </c>
      <c r="CG535" s="386">
        <f t="shared" si="376"/>
        <v>0</v>
      </c>
      <c r="CH535" s="386">
        <f t="shared" si="377"/>
        <v>6.3024000000000164</v>
      </c>
      <c r="CI535" s="386">
        <f t="shared" si="378"/>
        <v>0</v>
      </c>
      <c r="CJ535" s="386">
        <f t="shared" si="391"/>
        <v>-302.51519999999994</v>
      </c>
      <c r="CK535" s="386" t="str">
        <f t="shared" si="392"/>
        <v/>
      </c>
      <c r="CL535" s="386" t="str">
        <f t="shared" si="393"/>
        <v/>
      </c>
      <c r="CM535" s="386" t="str">
        <f t="shared" si="394"/>
        <v/>
      </c>
      <c r="CN535" s="386" t="str">
        <f t="shared" si="395"/>
        <v>0001-00</v>
      </c>
    </row>
    <row r="536" spans="1:92" ht="15.75" thickBot="1" x14ac:dyDescent="0.3">
      <c r="A536" s="375" t="s">
        <v>161</v>
      </c>
      <c r="B536" s="375" t="s">
        <v>162</v>
      </c>
      <c r="C536" s="375" t="s">
        <v>978</v>
      </c>
      <c r="D536" s="375" t="s">
        <v>979</v>
      </c>
      <c r="E536" s="375" t="s">
        <v>165</v>
      </c>
      <c r="F536" s="376" t="s">
        <v>166</v>
      </c>
      <c r="G536" s="375" t="s">
        <v>1599</v>
      </c>
      <c r="H536" s="377"/>
      <c r="I536" s="377"/>
      <c r="J536" s="375" t="s">
        <v>168</v>
      </c>
      <c r="K536" s="375" t="s">
        <v>980</v>
      </c>
      <c r="L536" s="377"/>
      <c r="M536" s="377"/>
      <c r="N536" s="377"/>
      <c r="O536" s="378">
        <v>0</v>
      </c>
      <c r="P536" s="384">
        <v>0</v>
      </c>
      <c r="Q536" s="384">
        <v>0</v>
      </c>
      <c r="R536" s="379">
        <v>0</v>
      </c>
      <c r="S536" s="384">
        <v>0</v>
      </c>
      <c r="T536" s="379">
        <v>-24.1</v>
      </c>
      <c r="U536" s="379">
        <v>0</v>
      </c>
      <c r="V536" s="379">
        <v>0</v>
      </c>
      <c r="W536" s="379">
        <v>0</v>
      </c>
      <c r="X536" s="379">
        <v>0</v>
      </c>
      <c r="Y536" s="379">
        <v>0</v>
      </c>
      <c r="Z536" s="379">
        <v>0</v>
      </c>
      <c r="AA536" s="377"/>
      <c r="AB536" s="375" t="s">
        <v>45</v>
      </c>
      <c r="AC536" s="375" t="s">
        <v>45</v>
      </c>
      <c r="AD536" s="377"/>
      <c r="AE536" s="377"/>
      <c r="AF536" s="377"/>
      <c r="AG536" s="377"/>
      <c r="AH536" s="378">
        <v>0</v>
      </c>
      <c r="AI536" s="378">
        <v>0</v>
      </c>
      <c r="AJ536" s="377"/>
      <c r="AK536" s="377"/>
      <c r="AL536" s="375" t="s">
        <v>173</v>
      </c>
      <c r="AM536" s="377"/>
      <c r="AN536" s="377"/>
      <c r="AO536" s="378">
        <v>0</v>
      </c>
      <c r="AP536" s="384">
        <v>0</v>
      </c>
      <c r="AQ536" s="384">
        <v>0</v>
      </c>
      <c r="AR536" s="382"/>
      <c r="AS536" s="386">
        <f t="shared" si="379"/>
        <v>0</v>
      </c>
      <c r="AT536">
        <f t="shared" si="380"/>
        <v>0</v>
      </c>
      <c r="AU536" s="386" t="str">
        <f>IF(AT536=0,"",IF(AND(AT536=1,M536="F",SUMIF(C2:C557,C536,AS2:AS557)&lt;=1),SUMIF(C2:C557,C536,AS2:AS557),IF(AND(AT536=1,M536="F",SUMIF(C2:C557,C536,AS2:AS557)&gt;1),1,"")))</f>
        <v/>
      </c>
      <c r="AV536" s="386" t="str">
        <f>IF(AT536=0,"",IF(AND(AT536=3,M536="F",SUMIF(C2:C557,C536,AS2:AS557)&lt;=1),SUMIF(C2:C557,C536,AS2:AS557),IF(AND(AT536=3,M536="F",SUMIF(C2:C557,C536,AS2:AS557)&gt;1),1,"")))</f>
        <v/>
      </c>
      <c r="AW536" s="386">
        <f>SUMIF(C2:C557,C536,O2:O557)</f>
        <v>0</v>
      </c>
      <c r="AX536" s="386">
        <f>IF(AND(M536="F",AS536&lt;&gt;0),SUMIF(C2:C557,C536,W2:W557),0)</f>
        <v>0</v>
      </c>
      <c r="AY536" s="386" t="str">
        <f t="shared" si="381"/>
        <v/>
      </c>
      <c r="AZ536" s="386" t="str">
        <f t="shared" si="382"/>
        <v/>
      </c>
      <c r="BA536" s="386">
        <f t="shared" si="383"/>
        <v>0</v>
      </c>
      <c r="BB536" s="386">
        <f t="shared" si="352"/>
        <v>0</v>
      </c>
      <c r="BC536" s="386">
        <f t="shared" si="353"/>
        <v>0</v>
      </c>
      <c r="BD536" s="386">
        <f t="shared" si="354"/>
        <v>0</v>
      </c>
      <c r="BE536" s="386">
        <f t="shared" si="355"/>
        <v>0</v>
      </c>
      <c r="BF536" s="386">
        <f t="shared" si="356"/>
        <v>0</v>
      </c>
      <c r="BG536" s="386">
        <f t="shared" si="357"/>
        <v>0</v>
      </c>
      <c r="BH536" s="386">
        <f t="shared" si="358"/>
        <v>0</v>
      </c>
      <c r="BI536" s="386">
        <f t="shared" si="359"/>
        <v>0</v>
      </c>
      <c r="BJ536" s="386">
        <f t="shared" si="360"/>
        <v>0</v>
      </c>
      <c r="BK536" s="386">
        <f t="shared" si="361"/>
        <v>0</v>
      </c>
      <c r="BL536" s="386">
        <f t="shared" si="384"/>
        <v>0</v>
      </c>
      <c r="BM536" s="386">
        <f t="shared" si="385"/>
        <v>0</v>
      </c>
      <c r="BN536" s="386">
        <f t="shared" si="362"/>
        <v>0</v>
      </c>
      <c r="BO536" s="386">
        <f t="shared" si="363"/>
        <v>0</v>
      </c>
      <c r="BP536" s="386">
        <f t="shared" si="364"/>
        <v>0</v>
      </c>
      <c r="BQ536" s="386">
        <f t="shared" si="365"/>
        <v>0</v>
      </c>
      <c r="BR536" s="386">
        <f t="shared" si="366"/>
        <v>0</v>
      </c>
      <c r="BS536" s="386">
        <f t="shared" si="367"/>
        <v>0</v>
      </c>
      <c r="BT536" s="386">
        <f t="shared" si="368"/>
        <v>0</v>
      </c>
      <c r="BU536" s="386">
        <f t="shared" si="369"/>
        <v>0</v>
      </c>
      <c r="BV536" s="386">
        <f t="shared" si="370"/>
        <v>0</v>
      </c>
      <c r="BW536" s="386">
        <f t="shared" si="371"/>
        <v>0</v>
      </c>
      <c r="BX536" s="386">
        <f t="shared" si="386"/>
        <v>0</v>
      </c>
      <c r="BY536" s="386">
        <f t="shared" si="387"/>
        <v>0</v>
      </c>
      <c r="BZ536" s="386">
        <f t="shared" si="388"/>
        <v>0</v>
      </c>
      <c r="CA536" s="386">
        <f t="shared" si="389"/>
        <v>0</v>
      </c>
      <c r="CB536" s="386">
        <f t="shared" si="390"/>
        <v>0</v>
      </c>
      <c r="CC536" s="386">
        <f t="shared" si="372"/>
        <v>0</v>
      </c>
      <c r="CD536" s="386">
        <f t="shared" si="373"/>
        <v>0</v>
      </c>
      <c r="CE536" s="386">
        <f t="shared" si="374"/>
        <v>0</v>
      </c>
      <c r="CF536" s="386">
        <f t="shared" si="375"/>
        <v>0</v>
      </c>
      <c r="CG536" s="386">
        <f t="shared" si="376"/>
        <v>0</v>
      </c>
      <c r="CH536" s="386">
        <f t="shared" si="377"/>
        <v>0</v>
      </c>
      <c r="CI536" s="386">
        <f t="shared" si="378"/>
        <v>0</v>
      </c>
      <c r="CJ536" s="386">
        <f t="shared" si="391"/>
        <v>0</v>
      </c>
      <c r="CK536" s="386" t="str">
        <f t="shared" si="392"/>
        <v/>
      </c>
      <c r="CL536" s="386" t="str">
        <f t="shared" si="393"/>
        <v/>
      </c>
      <c r="CM536" s="386" t="str">
        <f t="shared" si="394"/>
        <v/>
      </c>
      <c r="CN536" s="386" t="str">
        <f t="shared" si="395"/>
        <v>0001-00</v>
      </c>
    </row>
    <row r="537" spans="1:92" ht="15.75" thickBot="1" x14ac:dyDescent="0.3">
      <c r="A537" s="375" t="s">
        <v>161</v>
      </c>
      <c r="B537" s="375" t="s">
        <v>162</v>
      </c>
      <c r="C537" s="375" t="s">
        <v>1897</v>
      </c>
      <c r="D537" s="375" t="s">
        <v>1598</v>
      </c>
      <c r="E537" s="375" t="s">
        <v>165</v>
      </c>
      <c r="F537" s="376" t="s">
        <v>166</v>
      </c>
      <c r="G537" s="375" t="s">
        <v>1599</v>
      </c>
      <c r="H537" s="377"/>
      <c r="I537" s="377"/>
      <c r="J537" s="375" t="s">
        <v>168</v>
      </c>
      <c r="K537" s="375" t="s">
        <v>1600</v>
      </c>
      <c r="L537" s="375" t="s">
        <v>233</v>
      </c>
      <c r="M537" s="375" t="s">
        <v>177</v>
      </c>
      <c r="N537" s="375" t="s">
        <v>199</v>
      </c>
      <c r="O537" s="378">
        <v>1</v>
      </c>
      <c r="P537" s="384">
        <v>1</v>
      </c>
      <c r="Q537" s="384">
        <v>1</v>
      </c>
      <c r="R537" s="379">
        <v>80</v>
      </c>
      <c r="S537" s="384">
        <v>1</v>
      </c>
      <c r="T537" s="379">
        <v>12902.4</v>
      </c>
      <c r="U537" s="379">
        <v>0</v>
      </c>
      <c r="V537" s="379">
        <v>5974.23</v>
      </c>
      <c r="W537" s="379">
        <v>42848</v>
      </c>
      <c r="X537" s="379">
        <v>20796.73</v>
      </c>
      <c r="Y537" s="379">
        <v>42848</v>
      </c>
      <c r="Z537" s="379">
        <v>20591.07</v>
      </c>
      <c r="AA537" s="375" t="s">
        <v>1898</v>
      </c>
      <c r="AB537" s="375" t="s">
        <v>1899</v>
      </c>
      <c r="AC537" s="375" t="s">
        <v>1900</v>
      </c>
      <c r="AD537" s="375" t="s">
        <v>198</v>
      </c>
      <c r="AE537" s="375" t="s">
        <v>1600</v>
      </c>
      <c r="AF537" s="375" t="s">
        <v>237</v>
      </c>
      <c r="AG537" s="375" t="s">
        <v>183</v>
      </c>
      <c r="AH537" s="380">
        <v>20.6</v>
      </c>
      <c r="AI537" s="380">
        <v>21757.4</v>
      </c>
      <c r="AJ537" s="375" t="s">
        <v>184</v>
      </c>
      <c r="AK537" s="375" t="s">
        <v>185</v>
      </c>
      <c r="AL537" s="375" t="s">
        <v>173</v>
      </c>
      <c r="AM537" s="375" t="s">
        <v>186</v>
      </c>
      <c r="AN537" s="375" t="s">
        <v>68</v>
      </c>
      <c r="AO537" s="378">
        <v>80</v>
      </c>
      <c r="AP537" s="384">
        <v>1</v>
      </c>
      <c r="AQ537" s="384">
        <v>1</v>
      </c>
      <c r="AR537" s="383" t="s">
        <v>187</v>
      </c>
      <c r="AS537" s="386">
        <f t="shared" si="379"/>
        <v>1</v>
      </c>
      <c r="AT537">
        <f t="shared" si="380"/>
        <v>1</v>
      </c>
      <c r="AU537" s="386">
        <f>IF(AT537=0,"",IF(AND(AT537=1,M537="F",SUMIF(C2:C557,C537,AS2:AS557)&lt;=1),SUMIF(C2:C557,C537,AS2:AS557),IF(AND(AT537=1,M537="F",SUMIF(C2:C557,C537,AS2:AS557)&gt;1),1,"")))</f>
        <v>1</v>
      </c>
      <c r="AV537" s="386" t="str">
        <f>IF(AT537=0,"",IF(AND(AT537=3,M537="F",SUMIF(C2:C557,C537,AS2:AS557)&lt;=1),SUMIF(C2:C557,C537,AS2:AS557),IF(AND(AT537=3,M537="F",SUMIF(C2:C557,C537,AS2:AS557)&gt;1),1,"")))</f>
        <v/>
      </c>
      <c r="AW537" s="386">
        <f>SUMIF(C2:C557,C537,O2:O557)</f>
        <v>1</v>
      </c>
      <c r="AX537" s="386">
        <f>IF(AND(M537="F",AS537&lt;&gt;0),SUMIF(C2:C557,C537,W2:W557),0)</f>
        <v>42848</v>
      </c>
      <c r="AY537" s="386">
        <f t="shared" si="381"/>
        <v>42848</v>
      </c>
      <c r="AZ537" s="386" t="str">
        <f t="shared" si="382"/>
        <v/>
      </c>
      <c r="BA537" s="386">
        <f t="shared" si="383"/>
        <v>0</v>
      </c>
      <c r="BB537" s="386">
        <f t="shared" si="352"/>
        <v>11650</v>
      </c>
      <c r="BC537" s="386">
        <f t="shared" si="353"/>
        <v>0</v>
      </c>
      <c r="BD537" s="386">
        <f t="shared" si="354"/>
        <v>2656.576</v>
      </c>
      <c r="BE537" s="386">
        <f t="shared" si="355"/>
        <v>621.29600000000005</v>
      </c>
      <c r="BF537" s="386">
        <f t="shared" si="356"/>
        <v>5116.0511999999999</v>
      </c>
      <c r="BG537" s="386">
        <f t="shared" si="357"/>
        <v>308.93407999999999</v>
      </c>
      <c r="BH537" s="386">
        <f t="shared" si="358"/>
        <v>209.95519999999999</v>
      </c>
      <c r="BI537" s="386">
        <f t="shared" si="359"/>
        <v>131.11488</v>
      </c>
      <c r="BJ537" s="386">
        <f t="shared" si="360"/>
        <v>102.83519999999999</v>
      </c>
      <c r="BK537" s="386">
        <f t="shared" si="361"/>
        <v>0</v>
      </c>
      <c r="BL537" s="386">
        <f t="shared" si="384"/>
        <v>9146.7625599999992</v>
      </c>
      <c r="BM537" s="386">
        <f t="shared" si="385"/>
        <v>0</v>
      </c>
      <c r="BN537" s="386">
        <f t="shared" si="362"/>
        <v>11650</v>
      </c>
      <c r="BO537" s="386">
        <f t="shared" si="363"/>
        <v>0</v>
      </c>
      <c r="BP537" s="386">
        <f t="shared" si="364"/>
        <v>2656.576</v>
      </c>
      <c r="BQ537" s="386">
        <f t="shared" si="365"/>
        <v>621.29600000000005</v>
      </c>
      <c r="BR537" s="386">
        <f t="shared" si="366"/>
        <v>5116.0511999999999</v>
      </c>
      <c r="BS537" s="386">
        <f t="shared" si="367"/>
        <v>308.93407999999999</v>
      </c>
      <c r="BT537" s="386">
        <f t="shared" si="368"/>
        <v>0</v>
      </c>
      <c r="BU537" s="386">
        <f t="shared" si="369"/>
        <v>131.11488</v>
      </c>
      <c r="BV537" s="386">
        <f t="shared" si="370"/>
        <v>107.12</v>
      </c>
      <c r="BW537" s="386">
        <f t="shared" si="371"/>
        <v>0</v>
      </c>
      <c r="BX537" s="386">
        <f t="shared" si="386"/>
        <v>8941.0921600000001</v>
      </c>
      <c r="BY537" s="386">
        <f t="shared" si="387"/>
        <v>0</v>
      </c>
      <c r="BZ537" s="386">
        <f t="shared" si="388"/>
        <v>0</v>
      </c>
      <c r="CA537" s="386">
        <f t="shared" si="389"/>
        <v>0</v>
      </c>
      <c r="CB537" s="386">
        <f t="shared" si="390"/>
        <v>0</v>
      </c>
      <c r="CC537" s="386">
        <f t="shared" si="372"/>
        <v>0</v>
      </c>
      <c r="CD537" s="386">
        <f t="shared" si="373"/>
        <v>0</v>
      </c>
      <c r="CE537" s="386">
        <f t="shared" si="374"/>
        <v>0</v>
      </c>
      <c r="CF537" s="386">
        <f t="shared" si="375"/>
        <v>-209.95519999999999</v>
      </c>
      <c r="CG537" s="386">
        <f t="shared" si="376"/>
        <v>0</v>
      </c>
      <c r="CH537" s="386">
        <f t="shared" si="377"/>
        <v>4.2848000000000113</v>
      </c>
      <c r="CI537" s="386">
        <f t="shared" si="378"/>
        <v>0</v>
      </c>
      <c r="CJ537" s="386">
        <f t="shared" si="391"/>
        <v>-205.67039999999997</v>
      </c>
      <c r="CK537" s="386" t="str">
        <f t="shared" si="392"/>
        <v/>
      </c>
      <c r="CL537" s="386" t="str">
        <f t="shared" si="393"/>
        <v/>
      </c>
      <c r="CM537" s="386" t="str">
        <f t="shared" si="394"/>
        <v/>
      </c>
      <c r="CN537" s="386" t="str">
        <f t="shared" si="395"/>
        <v>0001-00</v>
      </c>
    </row>
    <row r="538" spans="1:92" ht="15.75" thickBot="1" x14ac:dyDescent="0.3">
      <c r="A538" s="375" t="s">
        <v>161</v>
      </c>
      <c r="B538" s="375" t="s">
        <v>162</v>
      </c>
      <c r="C538" s="375" t="s">
        <v>1901</v>
      </c>
      <c r="D538" s="375" t="s">
        <v>1605</v>
      </c>
      <c r="E538" s="375" t="s">
        <v>165</v>
      </c>
      <c r="F538" s="376" t="s">
        <v>166</v>
      </c>
      <c r="G538" s="375" t="s">
        <v>1599</v>
      </c>
      <c r="H538" s="377"/>
      <c r="I538" s="377"/>
      <c r="J538" s="375" t="s">
        <v>218</v>
      </c>
      <c r="K538" s="375" t="s">
        <v>1606</v>
      </c>
      <c r="L538" s="375" t="s">
        <v>173</v>
      </c>
      <c r="M538" s="375" t="s">
        <v>177</v>
      </c>
      <c r="N538" s="375" t="s">
        <v>199</v>
      </c>
      <c r="O538" s="378">
        <v>1</v>
      </c>
      <c r="P538" s="384">
        <v>0.85</v>
      </c>
      <c r="Q538" s="384">
        <v>0.85</v>
      </c>
      <c r="R538" s="379">
        <v>80</v>
      </c>
      <c r="S538" s="384">
        <v>0.85</v>
      </c>
      <c r="T538" s="379">
        <v>64825.83</v>
      </c>
      <c r="U538" s="379">
        <v>0</v>
      </c>
      <c r="V538" s="379">
        <v>23307.71</v>
      </c>
      <c r="W538" s="379">
        <v>67219.360000000001</v>
      </c>
      <c r="X538" s="379">
        <v>24251.77</v>
      </c>
      <c r="Y538" s="379">
        <v>67219.360000000001</v>
      </c>
      <c r="Z538" s="379">
        <v>23929.13</v>
      </c>
      <c r="AA538" s="375" t="s">
        <v>1902</v>
      </c>
      <c r="AB538" s="375" t="s">
        <v>1903</v>
      </c>
      <c r="AC538" s="375" t="s">
        <v>1904</v>
      </c>
      <c r="AD538" s="375" t="s">
        <v>194</v>
      </c>
      <c r="AE538" s="375" t="s">
        <v>1606</v>
      </c>
      <c r="AF538" s="375" t="s">
        <v>305</v>
      </c>
      <c r="AG538" s="375" t="s">
        <v>183</v>
      </c>
      <c r="AH538" s="380">
        <v>38.020000000000003</v>
      </c>
      <c r="AI538" s="380">
        <v>50353.5</v>
      </c>
      <c r="AJ538" s="375" t="s">
        <v>184</v>
      </c>
      <c r="AK538" s="375" t="s">
        <v>185</v>
      </c>
      <c r="AL538" s="375" t="s">
        <v>173</v>
      </c>
      <c r="AM538" s="375" t="s">
        <v>186</v>
      </c>
      <c r="AN538" s="375" t="s">
        <v>68</v>
      </c>
      <c r="AO538" s="378">
        <v>80</v>
      </c>
      <c r="AP538" s="384">
        <v>1</v>
      </c>
      <c r="AQ538" s="384">
        <v>0.85</v>
      </c>
      <c r="AR538" s="383" t="s">
        <v>187</v>
      </c>
      <c r="AS538" s="386">
        <f t="shared" si="379"/>
        <v>0.85</v>
      </c>
      <c r="AT538">
        <f t="shared" si="380"/>
        <v>1</v>
      </c>
      <c r="AU538" s="386">
        <f>IF(AT538=0,"",IF(AND(AT538=1,M538="F",SUMIF(C2:C557,C538,AS2:AS557)&lt;=1),SUMIF(C2:C557,C538,AS2:AS557),IF(AND(AT538=1,M538="F",SUMIF(C2:C557,C538,AS2:AS557)&gt;1),1,"")))</f>
        <v>1</v>
      </c>
      <c r="AV538" s="386" t="str">
        <f>IF(AT538=0,"",IF(AND(AT538=3,M538="F",SUMIF(C2:C557,C538,AS2:AS557)&lt;=1),SUMIF(C2:C557,C538,AS2:AS557),IF(AND(AT538=3,M538="F",SUMIF(C2:C557,C538,AS2:AS557)&gt;1),1,"")))</f>
        <v/>
      </c>
      <c r="AW538" s="386">
        <f>SUMIF(C2:C557,C538,O2:O557)</f>
        <v>2</v>
      </c>
      <c r="AX538" s="386">
        <f>IF(AND(M538="F",AS538&lt;&gt;0),SUMIF(C2:C557,C538,W2:W557),0)</f>
        <v>79081.600000000006</v>
      </c>
      <c r="AY538" s="386">
        <f t="shared" si="381"/>
        <v>67219.360000000001</v>
      </c>
      <c r="AZ538" s="386" t="str">
        <f t="shared" si="382"/>
        <v/>
      </c>
      <c r="BA538" s="386">
        <f t="shared" si="383"/>
        <v>0</v>
      </c>
      <c r="BB538" s="386">
        <f t="shared" si="352"/>
        <v>9902.5</v>
      </c>
      <c r="BC538" s="386">
        <f t="shared" si="353"/>
        <v>0</v>
      </c>
      <c r="BD538" s="386">
        <f t="shared" si="354"/>
        <v>4167.6003199999996</v>
      </c>
      <c r="BE538" s="386">
        <f t="shared" si="355"/>
        <v>974.68072000000006</v>
      </c>
      <c r="BF538" s="386">
        <f t="shared" si="356"/>
        <v>8025.9915840000003</v>
      </c>
      <c r="BG538" s="386">
        <f t="shared" si="357"/>
        <v>484.65158560000003</v>
      </c>
      <c r="BH538" s="386">
        <f t="shared" si="358"/>
        <v>329.374864</v>
      </c>
      <c r="BI538" s="386">
        <f t="shared" si="359"/>
        <v>205.69124159999998</v>
      </c>
      <c r="BJ538" s="386">
        <f t="shared" si="360"/>
        <v>161.32646399999999</v>
      </c>
      <c r="BK538" s="386">
        <f t="shared" si="361"/>
        <v>0</v>
      </c>
      <c r="BL538" s="386">
        <f t="shared" si="384"/>
        <v>14349.3167792</v>
      </c>
      <c r="BM538" s="386">
        <f t="shared" si="385"/>
        <v>0</v>
      </c>
      <c r="BN538" s="386">
        <f t="shared" si="362"/>
        <v>9902.5</v>
      </c>
      <c r="BO538" s="386">
        <f t="shared" si="363"/>
        <v>0</v>
      </c>
      <c r="BP538" s="386">
        <f t="shared" si="364"/>
        <v>4167.6003199999996</v>
      </c>
      <c r="BQ538" s="386">
        <f t="shared" si="365"/>
        <v>974.68072000000006</v>
      </c>
      <c r="BR538" s="386">
        <f t="shared" si="366"/>
        <v>8025.9915840000003</v>
      </c>
      <c r="BS538" s="386">
        <f t="shared" si="367"/>
        <v>484.65158560000003</v>
      </c>
      <c r="BT538" s="386">
        <f t="shared" si="368"/>
        <v>0</v>
      </c>
      <c r="BU538" s="386">
        <f t="shared" si="369"/>
        <v>205.69124159999998</v>
      </c>
      <c r="BV538" s="386">
        <f t="shared" si="370"/>
        <v>168.04840000000002</v>
      </c>
      <c r="BW538" s="386">
        <f t="shared" si="371"/>
        <v>0</v>
      </c>
      <c r="BX538" s="386">
        <f t="shared" si="386"/>
        <v>14026.663851200001</v>
      </c>
      <c r="BY538" s="386">
        <f t="shared" si="387"/>
        <v>0</v>
      </c>
      <c r="BZ538" s="386">
        <f t="shared" si="388"/>
        <v>0</v>
      </c>
      <c r="CA538" s="386">
        <f t="shared" si="389"/>
        <v>0</v>
      </c>
      <c r="CB538" s="386">
        <f t="shared" si="390"/>
        <v>0</v>
      </c>
      <c r="CC538" s="386">
        <f t="shared" si="372"/>
        <v>0</v>
      </c>
      <c r="CD538" s="386">
        <f t="shared" si="373"/>
        <v>0</v>
      </c>
      <c r="CE538" s="386">
        <f t="shared" si="374"/>
        <v>0</v>
      </c>
      <c r="CF538" s="386">
        <f t="shared" si="375"/>
        <v>-329.374864</v>
      </c>
      <c r="CG538" s="386">
        <f t="shared" si="376"/>
        <v>0</v>
      </c>
      <c r="CH538" s="386">
        <f t="shared" si="377"/>
        <v>6.7219360000000181</v>
      </c>
      <c r="CI538" s="386">
        <f t="shared" si="378"/>
        <v>0</v>
      </c>
      <c r="CJ538" s="386">
        <f t="shared" si="391"/>
        <v>-322.65292799999997</v>
      </c>
      <c r="CK538" s="386" t="str">
        <f t="shared" si="392"/>
        <v/>
      </c>
      <c r="CL538" s="386" t="str">
        <f t="shared" si="393"/>
        <v/>
      </c>
      <c r="CM538" s="386" t="str">
        <f t="shared" si="394"/>
        <v/>
      </c>
      <c r="CN538" s="386" t="str">
        <f t="shared" si="395"/>
        <v>0001-00</v>
      </c>
    </row>
    <row r="539" spans="1:92" ht="15.75" thickBot="1" x14ac:dyDescent="0.3">
      <c r="A539" s="375" t="s">
        <v>161</v>
      </c>
      <c r="B539" s="375" t="s">
        <v>162</v>
      </c>
      <c r="C539" s="375" t="s">
        <v>1905</v>
      </c>
      <c r="D539" s="375" t="s">
        <v>1598</v>
      </c>
      <c r="E539" s="375" t="s">
        <v>165</v>
      </c>
      <c r="F539" s="376" t="s">
        <v>166</v>
      </c>
      <c r="G539" s="375" t="s">
        <v>1599</v>
      </c>
      <c r="H539" s="377"/>
      <c r="I539" s="377"/>
      <c r="J539" s="375" t="s">
        <v>168</v>
      </c>
      <c r="K539" s="375" t="s">
        <v>1600</v>
      </c>
      <c r="L539" s="375" t="s">
        <v>233</v>
      </c>
      <c r="M539" s="375" t="s">
        <v>171</v>
      </c>
      <c r="N539" s="375" t="s">
        <v>199</v>
      </c>
      <c r="O539" s="378">
        <v>0</v>
      </c>
      <c r="P539" s="384">
        <v>1</v>
      </c>
      <c r="Q539" s="384">
        <v>1</v>
      </c>
      <c r="R539" s="379">
        <v>80</v>
      </c>
      <c r="S539" s="384">
        <v>1</v>
      </c>
      <c r="T539" s="379">
        <v>20903.23</v>
      </c>
      <c r="U539" s="379">
        <v>0</v>
      </c>
      <c r="V539" s="379">
        <v>13028.89</v>
      </c>
      <c r="W539" s="379">
        <v>42328</v>
      </c>
      <c r="X539" s="379">
        <v>18539.66</v>
      </c>
      <c r="Y539" s="379">
        <v>42328</v>
      </c>
      <c r="Z539" s="379">
        <v>18328.02</v>
      </c>
      <c r="AA539" s="377"/>
      <c r="AB539" s="375" t="s">
        <v>45</v>
      </c>
      <c r="AC539" s="375" t="s">
        <v>45</v>
      </c>
      <c r="AD539" s="377"/>
      <c r="AE539" s="377"/>
      <c r="AF539" s="377"/>
      <c r="AG539" s="377"/>
      <c r="AH539" s="378">
        <v>0</v>
      </c>
      <c r="AI539" s="378">
        <v>0</v>
      </c>
      <c r="AJ539" s="377"/>
      <c r="AK539" s="377"/>
      <c r="AL539" s="375" t="s">
        <v>173</v>
      </c>
      <c r="AM539" s="377"/>
      <c r="AN539" s="377"/>
      <c r="AO539" s="378">
        <v>0</v>
      </c>
      <c r="AP539" s="384">
        <v>0</v>
      </c>
      <c r="AQ539" s="384">
        <v>0</v>
      </c>
      <c r="AR539" s="382"/>
      <c r="AS539" s="386">
        <f t="shared" si="379"/>
        <v>0</v>
      </c>
      <c r="AT539">
        <f t="shared" si="380"/>
        <v>0</v>
      </c>
      <c r="AU539" s="386" t="str">
        <f>IF(AT539=0,"",IF(AND(AT539=1,M539="F",SUMIF(C2:C557,C539,AS2:AS557)&lt;=1),SUMIF(C2:C557,C539,AS2:AS557),IF(AND(AT539=1,M539="F",SUMIF(C2:C557,C539,AS2:AS557)&gt;1),1,"")))</f>
        <v/>
      </c>
      <c r="AV539" s="386" t="str">
        <f>IF(AT539=0,"",IF(AND(AT539=3,M539="F",SUMIF(C2:C557,C539,AS2:AS557)&lt;=1),SUMIF(C2:C557,C539,AS2:AS557),IF(AND(AT539=3,M539="F",SUMIF(C2:C557,C539,AS2:AS557)&gt;1),1,"")))</f>
        <v/>
      </c>
      <c r="AW539" s="386">
        <f>SUMIF(C2:C557,C539,O2:O557)</f>
        <v>0</v>
      </c>
      <c r="AX539" s="386">
        <f>IF(AND(M539="F",AS539&lt;&gt;0),SUMIF(C2:C557,C539,W2:W557),0)</f>
        <v>0</v>
      </c>
      <c r="AY539" s="386" t="str">
        <f t="shared" si="381"/>
        <v/>
      </c>
      <c r="AZ539" s="386" t="str">
        <f t="shared" si="382"/>
        <v/>
      </c>
      <c r="BA539" s="386">
        <f t="shared" si="383"/>
        <v>0</v>
      </c>
      <c r="BB539" s="386">
        <f t="shared" si="352"/>
        <v>0</v>
      </c>
      <c r="BC539" s="386">
        <f t="shared" si="353"/>
        <v>0</v>
      </c>
      <c r="BD539" s="386">
        <f t="shared" si="354"/>
        <v>0</v>
      </c>
      <c r="BE539" s="386">
        <f t="shared" si="355"/>
        <v>0</v>
      </c>
      <c r="BF539" s="386">
        <f t="shared" si="356"/>
        <v>0</v>
      </c>
      <c r="BG539" s="386">
        <f t="shared" si="357"/>
        <v>0</v>
      </c>
      <c r="BH539" s="386">
        <f t="shared" si="358"/>
        <v>0</v>
      </c>
      <c r="BI539" s="386">
        <f t="shared" si="359"/>
        <v>0</v>
      </c>
      <c r="BJ539" s="386">
        <f t="shared" si="360"/>
        <v>0</v>
      </c>
      <c r="BK539" s="386">
        <f t="shared" si="361"/>
        <v>0</v>
      </c>
      <c r="BL539" s="386">
        <f t="shared" si="384"/>
        <v>0</v>
      </c>
      <c r="BM539" s="386">
        <f t="shared" si="385"/>
        <v>0</v>
      </c>
      <c r="BN539" s="386">
        <f t="shared" si="362"/>
        <v>0</v>
      </c>
      <c r="BO539" s="386">
        <f t="shared" si="363"/>
        <v>0</v>
      </c>
      <c r="BP539" s="386">
        <f t="shared" si="364"/>
        <v>0</v>
      </c>
      <c r="BQ539" s="386">
        <f t="shared" si="365"/>
        <v>0</v>
      </c>
      <c r="BR539" s="386">
        <f t="shared" si="366"/>
        <v>0</v>
      </c>
      <c r="BS539" s="386">
        <f t="shared" si="367"/>
        <v>0</v>
      </c>
      <c r="BT539" s="386">
        <f t="shared" si="368"/>
        <v>0</v>
      </c>
      <c r="BU539" s="386">
        <f t="shared" si="369"/>
        <v>0</v>
      </c>
      <c r="BV539" s="386">
        <f t="shared" si="370"/>
        <v>0</v>
      </c>
      <c r="BW539" s="386">
        <f t="shared" si="371"/>
        <v>0</v>
      </c>
      <c r="BX539" s="386">
        <f t="shared" si="386"/>
        <v>0</v>
      </c>
      <c r="BY539" s="386">
        <f t="shared" si="387"/>
        <v>0</v>
      </c>
      <c r="BZ539" s="386">
        <f t="shared" si="388"/>
        <v>0</v>
      </c>
      <c r="CA539" s="386">
        <f t="shared" si="389"/>
        <v>0</v>
      </c>
      <c r="CB539" s="386">
        <f t="shared" si="390"/>
        <v>0</v>
      </c>
      <c r="CC539" s="386">
        <f t="shared" si="372"/>
        <v>0</v>
      </c>
      <c r="CD539" s="386">
        <f t="shared" si="373"/>
        <v>0</v>
      </c>
      <c r="CE539" s="386">
        <f t="shared" si="374"/>
        <v>0</v>
      </c>
      <c r="CF539" s="386">
        <f t="shared" si="375"/>
        <v>0</v>
      </c>
      <c r="CG539" s="386">
        <f t="shared" si="376"/>
        <v>0</v>
      </c>
      <c r="CH539" s="386">
        <f t="shared" si="377"/>
        <v>0</v>
      </c>
      <c r="CI539" s="386">
        <f t="shared" si="378"/>
        <v>0</v>
      </c>
      <c r="CJ539" s="386">
        <f t="shared" si="391"/>
        <v>0</v>
      </c>
      <c r="CK539" s="386" t="str">
        <f t="shared" si="392"/>
        <v/>
      </c>
      <c r="CL539" s="386" t="str">
        <f t="shared" si="393"/>
        <v/>
      </c>
      <c r="CM539" s="386" t="str">
        <f t="shared" si="394"/>
        <v/>
      </c>
      <c r="CN539" s="386" t="str">
        <f t="shared" si="395"/>
        <v>0001-00</v>
      </c>
    </row>
    <row r="540" spans="1:92" ht="15.75" thickBot="1" x14ac:dyDescent="0.3">
      <c r="A540" s="375" t="s">
        <v>161</v>
      </c>
      <c r="B540" s="375" t="s">
        <v>162</v>
      </c>
      <c r="C540" s="375" t="s">
        <v>1906</v>
      </c>
      <c r="D540" s="375" t="s">
        <v>494</v>
      </c>
      <c r="E540" s="375" t="s">
        <v>165</v>
      </c>
      <c r="F540" s="376" t="s">
        <v>166</v>
      </c>
      <c r="G540" s="375" t="s">
        <v>1599</v>
      </c>
      <c r="H540" s="377"/>
      <c r="I540" s="377"/>
      <c r="J540" s="375" t="s">
        <v>168</v>
      </c>
      <c r="K540" s="375" t="s">
        <v>495</v>
      </c>
      <c r="L540" s="375" t="s">
        <v>170</v>
      </c>
      <c r="M540" s="375" t="s">
        <v>177</v>
      </c>
      <c r="N540" s="375" t="s">
        <v>199</v>
      </c>
      <c r="O540" s="378">
        <v>1</v>
      </c>
      <c r="P540" s="384">
        <v>1</v>
      </c>
      <c r="Q540" s="384">
        <v>1</v>
      </c>
      <c r="R540" s="379">
        <v>80</v>
      </c>
      <c r="S540" s="384">
        <v>1</v>
      </c>
      <c r="T540" s="379">
        <v>24057.599999999999</v>
      </c>
      <c r="U540" s="379">
        <v>0</v>
      </c>
      <c r="V540" s="379">
        <v>9311.36</v>
      </c>
      <c r="W540" s="379">
        <v>67225.600000000006</v>
      </c>
      <c r="X540" s="379">
        <v>26000.62</v>
      </c>
      <c r="Y540" s="379">
        <v>67225.600000000006</v>
      </c>
      <c r="Z540" s="379">
        <v>25677.94</v>
      </c>
      <c r="AA540" s="375" t="s">
        <v>1907</v>
      </c>
      <c r="AB540" s="375" t="s">
        <v>1903</v>
      </c>
      <c r="AC540" s="375" t="s">
        <v>670</v>
      </c>
      <c r="AD540" s="375" t="s">
        <v>261</v>
      </c>
      <c r="AE540" s="375" t="s">
        <v>495</v>
      </c>
      <c r="AF540" s="375" t="s">
        <v>269</v>
      </c>
      <c r="AG540" s="375" t="s">
        <v>183</v>
      </c>
      <c r="AH540" s="380">
        <v>32.32</v>
      </c>
      <c r="AI540" s="380">
        <v>65404.7</v>
      </c>
      <c r="AJ540" s="375" t="s">
        <v>184</v>
      </c>
      <c r="AK540" s="375" t="s">
        <v>185</v>
      </c>
      <c r="AL540" s="375" t="s">
        <v>173</v>
      </c>
      <c r="AM540" s="375" t="s">
        <v>186</v>
      </c>
      <c r="AN540" s="375" t="s">
        <v>68</v>
      </c>
      <c r="AO540" s="378">
        <v>80</v>
      </c>
      <c r="AP540" s="384">
        <v>1</v>
      </c>
      <c r="AQ540" s="384">
        <v>1</v>
      </c>
      <c r="AR540" s="383" t="s">
        <v>187</v>
      </c>
      <c r="AS540" s="386">
        <f t="shared" si="379"/>
        <v>1</v>
      </c>
      <c r="AT540">
        <f t="shared" si="380"/>
        <v>1</v>
      </c>
      <c r="AU540" s="386">
        <f>IF(AT540=0,"",IF(AND(AT540=1,M540="F",SUMIF(C2:C557,C540,AS2:AS557)&lt;=1),SUMIF(C2:C557,C540,AS2:AS557),IF(AND(AT540=1,M540="F",SUMIF(C2:C557,C540,AS2:AS557)&gt;1),1,"")))</f>
        <v>1</v>
      </c>
      <c r="AV540" s="386" t="str">
        <f>IF(AT540=0,"",IF(AND(AT540=3,M540="F",SUMIF(C2:C557,C540,AS2:AS557)&lt;=1),SUMIF(C2:C557,C540,AS2:AS557),IF(AND(AT540=3,M540="F",SUMIF(C2:C557,C540,AS2:AS557)&gt;1),1,"")))</f>
        <v/>
      </c>
      <c r="AW540" s="386">
        <f>SUMIF(C2:C557,C540,O2:O557)</f>
        <v>1</v>
      </c>
      <c r="AX540" s="386">
        <f>IF(AND(M540="F",AS540&lt;&gt;0),SUMIF(C2:C557,C540,W2:W557),0)</f>
        <v>67225.600000000006</v>
      </c>
      <c r="AY540" s="386">
        <f t="shared" si="381"/>
        <v>67225.600000000006</v>
      </c>
      <c r="AZ540" s="386" t="str">
        <f t="shared" si="382"/>
        <v/>
      </c>
      <c r="BA540" s="386">
        <f t="shared" si="383"/>
        <v>0</v>
      </c>
      <c r="BB540" s="386">
        <f t="shared" si="352"/>
        <v>11650</v>
      </c>
      <c r="BC540" s="386">
        <f t="shared" si="353"/>
        <v>0</v>
      </c>
      <c r="BD540" s="386">
        <f t="shared" si="354"/>
        <v>4167.9872000000005</v>
      </c>
      <c r="BE540" s="386">
        <f t="shared" si="355"/>
        <v>974.77120000000014</v>
      </c>
      <c r="BF540" s="386">
        <f t="shared" si="356"/>
        <v>8026.736640000001</v>
      </c>
      <c r="BG540" s="386">
        <f t="shared" si="357"/>
        <v>484.69657600000005</v>
      </c>
      <c r="BH540" s="386">
        <f t="shared" si="358"/>
        <v>329.40544</v>
      </c>
      <c r="BI540" s="386">
        <f t="shared" si="359"/>
        <v>205.71033600000001</v>
      </c>
      <c r="BJ540" s="386">
        <f t="shared" si="360"/>
        <v>161.34144000000001</v>
      </c>
      <c r="BK540" s="386">
        <f t="shared" si="361"/>
        <v>0</v>
      </c>
      <c r="BL540" s="386">
        <f t="shared" si="384"/>
        <v>14350.648832000003</v>
      </c>
      <c r="BM540" s="386">
        <f t="shared" si="385"/>
        <v>0</v>
      </c>
      <c r="BN540" s="386">
        <f t="shared" si="362"/>
        <v>11650</v>
      </c>
      <c r="BO540" s="386">
        <f t="shared" si="363"/>
        <v>0</v>
      </c>
      <c r="BP540" s="386">
        <f t="shared" si="364"/>
        <v>4167.9872000000005</v>
      </c>
      <c r="BQ540" s="386">
        <f t="shared" si="365"/>
        <v>974.77120000000014</v>
      </c>
      <c r="BR540" s="386">
        <f t="shared" si="366"/>
        <v>8026.736640000001</v>
      </c>
      <c r="BS540" s="386">
        <f t="shared" si="367"/>
        <v>484.69657600000005</v>
      </c>
      <c r="BT540" s="386">
        <f t="shared" si="368"/>
        <v>0</v>
      </c>
      <c r="BU540" s="386">
        <f t="shared" si="369"/>
        <v>205.71033600000001</v>
      </c>
      <c r="BV540" s="386">
        <f t="shared" si="370"/>
        <v>168.06400000000002</v>
      </c>
      <c r="BW540" s="386">
        <f t="shared" si="371"/>
        <v>0</v>
      </c>
      <c r="BX540" s="386">
        <f t="shared" si="386"/>
        <v>14027.965952000002</v>
      </c>
      <c r="BY540" s="386">
        <f t="shared" si="387"/>
        <v>0</v>
      </c>
      <c r="BZ540" s="386">
        <f t="shared" si="388"/>
        <v>0</v>
      </c>
      <c r="CA540" s="386">
        <f t="shared" si="389"/>
        <v>0</v>
      </c>
      <c r="CB540" s="386">
        <f t="shared" si="390"/>
        <v>0</v>
      </c>
      <c r="CC540" s="386">
        <f t="shared" si="372"/>
        <v>0</v>
      </c>
      <c r="CD540" s="386">
        <f t="shared" si="373"/>
        <v>0</v>
      </c>
      <c r="CE540" s="386">
        <f t="shared" si="374"/>
        <v>0</v>
      </c>
      <c r="CF540" s="386">
        <f t="shared" si="375"/>
        <v>-329.40544</v>
      </c>
      <c r="CG540" s="386">
        <f t="shared" si="376"/>
        <v>0</v>
      </c>
      <c r="CH540" s="386">
        <f t="shared" si="377"/>
        <v>6.7225600000000183</v>
      </c>
      <c r="CI540" s="386">
        <f t="shared" si="378"/>
        <v>0</v>
      </c>
      <c r="CJ540" s="386">
        <f t="shared" si="391"/>
        <v>-322.68287999999995</v>
      </c>
      <c r="CK540" s="386" t="str">
        <f t="shared" si="392"/>
        <v/>
      </c>
      <c r="CL540" s="386" t="str">
        <f t="shared" si="393"/>
        <v/>
      </c>
      <c r="CM540" s="386" t="str">
        <f t="shared" si="394"/>
        <v/>
      </c>
      <c r="CN540" s="386" t="str">
        <f t="shared" si="395"/>
        <v>0001-00</v>
      </c>
    </row>
    <row r="541" spans="1:92" ht="15.75" thickBot="1" x14ac:dyDescent="0.3">
      <c r="A541" s="375" t="s">
        <v>161</v>
      </c>
      <c r="B541" s="375" t="s">
        <v>162</v>
      </c>
      <c r="C541" s="375" t="s">
        <v>1908</v>
      </c>
      <c r="D541" s="375" t="s">
        <v>318</v>
      </c>
      <c r="E541" s="375" t="s">
        <v>165</v>
      </c>
      <c r="F541" s="376" t="s">
        <v>166</v>
      </c>
      <c r="G541" s="375" t="s">
        <v>1599</v>
      </c>
      <c r="H541" s="377"/>
      <c r="I541" s="377"/>
      <c r="J541" s="375" t="s">
        <v>168</v>
      </c>
      <c r="K541" s="375" t="s">
        <v>319</v>
      </c>
      <c r="L541" s="375" t="s">
        <v>220</v>
      </c>
      <c r="M541" s="375" t="s">
        <v>177</v>
      </c>
      <c r="N541" s="375" t="s">
        <v>199</v>
      </c>
      <c r="O541" s="378">
        <v>1</v>
      </c>
      <c r="P541" s="384">
        <v>1</v>
      </c>
      <c r="Q541" s="384">
        <v>1</v>
      </c>
      <c r="R541" s="379">
        <v>80</v>
      </c>
      <c r="S541" s="384">
        <v>1</v>
      </c>
      <c r="T541" s="379">
        <v>59988.85</v>
      </c>
      <c r="U541" s="379">
        <v>0</v>
      </c>
      <c r="V541" s="379">
        <v>23855.040000000001</v>
      </c>
      <c r="W541" s="379">
        <v>62088</v>
      </c>
      <c r="X541" s="379">
        <v>24903.89</v>
      </c>
      <c r="Y541" s="379">
        <v>62088</v>
      </c>
      <c r="Z541" s="379">
        <v>24605.87</v>
      </c>
      <c r="AA541" s="375" t="s">
        <v>1909</v>
      </c>
      <c r="AB541" s="375" t="s">
        <v>1910</v>
      </c>
      <c r="AC541" s="375" t="s">
        <v>1911</v>
      </c>
      <c r="AD541" s="375" t="s">
        <v>195</v>
      </c>
      <c r="AE541" s="375" t="s">
        <v>319</v>
      </c>
      <c r="AF541" s="375" t="s">
        <v>252</v>
      </c>
      <c r="AG541" s="375" t="s">
        <v>183</v>
      </c>
      <c r="AH541" s="380">
        <v>29.85</v>
      </c>
      <c r="AI541" s="380">
        <v>24248.3</v>
      </c>
      <c r="AJ541" s="375" t="s">
        <v>184</v>
      </c>
      <c r="AK541" s="375" t="s">
        <v>185</v>
      </c>
      <c r="AL541" s="375" t="s">
        <v>173</v>
      </c>
      <c r="AM541" s="375" t="s">
        <v>186</v>
      </c>
      <c r="AN541" s="375" t="s">
        <v>68</v>
      </c>
      <c r="AO541" s="378">
        <v>80</v>
      </c>
      <c r="AP541" s="384">
        <v>1</v>
      </c>
      <c r="AQ541" s="384">
        <v>1</v>
      </c>
      <c r="AR541" s="383" t="s">
        <v>187</v>
      </c>
      <c r="AS541" s="386">
        <f t="shared" si="379"/>
        <v>1</v>
      </c>
      <c r="AT541">
        <f t="shared" si="380"/>
        <v>1</v>
      </c>
      <c r="AU541" s="386">
        <f>IF(AT541=0,"",IF(AND(AT541=1,M541="F",SUMIF(C2:C557,C541,AS2:AS557)&lt;=1),SUMIF(C2:C557,C541,AS2:AS557),IF(AND(AT541=1,M541="F",SUMIF(C2:C557,C541,AS2:AS557)&gt;1),1,"")))</f>
        <v>1</v>
      </c>
      <c r="AV541" s="386" t="str">
        <f>IF(AT541=0,"",IF(AND(AT541=3,M541="F",SUMIF(C2:C557,C541,AS2:AS557)&lt;=1),SUMIF(C2:C557,C541,AS2:AS557),IF(AND(AT541=3,M541="F",SUMIF(C2:C557,C541,AS2:AS557)&gt;1),1,"")))</f>
        <v/>
      </c>
      <c r="AW541" s="386">
        <f>SUMIF(C2:C557,C541,O2:O557)</f>
        <v>1</v>
      </c>
      <c r="AX541" s="386">
        <f>IF(AND(M541="F",AS541&lt;&gt;0),SUMIF(C2:C557,C541,W2:W557),0)</f>
        <v>62088</v>
      </c>
      <c r="AY541" s="386">
        <f t="shared" si="381"/>
        <v>62088</v>
      </c>
      <c r="AZ541" s="386" t="str">
        <f t="shared" si="382"/>
        <v/>
      </c>
      <c r="BA541" s="386">
        <f t="shared" si="383"/>
        <v>0</v>
      </c>
      <c r="BB541" s="386">
        <f t="shared" si="352"/>
        <v>11650</v>
      </c>
      <c r="BC541" s="386">
        <f t="shared" si="353"/>
        <v>0</v>
      </c>
      <c r="BD541" s="386">
        <f t="shared" si="354"/>
        <v>3849.4560000000001</v>
      </c>
      <c r="BE541" s="386">
        <f t="shared" si="355"/>
        <v>900.27600000000007</v>
      </c>
      <c r="BF541" s="386">
        <f t="shared" si="356"/>
        <v>7413.3072000000002</v>
      </c>
      <c r="BG541" s="386">
        <f t="shared" si="357"/>
        <v>447.65448000000004</v>
      </c>
      <c r="BH541" s="386">
        <f t="shared" si="358"/>
        <v>304.2312</v>
      </c>
      <c r="BI541" s="386">
        <f t="shared" si="359"/>
        <v>189.98927999999998</v>
      </c>
      <c r="BJ541" s="386">
        <f t="shared" si="360"/>
        <v>149.01119999999997</v>
      </c>
      <c r="BK541" s="386">
        <f t="shared" si="361"/>
        <v>0</v>
      </c>
      <c r="BL541" s="386">
        <f t="shared" si="384"/>
        <v>13253.925359999999</v>
      </c>
      <c r="BM541" s="386">
        <f t="shared" si="385"/>
        <v>0</v>
      </c>
      <c r="BN541" s="386">
        <f t="shared" si="362"/>
        <v>11650</v>
      </c>
      <c r="BO541" s="386">
        <f t="shared" si="363"/>
        <v>0</v>
      </c>
      <c r="BP541" s="386">
        <f t="shared" si="364"/>
        <v>3849.4560000000001</v>
      </c>
      <c r="BQ541" s="386">
        <f t="shared" si="365"/>
        <v>900.27600000000007</v>
      </c>
      <c r="BR541" s="386">
        <f t="shared" si="366"/>
        <v>7413.3072000000002</v>
      </c>
      <c r="BS541" s="386">
        <f t="shared" si="367"/>
        <v>447.65448000000004</v>
      </c>
      <c r="BT541" s="386">
        <f t="shared" si="368"/>
        <v>0</v>
      </c>
      <c r="BU541" s="386">
        <f t="shared" si="369"/>
        <v>189.98927999999998</v>
      </c>
      <c r="BV541" s="386">
        <f t="shared" si="370"/>
        <v>155.22</v>
      </c>
      <c r="BW541" s="386">
        <f t="shared" si="371"/>
        <v>0</v>
      </c>
      <c r="BX541" s="386">
        <f t="shared" si="386"/>
        <v>12955.902959999998</v>
      </c>
      <c r="BY541" s="386">
        <f t="shared" si="387"/>
        <v>0</v>
      </c>
      <c r="BZ541" s="386">
        <f t="shared" si="388"/>
        <v>0</v>
      </c>
      <c r="CA541" s="386">
        <f t="shared" si="389"/>
        <v>0</v>
      </c>
      <c r="CB541" s="386">
        <f t="shared" si="390"/>
        <v>0</v>
      </c>
      <c r="CC541" s="386">
        <f t="shared" si="372"/>
        <v>0</v>
      </c>
      <c r="CD541" s="386">
        <f t="shared" si="373"/>
        <v>0</v>
      </c>
      <c r="CE541" s="386">
        <f t="shared" si="374"/>
        <v>0</v>
      </c>
      <c r="CF541" s="386">
        <f t="shared" si="375"/>
        <v>-304.2312</v>
      </c>
      <c r="CG541" s="386">
        <f t="shared" si="376"/>
        <v>0</v>
      </c>
      <c r="CH541" s="386">
        <f t="shared" si="377"/>
        <v>6.2088000000000161</v>
      </c>
      <c r="CI541" s="386">
        <f t="shared" si="378"/>
        <v>0</v>
      </c>
      <c r="CJ541" s="386">
        <f t="shared" si="391"/>
        <v>-298.0224</v>
      </c>
      <c r="CK541" s="386" t="str">
        <f t="shared" si="392"/>
        <v/>
      </c>
      <c r="CL541" s="386" t="str">
        <f t="shared" si="393"/>
        <v/>
      </c>
      <c r="CM541" s="386" t="str">
        <f t="shared" si="394"/>
        <v/>
      </c>
      <c r="CN541" s="386" t="str">
        <f t="shared" si="395"/>
        <v>0001-00</v>
      </c>
    </row>
    <row r="542" spans="1:92" ht="15.75" thickBot="1" x14ac:dyDescent="0.3">
      <c r="A542" s="375" t="s">
        <v>161</v>
      </c>
      <c r="B542" s="375" t="s">
        <v>162</v>
      </c>
      <c r="C542" s="375" t="s">
        <v>1912</v>
      </c>
      <c r="D542" s="375" t="s">
        <v>1605</v>
      </c>
      <c r="E542" s="375" t="s">
        <v>165</v>
      </c>
      <c r="F542" s="376" t="s">
        <v>166</v>
      </c>
      <c r="G542" s="375" t="s">
        <v>1599</v>
      </c>
      <c r="H542" s="377"/>
      <c r="I542" s="377"/>
      <c r="J542" s="375" t="s">
        <v>218</v>
      </c>
      <c r="K542" s="375" t="s">
        <v>1606</v>
      </c>
      <c r="L542" s="375" t="s">
        <v>173</v>
      </c>
      <c r="M542" s="375" t="s">
        <v>177</v>
      </c>
      <c r="N542" s="375" t="s">
        <v>199</v>
      </c>
      <c r="O542" s="378">
        <v>1</v>
      </c>
      <c r="P542" s="384">
        <v>0.85</v>
      </c>
      <c r="Q542" s="384">
        <v>0.85</v>
      </c>
      <c r="R542" s="379">
        <v>80</v>
      </c>
      <c r="S542" s="384">
        <v>0.85</v>
      </c>
      <c r="T542" s="379">
        <v>67258.92</v>
      </c>
      <c r="U542" s="379">
        <v>0</v>
      </c>
      <c r="V542" s="379">
        <v>23721.62</v>
      </c>
      <c r="W542" s="379">
        <v>69517.759999999995</v>
      </c>
      <c r="X542" s="379">
        <v>24742.42</v>
      </c>
      <c r="Y542" s="379">
        <v>69517.759999999995</v>
      </c>
      <c r="Z542" s="379">
        <v>24408.75</v>
      </c>
      <c r="AA542" s="375" t="s">
        <v>1913</v>
      </c>
      <c r="AB542" s="375" t="s">
        <v>1914</v>
      </c>
      <c r="AC542" s="375" t="s">
        <v>1706</v>
      </c>
      <c r="AD542" s="375" t="s">
        <v>214</v>
      </c>
      <c r="AE542" s="375" t="s">
        <v>1606</v>
      </c>
      <c r="AF542" s="375" t="s">
        <v>305</v>
      </c>
      <c r="AG542" s="375" t="s">
        <v>183</v>
      </c>
      <c r="AH542" s="380">
        <v>39.32</v>
      </c>
      <c r="AI542" s="380">
        <v>70313.7</v>
      </c>
      <c r="AJ542" s="375" t="s">
        <v>184</v>
      </c>
      <c r="AK542" s="375" t="s">
        <v>185</v>
      </c>
      <c r="AL542" s="375" t="s">
        <v>173</v>
      </c>
      <c r="AM542" s="375" t="s">
        <v>186</v>
      </c>
      <c r="AN542" s="375" t="s">
        <v>68</v>
      </c>
      <c r="AO542" s="378">
        <v>80</v>
      </c>
      <c r="AP542" s="384">
        <v>1</v>
      </c>
      <c r="AQ542" s="384">
        <v>0.85</v>
      </c>
      <c r="AR542" s="383" t="s">
        <v>187</v>
      </c>
      <c r="AS542" s="386">
        <f t="shared" si="379"/>
        <v>0.85</v>
      </c>
      <c r="AT542">
        <f t="shared" si="380"/>
        <v>1</v>
      </c>
      <c r="AU542" s="386">
        <f>IF(AT542=0,"",IF(AND(AT542=1,M542="F",SUMIF(C2:C557,C542,AS2:AS557)&lt;=1),SUMIF(C2:C557,C542,AS2:AS557),IF(AND(AT542=1,M542="F",SUMIF(C2:C557,C542,AS2:AS557)&gt;1),1,"")))</f>
        <v>1</v>
      </c>
      <c r="AV542" s="386" t="str">
        <f>IF(AT542=0,"",IF(AND(AT542=3,M542="F",SUMIF(C2:C557,C542,AS2:AS557)&lt;=1),SUMIF(C2:C557,C542,AS2:AS557),IF(AND(AT542=3,M542="F",SUMIF(C2:C557,C542,AS2:AS557)&gt;1),1,"")))</f>
        <v/>
      </c>
      <c r="AW542" s="386">
        <f>SUMIF(C2:C557,C542,O2:O557)</f>
        <v>2</v>
      </c>
      <c r="AX542" s="386">
        <f>IF(AND(M542="F",AS542&lt;&gt;0),SUMIF(C2:C557,C542,W2:W557),0)</f>
        <v>81785.599999999991</v>
      </c>
      <c r="AY542" s="386">
        <f t="shared" si="381"/>
        <v>69517.759999999995</v>
      </c>
      <c r="AZ542" s="386" t="str">
        <f t="shared" si="382"/>
        <v/>
      </c>
      <c r="BA542" s="386">
        <f t="shared" si="383"/>
        <v>0</v>
      </c>
      <c r="BB542" s="386">
        <f t="shared" si="352"/>
        <v>9902.5</v>
      </c>
      <c r="BC542" s="386">
        <f t="shared" si="353"/>
        <v>0</v>
      </c>
      <c r="BD542" s="386">
        <f t="shared" si="354"/>
        <v>4310.1011199999994</v>
      </c>
      <c r="BE542" s="386">
        <f t="shared" si="355"/>
        <v>1008.00752</v>
      </c>
      <c r="BF542" s="386">
        <f t="shared" si="356"/>
        <v>8300.4205440000005</v>
      </c>
      <c r="BG542" s="386">
        <f t="shared" si="357"/>
        <v>501.22304959999997</v>
      </c>
      <c r="BH542" s="386">
        <f t="shared" si="358"/>
        <v>340.63702399999994</v>
      </c>
      <c r="BI542" s="386">
        <f t="shared" si="359"/>
        <v>212.72434559999996</v>
      </c>
      <c r="BJ542" s="386">
        <f t="shared" si="360"/>
        <v>166.84262399999997</v>
      </c>
      <c r="BK542" s="386">
        <f t="shared" si="361"/>
        <v>0</v>
      </c>
      <c r="BL542" s="386">
        <f t="shared" si="384"/>
        <v>14839.956227199998</v>
      </c>
      <c r="BM542" s="386">
        <f t="shared" si="385"/>
        <v>0</v>
      </c>
      <c r="BN542" s="386">
        <f t="shared" si="362"/>
        <v>9902.5</v>
      </c>
      <c r="BO542" s="386">
        <f t="shared" si="363"/>
        <v>0</v>
      </c>
      <c r="BP542" s="386">
        <f t="shared" si="364"/>
        <v>4310.1011199999994</v>
      </c>
      <c r="BQ542" s="386">
        <f t="shared" si="365"/>
        <v>1008.00752</v>
      </c>
      <c r="BR542" s="386">
        <f t="shared" si="366"/>
        <v>8300.4205440000005</v>
      </c>
      <c r="BS542" s="386">
        <f t="shared" si="367"/>
        <v>501.22304959999997</v>
      </c>
      <c r="BT542" s="386">
        <f t="shared" si="368"/>
        <v>0</v>
      </c>
      <c r="BU542" s="386">
        <f t="shared" si="369"/>
        <v>212.72434559999996</v>
      </c>
      <c r="BV542" s="386">
        <f t="shared" si="370"/>
        <v>173.7944</v>
      </c>
      <c r="BW542" s="386">
        <f t="shared" si="371"/>
        <v>0</v>
      </c>
      <c r="BX542" s="386">
        <f t="shared" si="386"/>
        <v>14506.270979199999</v>
      </c>
      <c r="BY542" s="386">
        <f t="shared" si="387"/>
        <v>0</v>
      </c>
      <c r="BZ542" s="386">
        <f t="shared" si="388"/>
        <v>0</v>
      </c>
      <c r="CA542" s="386">
        <f t="shared" si="389"/>
        <v>0</v>
      </c>
      <c r="CB542" s="386">
        <f t="shared" si="390"/>
        <v>0</v>
      </c>
      <c r="CC542" s="386">
        <f t="shared" si="372"/>
        <v>0</v>
      </c>
      <c r="CD542" s="386">
        <f t="shared" si="373"/>
        <v>0</v>
      </c>
      <c r="CE542" s="386">
        <f t="shared" si="374"/>
        <v>0</v>
      </c>
      <c r="CF542" s="386">
        <f t="shared" si="375"/>
        <v>-340.63702399999994</v>
      </c>
      <c r="CG542" s="386">
        <f t="shared" si="376"/>
        <v>0</v>
      </c>
      <c r="CH542" s="386">
        <f t="shared" si="377"/>
        <v>6.9517760000000175</v>
      </c>
      <c r="CI542" s="386">
        <f t="shared" si="378"/>
        <v>0</v>
      </c>
      <c r="CJ542" s="386">
        <f t="shared" si="391"/>
        <v>-333.68524799999994</v>
      </c>
      <c r="CK542" s="386" t="str">
        <f t="shared" si="392"/>
        <v/>
      </c>
      <c r="CL542" s="386" t="str">
        <f t="shared" si="393"/>
        <v/>
      </c>
      <c r="CM542" s="386" t="str">
        <f t="shared" si="394"/>
        <v/>
      </c>
      <c r="CN542" s="386" t="str">
        <f t="shared" si="395"/>
        <v>0001-00</v>
      </c>
    </row>
    <row r="543" spans="1:92" ht="15.75" thickBot="1" x14ac:dyDescent="0.3">
      <c r="A543" s="375" t="s">
        <v>161</v>
      </c>
      <c r="B543" s="375" t="s">
        <v>162</v>
      </c>
      <c r="C543" s="375" t="s">
        <v>1915</v>
      </c>
      <c r="D543" s="375" t="s">
        <v>1598</v>
      </c>
      <c r="E543" s="375" t="s">
        <v>165</v>
      </c>
      <c r="F543" s="376" t="s">
        <v>166</v>
      </c>
      <c r="G543" s="375" t="s">
        <v>1599</v>
      </c>
      <c r="H543" s="377"/>
      <c r="I543" s="377"/>
      <c r="J543" s="375" t="s">
        <v>168</v>
      </c>
      <c r="K543" s="375" t="s">
        <v>1600</v>
      </c>
      <c r="L543" s="375" t="s">
        <v>233</v>
      </c>
      <c r="M543" s="375" t="s">
        <v>171</v>
      </c>
      <c r="N543" s="375" t="s">
        <v>199</v>
      </c>
      <c r="O543" s="378">
        <v>0</v>
      </c>
      <c r="P543" s="384">
        <v>1</v>
      </c>
      <c r="Q543" s="384">
        <v>1</v>
      </c>
      <c r="R543" s="379">
        <v>80</v>
      </c>
      <c r="S543" s="384">
        <v>1</v>
      </c>
      <c r="T543" s="379">
        <v>30400</v>
      </c>
      <c r="U543" s="379">
        <v>0</v>
      </c>
      <c r="V543" s="379">
        <v>14787.26</v>
      </c>
      <c r="W543" s="379">
        <v>42328</v>
      </c>
      <c r="X543" s="379">
        <v>18539.66</v>
      </c>
      <c r="Y543" s="379">
        <v>42328</v>
      </c>
      <c r="Z543" s="379">
        <v>18328.02</v>
      </c>
      <c r="AA543" s="377"/>
      <c r="AB543" s="375" t="s">
        <v>45</v>
      </c>
      <c r="AC543" s="375" t="s">
        <v>45</v>
      </c>
      <c r="AD543" s="377"/>
      <c r="AE543" s="377"/>
      <c r="AF543" s="377"/>
      <c r="AG543" s="377"/>
      <c r="AH543" s="378">
        <v>0</v>
      </c>
      <c r="AI543" s="378">
        <v>0</v>
      </c>
      <c r="AJ543" s="377"/>
      <c r="AK543" s="377"/>
      <c r="AL543" s="375" t="s">
        <v>173</v>
      </c>
      <c r="AM543" s="377"/>
      <c r="AN543" s="377"/>
      <c r="AO543" s="378">
        <v>0</v>
      </c>
      <c r="AP543" s="384">
        <v>0</v>
      </c>
      <c r="AQ543" s="384">
        <v>0</v>
      </c>
      <c r="AR543" s="382"/>
      <c r="AS543" s="386">
        <f t="shared" si="379"/>
        <v>0</v>
      </c>
      <c r="AT543">
        <f t="shared" si="380"/>
        <v>0</v>
      </c>
      <c r="AU543" s="386" t="str">
        <f>IF(AT543=0,"",IF(AND(AT543=1,M543="F",SUMIF(C2:C557,C543,AS2:AS557)&lt;=1),SUMIF(C2:C557,C543,AS2:AS557),IF(AND(AT543=1,M543="F",SUMIF(C2:C557,C543,AS2:AS557)&gt;1),1,"")))</f>
        <v/>
      </c>
      <c r="AV543" s="386" t="str">
        <f>IF(AT543=0,"",IF(AND(AT543=3,M543="F",SUMIF(C2:C557,C543,AS2:AS557)&lt;=1),SUMIF(C2:C557,C543,AS2:AS557),IF(AND(AT543=3,M543="F",SUMIF(C2:C557,C543,AS2:AS557)&gt;1),1,"")))</f>
        <v/>
      </c>
      <c r="AW543" s="386">
        <f>SUMIF(C2:C557,C543,O2:O557)</f>
        <v>0</v>
      </c>
      <c r="AX543" s="386">
        <f>IF(AND(M543="F",AS543&lt;&gt;0),SUMIF(C2:C557,C543,W2:W557),0)</f>
        <v>0</v>
      </c>
      <c r="AY543" s="386" t="str">
        <f t="shared" si="381"/>
        <v/>
      </c>
      <c r="AZ543" s="386" t="str">
        <f t="shared" si="382"/>
        <v/>
      </c>
      <c r="BA543" s="386">
        <f t="shared" si="383"/>
        <v>0</v>
      </c>
      <c r="BB543" s="386">
        <f t="shared" si="352"/>
        <v>0</v>
      </c>
      <c r="BC543" s="386">
        <f t="shared" si="353"/>
        <v>0</v>
      </c>
      <c r="BD543" s="386">
        <f t="shared" si="354"/>
        <v>0</v>
      </c>
      <c r="BE543" s="386">
        <f t="shared" si="355"/>
        <v>0</v>
      </c>
      <c r="BF543" s="386">
        <f t="shared" si="356"/>
        <v>0</v>
      </c>
      <c r="BG543" s="386">
        <f t="shared" si="357"/>
        <v>0</v>
      </c>
      <c r="BH543" s="386">
        <f t="shared" si="358"/>
        <v>0</v>
      </c>
      <c r="BI543" s="386">
        <f t="shared" si="359"/>
        <v>0</v>
      </c>
      <c r="BJ543" s="386">
        <f t="shared" si="360"/>
        <v>0</v>
      </c>
      <c r="BK543" s="386">
        <f t="shared" si="361"/>
        <v>0</v>
      </c>
      <c r="BL543" s="386">
        <f t="shared" si="384"/>
        <v>0</v>
      </c>
      <c r="BM543" s="386">
        <f t="shared" si="385"/>
        <v>0</v>
      </c>
      <c r="BN543" s="386">
        <f t="shared" si="362"/>
        <v>0</v>
      </c>
      <c r="BO543" s="386">
        <f t="shared" si="363"/>
        <v>0</v>
      </c>
      <c r="BP543" s="386">
        <f t="shared" si="364"/>
        <v>0</v>
      </c>
      <c r="BQ543" s="386">
        <f t="shared" si="365"/>
        <v>0</v>
      </c>
      <c r="BR543" s="386">
        <f t="shared" si="366"/>
        <v>0</v>
      </c>
      <c r="BS543" s="386">
        <f t="shared" si="367"/>
        <v>0</v>
      </c>
      <c r="BT543" s="386">
        <f t="shared" si="368"/>
        <v>0</v>
      </c>
      <c r="BU543" s="386">
        <f t="shared" si="369"/>
        <v>0</v>
      </c>
      <c r="BV543" s="386">
        <f t="shared" si="370"/>
        <v>0</v>
      </c>
      <c r="BW543" s="386">
        <f t="shared" si="371"/>
        <v>0</v>
      </c>
      <c r="BX543" s="386">
        <f t="shared" si="386"/>
        <v>0</v>
      </c>
      <c r="BY543" s="386">
        <f t="shared" si="387"/>
        <v>0</v>
      </c>
      <c r="BZ543" s="386">
        <f t="shared" si="388"/>
        <v>0</v>
      </c>
      <c r="CA543" s="386">
        <f t="shared" si="389"/>
        <v>0</v>
      </c>
      <c r="CB543" s="386">
        <f t="shared" si="390"/>
        <v>0</v>
      </c>
      <c r="CC543" s="386">
        <f t="shared" si="372"/>
        <v>0</v>
      </c>
      <c r="CD543" s="386">
        <f t="shared" si="373"/>
        <v>0</v>
      </c>
      <c r="CE543" s="386">
        <f t="shared" si="374"/>
        <v>0</v>
      </c>
      <c r="CF543" s="386">
        <f t="shared" si="375"/>
        <v>0</v>
      </c>
      <c r="CG543" s="386">
        <f t="shared" si="376"/>
        <v>0</v>
      </c>
      <c r="CH543" s="386">
        <f t="shared" si="377"/>
        <v>0</v>
      </c>
      <c r="CI543" s="386">
        <f t="shared" si="378"/>
        <v>0</v>
      </c>
      <c r="CJ543" s="386">
        <f t="shared" si="391"/>
        <v>0</v>
      </c>
      <c r="CK543" s="386" t="str">
        <f t="shared" si="392"/>
        <v/>
      </c>
      <c r="CL543" s="386" t="str">
        <f t="shared" si="393"/>
        <v/>
      </c>
      <c r="CM543" s="386" t="str">
        <f t="shared" si="394"/>
        <v/>
      </c>
      <c r="CN543" s="386" t="str">
        <f t="shared" si="395"/>
        <v>0001-00</v>
      </c>
    </row>
    <row r="544" spans="1:92" ht="15.75" thickBot="1" x14ac:dyDescent="0.3">
      <c r="A544" s="375" t="s">
        <v>161</v>
      </c>
      <c r="B544" s="375" t="s">
        <v>162</v>
      </c>
      <c r="C544" s="375" t="s">
        <v>1916</v>
      </c>
      <c r="D544" s="375" t="s">
        <v>1629</v>
      </c>
      <c r="E544" s="375" t="s">
        <v>165</v>
      </c>
      <c r="F544" s="376" t="s">
        <v>166</v>
      </c>
      <c r="G544" s="375" t="s">
        <v>1599</v>
      </c>
      <c r="H544" s="377"/>
      <c r="I544" s="377"/>
      <c r="J544" s="375" t="s">
        <v>168</v>
      </c>
      <c r="K544" s="375" t="s">
        <v>1630</v>
      </c>
      <c r="L544" s="375" t="s">
        <v>198</v>
      </c>
      <c r="M544" s="375" t="s">
        <v>177</v>
      </c>
      <c r="N544" s="375" t="s">
        <v>199</v>
      </c>
      <c r="O544" s="378">
        <v>1</v>
      </c>
      <c r="P544" s="384">
        <v>1</v>
      </c>
      <c r="Q544" s="384">
        <v>1</v>
      </c>
      <c r="R544" s="379">
        <v>80</v>
      </c>
      <c r="S544" s="384">
        <v>1</v>
      </c>
      <c r="T544" s="379">
        <v>52896.02</v>
      </c>
      <c r="U544" s="379">
        <v>0</v>
      </c>
      <c r="V544" s="379">
        <v>22365.05</v>
      </c>
      <c r="W544" s="379">
        <v>54849.599999999999</v>
      </c>
      <c r="X544" s="379">
        <v>23358.7</v>
      </c>
      <c r="Y544" s="379">
        <v>54849.599999999999</v>
      </c>
      <c r="Z544" s="379">
        <v>23095.43</v>
      </c>
      <c r="AA544" s="375" t="s">
        <v>1917</v>
      </c>
      <c r="AB544" s="375" t="s">
        <v>1918</v>
      </c>
      <c r="AC544" s="375" t="s">
        <v>1919</v>
      </c>
      <c r="AD544" s="375" t="s">
        <v>1920</v>
      </c>
      <c r="AE544" s="375" t="s">
        <v>1630</v>
      </c>
      <c r="AF544" s="375" t="s">
        <v>245</v>
      </c>
      <c r="AG544" s="375" t="s">
        <v>183</v>
      </c>
      <c r="AH544" s="380">
        <v>26.37</v>
      </c>
      <c r="AI544" s="380">
        <v>46803.9</v>
      </c>
      <c r="AJ544" s="375" t="s">
        <v>184</v>
      </c>
      <c r="AK544" s="375" t="s">
        <v>185</v>
      </c>
      <c r="AL544" s="375" t="s">
        <v>173</v>
      </c>
      <c r="AM544" s="375" t="s">
        <v>186</v>
      </c>
      <c r="AN544" s="375" t="s">
        <v>68</v>
      </c>
      <c r="AO544" s="378">
        <v>80</v>
      </c>
      <c r="AP544" s="384">
        <v>1</v>
      </c>
      <c r="AQ544" s="384">
        <v>1</v>
      </c>
      <c r="AR544" s="383" t="s">
        <v>187</v>
      </c>
      <c r="AS544" s="386">
        <f t="shared" si="379"/>
        <v>1</v>
      </c>
      <c r="AT544">
        <f t="shared" si="380"/>
        <v>1</v>
      </c>
      <c r="AU544" s="386">
        <f>IF(AT544=0,"",IF(AND(AT544=1,M544="F",SUMIF(C2:C557,C544,AS2:AS557)&lt;=1),SUMIF(C2:C557,C544,AS2:AS557),IF(AND(AT544=1,M544="F",SUMIF(C2:C557,C544,AS2:AS557)&gt;1),1,"")))</f>
        <v>1</v>
      </c>
      <c r="AV544" s="386" t="str">
        <f>IF(AT544=0,"",IF(AND(AT544=3,M544="F",SUMIF(C2:C557,C544,AS2:AS557)&lt;=1),SUMIF(C2:C557,C544,AS2:AS557),IF(AND(AT544=3,M544="F",SUMIF(C2:C557,C544,AS2:AS557)&gt;1),1,"")))</f>
        <v/>
      </c>
      <c r="AW544" s="386">
        <f>SUMIF(C2:C557,C544,O2:O557)</f>
        <v>1</v>
      </c>
      <c r="AX544" s="386">
        <f>IF(AND(M544="F",AS544&lt;&gt;0),SUMIF(C2:C557,C544,W2:W557),0)</f>
        <v>54849.599999999999</v>
      </c>
      <c r="AY544" s="386">
        <f t="shared" si="381"/>
        <v>54849.599999999999</v>
      </c>
      <c r="AZ544" s="386" t="str">
        <f t="shared" si="382"/>
        <v/>
      </c>
      <c r="BA544" s="386">
        <f t="shared" si="383"/>
        <v>0</v>
      </c>
      <c r="BB544" s="386">
        <f t="shared" si="352"/>
        <v>11650</v>
      </c>
      <c r="BC544" s="386">
        <f t="shared" si="353"/>
        <v>0</v>
      </c>
      <c r="BD544" s="386">
        <f t="shared" si="354"/>
        <v>3400.6751999999997</v>
      </c>
      <c r="BE544" s="386">
        <f t="shared" si="355"/>
        <v>795.31920000000002</v>
      </c>
      <c r="BF544" s="386">
        <f t="shared" si="356"/>
        <v>6549.0422399999998</v>
      </c>
      <c r="BG544" s="386">
        <f t="shared" si="357"/>
        <v>395.46561600000001</v>
      </c>
      <c r="BH544" s="386">
        <f t="shared" si="358"/>
        <v>268.76303999999999</v>
      </c>
      <c r="BI544" s="386">
        <f t="shared" si="359"/>
        <v>167.83977599999997</v>
      </c>
      <c r="BJ544" s="386">
        <f t="shared" si="360"/>
        <v>131.63903999999999</v>
      </c>
      <c r="BK544" s="386">
        <f t="shared" si="361"/>
        <v>0</v>
      </c>
      <c r="BL544" s="386">
        <f t="shared" si="384"/>
        <v>11708.744111999998</v>
      </c>
      <c r="BM544" s="386">
        <f t="shared" si="385"/>
        <v>0</v>
      </c>
      <c r="BN544" s="386">
        <f t="shared" si="362"/>
        <v>11650</v>
      </c>
      <c r="BO544" s="386">
        <f t="shared" si="363"/>
        <v>0</v>
      </c>
      <c r="BP544" s="386">
        <f t="shared" si="364"/>
        <v>3400.6751999999997</v>
      </c>
      <c r="BQ544" s="386">
        <f t="shared" si="365"/>
        <v>795.31920000000002</v>
      </c>
      <c r="BR544" s="386">
        <f t="shared" si="366"/>
        <v>6549.0422399999998</v>
      </c>
      <c r="BS544" s="386">
        <f t="shared" si="367"/>
        <v>395.46561600000001</v>
      </c>
      <c r="BT544" s="386">
        <f t="shared" si="368"/>
        <v>0</v>
      </c>
      <c r="BU544" s="386">
        <f t="shared" si="369"/>
        <v>167.83977599999997</v>
      </c>
      <c r="BV544" s="386">
        <f t="shared" si="370"/>
        <v>137.124</v>
      </c>
      <c r="BW544" s="386">
        <f t="shared" si="371"/>
        <v>0</v>
      </c>
      <c r="BX544" s="386">
        <f t="shared" si="386"/>
        <v>11445.466031999998</v>
      </c>
      <c r="BY544" s="386">
        <f t="shared" si="387"/>
        <v>0</v>
      </c>
      <c r="BZ544" s="386">
        <f t="shared" si="388"/>
        <v>0</v>
      </c>
      <c r="CA544" s="386">
        <f t="shared" si="389"/>
        <v>0</v>
      </c>
      <c r="CB544" s="386">
        <f t="shared" si="390"/>
        <v>0</v>
      </c>
      <c r="CC544" s="386">
        <f t="shared" si="372"/>
        <v>0</v>
      </c>
      <c r="CD544" s="386">
        <f t="shared" si="373"/>
        <v>0</v>
      </c>
      <c r="CE544" s="386">
        <f t="shared" si="374"/>
        <v>0</v>
      </c>
      <c r="CF544" s="386">
        <f t="shared" si="375"/>
        <v>-268.76303999999999</v>
      </c>
      <c r="CG544" s="386">
        <f t="shared" si="376"/>
        <v>0</v>
      </c>
      <c r="CH544" s="386">
        <f t="shared" si="377"/>
        <v>5.4849600000000143</v>
      </c>
      <c r="CI544" s="386">
        <f t="shared" si="378"/>
        <v>0</v>
      </c>
      <c r="CJ544" s="386">
        <f t="shared" si="391"/>
        <v>-263.27807999999999</v>
      </c>
      <c r="CK544" s="386" t="str">
        <f t="shared" si="392"/>
        <v/>
      </c>
      <c r="CL544" s="386" t="str">
        <f t="shared" si="393"/>
        <v/>
      </c>
      <c r="CM544" s="386" t="str">
        <f t="shared" si="394"/>
        <v/>
      </c>
      <c r="CN544" s="386" t="str">
        <f t="shared" si="395"/>
        <v>0001-00</v>
      </c>
    </row>
    <row r="545" spans="1:92" ht="15.75" thickBot="1" x14ac:dyDescent="0.3">
      <c r="A545" s="375" t="s">
        <v>161</v>
      </c>
      <c r="B545" s="375" t="s">
        <v>162</v>
      </c>
      <c r="C545" s="375" t="s">
        <v>1921</v>
      </c>
      <c r="D545" s="375" t="s">
        <v>1598</v>
      </c>
      <c r="E545" s="375" t="s">
        <v>165</v>
      </c>
      <c r="F545" s="376" t="s">
        <v>166</v>
      </c>
      <c r="G545" s="375" t="s">
        <v>1599</v>
      </c>
      <c r="H545" s="377"/>
      <c r="I545" s="377"/>
      <c r="J545" s="375" t="s">
        <v>168</v>
      </c>
      <c r="K545" s="375" t="s">
        <v>1600</v>
      </c>
      <c r="L545" s="375" t="s">
        <v>233</v>
      </c>
      <c r="M545" s="375" t="s">
        <v>177</v>
      </c>
      <c r="N545" s="375" t="s">
        <v>199</v>
      </c>
      <c r="O545" s="378">
        <v>1</v>
      </c>
      <c r="P545" s="384">
        <v>1</v>
      </c>
      <c r="Q545" s="384">
        <v>1</v>
      </c>
      <c r="R545" s="379">
        <v>80</v>
      </c>
      <c r="S545" s="384">
        <v>1</v>
      </c>
      <c r="T545" s="379">
        <v>12311.67</v>
      </c>
      <c r="U545" s="379">
        <v>0</v>
      </c>
      <c r="V545" s="379">
        <v>5914.15</v>
      </c>
      <c r="W545" s="379">
        <v>40081.599999999999</v>
      </c>
      <c r="X545" s="379">
        <v>20206.169999999998</v>
      </c>
      <c r="Y545" s="379">
        <v>40081.599999999999</v>
      </c>
      <c r="Z545" s="379">
        <v>20013.79</v>
      </c>
      <c r="AA545" s="375" t="s">
        <v>1922</v>
      </c>
      <c r="AB545" s="375" t="s">
        <v>402</v>
      </c>
      <c r="AC545" s="375" t="s">
        <v>1923</v>
      </c>
      <c r="AD545" s="375" t="s">
        <v>194</v>
      </c>
      <c r="AE545" s="375" t="s">
        <v>1600</v>
      </c>
      <c r="AF545" s="375" t="s">
        <v>237</v>
      </c>
      <c r="AG545" s="375" t="s">
        <v>183</v>
      </c>
      <c r="AH545" s="380">
        <v>19.27</v>
      </c>
      <c r="AI545" s="380">
        <v>11883.4</v>
      </c>
      <c r="AJ545" s="375" t="s">
        <v>184</v>
      </c>
      <c r="AK545" s="375" t="s">
        <v>185</v>
      </c>
      <c r="AL545" s="375" t="s">
        <v>173</v>
      </c>
      <c r="AM545" s="375" t="s">
        <v>186</v>
      </c>
      <c r="AN545" s="375" t="s">
        <v>68</v>
      </c>
      <c r="AO545" s="378">
        <v>80</v>
      </c>
      <c r="AP545" s="384">
        <v>1</v>
      </c>
      <c r="AQ545" s="384">
        <v>1</v>
      </c>
      <c r="AR545" s="383" t="s">
        <v>187</v>
      </c>
      <c r="AS545" s="386">
        <f t="shared" si="379"/>
        <v>1</v>
      </c>
      <c r="AT545">
        <f t="shared" si="380"/>
        <v>1</v>
      </c>
      <c r="AU545" s="386">
        <f>IF(AT545=0,"",IF(AND(AT545=1,M545="F",SUMIF(C2:C557,C545,AS2:AS557)&lt;=1),SUMIF(C2:C557,C545,AS2:AS557),IF(AND(AT545=1,M545="F",SUMIF(C2:C557,C545,AS2:AS557)&gt;1),1,"")))</f>
        <v>1</v>
      </c>
      <c r="AV545" s="386" t="str">
        <f>IF(AT545=0,"",IF(AND(AT545=3,M545="F",SUMIF(C2:C557,C545,AS2:AS557)&lt;=1),SUMIF(C2:C557,C545,AS2:AS557),IF(AND(AT545=3,M545="F",SUMIF(C2:C557,C545,AS2:AS557)&gt;1),1,"")))</f>
        <v/>
      </c>
      <c r="AW545" s="386">
        <f>SUMIF(C2:C557,C545,O2:O557)</f>
        <v>1</v>
      </c>
      <c r="AX545" s="386">
        <f>IF(AND(M545="F",AS545&lt;&gt;0),SUMIF(C2:C557,C545,W2:W557),0)</f>
        <v>40081.599999999999</v>
      </c>
      <c r="AY545" s="386">
        <f t="shared" si="381"/>
        <v>40081.599999999999</v>
      </c>
      <c r="AZ545" s="386" t="str">
        <f t="shared" si="382"/>
        <v/>
      </c>
      <c r="BA545" s="386">
        <f t="shared" si="383"/>
        <v>0</v>
      </c>
      <c r="BB545" s="386">
        <f t="shared" si="352"/>
        <v>11650</v>
      </c>
      <c r="BC545" s="386">
        <f t="shared" si="353"/>
        <v>0</v>
      </c>
      <c r="BD545" s="386">
        <f t="shared" si="354"/>
        <v>2485.0591999999997</v>
      </c>
      <c r="BE545" s="386">
        <f t="shared" si="355"/>
        <v>581.18320000000006</v>
      </c>
      <c r="BF545" s="386">
        <f t="shared" si="356"/>
        <v>4785.7430400000003</v>
      </c>
      <c r="BG545" s="386">
        <f t="shared" si="357"/>
        <v>288.988336</v>
      </c>
      <c r="BH545" s="386">
        <f t="shared" si="358"/>
        <v>196.39983999999998</v>
      </c>
      <c r="BI545" s="386">
        <f t="shared" si="359"/>
        <v>122.64969599999999</v>
      </c>
      <c r="BJ545" s="386">
        <f t="shared" si="360"/>
        <v>96.19583999999999</v>
      </c>
      <c r="BK545" s="386">
        <f t="shared" si="361"/>
        <v>0</v>
      </c>
      <c r="BL545" s="386">
        <f t="shared" si="384"/>
        <v>8556.2191520000015</v>
      </c>
      <c r="BM545" s="386">
        <f t="shared" si="385"/>
        <v>0</v>
      </c>
      <c r="BN545" s="386">
        <f t="shared" si="362"/>
        <v>11650</v>
      </c>
      <c r="BO545" s="386">
        <f t="shared" si="363"/>
        <v>0</v>
      </c>
      <c r="BP545" s="386">
        <f t="shared" si="364"/>
        <v>2485.0591999999997</v>
      </c>
      <c r="BQ545" s="386">
        <f t="shared" si="365"/>
        <v>581.18320000000006</v>
      </c>
      <c r="BR545" s="386">
        <f t="shared" si="366"/>
        <v>4785.7430400000003</v>
      </c>
      <c r="BS545" s="386">
        <f t="shared" si="367"/>
        <v>288.988336</v>
      </c>
      <c r="BT545" s="386">
        <f t="shared" si="368"/>
        <v>0</v>
      </c>
      <c r="BU545" s="386">
        <f t="shared" si="369"/>
        <v>122.64969599999999</v>
      </c>
      <c r="BV545" s="386">
        <f t="shared" si="370"/>
        <v>100.20399999999999</v>
      </c>
      <c r="BW545" s="386">
        <f t="shared" si="371"/>
        <v>0</v>
      </c>
      <c r="BX545" s="386">
        <f t="shared" si="386"/>
        <v>8363.8274720000009</v>
      </c>
      <c r="BY545" s="386">
        <f t="shared" si="387"/>
        <v>0</v>
      </c>
      <c r="BZ545" s="386">
        <f t="shared" si="388"/>
        <v>0</v>
      </c>
      <c r="CA545" s="386">
        <f t="shared" si="389"/>
        <v>0</v>
      </c>
      <c r="CB545" s="386">
        <f t="shared" si="390"/>
        <v>0</v>
      </c>
      <c r="CC545" s="386">
        <f t="shared" si="372"/>
        <v>0</v>
      </c>
      <c r="CD545" s="386">
        <f t="shared" si="373"/>
        <v>0</v>
      </c>
      <c r="CE545" s="386">
        <f t="shared" si="374"/>
        <v>0</v>
      </c>
      <c r="CF545" s="386">
        <f t="shared" si="375"/>
        <v>-196.39983999999998</v>
      </c>
      <c r="CG545" s="386">
        <f t="shared" si="376"/>
        <v>0</v>
      </c>
      <c r="CH545" s="386">
        <f t="shared" si="377"/>
        <v>4.0081600000000099</v>
      </c>
      <c r="CI545" s="386">
        <f t="shared" si="378"/>
        <v>0</v>
      </c>
      <c r="CJ545" s="386">
        <f t="shared" si="391"/>
        <v>-192.39167999999998</v>
      </c>
      <c r="CK545" s="386" t="str">
        <f t="shared" si="392"/>
        <v/>
      </c>
      <c r="CL545" s="386" t="str">
        <f t="shared" si="393"/>
        <v/>
      </c>
      <c r="CM545" s="386" t="str">
        <f t="shared" si="394"/>
        <v/>
      </c>
      <c r="CN545" s="386" t="str">
        <f t="shared" si="395"/>
        <v>0001-00</v>
      </c>
    </row>
    <row r="546" spans="1:92" ht="15.75" thickBot="1" x14ac:dyDescent="0.3">
      <c r="A546" s="375" t="s">
        <v>161</v>
      </c>
      <c r="B546" s="375" t="s">
        <v>162</v>
      </c>
      <c r="C546" s="375" t="s">
        <v>1924</v>
      </c>
      <c r="D546" s="375" t="s">
        <v>1598</v>
      </c>
      <c r="E546" s="375" t="s">
        <v>165</v>
      </c>
      <c r="F546" s="376" t="s">
        <v>166</v>
      </c>
      <c r="G546" s="375" t="s">
        <v>1599</v>
      </c>
      <c r="H546" s="377"/>
      <c r="I546" s="377"/>
      <c r="J546" s="375" t="s">
        <v>168</v>
      </c>
      <c r="K546" s="375" t="s">
        <v>1600</v>
      </c>
      <c r="L546" s="375" t="s">
        <v>233</v>
      </c>
      <c r="M546" s="375" t="s">
        <v>177</v>
      </c>
      <c r="N546" s="375" t="s">
        <v>262</v>
      </c>
      <c r="O546" s="378">
        <v>0</v>
      </c>
      <c r="P546" s="384">
        <v>1</v>
      </c>
      <c r="Q546" s="384">
        <v>0</v>
      </c>
      <c r="R546" s="379">
        <v>0</v>
      </c>
      <c r="S546" s="384">
        <v>0</v>
      </c>
      <c r="T546" s="379">
        <v>35703.910000000003</v>
      </c>
      <c r="U546" s="379">
        <v>0</v>
      </c>
      <c r="V546" s="379">
        <v>2902.44</v>
      </c>
      <c r="W546" s="379">
        <v>35703.910000000003</v>
      </c>
      <c r="X546" s="379">
        <v>2902.44</v>
      </c>
      <c r="Y546" s="379">
        <v>35703.910000000003</v>
      </c>
      <c r="Z546" s="379">
        <v>2902.44</v>
      </c>
      <c r="AA546" s="377"/>
      <c r="AB546" s="375" t="s">
        <v>45</v>
      </c>
      <c r="AC546" s="375" t="s">
        <v>45</v>
      </c>
      <c r="AD546" s="377"/>
      <c r="AE546" s="377"/>
      <c r="AF546" s="377"/>
      <c r="AG546" s="377"/>
      <c r="AH546" s="378">
        <v>0</v>
      </c>
      <c r="AI546" s="378">
        <v>0</v>
      </c>
      <c r="AJ546" s="377"/>
      <c r="AK546" s="377"/>
      <c r="AL546" s="375" t="s">
        <v>173</v>
      </c>
      <c r="AM546" s="377"/>
      <c r="AN546" s="377"/>
      <c r="AO546" s="378">
        <v>0</v>
      </c>
      <c r="AP546" s="384">
        <v>0</v>
      </c>
      <c r="AQ546" s="384">
        <v>0</v>
      </c>
      <c r="AR546" s="382"/>
      <c r="AS546" s="386">
        <f t="shared" si="379"/>
        <v>0</v>
      </c>
      <c r="AT546">
        <f t="shared" si="380"/>
        <v>0</v>
      </c>
      <c r="AU546" s="386" t="str">
        <f>IF(AT546=0,"",IF(AND(AT546=1,M546="F",SUMIF(C2:C557,C546,AS2:AS557)&lt;=1),SUMIF(C2:C557,C546,AS2:AS557),IF(AND(AT546=1,M546="F",SUMIF(C2:C557,C546,AS2:AS557)&gt;1),1,"")))</f>
        <v/>
      </c>
      <c r="AV546" s="386" t="str">
        <f>IF(AT546=0,"",IF(AND(AT546=3,M546="F",SUMIF(C2:C557,C546,AS2:AS557)&lt;=1),SUMIF(C2:C557,C546,AS2:AS557),IF(AND(AT546=3,M546="F",SUMIF(C2:C557,C546,AS2:AS557)&gt;1),1,"")))</f>
        <v/>
      </c>
      <c r="AW546" s="386">
        <f>SUMIF(C2:C557,C546,O2:O557)</f>
        <v>0</v>
      </c>
      <c r="AX546" s="386">
        <f>IF(AND(M546="F",AS546&lt;&gt;0),SUMIF(C2:C557,C546,W2:W557),0)</f>
        <v>0</v>
      </c>
      <c r="AY546" s="386" t="str">
        <f t="shared" si="381"/>
        <v/>
      </c>
      <c r="AZ546" s="386" t="str">
        <f t="shared" si="382"/>
        <v/>
      </c>
      <c r="BA546" s="386">
        <f t="shared" si="383"/>
        <v>0</v>
      </c>
      <c r="BB546" s="386">
        <f t="shared" si="352"/>
        <v>0</v>
      </c>
      <c r="BC546" s="386">
        <f t="shared" si="353"/>
        <v>0</v>
      </c>
      <c r="BD546" s="386">
        <f t="shared" si="354"/>
        <v>0</v>
      </c>
      <c r="BE546" s="386">
        <f t="shared" si="355"/>
        <v>0</v>
      </c>
      <c r="BF546" s="386">
        <f t="shared" si="356"/>
        <v>0</v>
      </c>
      <c r="BG546" s="386">
        <f t="shared" si="357"/>
        <v>0</v>
      </c>
      <c r="BH546" s="386">
        <f t="shared" si="358"/>
        <v>0</v>
      </c>
      <c r="BI546" s="386">
        <f t="shared" si="359"/>
        <v>0</v>
      </c>
      <c r="BJ546" s="386">
        <f t="shared" si="360"/>
        <v>0</v>
      </c>
      <c r="BK546" s="386">
        <f t="shared" si="361"/>
        <v>0</v>
      </c>
      <c r="BL546" s="386">
        <f t="shared" si="384"/>
        <v>0</v>
      </c>
      <c r="BM546" s="386">
        <f t="shared" si="385"/>
        <v>0</v>
      </c>
      <c r="BN546" s="386">
        <f t="shared" si="362"/>
        <v>0</v>
      </c>
      <c r="BO546" s="386">
        <f t="shared" si="363"/>
        <v>0</v>
      </c>
      <c r="BP546" s="386">
        <f t="shared" si="364"/>
        <v>0</v>
      </c>
      <c r="BQ546" s="386">
        <f t="shared" si="365"/>
        <v>0</v>
      </c>
      <c r="BR546" s="386">
        <f t="shared" si="366"/>
        <v>0</v>
      </c>
      <c r="BS546" s="386">
        <f t="shared" si="367"/>
        <v>0</v>
      </c>
      <c r="BT546" s="386">
        <f t="shared" si="368"/>
        <v>0</v>
      </c>
      <c r="BU546" s="386">
        <f t="shared" si="369"/>
        <v>0</v>
      </c>
      <c r="BV546" s="386">
        <f t="shared" si="370"/>
        <v>0</v>
      </c>
      <c r="BW546" s="386">
        <f t="shared" si="371"/>
        <v>0</v>
      </c>
      <c r="BX546" s="386">
        <f t="shared" si="386"/>
        <v>0</v>
      </c>
      <c r="BY546" s="386">
        <f t="shared" si="387"/>
        <v>0</v>
      </c>
      <c r="BZ546" s="386">
        <f t="shared" si="388"/>
        <v>0</v>
      </c>
      <c r="CA546" s="386">
        <f t="shared" si="389"/>
        <v>0</v>
      </c>
      <c r="CB546" s="386">
        <f t="shared" si="390"/>
        <v>0</v>
      </c>
      <c r="CC546" s="386">
        <f t="shared" si="372"/>
        <v>0</v>
      </c>
      <c r="CD546" s="386">
        <f t="shared" si="373"/>
        <v>0</v>
      </c>
      <c r="CE546" s="386">
        <f t="shared" si="374"/>
        <v>0</v>
      </c>
      <c r="CF546" s="386">
        <f t="shared" si="375"/>
        <v>0</v>
      </c>
      <c r="CG546" s="386">
        <f t="shared" si="376"/>
        <v>0</v>
      </c>
      <c r="CH546" s="386">
        <f t="shared" si="377"/>
        <v>0</v>
      </c>
      <c r="CI546" s="386">
        <f t="shared" si="378"/>
        <v>0</v>
      </c>
      <c r="CJ546" s="386">
        <f t="shared" si="391"/>
        <v>0</v>
      </c>
      <c r="CK546" s="386" t="str">
        <f t="shared" si="392"/>
        <v/>
      </c>
      <c r="CL546" s="386">
        <f t="shared" si="393"/>
        <v>35703.910000000003</v>
      </c>
      <c r="CM546" s="386">
        <f t="shared" si="394"/>
        <v>2902.44</v>
      </c>
      <c r="CN546" s="386" t="str">
        <f t="shared" si="395"/>
        <v>0001-00</v>
      </c>
    </row>
    <row r="547" spans="1:92" ht="15.75" thickBot="1" x14ac:dyDescent="0.3">
      <c r="A547" s="375" t="s">
        <v>161</v>
      </c>
      <c r="B547" s="375" t="s">
        <v>162</v>
      </c>
      <c r="C547" s="375" t="s">
        <v>1925</v>
      </c>
      <c r="D547" s="375" t="s">
        <v>1605</v>
      </c>
      <c r="E547" s="375" t="s">
        <v>165</v>
      </c>
      <c r="F547" s="376" t="s">
        <v>166</v>
      </c>
      <c r="G547" s="375" t="s">
        <v>1599</v>
      </c>
      <c r="H547" s="377"/>
      <c r="I547" s="377"/>
      <c r="J547" s="375" t="s">
        <v>218</v>
      </c>
      <c r="K547" s="375" t="s">
        <v>1606</v>
      </c>
      <c r="L547" s="375" t="s">
        <v>173</v>
      </c>
      <c r="M547" s="375" t="s">
        <v>177</v>
      </c>
      <c r="N547" s="375" t="s">
        <v>199</v>
      </c>
      <c r="O547" s="378">
        <v>1</v>
      </c>
      <c r="P547" s="384">
        <v>0.85</v>
      </c>
      <c r="Q547" s="384">
        <v>0.85</v>
      </c>
      <c r="R547" s="379">
        <v>80</v>
      </c>
      <c r="S547" s="384">
        <v>0.85</v>
      </c>
      <c r="T547" s="379">
        <v>45513.75</v>
      </c>
      <c r="U547" s="379">
        <v>0</v>
      </c>
      <c r="V547" s="379">
        <v>18319.8</v>
      </c>
      <c r="W547" s="379">
        <v>53800.24</v>
      </c>
      <c r="X547" s="379">
        <v>21387.21</v>
      </c>
      <c r="Y547" s="379">
        <v>53800.24</v>
      </c>
      <c r="Z547" s="379">
        <v>21128.97</v>
      </c>
      <c r="AA547" s="375" t="s">
        <v>1926</v>
      </c>
      <c r="AB547" s="375" t="s">
        <v>1927</v>
      </c>
      <c r="AC547" s="375" t="s">
        <v>694</v>
      </c>
      <c r="AD547" s="375" t="s">
        <v>173</v>
      </c>
      <c r="AE547" s="375" t="s">
        <v>1606</v>
      </c>
      <c r="AF547" s="375" t="s">
        <v>305</v>
      </c>
      <c r="AG547" s="375" t="s">
        <v>183</v>
      </c>
      <c r="AH547" s="380">
        <v>30.43</v>
      </c>
      <c r="AI547" s="380">
        <v>24261.8</v>
      </c>
      <c r="AJ547" s="375" t="s">
        <v>184</v>
      </c>
      <c r="AK547" s="375" t="s">
        <v>185</v>
      </c>
      <c r="AL547" s="375" t="s">
        <v>173</v>
      </c>
      <c r="AM547" s="375" t="s">
        <v>186</v>
      </c>
      <c r="AN547" s="375" t="s">
        <v>68</v>
      </c>
      <c r="AO547" s="378">
        <v>80</v>
      </c>
      <c r="AP547" s="384">
        <v>1</v>
      </c>
      <c r="AQ547" s="384">
        <v>0.85</v>
      </c>
      <c r="AR547" s="383" t="s">
        <v>187</v>
      </c>
      <c r="AS547" s="386">
        <f t="shared" si="379"/>
        <v>0.85</v>
      </c>
      <c r="AT547">
        <f t="shared" si="380"/>
        <v>1</v>
      </c>
      <c r="AU547" s="386">
        <f>IF(AT547=0,"",IF(AND(AT547=1,M547="F",SUMIF(C2:C557,C547,AS2:AS557)&lt;=1),SUMIF(C2:C557,C547,AS2:AS557),IF(AND(AT547=1,M547="F",SUMIF(C2:C557,C547,AS2:AS557)&gt;1),1,"")))</f>
        <v>1</v>
      </c>
      <c r="AV547" s="386" t="str">
        <f>IF(AT547=0,"",IF(AND(AT547=3,M547="F",SUMIF(C2:C557,C547,AS2:AS557)&lt;=1),SUMIF(C2:C557,C547,AS2:AS557),IF(AND(AT547=3,M547="F",SUMIF(C2:C557,C547,AS2:AS557)&gt;1),1,"")))</f>
        <v/>
      </c>
      <c r="AW547" s="386">
        <f>SUMIF(C2:C557,C547,O2:O557)</f>
        <v>2</v>
      </c>
      <c r="AX547" s="386">
        <f>IF(AND(M547="F",AS547&lt;&gt;0),SUMIF(C2:C557,C547,W2:W557),0)</f>
        <v>63294.399999999994</v>
      </c>
      <c r="AY547" s="386">
        <f t="shared" si="381"/>
        <v>53800.24</v>
      </c>
      <c r="AZ547" s="386" t="str">
        <f t="shared" si="382"/>
        <v/>
      </c>
      <c r="BA547" s="386">
        <f t="shared" si="383"/>
        <v>0</v>
      </c>
      <c r="BB547" s="386">
        <f t="shared" si="352"/>
        <v>9902.5</v>
      </c>
      <c r="BC547" s="386">
        <f t="shared" si="353"/>
        <v>0</v>
      </c>
      <c r="BD547" s="386">
        <f t="shared" si="354"/>
        <v>3335.6148799999996</v>
      </c>
      <c r="BE547" s="386">
        <f t="shared" si="355"/>
        <v>780.10347999999999</v>
      </c>
      <c r="BF547" s="386">
        <f t="shared" si="356"/>
        <v>6423.7486559999998</v>
      </c>
      <c r="BG547" s="386">
        <f t="shared" si="357"/>
        <v>387.89973040000001</v>
      </c>
      <c r="BH547" s="386">
        <f t="shared" si="358"/>
        <v>263.62117599999999</v>
      </c>
      <c r="BI547" s="386">
        <f t="shared" si="359"/>
        <v>164.62873439999998</v>
      </c>
      <c r="BJ547" s="386">
        <f t="shared" si="360"/>
        <v>129.12057599999997</v>
      </c>
      <c r="BK547" s="386">
        <f t="shared" si="361"/>
        <v>0</v>
      </c>
      <c r="BL547" s="386">
        <f t="shared" si="384"/>
        <v>11484.737232799998</v>
      </c>
      <c r="BM547" s="386">
        <f t="shared" si="385"/>
        <v>0</v>
      </c>
      <c r="BN547" s="386">
        <f t="shared" si="362"/>
        <v>9902.5</v>
      </c>
      <c r="BO547" s="386">
        <f t="shared" si="363"/>
        <v>0</v>
      </c>
      <c r="BP547" s="386">
        <f t="shared" si="364"/>
        <v>3335.6148799999996</v>
      </c>
      <c r="BQ547" s="386">
        <f t="shared" si="365"/>
        <v>780.10347999999999</v>
      </c>
      <c r="BR547" s="386">
        <f t="shared" si="366"/>
        <v>6423.7486559999998</v>
      </c>
      <c r="BS547" s="386">
        <f t="shared" si="367"/>
        <v>387.89973040000001</v>
      </c>
      <c r="BT547" s="386">
        <f t="shared" si="368"/>
        <v>0</v>
      </c>
      <c r="BU547" s="386">
        <f t="shared" si="369"/>
        <v>164.62873439999998</v>
      </c>
      <c r="BV547" s="386">
        <f t="shared" si="370"/>
        <v>134.50059999999999</v>
      </c>
      <c r="BW547" s="386">
        <f t="shared" si="371"/>
        <v>0</v>
      </c>
      <c r="BX547" s="386">
        <f t="shared" si="386"/>
        <v>11226.496080799998</v>
      </c>
      <c r="BY547" s="386">
        <f t="shared" si="387"/>
        <v>0</v>
      </c>
      <c r="BZ547" s="386">
        <f t="shared" si="388"/>
        <v>0</v>
      </c>
      <c r="CA547" s="386">
        <f t="shared" si="389"/>
        <v>0</v>
      </c>
      <c r="CB547" s="386">
        <f t="shared" si="390"/>
        <v>0</v>
      </c>
      <c r="CC547" s="386">
        <f t="shared" si="372"/>
        <v>0</v>
      </c>
      <c r="CD547" s="386">
        <f t="shared" si="373"/>
        <v>0</v>
      </c>
      <c r="CE547" s="386">
        <f t="shared" si="374"/>
        <v>0</v>
      </c>
      <c r="CF547" s="386">
        <f t="shared" si="375"/>
        <v>-263.62117599999999</v>
      </c>
      <c r="CG547" s="386">
        <f t="shared" si="376"/>
        <v>0</v>
      </c>
      <c r="CH547" s="386">
        <f t="shared" si="377"/>
        <v>5.3800240000000139</v>
      </c>
      <c r="CI547" s="386">
        <f t="shared" si="378"/>
        <v>0</v>
      </c>
      <c r="CJ547" s="386">
        <f t="shared" si="391"/>
        <v>-258.241152</v>
      </c>
      <c r="CK547" s="386" t="str">
        <f t="shared" si="392"/>
        <v/>
      </c>
      <c r="CL547" s="386" t="str">
        <f t="shared" si="393"/>
        <v/>
      </c>
      <c r="CM547" s="386" t="str">
        <f t="shared" si="394"/>
        <v/>
      </c>
      <c r="CN547" s="386" t="str">
        <f t="shared" si="395"/>
        <v>0001-00</v>
      </c>
    </row>
    <row r="548" spans="1:92" ht="15.75" thickBot="1" x14ac:dyDescent="0.3">
      <c r="A548" s="375" t="s">
        <v>161</v>
      </c>
      <c r="B548" s="375" t="s">
        <v>162</v>
      </c>
      <c r="C548" s="375" t="s">
        <v>1928</v>
      </c>
      <c r="D548" s="375" t="s">
        <v>1598</v>
      </c>
      <c r="E548" s="375" t="s">
        <v>165</v>
      </c>
      <c r="F548" s="376" t="s">
        <v>166</v>
      </c>
      <c r="G548" s="375" t="s">
        <v>1599</v>
      </c>
      <c r="H548" s="377"/>
      <c r="I548" s="377"/>
      <c r="J548" s="375" t="s">
        <v>168</v>
      </c>
      <c r="K548" s="375" t="s">
        <v>1600</v>
      </c>
      <c r="L548" s="375" t="s">
        <v>233</v>
      </c>
      <c r="M548" s="375" t="s">
        <v>171</v>
      </c>
      <c r="N548" s="375" t="s">
        <v>199</v>
      </c>
      <c r="O548" s="378">
        <v>0</v>
      </c>
      <c r="P548" s="384">
        <v>1</v>
      </c>
      <c r="Q548" s="384">
        <v>1</v>
      </c>
      <c r="R548" s="379">
        <v>80</v>
      </c>
      <c r="S548" s="384">
        <v>1</v>
      </c>
      <c r="T548" s="379">
        <v>30616</v>
      </c>
      <c r="U548" s="379">
        <v>0</v>
      </c>
      <c r="V548" s="379">
        <v>16019.13</v>
      </c>
      <c r="W548" s="379">
        <v>42328</v>
      </c>
      <c r="X548" s="379">
        <v>18539.66</v>
      </c>
      <c r="Y548" s="379">
        <v>42328</v>
      </c>
      <c r="Z548" s="379">
        <v>18328.02</v>
      </c>
      <c r="AA548" s="377"/>
      <c r="AB548" s="375" t="s">
        <v>45</v>
      </c>
      <c r="AC548" s="375" t="s">
        <v>45</v>
      </c>
      <c r="AD548" s="377"/>
      <c r="AE548" s="377"/>
      <c r="AF548" s="377"/>
      <c r="AG548" s="377"/>
      <c r="AH548" s="378">
        <v>0</v>
      </c>
      <c r="AI548" s="378">
        <v>0</v>
      </c>
      <c r="AJ548" s="377"/>
      <c r="AK548" s="377"/>
      <c r="AL548" s="375" t="s">
        <v>173</v>
      </c>
      <c r="AM548" s="377"/>
      <c r="AN548" s="377"/>
      <c r="AO548" s="378">
        <v>0</v>
      </c>
      <c r="AP548" s="384">
        <v>0</v>
      </c>
      <c r="AQ548" s="384">
        <v>0</v>
      </c>
      <c r="AR548" s="382"/>
      <c r="AS548" s="386">
        <f t="shared" si="379"/>
        <v>0</v>
      </c>
      <c r="AT548">
        <f t="shared" si="380"/>
        <v>0</v>
      </c>
      <c r="AU548" s="386" t="str">
        <f>IF(AT548=0,"",IF(AND(AT548=1,M548="F",SUMIF(C2:C557,C548,AS2:AS557)&lt;=1),SUMIF(C2:C557,C548,AS2:AS557),IF(AND(AT548=1,M548="F",SUMIF(C2:C557,C548,AS2:AS557)&gt;1),1,"")))</f>
        <v/>
      </c>
      <c r="AV548" s="386" t="str">
        <f>IF(AT548=0,"",IF(AND(AT548=3,M548="F",SUMIF(C2:C557,C548,AS2:AS557)&lt;=1),SUMIF(C2:C557,C548,AS2:AS557),IF(AND(AT548=3,M548="F",SUMIF(C2:C557,C548,AS2:AS557)&gt;1),1,"")))</f>
        <v/>
      </c>
      <c r="AW548" s="386">
        <f>SUMIF(C2:C557,C548,O2:O557)</f>
        <v>0</v>
      </c>
      <c r="AX548" s="386">
        <f>IF(AND(M548="F",AS548&lt;&gt;0),SUMIF(C2:C557,C548,W2:W557),0)</f>
        <v>0</v>
      </c>
      <c r="AY548" s="386" t="str">
        <f t="shared" si="381"/>
        <v/>
      </c>
      <c r="AZ548" s="386" t="str">
        <f t="shared" si="382"/>
        <v/>
      </c>
      <c r="BA548" s="386">
        <f t="shared" si="383"/>
        <v>0</v>
      </c>
      <c r="BB548" s="386">
        <f t="shared" si="352"/>
        <v>0</v>
      </c>
      <c r="BC548" s="386">
        <f t="shared" si="353"/>
        <v>0</v>
      </c>
      <c r="BD548" s="386">
        <f t="shared" si="354"/>
        <v>0</v>
      </c>
      <c r="BE548" s="386">
        <f t="shared" si="355"/>
        <v>0</v>
      </c>
      <c r="BF548" s="386">
        <f t="shared" si="356"/>
        <v>0</v>
      </c>
      <c r="BG548" s="386">
        <f t="shared" si="357"/>
        <v>0</v>
      </c>
      <c r="BH548" s="386">
        <f t="shared" si="358"/>
        <v>0</v>
      </c>
      <c r="BI548" s="386">
        <f t="shared" si="359"/>
        <v>0</v>
      </c>
      <c r="BJ548" s="386">
        <f t="shared" si="360"/>
        <v>0</v>
      </c>
      <c r="BK548" s="386">
        <f t="shared" si="361"/>
        <v>0</v>
      </c>
      <c r="BL548" s="386">
        <f t="shared" si="384"/>
        <v>0</v>
      </c>
      <c r="BM548" s="386">
        <f t="shared" si="385"/>
        <v>0</v>
      </c>
      <c r="BN548" s="386">
        <f t="shared" si="362"/>
        <v>0</v>
      </c>
      <c r="BO548" s="386">
        <f t="shared" si="363"/>
        <v>0</v>
      </c>
      <c r="BP548" s="386">
        <f t="shared" si="364"/>
        <v>0</v>
      </c>
      <c r="BQ548" s="386">
        <f t="shared" si="365"/>
        <v>0</v>
      </c>
      <c r="BR548" s="386">
        <f t="shared" si="366"/>
        <v>0</v>
      </c>
      <c r="BS548" s="386">
        <f t="shared" si="367"/>
        <v>0</v>
      </c>
      <c r="BT548" s="386">
        <f t="shared" si="368"/>
        <v>0</v>
      </c>
      <c r="BU548" s="386">
        <f t="shared" si="369"/>
        <v>0</v>
      </c>
      <c r="BV548" s="386">
        <f t="shared" si="370"/>
        <v>0</v>
      </c>
      <c r="BW548" s="386">
        <f t="shared" si="371"/>
        <v>0</v>
      </c>
      <c r="BX548" s="386">
        <f t="shared" si="386"/>
        <v>0</v>
      </c>
      <c r="BY548" s="386">
        <f t="shared" si="387"/>
        <v>0</v>
      </c>
      <c r="BZ548" s="386">
        <f t="shared" si="388"/>
        <v>0</v>
      </c>
      <c r="CA548" s="386">
        <f t="shared" si="389"/>
        <v>0</v>
      </c>
      <c r="CB548" s="386">
        <f t="shared" si="390"/>
        <v>0</v>
      </c>
      <c r="CC548" s="386">
        <f t="shared" si="372"/>
        <v>0</v>
      </c>
      <c r="CD548" s="386">
        <f t="shared" si="373"/>
        <v>0</v>
      </c>
      <c r="CE548" s="386">
        <f t="shared" si="374"/>
        <v>0</v>
      </c>
      <c r="CF548" s="386">
        <f t="shared" si="375"/>
        <v>0</v>
      </c>
      <c r="CG548" s="386">
        <f t="shared" si="376"/>
        <v>0</v>
      </c>
      <c r="CH548" s="386">
        <f t="shared" si="377"/>
        <v>0</v>
      </c>
      <c r="CI548" s="386">
        <f t="shared" si="378"/>
        <v>0</v>
      </c>
      <c r="CJ548" s="386">
        <f t="shared" si="391"/>
        <v>0</v>
      </c>
      <c r="CK548" s="386" t="str">
        <f t="shared" si="392"/>
        <v/>
      </c>
      <c r="CL548" s="386" t="str">
        <f t="shared" si="393"/>
        <v/>
      </c>
      <c r="CM548" s="386" t="str">
        <f t="shared" si="394"/>
        <v/>
      </c>
      <c r="CN548" s="386" t="str">
        <f t="shared" si="395"/>
        <v>0001-00</v>
      </c>
    </row>
    <row r="549" spans="1:92" ht="15.75" thickBot="1" x14ac:dyDescent="0.3">
      <c r="A549" s="375" t="s">
        <v>161</v>
      </c>
      <c r="B549" s="375" t="s">
        <v>162</v>
      </c>
      <c r="C549" s="375" t="s">
        <v>1929</v>
      </c>
      <c r="D549" s="375" t="s">
        <v>1321</v>
      </c>
      <c r="E549" s="375" t="s">
        <v>165</v>
      </c>
      <c r="F549" s="376" t="s">
        <v>166</v>
      </c>
      <c r="G549" s="375" t="s">
        <v>1599</v>
      </c>
      <c r="H549" s="377"/>
      <c r="I549" s="377"/>
      <c r="J549" s="375" t="s">
        <v>168</v>
      </c>
      <c r="K549" s="375" t="s">
        <v>1322</v>
      </c>
      <c r="L549" s="375" t="s">
        <v>170</v>
      </c>
      <c r="M549" s="375" t="s">
        <v>177</v>
      </c>
      <c r="N549" s="375" t="s">
        <v>199</v>
      </c>
      <c r="O549" s="378">
        <v>1</v>
      </c>
      <c r="P549" s="384">
        <v>1</v>
      </c>
      <c r="Q549" s="384">
        <v>1</v>
      </c>
      <c r="R549" s="379">
        <v>80</v>
      </c>
      <c r="S549" s="384">
        <v>1</v>
      </c>
      <c r="T549" s="379">
        <v>54868.89</v>
      </c>
      <c r="U549" s="379">
        <v>0</v>
      </c>
      <c r="V549" s="379">
        <v>23008.29</v>
      </c>
      <c r="W549" s="379">
        <v>61609.599999999999</v>
      </c>
      <c r="X549" s="379">
        <v>24801.759999999998</v>
      </c>
      <c r="Y549" s="379">
        <v>61609.599999999999</v>
      </c>
      <c r="Z549" s="379">
        <v>24506.04</v>
      </c>
      <c r="AA549" s="375" t="s">
        <v>1930</v>
      </c>
      <c r="AB549" s="375" t="s">
        <v>1663</v>
      </c>
      <c r="AC549" s="375" t="s">
        <v>1288</v>
      </c>
      <c r="AD549" s="375" t="s">
        <v>228</v>
      </c>
      <c r="AE549" s="375" t="s">
        <v>1322</v>
      </c>
      <c r="AF549" s="375" t="s">
        <v>269</v>
      </c>
      <c r="AG549" s="375" t="s">
        <v>183</v>
      </c>
      <c r="AH549" s="380">
        <v>29.62</v>
      </c>
      <c r="AI549" s="380">
        <v>30482.6</v>
      </c>
      <c r="AJ549" s="375" t="s">
        <v>184</v>
      </c>
      <c r="AK549" s="375" t="s">
        <v>185</v>
      </c>
      <c r="AL549" s="375" t="s">
        <v>173</v>
      </c>
      <c r="AM549" s="375" t="s">
        <v>186</v>
      </c>
      <c r="AN549" s="375" t="s">
        <v>68</v>
      </c>
      <c r="AO549" s="378">
        <v>80</v>
      </c>
      <c r="AP549" s="384">
        <v>1</v>
      </c>
      <c r="AQ549" s="384">
        <v>1</v>
      </c>
      <c r="AR549" s="383" t="s">
        <v>187</v>
      </c>
      <c r="AS549" s="386">
        <f t="shared" si="379"/>
        <v>1</v>
      </c>
      <c r="AT549">
        <f t="shared" si="380"/>
        <v>1</v>
      </c>
      <c r="AU549" s="386">
        <f>IF(AT549=0,"",IF(AND(AT549=1,M549="F",SUMIF(C2:C557,C549,AS2:AS557)&lt;=1),SUMIF(C2:C557,C549,AS2:AS557),IF(AND(AT549=1,M549="F",SUMIF(C2:C557,C549,AS2:AS557)&gt;1),1,"")))</f>
        <v>1</v>
      </c>
      <c r="AV549" s="386" t="str">
        <f>IF(AT549=0,"",IF(AND(AT549=3,M549="F",SUMIF(C2:C557,C549,AS2:AS557)&lt;=1),SUMIF(C2:C557,C549,AS2:AS557),IF(AND(AT549=3,M549="F",SUMIF(C2:C557,C549,AS2:AS557)&gt;1),1,"")))</f>
        <v/>
      </c>
      <c r="AW549" s="386">
        <f>SUMIF(C2:C557,C549,O2:O557)</f>
        <v>1</v>
      </c>
      <c r="AX549" s="386">
        <f>IF(AND(M549="F",AS549&lt;&gt;0),SUMIF(C2:C557,C549,W2:W557),0)</f>
        <v>61609.599999999999</v>
      </c>
      <c r="AY549" s="386">
        <f t="shared" si="381"/>
        <v>61609.599999999999</v>
      </c>
      <c r="AZ549" s="386" t="str">
        <f t="shared" si="382"/>
        <v/>
      </c>
      <c r="BA549" s="386">
        <f t="shared" si="383"/>
        <v>0</v>
      </c>
      <c r="BB549" s="386">
        <f t="shared" si="352"/>
        <v>11650</v>
      </c>
      <c r="BC549" s="386">
        <f t="shared" si="353"/>
        <v>0</v>
      </c>
      <c r="BD549" s="386">
        <f t="shared" si="354"/>
        <v>3819.7952</v>
      </c>
      <c r="BE549" s="386">
        <f t="shared" si="355"/>
        <v>893.33920000000001</v>
      </c>
      <c r="BF549" s="386">
        <f t="shared" si="356"/>
        <v>7356.18624</v>
      </c>
      <c r="BG549" s="386">
        <f t="shared" si="357"/>
        <v>444.20521600000001</v>
      </c>
      <c r="BH549" s="386">
        <f t="shared" si="358"/>
        <v>301.88703999999996</v>
      </c>
      <c r="BI549" s="386">
        <f t="shared" si="359"/>
        <v>188.52537599999999</v>
      </c>
      <c r="BJ549" s="386">
        <f t="shared" si="360"/>
        <v>147.86303999999998</v>
      </c>
      <c r="BK549" s="386">
        <f t="shared" si="361"/>
        <v>0</v>
      </c>
      <c r="BL549" s="386">
        <f t="shared" si="384"/>
        <v>13151.801312</v>
      </c>
      <c r="BM549" s="386">
        <f t="shared" si="385"/>
        <v>0</v>
      </c>
      <c r="BN549" s="386">
        <f t="shared" si="362"/>
        <v>11650</v>
      </c>
      <c r="BO549" s="386">
        <f t="shared" si="363"/>
        <v>0</v>
      </c>
      <c r="BP549" s="386">
        <f t="shared" si="364"/>
        <v>3819.7952</v>
      </c>
      <c r="BQ549" s="386">
        <f t="shared" si="365"/>
        <v>893.33920000000001</v>
      </c>
      <c r="BR549" s="386">
        <f t="shared" si="366"/>
        <v>7356.18624</v>
      </c>
      <c r="BS549" s="386">
        <f t="shared" si="367"/>
        <v>444.20521600000001</v>
      </c>
      <c r="BT549" s="386">
        <f t="shared" si="368"/>
        <v>0</v>
      </c>
      <c r="BU549" s="386">
        <f t="shared" si="369"/>
        <v>188.52537599999999</v>
      </c>
      <c r="BV549" s="386">
        <f t="shared" si="370"/>
        <v>154.024</v>
      </c>
      <c r="BW549" s="386">
        <f t="shared" si="371"/>
        <v>0</v>
      </c>
      <c r="BX549" s="386">
        <f t="shared" si="386"/>
        <v>12856.075231999999</v>
      </c>
      <c r="BY549" s="386">
        <f t="shared" si="387"/>
        <v>0</v>
      </c>
      <c r="BZ549" s="386">
        <f t="shared" si="388"/>
        <v>0</v>
      </c>
      <c r="CA549" s="386">
        <f t="shared" si="389"/>
        <v>0</v>
      </c>
      <c r="CB549" s="386">
        <f t="shared" si="390"/>
        <v>0</v>
      </c>
      <c r="CC549" s="386">
        <f t="shared" si="372"/>
        <v>0</v>
      </c>
      <c r="CD549" s="386">
        <f t="shared" si="373"/>
        <v>0</v>
      </c>
      <c r="CE549" s="386">
        <f t="shared" si="374"/>
        <v>0</v>
      </c>
      <c r="CF549" s="386">
        <f t="shared" si="375"/>
        <v>-301.88703999999996</v>
      </c>
      <c r="CG549" s="386">
        <f t="shared" si="376"/>
        <v>0</v>
      </c>
      <c r="CH549" s="386">
        <f t="shared" si="377"/>
        <v>6.1609600000000162</v>
      </c>
      <c r="CI549" s="386">
        <f t="shared" si="378"/>
        <v>0</v>
      </c>
      <c r="CJ549" s="386">
        <f t="shared" si="391"/>
        <v>-295.72607999999997</v>
      </c>
      <c r="CK549" s="386" t="str">
        <f t="shared" si="392"/>
        <v/>
      </c>
      <c r="CL549" s="386" t="str">
        <f t="shared" si="393"/>
        <v/>
      </c>
      <c r="CM549" s="386" t="str">
        <f t="shared" si="394"/>
        <v/>
      </c>
      <c r="CN549" s="386" t="str">
        <f t="shared" si="395"/>
        <v>0001-00</v>
      </c>
    </row>
    <row r="550" spans="1:92" ht="15.75" thickBot="1" x14ac:dyDescent="0.3">
      <c r="A550" s="375" t="s">
        <v>161</v>
      </c>
      <c r="B550" s="375" t="s">
        <v>162</v>
      </c>
      <c r="C550" s="375" t="s">
        <v>1889</v>
      </c>
      <c r="D550" s="375" t="s">
        <v>1605</v>
      </c>
      <c r="E550" s="375" t="s">
        <v>526</v>
      </c>
      <c r="F550" s="381" t="s">
        <v>529</v>
      </c>
      <c r="G550" s="375" t="s">
        <v>1599</v>
      </c>
      <c r="H550" s="377"/>
      <c r="I550" s="377"/>
      <c r="J550" s="375" t="s">
        <v>218</v>
      </c>
      <c r="K550" s="375" t="s">
        <v>1606</v>
      </c>
      <c r="L550" s="375" t="s">
        <v>173</v>
      </c>
      <c r="M550" s="375" t="s">
        <v>177</v>
      </c>
      <c r="N550" s="375" t="s">
        <v>199</v>
      </c>
      <c r="O550" s="378">
        <v>1</v>
      </c>
      <c r="P550" s="384">
        <v>0.1</v>
      </c>
      <c r="Q550" s="384">
        <v>0.1</v>
      </c>
      <c r="R550" s="379">
        <v>80</v>
      </c>
      <c r="S550" s="384">
        <v>0.1</v>
      </c>
      <c r="T550" s="379">
        <v>7341.4</v>
      </c>
      <c r="U550" s="379">
        <v>0</v>
      </c>
      <c r="V550" s="379">
        <v>2696.19</v>
      </c>
      <c r="W550" s="379">
        <v>7579.52</v>
      </c>
      <c r="X550" s="379">
        <v>2782.99</v>
      </c>
      <c r="Y550" s="379">
        <v>7579.52</v>
      </c>
      <c r="Z550" s="379">
        <v>2746.61</v>
      </c>
      <c r="AA550" s="375" t="s">
        <v>1890</v>
      </c>
      <c r="AB550" s="375" t="s">
        <v>1891</v>
      </c>
      <c r="AC550" s="375" t="s">
        <v>1892</v>
      </c>
      <c r="AD550" s="375" t="s">
        <v>170</v>
      </c>
      <c r="AE550" s="375" t="s">
        <v>1606</v>
      </c>
      <c r="AF550" s="375" t="s">
        <v>305</v>
      </c>
      <c r="AG550" s="375" t="s">
        <v>183</v>
      </c>
      <c r="AH550" s="380">
        <v>36.44</v>
      </c>
      <c r="AI550" s="378">
        <v>32900</v>
      </c>
      <c r="AJ550" s="375" t="s">
        <v>184</v>
      </c>
      <c r="AK550" s="375" t="s">
        <v>185</v>
      </c>
      <c r="AL550" s="375" t="s">
        <v>173</v>
      </c>
      <c r="AM550" s="375" t="s">
        <v>186</v>
      </c>
      <c r="AN550" s="375" t="s">
        <v>68</v>
      </c>
      <c r="AO550" s="378">
        <v>80</v>
      </c>
      <c r="AP550" s="384">
        <v>1</v>
      </c>
      <c r="AQ550" s="384">
        <v>0.1</v>
      </c>
      <c r="AR550" s="383" t="s">
        <v>187</v>
      </c>
      <c r="AS550" s="386">
        <f t="shared" si="379"/>
        <v>0.1</v>
      </c>
      <c r="AT550">
        <f t="shared" si="380"/>
        <v>1</v>
      </c>
      <c r="AU550" s="386">
        <f>IF(AT550=0,"",IF(AND(AT550=1,M550="F",SUMIF(C2:C557,C550,AS2:AS557)&lt;=1),SUMIF(C2:C557,C550,AS2:AS557),IF(AND(AT550=1,M550="F",SUMIF(C2:C557,C550,AS2:AS557)&gt;1),1,"")))</f>
        <v>1</v>
      </c>
      <c r="AV550" s="386" t="str">
        <f>IF(AT550=0,"",IF(AND(AT550=3,M550="F",SUMIF(C2:C557,C550,AS2:AS557)&lt;=1),SUMIF(C2:C557,C550,AS2:AS557),IF(AND(AT550=3,M550="F",SUMIF(C2:C557,C550,AS2:AS557)&gt;1),1,"")))</f>
        <v/>
      </c>
      <c r="AW550" s="386">
        <f>SUMIF(C2:C557,C550,O2:O557)</f>
        <v>2</v>
      </c>
      <c r="AX550" s="386">
        <f>IF(AND(M550="F",AS550&lt;&gt;0),SUMIF(C2:C557,C550,W2:W557),0)</f>
        <v>75795.199999999997</v>
      </c>
      <c r="AY550" s="386">
        <f t="shared" si="381"/>
        <v>7579.52</v>
      </c>
      <c r="AZ550" s="386" t="str">
        <f t="shared" si="382"/>
        <v/>
      </c>
      <c r="BA550" s="386">
        <f t="shared" si="383"/>
        <v>0</v>
      </c>
      <c r="BB550" s="386">
        <f t="shared" si="352"/>
        <v>1165</v>
      </c>
      <c r="BC550" s="386">
        <f t="shared" si="353"/>
        <v>0</v>
      </c>
      <c r="BD550" s="386">
        <f t="shared" si="354"/>
        <v>469.93024000000003</v>
      </c>
      <c r="BE550" s="386">
        <f t="shared" si="355"/>
        <v>109.90304000000002</v>
      </c>
      <c r="BF550" s="386">
        <f t="shared" si="356"/>
        <v>904.99468800000011</v>
      </c>
      <c r="BG550" s="386">
        <f t="shared" si="357"/>
        <v>54.648339200000002</v>
      </c>
      <c r="BH550" s="386">
        <f t="shared" si="358"/>
        <v>37.139648000000001</v>
      </c>
      <c r="BI550" s="386">
        <f t="shared" si="359"/>
        <v>23.193331199999999</v>
      </c>
      <c r="BJ550" s="386">
        <f t="shared" si="360"/>
        <v>18.190847999999999</v>
      </c>
      <c r="BK550" s="386">
        <f t="shared" si="361"/>
        <v>0</v>
      </c>
      <c r="BL550" s="386">
        <f t="shared" si="384"/>
        <v>1618.0001344000002</v>
      </c>
      <c r="BM550" s="386">
        <f t="shared" si="385"/>
        <v>0</v>
      </c>
      <c r="BN550" s="386">
        <f t="shared" si="362"/>
        <v>1165</v>
      </c>
      <c r="BO550" s="386">
        <f t="shared" si="363"/>
        <v>0</v>
      </c>
      <c r="BP550" s="386">
        <f t="shared" si="364"/>
        <v>469.93024000000003</v>
      </c>
      <c r="BQ550" s="386">
        <f t="shared" si="365"/>
        <v>109.90304000000002</v>
      </c>
      <c r="BR550" s="386">
        <f t="shared" si="366"/>
        <v>904.99468800000011</v>
      </c>
      <c r="BS550" s="386">
        <f t="shared" si="367"/>
        <v>54.648339200000002</v>
      </c>
      <c r="BT550" s="386">
        <f t="shared" si="368"/>
        <v>0</v>
      </c>
      <c r="BU550" s="386">
        <f t="shared" si="369"/>
        <v>23.193331199999999</v>
      </c>
      <c r="BV550" s="386">
        <f t="shared" si="370"/>
        <v>18.948800000000002</v>
      </c>
      <c r="BW550" s="386">
        <f t="shared" si="371"/>
        <v>0</v>
      </c>
      <c r="BX550" s="386">
        <f t="shared" si="386"/>
        <v>1581.6184384000001</v>
      </c>
      <c r="BY550" s="386">
        <f t="shared" si="387"/>
        <v>0</v>
      </c>
      <c r="BZ550" s="386">
        <f t="shared" si="388"/>
        <v>0</v>
      </c>
      <c r="CA550" s="386">
        <f t="shared" si="389"/>
        <v>0</v>
      </c>
      <c r="CB550" s="386">
        <f t="shared" si="390"/>
        <v>0</v>
      </c>
      <c r="CC550" s="386">
        <f t="shared" si="372"/>
        <v>0</v>
      </c>
      <c r="CD550" s="386">
        <f t="shared" si="373"/>
        <v>0</v>
      </c>
      <c r="CE550" s="386">
        <f t="shared" si="374"/>
        <v>0</v>
      </c>
      <c r="CF550" s="386">
        <f t="shared" si="375"/>
        <v>-37.139648000000001</v>
      </c>
      <c r="CG550" s="386">
        <f t="shared" si="376"/>
        <v>0</v>
      </c>
      <c r="CH550" s="386">
        <f t="shared" si="377"/>
        <v>0.75795200000000207</v>
      </c>
      <c r="CI550" s="386">
        <f t="shared" si="378"/>
        <v>0</v>
      </c>
      <c r="CJ550" s="386">
        <f t="shared" si="391"/>
        <v>-36.381695999999998</v>
      </c>
      <c r="CK550" s="386" t="str">
        <f t="shared" si="392"/>
        <v/>
      </c>
      <c r="CL550" s="386" t="str">
        <f t="shared" si="393"/>
        <v/>
      </c>
      <c r="CM550" s="386" t="str">
        <f t="shared" si="394"/>
        <v/>
      </c>
      <c r="CN550" s="386" t="str">
        <f t="shared" si="395"/>
        <v>0338-02</v>
      </c>
    </row>
    <row r="551" spans="1:92" ht="15.75" thickBot="1" x14ac:dyDescent="0.3">
      <c r="A551" s="375" t="s">
        <v>161</v>
      </c>
      <c r="B551" s="375" t="s">
        <v>162</v>
      </c>
      <c r="C551" s="375" t="s">
        <v>1901</v>
      </c>
      <c r="D551" s="375" t="s">
        <v>1605</v>
      </c>
      <c r="E551" s="375" t="s">
        <v>526</v>
      </c>
      <c r="F551" s="381" t="s">
        <v>529</v>
      </c>
      <c r="G551" s="375" t="s">
        <v>1599</v>
      </c>
      <c r="H551" s="377"/>
      <c r="I551" s="377"/>
      <c r="J551" s="375" t="s">
        <v>218</v>
      </c>
      <c r="K551" s="375" t="s">
        <v>1606</v>
      </c>
      <c r="L551" s="375" t="s">
        <v>173</v>
      </c>
      <c r="M551" s="375" t="s">
        <v>177</v>
      </c>
      <c r="N551" s="375" t="s">
        <v>199</v>
      </c>
      <c r="O551" s="378">
        <v>1</v>
      </c>
      <c r="P551" s="384">
        <v>0.15</v>
      </c>
      <c r="Q551" s="384">
        <v>0.15</v>
      </c>
      <c r="R551" s="379">
        <v>80</v>
      </c>
      <c r="S551" s="384">
        <v>0.15</v>
      </c>
      <c r="T551" s="379">
        <v>11439.77</v>
      </c>
      <c r="U551" s="379">
        <v>0</v>
      </c>
      <c r="V551" s="379">
        <v>4113.08</v>
      </c>
      <c r="W551" s="379">
        <v>11862.24</v>
      </c>
      <c r="X551" s="379">
        <v>4279.72</v>
      </c>
      <c r="Y551" s="379">
        <v>11862.24</v>
      </c>
      <c r="Z551" s="379">
        <v>4222.78</v>
      </c>
      <c r="AA551" s="375" t="s">
        <v>1902</v>
      </c>
      <c r="AB551" s="375" t="s">
        <v>1903</v>
      </c>
      <c r="AC551" s="375" t="s">
        <v>1904</v>
      </c>
      <c r="AD551" s="375" t="s">
        <v>194</v>
      </c>
      <c r="AE551" s="375" t="s">
        <v>1606</v>
      </c>
      <c r="AF551" s="375" t="s">
        <v>305</v>
      </c>
      <c r="AG551" s="375" t="s">
        <v>183</v>
      </c>
      <c r="AH551" s="380">
        <v>38.020000000000003</v>
      </c>
      <c r="AI551" s="380">
        <v>50353.5</v>
      </c>
      <c r="AJ551" s="375" t="s">
        <v>184</v>
      </c>
      <c r="AK551" s="375" t="s">
        <v>185</v>
      </c>
      <c r="AL551" s="375" t="s">
        <v>173</v>
      </c>
      <c r="AM551" s="375" t="s">
        <v>186</v>
      </c>
      <c r="AN551" s="375" t="s">
        <v>68</v>
      </c>
      <c r="AO551" s="378">
        <v>80</v>
      </c>
      <c r="AP551" s="384">
        <v>1</v>
      </c>
      <c r="AQ551" s="384">
        <v>0.15</v>
      </c>
      <c r="AR551" s="383" t="s">
        <v>187</v>
      </c>
      <c r="AS551" s="386">
        <f t="shared" si="379"/>
        <v>0.15</v>
      </c>
      <c r="AT551">
        <f t="shared" si="380"/>
        <v>1</v>
      </c>
      <c r="AU551" s="386">
        <f>IF(AT551=0,"",IF(AND(AT551=1,M551="F",SUMIF(C2:C557,C551,AS2:AS557)&lt;=1),SUMIF(C2:C557,C551,AS2:AS557),IF(AND(AT551=1,M551="F",SUMIF(C2:C557,C551,AS2:AS557)&gt;1),1,"")))</f>
        <v>1</v>
      </c>
      <c r="AV551" s="386" t="str">
        <f>IF(AT551=0,"",IF(AND(AT551=3,M551="F",SUMIF(C2:C557,C551,AS2:AS557)&lt;=1),SUMIF(C2:C557,C551,AS2:AS557),IF(AND(AT551=3,M551="F",SUMIF(C2:C557,C551,AS2:AS557)&gt;1),1,"")))</f>
        <v/>
      </c>
      <c r="AW551" s="386">
        <f>SUMIF(C2:C557,C551,O2:O557)</f>
        <v>2</v>
      </c>
      <c r="AX551" s="386">
        <f>IF(AND(M551="F",AS551&lt;&gt;0),SUMIF(C2:C557,C551,W2:W557),0)</f>
        <v>79081.600000000006</v>
      </c>
      <c r="AY551" s="386">
        <f t="shared" si="381"/>
        <v>11862.24</v>
      </c>
      <c r="AZ551" s="386" t="str">
        <f t="shared" si="382"/>
        <v/>
      </c>
      <c r="BA551" s="386">
        <f t="shared" si="383"/>
        <v>0</v>
      </c>
      <c r="BB551" s="386">
        <f t="shared" si="352"/>
        <v>1747.5</v>
      </c>
      <c r="BC551" s="386">
        <f t="shared" si="353"/>
        <v>0</v>
      </c>
      <c r="BD551" s="386">
        <f t="shared" si="354"/>
        <v>735.45888000000002</v>
      </c>
      <c r="BE551" s="386">
        <f t="shared" si="355"/>
        <v>172.00247999999999</v>
      </c>
      <c r="BF551" s="386">
        <f t="shared" si="356"/>
        <v>1416.3514560000001</v>
      </c>
      <c r="BG551" s="386">
        <f t="shared" si="357"/>
        <v>85.526750399999997</v>
      </c>
      <c r="BH551" s="386">
        <f t="shared" si="358"/>
        <v>58.124975999999997</v>
      </c>
      <c r="BI551" s="386">
        <f t="shared" si="359"/>
        <v>36.298454399999997</v>
      </c>
      <c r="BJ551" s="386">
        <f t="shared" si="360"/>
        <v>28.469375999999997</v>
      </c>
      <c r="BK551" s="386">
        <f t="shared" si="361"/>
        <v>0</v>
      </c>
      <c r="BL551" s="386">
        <f t="shared" si="384"/>
        <v>2532.2323728000001</v>
      </c>
      <c r="BM551" s="386">
        <f t="shared" si="385"/>
        <v>0</v>
      </c>
      <c r="BN551" s="386">
        <f t="shared" si="362"/>
        <v>1747.5</v>
      </c>
      <c r="BO551" s="386">
        <f t="shared" si="363"/>
        <v>0</v>
      </c>
      <c r="BP551" s="386">
        <f t="shared" si="364"/>
        <v>735.45888000000002</v>
      </c>
      <c r="BQ551" s="386">
        <f t="shared" si="365"/>
        <v>172.00247999999999</v>
      </c>
      <c r="BR551" s="386">
        <f t="shared" si="366"/>
        <v>1416.3514560000001</v>
      </c>
      <c r="BS551" s="386">
        <f t="shared" si="367"/>
        <v>85.526750399999997</v>
      </c>
      <c r="BT551" s="386">
        <f t="shared" si="368"/>
        <v>0</v>
      </c>
      <c r="BU551" s="386">
        <f t="shared" si="369"/>
        <v>36.298454399999997</v>
      </c>
      <c r="BV551" s="386">
        <f t="shared" si="370"/>
        <v>29.6556</v>
      </c>
      <c r="BW551" s="386">
        <f t="shared" si="371"/>
        <v>0</v>
      </c>
      <c r="BX551" s="386">
        <f t="shared" si="386"/>
        <v>2475.2936208000001</v>
      </c>
      <c r="BY551" s="386">
        <f t="shared" si="387"/>
        <v>0</v>
      </c>
      <c r="BZ551" s="386">
        <f t="shared" si="388"/>
        <v>0</v>
      </c>
      <c r="CA551" s="386">
        <f t="shared" si="389"/>
        <v>0</v>
      </c>
      <c r="CB551" s="386">
        <f t="shared" si="390"/>
        <v>0</v>
      </c>
      <c r="CC551" s="386">
        <f t="shared" si="372"/>
        <v>0</v>
      </c>
      <c r="CD551" s="386">
        <f t="shared" si="373"/>
        <v>0</v>
      </c>
      <c r="CE551" s="386">
        <f t="shared" si="374"/>
        <v>0</v>
      </c>
      <c r="CF551" s="386">
        <f t="shared" si="375"/>
        <v>-58.124975999999997</v>
      </c>
      <c r="CG551" s="386">
        <f t="shared" si="376"/>
        <v>0</v>
      </c>
      <c r="CH551" s="386">
        <f t="shared" si="377"/>
        <v>1.1862240000000031</v>
      </c>
      <c r="CI551" s="386">
        <f t="shared" si="378"/>
        <v>0</v>
      </c>
      <c r="CJ551" s="386">
        <f t="shared" si="391"/>
        <v>-56.938751999999994</v>
      </c>
      <c r="CK551" s="386" t="str">
        <f t="shared" si="392"/>
        <v/>
      </c>
      <c r="CL551" s="386" t="str">
        <f t="shared" si="393"/>
        <v/>
      </c>
      <c r="CM551" s="386" t="str">
        <f t="shared" si="394"/>
        <v/>
      </c>
      <c r="CN551" s="386" t="str">
        <f t="shared" si="395"/>
        <v>0338-02</v>
      </c>
    </row>
    <row r="552" spans="1:92" ht="15.75" thickBot="1" x14ac:dyDescent="0.3">
      <c r="A552" s="375" t="s">
        <v>161</v>
      </c>
      <c r="B552" s="375" t="s">
        <v>162</v>
      </c>
      <c r="C552" s="375" t="s">
        <v>1912</v>
      </c>
      <c r="D552" s="375" t="s">
        <v>1605</v>
      </c>
      <c r="E552" s="375" t="s">
        <v>526</v>
      </c>
      <c r="F552" s="381" t="s">
        <v>529</v>
      </c>
      <c r="G552" s="375" t="s">
        <v>1599</v>
      </c>
      <c r="H552" s="377"/>
      <c r="I552" s="377"/>
      <c r="J552" s="375" t="s">
        <v>218</v>
      </c>
      <c r="K552" s="375" t="s">
        <v>1606</v>
      </c>
      <c r="L552" s="375" t="s">
        <v>173</v>
      </c>
      <c r="M552" s="375" t="s">
        <v>177</v>
      </c>
      <c r="N552" s="375" t="s">
        <v>199</v>
      </c>
      <c r="O552" s="378">
        <v>1</v>
      </c>
      <c r="P552" s="384">
        <v>0.15</v>
      </c>
      <c r="Q552" s="384">
        <v>0.15</v>
      </c>
      <c r="R552" s="379">
        <v>80</v>
      </c>
      <c r="S552" s="384">
        <v>0.15</v>
      </c>
      <c r="T552" s="379">
        <v>11869.17</v>
      </c>
      <c r="U552" s="379">
        <v>0</v>
      </c>
      <c r="V552" s="379">
        <v>4186.01</v>
      </c>
      <c r="W552" s="379">
        <v>12267.84</v>
      </c>
      <c r="X552" s="379">
        <v>4366.3100000000004</v>
      </c>
      <c r="Y552" s="379">
        <v>12267.84</v>
      </c>
      <c r="Z552" s="379">
        <v>4307.42</v>
      </c>
      <c r="AA552" s="375" t="s">
        <v>1913</v>
      </c>
      <c r="AB552" s="375" t="s">
        <v>1914</v>
      </c>
      <c r="AC552" s="375" t="s">
        <v>1706</v>
      </c>
      <c r="AD552" s="375" t="s">
        <v>214</v>
      </c>
      <c r="AE552" s="375" t="s">
        <v>1606</v>
      </c>
      <c r="AF552" s="375" t="s">
        <v>305</v>
      </c>
      <c r="AG552" s="375" t="s">
        <v>183</v>
      </c>
      <c r="AH552" s="380">
        <v>39.32</v>
      </c>
      <c r="AI552" s="380">
        <v>70313.7</v>
      </c>
      <c r="AJ552" s="375" t="s">
        <v>184</v>
      </c>
      <c r="AK552" s="375" t="s">
        <v>185</v>
      </c>
      <c r="AL552" s="375" t="s">
        <v>173</v>
      </c>
      <c r="AM552" s="375" t="s">
        <v>186</v>
      </c>
      <c r="AN552" s="375" t="s">
        <v>68</v>
      </c>
      <c r="AO552" s="378">
        <v>80</v>
      </c>
      <c r="AP552" s="384">
        <v>1</v>
      </c>
      <c r="AQ552" s="384">
        <v>0.15</v>
      </c>
      <c r="AR552" s="383" t="s">
        <v>187</v>
      </c>
      <c r="AS552" s="386">
        <f t="shared" si="379"/>
        <v>0.15</v>
      </c>
      <c r="AT552">
        <f t="shared" si="380"/>
        <v>1</v>
      </c>
      <c r="AU552" s="386">
        <f>IF(AT552=0,"",IF(AND(AT552=1,M552="F",SUMIF(C2:C557,C552,AS2:AS557)&lt;=1),SUMIF(C2:C557,C552,AS2:AS557),IF(AND(AT552=1,M552="F",SUMIF(C2:C557,C552,AS2:AS557)&gt;1),1,"")))</f>
        <v>1</v>
      </c>
      <c r="AV552" s="386" t="str">
        <f>IF(AT552=0,"",IF(AND(AT552=3,M552="F",SUMIF(C2:C557,C552,AS2:AS557)&lt;=1),SUMIF(C2:C557,C552,AS2:AS557),IF(AND(AT552=3,M552="F",SUMIF(C2:C557,C552,AS2:AS557)&gt;1),1,"")))</f>
        <v/>
      </c>
      <c r="AW552" s="386">
        <f>SUMIF(C2:C557,C552,O2:O557)</f>
        <v>2</v>
      </c>
      <c r="AX552" s="386">
        <f>IF(AND(M552="F",AS552&lt;&gt;0),SUMIF(C2:C557,C552,W2:W557),0)</f>
        <v>81785.599999999991</v>
      </c>
      <c r="AY552" s="386">
        <f t="shared" si="381"/>
        <v>12267.84</v>
      </c>
      <c r="AZ552" s="386" t="str">
        <f t="shared" si="382"/>
        <v/>
      </c>
      <c r="BA552" s="386">
        <f t="shared" si="383"/>
        <v>0</v>
      </c>
      <c r="BB552" s="386">
        <f t="shared" si="352"/>
        <v>1747.5</v>
      </c>
      <c r="BC552" s="386">
        <f t="shared" si="353"/>
        <v>0</v>
      </c>
      <c r="BD552" s="386">
        <f t="shared" si="354"/>
        <v>760.60608000000002</v>
      </c>
      <c r="BE552" s="386">
        <f t="shared" si="355"/>
        <v>177.88368</v>
      </c>
      <c r="BF552" s="386">
        <f t="shared" si="356"/>
        <v>1464.7800960000002</v>
      </c>
      <c r="BG552" s="386">
        <f t="shared" si="357"/>
        <v>88.451126400000007</v>
      </c>
      <c r="BH552" s="386">
        <f t="shared" si="358"/>
        <v>60.112415999999996</v>
      </c>
      <c r="BI552" s="386">
        <f t="shared" si="359"/>
        <v>37.539590399999994</v>
      </c>
      <c r="BJ552" s="386">
        <f t="shared" si="360"/>
        <v>29.442815999999997</v>
      </c>
      <c r="BK552" s="386">
        <f t="shared" si="361"/>
        <v>0</v>
      </c>
      <c r="BL552" s="386">
        <f t="shared" si="384"/>
        <v>2618.8158048000005</v>
      </c>
      <c r="BM552" s="386">
        <f t="shared" si="385"/>
        <v>0</v>
      </c>
      <c r="BN552" s="386">
        <f t="shared" si="362"/>
        <v>1747.5</v>
      </c>
      <c r="BO552" s="386">
        <f t="shared" si="363"/>
        <v>0</v>
      </c>
      <c r="BP552" s="386">
        <f t="shared" si="364"/>
        <v>760.60608000000002</v>
      </c>
      <c r="BQ552" s="386">
        <f t="shared" si="365"/>
        <v>177.88368</v>
      </c>
      <c r="BR552" s="386">
        <f t="shared" si="366"/>
        <v>1464.7800960000002</v>
      </c>
      <c r="BS552" s="386">
        <f t="shared" si="367"/>
        <v>88.451126400000007</v>
      </c>
      <c r="BT552" s="386">
        <f t="shared" si="368"/>
        <v>0</v>
      </c>
      <c r="BU552" s="386">
        <f t="shared" si="369"/>
        <v>37.539590399999994</v>
      </c>
      <c r="BV552" s="386">
        <f t="shared" si="370"/>
        <v>30.669600000000003</v>
      </c>
      <c r="BW552" s="386">
        <f t="shared" si="371"/>
        <v>0</v>
      </c>
      <c r="BX552" s="386">
        <f t="shared" si="386"/>
        <v>2559.9301728000005</v>
      </c>
      <c r="BY552" s="386">
        <f t="shared" si="387"/>
        <v>0</v>
      </c>
      <c r="BZ552" s="386">
        <f t="shared" si="388"/>
        <v>0</v>
      </c>
      <c r="CA552" s="386">
        <f t="shared" si="389"/>
        <v>0</v>
      </c>
      <c r="CB552" s="386">
        <f t="shared" si="390"/>
        <v>0</v>
      </c>
      <c r="CC552" s="386">
        <f t="shared" si="372"/>
        <v>0</v>
      </c>
      <c r="CD552" s="386">
        <f t="shared" si="373"/>
        <v>0</v>
      </c>
      <c r="CE552" s="386">
        <f t="shared" si="374"/>
        <v>0</v>
      </c>
      <c r="CF552" s="386">
        <f t="shared" si="375"/>
        <v>-60.112415999999996</v>
      </c>
      <c r="CG552" s="386">
        <f t="shared" si="376"/>
        <v>0</v>
      </c>
      <c r="CH552" s="386">
        <f t="shared" si="377"/>
        <v>1.2267840000000032</v>
      </c>
      <c r="CI552" s="386">
        <f t="shared" si="378"/>
        <v>0</v>
      </c>
      <c r="CJ552" s="386">
        <f t="shared" si="391"/>
        <v>-58.885631999999994</v>
      </c>
      <c r="CK552" s="386" t="str">
        <f t="shared" si="392"/>
        <v/>
      </c>
      <c r="CL552" s="386" t="str">
        <f t="shared" si="393"/>
        <v/>
      </c>
      <c r="CM552" s="386" t="str">
        <f t="shared" si="394"/>
        <v/>
      </c>
      <c r="CN552" s="386" t="str">
        <f t="shared" si="395"/>
        <v>0338-02</v>
      </c>
    </row>
    <row r="553" spans="1:92" ht="15.75" thickBot="1" x14ac:dyDescent="0.3">
      <c r="A553" s="375" t="s">
        <v>161</v>
      </c>
      <c r="B553" s="375" t="s">
        <v>162</v>
      </c>
      <c r="C553" s="375" t="s">
        <v>1925</v>
      </c>
      <c r="D553" s="375" t="s">
        <v>1605</v>
      </c>
      <c r="E553" s="375" t="s">
        <v>526</v>
      </c>
      <c r="F553" s="381" t="s">
        <v>529</v>
      </c>
      <c r="G553" s="375" t="s">
        <v>1599</v>
      </c>
      <c r="H553" s="377"/>
      <c r="I553" s="377"/>
      <c r="J553" s="375" t="s">
        <v>218</v>
      </c>
      <c r="K553" s="375" t="s">
        <v>1606</v>
      </c>
      <c r="L553" s="375" t="s">
        <v>173</v>
      </c>
      <c r="M553" s="375" t="s">
        <v>177</v>
      </c>
      <c r="N553" s="375" t="s">
        <v>199</v>
      </c>
      <c r="O553" s="378">
        <v>1</v>
      </c>
      <c r="P553" s="384">
        <v>0.15</v>
      </c>
      <c r="Q553" s="384">
        <v>0.15</v>
      </c>
      <c r="R553" s="379">
        <v>80</v>
      </c>
      <c r="S553" s="384">
        <v>0.15</v>
      </c>
      <c r="T553" s="379">
        <v>8031.86</v>
      </c>
      <c r="U553" s="379">
        <v>0</v>
      </c>
      <c r="V553" s="379">
        <v>3232.69</v>
      </c>
      <c r="W553" s="379">
        <v>9494.16</v>
      </c>
      <c r="X553" s="379">
        <v>3774.21</v>
      </c>
      <c r="Y553" s="379">
        <v>9494.16</v>
      </c>
      <c r="Z553" s="379">
        <v>3728.64</v>
      </c>
      <c r="AA553" s="375" t="s">
        <v>1926</v>
      </c>
      <c r="AB553" s="375" t="s">
        <v>1927</v>
      </c>
      <c r="AC553" s="375" t="s">
        <v>694</v>
      </c>
      <c r="AD553" s="375" t="s">
        <v>173</v>
      </c>
      <c r="AE553" s="375" t="s">
        <v>1606</v>
      </c>
      <c r="AF553" s="375" t="s">
        <v>305</v>
      </c>
      <c r="AG553" s="375" t="s">
        <v>183</v>
      </c>
      <c r="AH553" s="380">
        <v>30.43</v>
      </c>
      <c r="AI553" s="380">
        <v>24261.8</v>
      </c>
      <c r="AJ553" s="375" t="s">
        <v>184</v>
      </c>
      <c r="AK553" s="375" t="s">
        <v>185</v>
      </c>
      <c r="AL553" s="375" t="s">
        <v>173</v>
      </c>
      <c r="AM553" s="375" t="s">
        <v>186</v>
      </c>
      <c r="AN553" s="375" t="s">
        <v>68</v>
      </c>
      <c r="AO553" s="378">
        <v>80</v>
      </c>
      <c r="AP553" s="384">
        <v>1</v>
      </c>
      <c r="AQ553" s="384">
        <v>0.15</v>
      </c>
      <c r="AR553" s="383" t="s">
        <v>187</v>
      </c>
      <c r="AS553" s="386">
        <f t="shared" si="379"/>
        <v>0.15</v>
      </c>
      <c r="AT553">
        <f t="shared" si="380"/>
        <v>1</v>
      </c>
      <c r="AU553" s="386">
        <f>IF(AT553=0,"",IF(AND(AT553=1,M553="F",SUMIF(C2:C557,C553,AS2:AS557)&lt;=1),SUMIF(C2:C557,C553,AS2:AS557),IF(AND(AT553=1,M553="F",SUMIF(C2:C557,C553,AS2:AS557)&gt;1),1,"")))</f>
        <v>1</v>
      </c>
      <c r="AV553" s="386" t="str">
        <f>IF(AT553=0,"",IF(AND(AT553=3,M553="F",SUMIF(C2:C557,C553,AS2:AS557)&lt;=1),SUMIF(C2:C557,C553,AS2:AS557),IF(AND(AT553=3,M553="F",SUMIF(C2:C557,C553,AS2:AS557)&gt;1),1,"")))</f>
        <v/>
      </c>
      <c r="AW553" s="386">
        <f>SUMIF(C2:C557,C553,O2:O557)</f>
        <v>2</v>
      </c>
      <c r="AX553" s="386">
        <f>IF(AND(M553="F",AS553&lt;&gt;0),SUMIF(C2:C557,C553,W2:W557),0)</f>
        <v>63294.399999999994</v>
      </c>
      <c r="AY553" s="386">
        <f t="shared" si="381"/>
        <v>9494.16</v>
      </c>
      <c r="AZ553" s="386" t="str">
        <f t="shared" si="382"/>
        <v/>
      </c>
      <c r="BA553" s="386">
        <f t="shared" si="383"/>
        <v>0</v>
      </c>
      <c r="BB553" s="386">
        <f t="shared" si="352"/>
        <v>1747.5</v>
      </c>
      <c r="BC553" s="386">
        <f t="shared" si="353"/>
        <v>0</v>
      </c>
      <c r="BD553" s="386">
        <f t="shared" si="354"/>
        <v>588.63792000000001</v>
      </c>
      <c r="BE553" s="386">
        <f t="shared" si="355"/>
        <v>137.66532000000001</v>
      </c>
      <c r="BF553" s="386">
        <f t="shared" si="356"/>
        <v>1133.6027040000001</v>
      </c>
      <c r="BG553" s="386">
        <f t="shared" si="357"/>
        <v>68.452893599999996</v>
      </c>
      <c r="BH553" s="386">
        <f t="shared" si="358"/>
        <v>46.521383999999998</v>
      </c>
      <c r="BI553" s="386">
        <f t="shared" si="359"/>
        <v>29.052129599999997</v>
      </c>
      <c r="BJ553" s="386">
        <f t="shared" si="360"/>
        <v>22.785983999999999</v>
      </c>
      <c r="BK553" s="386">
        <f t="shared" si="361"/>
        <v>0</v>
      </c>
      <c r="BL553" s="386">
        <f t="shared" si="384"/>
        <v>2026.7183352</v>
      </c>
      <c r="BM553" s="386">
        <f t="shared" si="385"/>
        <v>0</v>
      </c>
      <c r="BN553" s="386">
        <f t="shared" si="362"/>
        <v>1747.5</v>
      </c>
      <c r="BO553" s="386">
        <f t="shared" si="363"/>
        <v>0</v>
      </c>
      <c r="BP553" s="386">
        <f t="shared" si="364"/>
        <v>588.63792000000001</v>
      </c>
      <c r="BQ553" s="386">
        <f t="shared" si="365"/>
        <v>137.66532000000001</v>
      </c>
      <c r="BR553" s="386">
        <f t="shared" si="366"/>
        <v>1133.6027040000001</v>
      </c>
      <c r="BS553" s="386">
        <f t="shared" si="367"/>
        <v>68.452893599999996</v>
      </c>
      <c r="BT553" s="386">
        <f t="shared" si="368"/>
        <v>0</v>
      </c>
      <c r="BU553" s="386">
        <f t="shared" si="369"/>
        <v>29.052129599999997</v>
      </c>
      <c r="BV553" s="386">
        <f t="shared" si="370"/>
        <v>23.735399999999998</v>
      </c>
      <c r="BW553" s="386">
        <f t="shared" si="371"/>
        <v>0</v>
      </c>
      <c r="BX553" s="386">
        <f t="shared" si="386"/>
        <v>1981.1463672</v>
      </c>
      <c r="BY553" s="386">
        <f t="shared" si="387"/>
        <v>0</v>
      </c>
      <c r="BZ553" s="386">
        <f t="shared" si="388"/>
        <v>0</v>
      </c>
      <c r="CA553" s="386">
        <f t="shared" si="389"/>
        <v>0</v>
      </c>
      <c r="CB553" s="386">
        <f t="shared" si="390"/>
        <v>0</v>
      </c>
      <c r="CC553" s="386">
        <f t="shared" si="372"/>
        <v>0</v>
      </c>
      <c r="CD553" s="386">
        <f t="shared" si="373"/>
        <v>0</v>
      </c>
      <c r="CE553" s="386">
        <f t="shared" si="374"/>
        <v>0</v>
      </c>
      <c r="CF553" s="386">
        <f t="shared" si="375"/>
        <v>-46.521383999999998</v>
      </c>
      <c r="CG553" s="386">
        <f t="shared" si="376"/>
        <v>0</v>
      </c>
      <c r="CH553" s="386">
        <f t="shared" si="377"/>
        <v>0.94941600000000248</v>
      </c>
      <c r="CI553" s="386">
        <f t="shared" si="378"/>
        <v>0</v>
      </c>
      <c r="CJ553" s="386">
        <f t="shared" si="391"/>
        <v>-45.571967999999998</v>
      </c>
      <c r="CK553" s="386" t="str">
        <f t="shared" si="392"/>
        <v/>
      </c>
      <c r="CL553" s="386" t="str">
        <f t="shared" si="393"/>
        <v/>
      </c>
      <c r="CM553" s="386" t="str">
        <f t="shared" si="394"/>
        <v/>
      </c>
      <c r="CN553" s="386" t="str">
        <f t="shared" si="395"/>
        <v>0338-02</v>
      </c>
    </row>
    <row r="554" spans="1:92" ht="15.75" thickBot="1" x14ac:dyDescent="0.3">
      <c r="A554" s="375" t="s">
        <v>161</v>
      </c>
      <c r="B554" s="375" t="s">
        <v>162</v>
      </c>
      <c r="C554" s="375" t="s">
        <v>1604</v>
      </c>
      <c r="D554" s="375" t="s">
        <v>1605</v>
      </c>
      <c r="E554" s="375" t="s">
        <v>526</v>
      </c>
      <c r="F554" s="381" t="s">
        <v>529</v>
      </c>
      <c r="G554" s="375" t="s">
        <v>1599</v>
      </c>
      <c r="H554" s="377"/>
      <c r="I554" s="377"/>
      <c r="J554" s="375" t="s">
        <v>218</v>
      </c>
      <c r="K554" s="375" t="s">
        <v>1606</v>
      </c>
      <c r="L554" s="375" t="s">
        <v>173</v>
      </c>
      <c r="M554" s="375" t="s">
        <v>177</v>
      </c>
      <c r="N554" s="375" t="s">
        <v>199</v>
      </c>
      <c r="O554" s="378">
        <v>1</v>
      </c>
      <c r="P554" s="384">
        <v>0.15</v>
      </c>
      <c r="Q554" s="384">
        <v>0.15</v>
      </c>
      <c r="R554" s="379">
        <v>80</v>
      </c>
      <c r="S554" s="384">
        <v>0.15</v>
      </c>
      <c r="T554" s="379">
        <v>12791.01</v>
      </c>
      <c r="U554" s="379">
        <v>0</v>
      </c>
      <c r="V554" s="379">
        <v>4363.71</v>
      </c>
      <c r="W554" s="379">
        <v>13231.92</v>
      </c>
      <c r="X554" s="379">
        <v>4572.1099999999997</v>
      </c>
      <c r="Y554" s="379">
        <v>13231.92</v>
      </c>
      <c r="Z554" s="379">
        <v>4508.6000000000004</v>
      </c>
      <c r="AA554" s="375" t="s">
        <v>1607</v>
      </c>
      <c r="AB554" s="375" t="s">
        <v>1608</v>
      </c>
      <c r="AC554" s="375" t="s">
        <v>1609</v>
      </c>
      <c r="AD554" s="375" t="s">
        <v>171</v>
      </c>
      <c r="AE554" s="375" t="s">
        <v>1606</v>
      </c>
      <c r="AF554" s="375" t="s">
        <v>305</v>
      </c>
      <c r="AG554" s="375" t="s">
        <v>183</v>
      </c>
      <c r="AH554" s="380">
        <v>42.41</v>
      </c>
      <c r="AI554" s="380">
        <v>68818.7</v>
      </c>
      <c r="AJ554" s="375" t="s">
        <v>184</v>
      </c>
      <c r="AK554" s="375" t="s">
        <v>185</v>
      </c>
      <c r="AL554" s="375" t="s">
        <v>173</v>
      </c>
      <c r="AM554" s="375" t="s">
        <v>186</v>
      </c>
      <c r="AN554" s="375" t="s">
        <v>68</v>
      </c>
      <c r="AO554" s="378">
        <v>80</v>
      </c>
      <c r="AP554" s="384">
        <v>1</v>
      </c>
      <c r="AQ554" s="384">
        <v>0.15</v>
      </c>
      <c r="AR554" s="383" t="s">
        <v>187</v>
      </c>
      <c r="AS554" s="386">
        <f t="shared" si="379"/>
        <v>0.15</v>
      </c>
      <c r="AT554">
        <f t="shared" si="380"/>
        <v>1</v>
      </c>
      <c r="AU554" s="386">
        <f>IF(AT554=0,"",IF(AND(AT554=1,M554="F",SUMIF(C2:C557,C554,AS2:AS557)&lt;=1),SUMIF(C2:C557,C554,AS2:AS557),IF(AND(AT554=1,M554="F",SUMIF(C2:C557,C554,AS2:AS557)&gt;1),1,"")))</f>
        <v>1</v>
      </c>
      <c r="AV554" s="386" t="str">
        <f>IF(AT554=0,"",IF(AND(AT554=3,M554="F",SUMIF(C2:C557,C554,AS2:AS557)&lt;=1),SUMIF(C2:C557,C554,AS2:AS557),IF(AND(AT554=3,M554="F",SUMIF(C2:C557,C554,AS2:AS557)&gt;1),1,"")))</f>
        <v/>
      </c>
      <c r="AW554" s="386">
        <f>SUMIF(C2:C557,C554,O2:O557)</f>
        <v>2</v>
      </c>
      <c r="AX554" s="386">
        <f>IF(AND(M554="F",AS554&lt;&gt;0),SUMIF(C2:C557,C554,W2:W557),0)</f>
        <v>88212.800000000003</v>
      </c>
      <c r="AY554" s="386">
        <f t="shared" si="381"/>
        <v>13231.92</v>
      </c>
      <c r="AZ554" s="386" t="str">
        <f t="shared" si="382"/>
        <v/>
      </c>
      <c r="BA554" s="386">
        <f t="shared" si="383"/>
        <v>0</v>
      </c>
      <c r="BB554" s="386">
        <f t="shared" si="352"/>
        <v>1747.5</v>
      </c>
      <c r="BC554" s="386">
        <f t="shared" si="353"/>
        <v>0</v>
      </c>
      <c r="BD554" s="386">
        <f t="shared" si="354"/>
        <v>820.37904000000003</v>
      </c>
      <c r="BE554" s="386">
        <f t="shared" si="355"/>
        <v>191.86284000000001</v>
      </c>
      <c r="BF554" s="386">
        <f t="shared" si="356"/>
        <v>1579.8912480000001</v>
      </c>
      <c r="BG554" s="386">
        <f t="shared" si="357"/>
        <v>95.402143199999998</v>
      </c>
      <c r="BH554" s="386">
        <f t="shared" si="358"/>
        <v>64.836407999999992</v>
      </c>
      <c r="BI554" s="386">
        <f t="shared" si="359"/>
        <v>40.489675200000001</v>
      </c>
      <c r="BJ554" s="386">
        <f t="shared" si="360"/>
        <v>31.756607999999996</v>
      </c>
      <c r="BK554" s="386">
        <f t="shared" si="361"/>
        <v>0</v>
      </c>
      <c r="BL554" s="386">
        <f t="shared" si="384"/>
        <v>2824.6179624000006</v>
      </c>
      <c r="BM554" s="386">
        <f t="shared" si="385"/>
        <v>0</v>
      </c>
      <c r="BN554" s="386">
        <f t="shared" si="362"/>
        <v>1747.5</v>
      </c>
      <c r="BO554" s="386">
        <f t="shared" si="363"/>
        <v>0</v>
      </c>
      <c r="BP554" s="386">
        <f t="shared" si="364"/>
        <v>820.37904000000003</v>
      </c>
      <c r="BQ554" s="386">
        <f t="shared" si="365"/>
        <v>191.86284000000001</v>
      </c>
      <c r="BR554" s="386">
        <f t="shared" si="366"/>
        <v>1579.8912480000001</v>
      </c>
      <c r="BS554" s="386">
        <f t="shared" si="367"/>
        <v>95.402143199999998</v>
      </c>
      <c r="BT554" s="386">
        <f t="shared" si="368"/>
        <v>0</v>
      </c>
      <c r="BU554" s="386">
        <f t="shared" si="369"/>
        <v>40.489675200000001</v>
      </c>
      <c r="BV554" s="386">
        <f t="shared" si="370"/>
        <v>33.079799999999999</v>
      </c>
      <c r="BW554" s="386">
        <f t="shared" si="371"/>
        <v>0</v>
      </c>
      <c r="BX554" s="386">
        <f t="shared" si="386"/>
        <v>2761.1047464000003</v>
      </c>
      <c r="BY554" s="386">
        <f t="shared" si="387"/>
        <v>0</v>
      </c>
      <c r="BZ554" s="386">
        <f t="shared" si="388"/>
        <v>0</v>
      </c>
      <c r="CA554" s="386">
        <f t="shared" si="389"/>
        <v>0</v>
      </c>
      <c r="CB554" s="386">
        <f t="shared" si="390"/>
        <v>0</v>
      </c>
      <c r="CC554" s="386">
        <f t="shared" si="372"/>
        <v>0</v>
      </c>
      <c r="CD554" s="386">
        <f t="shared" si="373"/>
        <v>0</v>
      </c>
      <c r="CE554" s="386">
        <f t="shared" si="374"/>
        <v>0</v>
      </c>
      <c r="CF554" s="386">
        <f t="shared" si="375"/>
        <v>-64.836407999999992</v>
      </c>
      <c r="CG554" s="386">
        <f t="shared" si="376"/>
        <v>0</v>
      </c>
      <c r="CH554" s="386">
        <f t="shared" si="377"/>
        <v>1.3231920000000035</v>
      </c>
      <c r="CI554" s="386">
        <f t="shared" si="378"/>
        <v>0</v>
      </c>
      <c r="CJ554" s="386">
        <f t="shared" si="391"/>
        <v>-63.513215999999986</v>
      </c>
      <c r="CK554" s="386" t="str">
        <f t="shared" si="392"/>
        <v/>
      </c>
      <c r="CL554" s="386" t="str">
        <f t="shared" si="393"/>
        <v/>
      </c>
      <c r="CM554" s="386" t="str">
        <f t="shared" si="394"/>
        <v/>
      </c>
      <c r="CN554" s="386" t="str">
        <f t="shared" si="395"/>
        <v>0338-02</v>
      </c>
    </row>
    <row r="555" spans="1:92" ht="15.75" thickBot="1" x14ac:dyDescent="0.3">
      <c r="A555" s="375" t="s">
        <v>161</v>
      </c>
      <c r="B555" s="375" t="s">
        <v>162</v>
      </c>
      <c r="C555" s="375" t="s">
        <v>1616</v>
      </c>
      <c r="D555" s="375" t="s">
        <v>611</v>
      </c>
      <c r="E555" s="375" t="s">
        <v>526</v>
      </c>
      <c r="F555" s="381" t="s">
        <v>529</v>
      </c>
      <c r="G555" s="375" t="s">
        <v>1599</v>
      </c>
      <c r="H555" s="377"/>
      <c r="I555" s="377"/>
      <c r="J555" s="375" t="s">
        <v>218</v>
      </c>
      <c r="K555" s="375" t="s">
        <v>612</v>
      </c>
      <c r="L555" s="375" t="s">
        <v>316</v>
      </c>
      <c r="M555" s="375" t="s">
        <v>177</v>
      </c>
      <c r="N555" s="375" t="s">
        <v>199</v>
      </c>
      <c r="O555" s="378">
        <v>1</v>
      </c>
      <c r="P555" s="384">
        <v>0.15</v>
      </c>
      <c r="Q555" s="384">
        <v>0.15</v>
      </c>
      <c r="R555" s="379">
        <v>80</v>
      </c>
      <c r="S555" s="384">
        <v>0.15</v>
      </c>
      <c r="T555" s="379">
        <v>12149.24</v>
      </c>
      <c r="U555" s="379">
        <v>0</v>
      </c>
      <c r="V555" s="379">
        <v>4245.57</v>
      </c>
      <c r="W555" s="379">
        <v>12629.76</v>
      </c>
      <c r="X555" s="379">
        <v>4443.57</v>
      </c>
      <c r="Y555" s="379">
        <v>12629.76</v>
      </c>
      <c r="Z555" s="379">
        <v>4382.9399999999996</v>
      </c>
      <c r="AA555" s="375" t="s">
        <v>1617</v>
      </c>
      <c r="AB555" s="375" t="s">
        <v>255</v>
      </c>
      <c r="AC555" s="375" t="s">
        <v>1618</v>
      </c>
      <c r="AD555" s="375" t="s">
        <v>316</v>
      </c>
      <c r="AE555" s="375" t="s">
        <v>612</v>
      </c>
      <c r="AF555" s="375" t="s">
        <v>374</v>
      </c>
      <c r="AG555" s="375" t="s">
        <v>183</v>
      </c>
      <c r="AH555" s="380">
        <v>40.479999999999997</v>
      </c>
      <c r="AI555" s="378">
        <v>42184</v>
      </c>
      <c r="AJ555" s="375" t="s">
        <v>184</v>
      </c>
      <c r="AK555" s="375" t="s">
        <v>185</v>
      </c>
      <c r="AL555" s="375" t="s">
        <v>173</v>
      </c>
      <c r="AM555" s="375" t="s">
        <v>186</v>
      </c>
      <c r="AN555" s="375" t="s">
        <v>68</v>
      </c>
      <c r="AO555" s="378">
        <v>80</v>
      </c>
      <c r="AP555" s="384">
        <v>1</v>
      </c>
      <c r="AQ555" s="384">
        <v>0.15</v>
      </c>
      <c r="AR555" s="383" t="s">
        <v>187</v>
      </c>
      <c r="AS555" s="386">
        <f t="shared" si="379"/>
        <v>0.15</v>
      </c>
      <c r="AT555">
        <f t="shared" si="380"/>
        <v>1</v>
      </c>
      <c r="AU555" s="386">
        <f>IF(AT555=0,"",IF(AND(AT555=1,M555="F",SUMIF(C2:C557,C555,AS2:AS557)&lt;=1),SUMIF(C2:C557,C555,AS2:AS557),IF(AND(AT555=1,M555="F",SUMIF(C2:C557,C555,AS2:AS557)&gt;1),1,"")))</f>
        <v>1</v>
      </c>
      <c r="AV555" s="386" t="str">
        <f>IF(AT555=0,"",IF(AND(AT555=3,M555="F",SUMIF(C2:C557,C555,AS2:AS557)&lt;=1),SUMIF(C2:C557,C555,AS2:AS557),IF(AND(AT555=3,M555="F",SUMIF(C2:C557,C555,AS2:AS557)&gt;1),1,"")))</f>
        <v/>
      </c>
      <c r="AW555" s="386">
        <f>SUMIF(C2:C557,C555,O2:O557)</f>
        <v>2</v>
      </c>
      <c r="AX555" s="386">
        <f>IF(AND(M555="F",AS555&lt;&gt;0),SUMIF(C2:C557,C555,W2:W557),0)</f>
        <v>84198.399999999994</v>
      </c>
      <c r="AY555" s="386">
        <f t="shared" si="381"/>
        <v>12629.76</v>
      </c>
      <c r="AZ555" s="386" t="str">
        <f t="shared" si="382"/>
        <v/>
      </c>
      <c r="BA555" s="386">
        <f t="shared" si="383"/>
        <v>0</v>
      </c>
      <c r="BB555" s="386">
        <f t="shared" si="352"/>
        <v>1747.5</v>
      </c>
      <c r="BC555" s="386">
        <f t="shared" si="353"/>
        <v>0</v>
      </c>
      <c r="BD555" s="386">
        <f t="shared" si="354"/>
        <v>783.04512</v>
      </c>
      <c r="BE555" s="386">
        <f t="shared" si="355"/>
        <v>183.13152000000002</v>
      </c>
      <c r="BF555" s="386">
        <f t="shared" si="356"/>
        <v>1507.9933440000002</v>
      </c>
      <c r="BG555" s="386">
        <f t="shared" si="357"/>
        <v>91.060569600000008</v>
      </c>
      <c r="BH555" s="386">
        <f t="shared" si="358"/>
        <v>61.885824</v>
      </c>
      <c r="BI555" s="386">
        <f t="shared" si="359"/>
        <v>38.647065599999998</v>
      </c>
      <c r="BJ555" s="386">
        <f t="shared" si="360"/>
        <v>30.311423999999999</v>
      </c>
      <c r="BK555" s="386">
        <f t="shared" si="361"/>
        <v>0</v>
      </c>
      <c r="BL555" s="386">
        <f t="shared" si="384"/>
        <v>2696.0748672000004</v>
      </c>
      <c r="BM555" s="386">
        <f t="shared" si="385"/>
        <v>0</v>
      </c>
      <c r="BN555" s="386">
        <f t="shared" si="362"/>
        <v>1747.5</v>
      </c>
      <c r="BO555" s="386">
        <f t="shared" si="363"/>
        <v>0</v>
      </c>
      <c r="BP555" s="386">
        <f t="shared" si="364"/>
        <v>783.04512</v>
      </c>
      <c r="BQ555" s="386">
        <f t="shared" si="365"/>
        <v>183.13152000000002</v>
      </c>
      <c r="BR555" s="386">
        <f t="shared" si="366"/>
        <v>1507.9933440000002</v>
      </c>
      <c r="BS555" s="386">
        <f t="shared" si="367"/>
        <v>91.060569600000008</v>
      </c>
      <c r="BT555" s="386">
        <f t="shared" si="368"/>
        <v>0</v>
      </c>
      <c r="BU555" s="386">
        <f t="shared" si="369"/>
        <v>38.647065599999998</v>
      </c>
      <c r="BV555" s="386">
        <f t="shared" si="370"/>
        <v>31.574400000000001</v>
      </c>
      <c r="BW555" s="386">
        <f t="shared" si="371"/>
        <v>0</v>
      </c>
      <c r="BX555" s="386">
        <f t="shared" si="386"/>
        <v>2635.4520192000004</v>
      </c>
      <c r="BY555" s="386">
        <f t="shared" si="387"/>
        <v>0</v>
      </c>
      <c r="BZ555" s="386">
        <f t="shared" si="388"/>
        <v>0</v>
      </c>
      <c r="CA555" s="386">
        <f t="shared" si="389"/>
        <v>0</v>
      </c>
      <c r="CB555" s="386">
        <f t="shared" si="390"/>
        <v>0</v>
      </c>
      <c r="CC555" s="386">
        <f t="shared" si="372"/>
        <v>0</v>
      </c>
      <c r="CD555" s="386">
        <f t="shared" si="373"/>
        <v>0</v>
      </c>
      <c r="CE555" s="386">
        <f t="shared" si="374"/>
        <v>0</v>
      </c>
      <c r="CF555" s="386">
        <f t="shared" si="375"/>
        <v>-61.885824</v>
      </c>
      <c r="CG555" s="386">
        <f t="shared" si="376"/>
        <v>0</v>
      </c>
      <c r="CH555" s="386">
        <f t="shared" si="377"/>
        <v>1.2629760000000034</v>
      </c>
      <c r="CI555" s="386">
        <f t="shared" si="378"/>
        <v>0</v>
      </c>
      <c r="CJ555" s="386">
        <f t="shared" si="391"/>
        <v>-60.622847999999998</v>
      </c>
      <c r="CK555" s="386" t="str">
        <f t="shared" si="392"/>
        <v/>
      </c>
      <c r="CL555" s="386" t="str">
        <f t="shared" si="393"/>
        <v/>
      </c>
      <c r="CM555" s="386" t="str">
        <f t="shared" si="394"/>
        <v/>
      </c>
      <c r="CN555" s="386" t="str">
        <f t="shared" si="395"/>
        <v>0338-02</v>
      </c>
    </row>
    <row r="556" spans="1:92" ht="15.75" thickBot="1" x14ac:dyDescent="0.3">
      <c r="A556" s="375" t="s">
        <v>161</v>
      </c>
      <c r="B556" s="375" t="s">
        <v>162</v>
      </c>
      <c r="C556" s="375" t="s">
        <v>1931</v>
      </c>
      <c r="D556" s="375" t="s">
        <v>1598</v>
      </c>
      <c r="E556" s="375" t="s">
        <v>526</v>
      </c>
      <c r="F556" s="381" t="s">
        <v>529</v>
      </c>
      <c r="G556" s="375" t="s">
        <v>1599</v>
      </c>
      <c r="H556" s="377"/>
      <c r="I556" s="377"/>
      <c r="J556" s="375" t="s">
        <v>168</v>
      </c>
      <c r="K556" s="375" t="s">
        <v>1600</v>
      </c>
      <c r="L556" s="375" t="s">
        <v>233</v>
      </c>
      <c r="M556" s="375" t="s">
        <v>177</v>
      </c>
      <c r="N556" s="375" t="s">
        <v>199</v>
      </c>
      <c r="O556" s="378">
        <v>1</v>
      </c>
      <c r="P556" s="384">
        <v>1</v>
      </c>
      <c r="Q556" s="384">
        <v>1</v>
      </c>
      <c r="R556" s="379">
        <v>80</v>
      </c>
      <c r="S556" s="384">
        <v>1</v>
      </c>
      <c r="T556" s="379">
        <v>35481.199999999997</v>
      </c>
      <c r="U556" s="379">
        <v>0</v>
      </c>
      <c r="V556" s="379">
        <v>18375.43</v>
      </c>
      <c r="W556" s="379">
        <v>39582.400000000001</v>
      </c>
      <c r="X556" s="379">
        <v>20099.61</v>
      </c>
      <c r="Y556" s="379">
        <v>39582.400000000001</v>
      </c>
      <c r="Z556" s="379">
        <v>19909.62</v>
      </c>
      <c r="AA556" s="375" t="s">
        <v>1932</v>
      </c>
      <c r="AB556" s="375" t="s">
        <v>1933</v>
      </c>
      <c r="AC556" s="375" t="s">
        <v>1934</v>
      </c>
      <c r="AD556" s="375" t="s">
        <v>194</v>
      </c>
      <c r="AE556" s="375" t="s">
        <v>1600</v>
      </c>
      <c r="AF556" s="375" t="s">
        <v>237</v>
      </c>
      <c r="AG556" s="375" t="s">
        <v>183</v>
      </c>
      <c r="AH556" s="380">
        <v>19.03</v>
      </c>
      <c r="AI556" s="380">
        <v>4020.5</v>
      </c>
      <c r="AJ556" s="375" t="s">
        <v>184</v>
      </c>
      <c r="AK556" s="375" t="s">
        <v>185</v>
      </c>
      <c r="AL556" s="375" t="s">
        <v>173</v>
      </c>
      <c r="AM556" s="375" t="s">
        <v>186</v>
      </c>
      <c r="AN556" s="375" t="s">
        <v>68</v>
      </c>
      <c r="AO556" s="378">
        <v>80</v>
      </c>
      <c r="AP556" s="384">
        <v>1</v>
      </c>
      <c r="AQ556" s="384">
        <v>1</v>
      </c>
      <c r="AR556" s="383" t="s">
        <v>187</v>
      </c>
      <c r="AS556" s="386">
        <f t="shared" si="379"/>
        <v>1</v>
      </c>
      <c r="AT556">
        <f t="shared" si="380"/>
        <v>1</v>
      </c>
      <c r="AU556" s="386">
        <f>IF(AT556=0,"",IF(AND(AT556=1,M556="F",SUMIF(C2:C557,C556,AS2:AS557)&lt;=1),SUMIF(C2:C557,C556,AS2:AS557),IF(AND(AT556=1,M556="F",SUMIF(C2:C557,C556,AS2:AS557)&gt;1),1,"")))</f>
        <v>1</v>
      </c>
      <c r="AV556" s="386" t="str">
        <f>IF(AT556=0,"",IF(AND(AT556=3,M556="F",SUMIF(C2:C557,C556,AS2:AS557)&lt;=1),SUMIF(C2:C557,C556,AS2:AS557),IF(AND(AT556=3,M556="F",SUMIF(C2:C557,C556,AS2:AS557)&gt;1),1,"")))</f>
        <v/>
      </c>
      <c r="AW556" s="386">
        <f>SUMIF(C2:C557,C556,O2:O557)</f>
        <v>1</v>
      </c>
      <c r="AX556" s="386">
        <f>IF(AND(M556="F",AS556&lt;&gt;0),SUMIF(C2:C557,C556,W2:W557),0)</f>
        <v>39582.400000000001</v>
      </c>
      <c r="AY556" s="386">
        <f t="shared" si="381"/>
        <v>39582.400000000001</v>
      </c>
      <c r="AZ556" s="386" t="str">
        <f t="shared" si="382"/>
        <v/>
      </c>
      <c r="BA556" s="386">
        <f t="shared" si="383"/>
        <v>0</v>
      </c>
      <c r="BB556" s="386">
        <f t="shared" si="352"/>
        <v>11650</v>
      </c>
      <c r="BC556" s="386">
        <f t="shared" si="353"/>
        <v>0</v>
      </c>
      <c r="BD556" s="386">
        <f t="shared" si="354"/>
        <v>2454.1088</v>
      </c>
      <c r="BE556" s="386">
        <f t="shared" si="355"/>
        <v>573.9448000000001</v>
      </c>
      <c r="BF556" s="386">
        <f t="shared" si="356"/>
        <v>4726.1385600000003</v>
      </c>
      <c r="BG556" s="386">
        <f t="shared" si="357"/>
        <v>285.38910400000003</v>
      </c>
      <c r="BH556" s="386">
        <f t="shared" si="358"/>
        <v>193.95375999999999</v>
      </c>
      <c r="BI556" s="386">
        <f t="shared" si="359"/>
        <v>121.12214399999999</v>
      </c>
      <c r="BJ556" s="386">
        <f t="shared" si="360"/>
        <v>94.99776</v>
      </c>
      <c r="BK556" s="386">
        <f t="shared" si="361"/>
        <v>0</v>
      </c>
      <c r="BL556" s="386">
        <f t="shared" si="384"/>
        <v>8449.6549280000017</v>
      </c>
      <c r="BM556" s="386">
        <f t="shared" si="385"/>
        <v>0</v>
      </c>
      <c r="BN556" s="386">
        <f t="shared" si="362"/>
        <v>11650</v>
      </c>
      <c r="BO556" s="386">
        <f t="shared" si="363"/>
        <v>0</v>
      </c>
      <c r="BP556" s="386">
        <f t="shared" si="364"/>
        <v>2454.1088</v>
      </c>
      <c r="BQ556" s="386">
        <f t="shared" si="365"/>
        <v>573.9448000000001</v>
      </c>
      <c r="BR556" s="386">
        <f t="shared" si="366"/>
        <v>4726.1385600000003</v>
      </c>
      <c r="BS556" s="386">
        <f t="shared" si="367"/>
        <v>285.38910400000003</v>
      </c>
      <c r="BT556" s="386">
        <f t="shared" si="368"/>
        <v>0</v>
      </c>
      <c r="BU556" s="386">
        <f t="shared" si="369"/>
        <v>121.12214399999999</v>
      </c>
      <c r="BV556" s="386">
        <f t="shared" si="370"/>
        <v>98.956000000000003</v>
      </c>
      <c r="BW556" s="386">
        <f t="shared" si="371"/>
        <v>0</v>
      </c>
      <c r="BX556" s="386">
        <f t="shared" si="386"/>
        <v>8259.6594079999995</v>
      </c>
      <c r="BY556" s="386">
        <f t="shared" si="387"/>
        <v>0</v>
      </c>
      <c r="BZ556" s="386">
        <f t="shared" si="388"/>
        <v>0</v>
      </c>
      <c r="CA556" s="386">
        <f t="shared" si="389"/>
        <v>0</v>
      </c>
      <c r="CB556" s="386">
        <f t="shared" si="390"/>
        <v>0</v>
      </c>
      <c r="CC556" s="386">
        <f t="shared" si="372"/>
        <v>0</v>
      </c>
      <c r="CD556" s="386">
        <f t="shared" si="373"/>
        <v>0</v>
      </c>
      <c r="CE556" s="386">
        <f t="shared" si="374"/>
        <v>0</v>
      </c>
      <c r="CF556" s="386">
        <f t="shared" si="375"/>
        <v>-193.95375999999999</v>
      </c>
      <c r="CG556" s="386">
        <f t="shared" si="376"/>
        <v>0</v>
      </c>
      <c r="CH556" s="386">
        <f t="shared" si="377"/>
        <v>3.9582400000000106</v>
      </c>
      <c r="CI556" s="386">
        <f t="shared" si="378"/>
        <v>0</v>
      </c>
      <c r="CJ556" s="386">
        <f t="shared" si="391"/>
        <v>-189.99551999999997</v>
      </c>
      <c r="CK556" s="386" t="str">
        <f t="shared" si="392"/>
        <v/>
      </c>
      <c r="CL556" s="386" t="str">
        <f t="shared" si="393"/>
        <v/>
      </c>
      <c r="CM556" s="386" t="str">
        <f t="shared" si="394"/>
        <v/>
      </c>
      <c r="CN556" s="386" t="str">
        <f t="shared" si="395"/>
        <v>0338-02</v>
      </c>
    </row>
    <row r="557" spans="1:92" ht="15.75" thickBot="1" x14ac:dyDescent="0.3">
      <c r="A557" s="375" t="s">
        <v>161</v>
      </c>
      <c r="B557" s="375" t="s">
        <v>162</v>
      </c>
      <c r="C557" s="375" t="s">
        <v>1935</v>
      </c>
      <c r="D557" s="375" t="s">
        <v>1598</v>
      </c>
      <c r="E557" s="375" t="s">
        <v>526</v>
      </c>
      <c r="F557" s="381" t="s">
        <v>529</v>
      </c>
      <c r="G557" s="375" t="s">
        <v>1599</v>
      </c>
      <c r="H557" s="377"/>
      <c r="I557" s="377"/>
      <c r="J557" s="375" t="s">
        <v>168</v>
      </c>
      <c r="K557" s="375" t="s">
        <v>1600</v>
      </c>
      <c r="L557" s="375" t="s">
        <v>233</v>
      </c>
      <c r="M557" s="375" t="s">
        <v>177</v>
      </c>
      <c r="N557" s="375" t="s">
        <v>199</v>
      </c>
      <c r="O557" s="378">
        <v>1</v>
      </c>
      <c r="P557" s="384">
        <v>1</v>
      </c>
      <c r="Q557" s="384">
        <v>1</v>
      </c>
      <c r="R557" s="379">
        <v>80</v>
      </c>
      <c r="S557" s="384">
        <v>1</v>
      </c>
      <c r="T557" s="379">
        <v>19814.419999999998</v>
      </c>
      <c r="U557" s="379">
        <v>0</v>
      </c>
      <c r="V557" s="379">
        <v>10424.89</v>
      </c>
      <c r="W557" s="379">
        <v>40081.599999999999</v>
      </c>
      <c r="X557" s="379">
        <v>20206.169999999998</v>
      </c>
      <c r="Y557" s="379">
        <v>40081.599999999999</v>
      </c>
      <c r="Z557" s="379">
        <v>20013.79</v>
      </c>
      <c r="AA557" s="375" t="s">
        <v>1936</v>
      </c>
      <c r="AB557" s="375" t="s">
        <v>1937</v>
      </c>
      <c r="AC557" s="375" t="s">
        <v>1938</v>
      </c>
      <c r="AD557" s="375" t="s">
        <v>181</v>
      </c>
      <c r="AE557" s="375" t="s">
        <v>1600</v>
      </c>
      <c r="AF557" s="375" t="s">
        <v>237</v>
      </c>
      <c r="AG557" s="375" t="s">
        <v>183</v>
      </c>
      <c r="AH557" s="380">
        <v>19.27</v>
      </c>
      <c r="AI557" s="378">
        <v>14700</v>
      </c>
      <c r="AJ557" s="375" t="s">
        <v>184</v>
      </c>
      <c r="AK557" s="375" t="s">
        <v>185</v>
      </c>
      <c r="AL557" s="375" t="s">
        <v>173</v>
      </c>
      <c r="AM557" s="375" t="s">
        <v>186</v>
      </c>
      <c r="AN557" s="375" t="s">
        <v>68</v>
      </c>
      <c r="AO557" s="378">
        <v>80</v>
      </c>
      <c r="AP557" s="384">
        <v>1</v>
      </c>
      <c r="AQ557" s="384">
        <v>1</v>
      </c>
      <c r="AR557" s="383" t="s">
        <v>187</v>
      </c>
      <c r="AS557" s="386">
        <f t="shared" si="379"/>
        <v>1</v>
      </c>
      <c r="AT557">
        <f t="shared" si="380"/>
        <v>1</v>
      </c>
      <c r="AU557" s="386">
        <f>IF(AT557=0,"",IF(AND(AT557=1,M557="F",SUMIF(C2:C557,C557,AS2:AS557)&lt;=1),SUMIF(C2:C557,C557,AS2:AS557),IF(AND(AT557=1,M557="F",SUMIF(C2:C557,C557,AS2:AS557)&gt;1),1,"")))</f>
        <v>1</v>
      </c>
      <c r="AV557" s="386" t="str">
        <f>IF(AT557=0,"",IF(AND(AT557=3,M557="F",SUMIF(C2:C557,C557,AS2:AS557)&lt;=1),SUMIF(C2:C557,C557,AS2:AS557),IF(AND(AT557=3,M557="F",SUMIF(C2:C557,C557,AS2:AS557)&gt;1),1,"")))</f>
        <v/>
      </c>
      <c r="AW557" s="386">
        <f>SUMIF(C2:C557,C557,O2:O557)</f>
        <v>1</v>
      </c>
      <c r="AX557" s="386">
        <f>IF(AND(M557="F",AS557&lt;&gt;0),SUMIF(C2:C557,C557,W2:W557),0)</f>
        <v>40081.599999999999</v>
      </c>
      <c r="AY557" s="386">
        <f t="shared" si="381"/>
        <v>40081.599999999999</v>
      </c>
      <c r="AZ557" s="386" t="str">
        <f t="shared" si="382"/>
        <v/>
      </c>
      <c r="BA557" s="386">
        <f t="shared" si="383"/>
        <v>0</v>
      </c>
      <c r="BB557" s="386">
        <f t="shared" si="352"/>
        <v>11650</v>
      </c>
      <c r="BC557" s="386">
        <f t="shared" si="353"/>
        <v>0</v>
      </c>
      <c r="BD557" s="386">
        <f t="shared" si="354"/>
        <v>2485.0591999999997</v>
      </c>
      <c r="BE557" s="386">
        <f t="shared" si="355"/>
        <v>581.18320000000006</v>
      </c>
      <c r="BF557" s="386">
        <f t="shared" si="356"/>
        <v>4785.7430400000003</v>
      </c>
      <c r="BG557" s="386">
        <f t="shared" si="357"/>
        <v>288.988336</v>
      </c>
      <c r="BH557" s="386">
        <f t="shared" si="358"/>
        <v>196.39983999999998</v>
      </c>
      <c r="BI557" s="386">
        <f t="shared" si="359"/>
        <v>122.64969599999999</v>
      </c>
      <c r="BJ557" s="386">
        <f t="shared" si="360"/>
        <v>96.19583999999999</v>
      </c>
      <c r="BK557" s="386">
        <f t="shared" si="361"/>
        <v>0</v>
      </c>
      <c r="BL557" s="386">
        <f t="shared" si="384"/>
        <v>8556.2191520000015</v>
      </c>
      <c r="BM557" s="386">
        <f t="shared" si="385"/>
        <v>0</v>
      </c>
      <c r="BN557" s="386">
        <f t="shared" si="362"/>
        <v>11650</v>
      </c>
      <c r="BO557" s="386">
        <f t="shared" si="363"/>
        <v>0</v>
      </c>
      <c r="BP557" s="386">
        <f t="shared" si="364"/>
        <v>2485.0591999999997</v>
      </c>
      <c r="BQ557" s="386">
        <f t="shared" si="365"/>
        <v>581.18320000000006</v>
      </c>
      <c r="BR557" s="386">
        <f t="shared" si="366"/>
        <v>4785.7430400000003</v>
      </c>
      <c r="BS557" s="386">
        <f t="shared" si="367"/>
        <v>288.988336</v>
      </c>
      <c r="BT557" s="386">
        <f t="shared" si="368"/>
        <v>0</v>
      </c>
      <c r="BU557" s="386">
        <f t="shared" si="369"/>
        <v>122.64969599999999</v>
      </c>
      <c r="BV557" s="386">
        <f t="shared" si="370"/>
        <v>100.20399999999999</v>
      </c>
      <c r="BW557" s="386">
        <f t="shared" si="371"/>
        <v>0</v>
      </c>
      <c r="BX557" s="386">
        <f t="shared" si="386"/>
        <v>8363.8274720000009</v>
      </c>
      <c r="BY557" s="386">
        <f t="shared" si="387"/>
        <v>0</v>
      </c>
      <c r="BZ557" s="386">
        <f t="shared" si="388"/>
        <v>0</v>
      </c>
      <c r="CA557" s="386">
        <f t="shared" si="389"/>
        <v>0</v>
      </c>
      <c r="CB557" s="386">
        <f t="shared" si="390"/>
        <v>0</v>
      </c>
      <c r="CC557" s="386">
        <f t="shared" si="372"/>
        <v>0</v>
      </c>
      <c r="CD557" s="386">
        <f t="shared" si="373"/>
        <v>0</v>
      </c>
      <c r="CE557" s="386">
        <f t="shared" si="374"/>
        <v>0</v>
      </c>
      <c r="CF557" s="386">
        <f t="shared" si="375"/>
        <v>-196.39983999999998</v>
      </c>
      <c r="CG557" s="386">
        <f t="shared" si="376"/>
        <v>0</v>
      </c>
      <c r="CH557" s="386">
        <f t="shared" si="377"/>
        <v>4.0081600000000099</v>
      </c>
      <c r="CI557" s="386">
        <f t="shared" si="378"/>
        <v>0</v>
      </c>
      <c r="CJ557" s="386">
        <f t="shared" si="391"/>
        <v>-192.39167999999998</v>
      </c>
      <c r="CK557" s="386" t="str">
        <f t="shared" si="392"/>
        <v/>
      </c>
      <c r="CL557" s="386" t="str">
        <f t="shared" si="393"/>
        <v/>
      </c>
      <c r="CM557" s="386" t="str">
        <f t="shared" si="394"/>
        <v/>
      </c>
      <c r="CN557" s="386" t="str">
        <f t="shared" si="395"/>
        <v>0338-02</v>
      </c>
    </row>
    <row r="559" spans="1:92" ht="21" x14ac:dyDescent="0.35">
      <c r="AQ559" s="251" t="s">
        <v>2045</v>
      </c>
    </row>
    <row r="560" spans="1:92" ht="15.75" thickBot="1" x14ac:dyDescent="0.3">
      <c r="AR560" t="s">
        <v>1987</v>
      </c>
      <c r="AS560" s="386">
        <f>SUMIFS(AS2:AS557,G2:G557,"TAAA",E2:E557,"0001",F2:F557,"00",AT2:AT557,1)</f>
        <v>51.050000000000004</v>
      </c>
      <c r="AT560" s="386">
        <f>SUMIFS(AS2:AS557,G2:G557,"TAAA",E2:E557,"0001",F2:F557,"00",AT2:AT557,3)</f>
        <v>3</v>
      </c>
      <c r="AU560" s="386">
        <f>SUMIFS(AU2:AU557,G2:G557,"TAAA",E2:E557,"0001",F2:F557,"00")</f>
        <v>54</v>
      </c>
      <c r="AV560" s="386">
        <f>SUMIFS(AV2:AV557,G2:G557,"TAAA",E2:E557,"0001",F2:F557,"00")</f>
        <v>3</v>
      </c>
      <c r="AW560" s="386">
        <f>SUMIFS(AW2:AW557,G2:G557,"TAAA",E2:E557,"0001",F2:F557,"00")</f>
        <v>97</v>
      </c>
      <c r="AX560" s="386">
        <f>SUMIFS(AX2:AX557,G2:G557,"TAAA",E2:E557,"0001",F2:F557,"00")</f>
        <v>3535851.1999999997</v>
      </c>
      <c r="AY560" s="386">
        <f>SUMIFS(AY2:AY557,G2:G557,"TAAA",E2:E557,"0001",F2:F557,"00")</f>
        <v>3013384.3999999994</v>
      </c>
      <c r="AZ560" s="386">
        <f>SUMIFS(AZ2:AZ557,G2:G557,"TAAA",E2:E557,"0001",F2:F557,"00")</f>
        <v>318216</v>
      </c>
      <c r="BA560" s="386">
        <f>SUMIFS(BA2:BA557,G2:G557,"TAAA",E2:E557,"0001",F2:F557,"00")</f>
        <v>0</v>
      </c>
      <c r="BB560" s="386">
        <f>SUMIFS(BB2:BB557,G2:G557,"TAAA",E2:E557,"0001",F2:F557,"00")</f>
        <v>594732.5</v>
      </c>
      <c r="BC560" s="386">
        <f>SUMIFS(BC2:BC557,G2:G557,"TAAA",E2:E557,"0001",F2:F557,"00")</f>
        <v>34950</v>
      </c>
      <c r="BD560" s="386">
        <f>SUMIFS(BD2:BD557,G2:G557,"TAAA",E2:E557,"0001",F2:F557,"00")</f>
        <v>206130.03600000005</v>
      </c>
      <c r="BE560" s="386">
        <f>SUMIFS(BE2:BE557,G2:G557,"TAAA",E2:E557,"0001",F2:F557,"00")</f>
        <v>48308.205799999996</v>
      </c>
      <c r="BF560" s="386">
        <f>SUMIFS(BF2:BF557,G2:G557,"TAAA",E2:E557,"0001",F2:F557,"00")</f>
        <v>397793.08776000014</v>
      </c>
      <c r="BG560" s="386">
        <f>SUMIFS(BG2:BG557,G2:G557,"TAAA",E2:E557,"0001",F2:F557,"00")</f>
        <v>24020.838883999993</v>
      </c>
      <c r="BH560" s="386">
        <f>SUMIFS(BH2:BH557,G2:G557,"TAAA",E2:E557,"0001",F2:F557,"00")</f>
        <v>14056.933800000001</v>
      </c>
      <c r="BI560" s="386">
        <f>SUMIFS(BI2:BI557,G2:G557,"TAAA",E2:E557,"0001",F2:F557,"00")</f>
        <v>8412.3720719999983</v>
      </c>
      <c r="BJ560" s="386">
        <f>SUMIFS(BJ2:BJ557,G2:G557,"TAAA",E2:E557,"0001",F2:F557,"00")</f>
        <v>7995.8409599999995</v>
      </c>
      <c r="BK560" s="386">
        <f>SUMIFS(BK2:BK557,G2:G557,"TAAA",E2:E557,"0001",F2:F557,"00")</f>
        <v>0</v>
      </c>
      <c r="BL560" s="386">
        <f>SUMIFS(BL2:BL557,G2:G557,"TAAA",E2:E557,"0001",F2:F557,"00")</f>
        <v>641320.74511600006</v>
      </c>
      <c r="BM560" s="386">
        <f>SUMIFS(BM2:BM557,G2:G557,"TAAA",E2:E557,"0001",F2:F557,"00")</f>
        <v>65396.57016000001</v>
      </c>
      <c r="BN560" s="386">
        <f>SUMIFS(BN2:BN557,G2:G557,"TAAA",E2:E557,"0001",F2:F557,"00")</f>
        <v>594732.5</v>
      </c>
      <c r="BO560" s="386">
        <f>SUMIFS(BO2:BO557,G2:G557,"TAAA",E2:E557,"0001",F2:F557,"00")</f>
        <v>34950</v>
      </c>
      <c r="BP560" s="386">
        <f>SUMIFS(BP2:BP557,G2:G557,"TAAA",E2:E557,"0001",F2:F557,"00")</f>
        <v>206446.23600000006</v>
      </c>
      <c r="BQ560" s="386">
        <f>SUMIFS(BQ2:BQ557,G2:G557,"TAAA",E2:E557,"0001",F2:F557,"00")</f>
        <v>48308.205799999996</v>
      </c>
      <c r="BR560" s="386">
        <f>SUMIFS(BR2:BR557,G2:G557,"TAAA",E2:E557,"0001",F2:F557,"00")</f>
        <v>397793.08776000014</v>
      </c>
      <c r="BS560" s="386">
        <f>SUMIFS(BS2:BS557,G2:G557,"TAAA",E2:E557,"0001",F2:F557,"00")</f>
        <v>24020.838883999993</v>
      </c>
      <c r="BT560" s="386">
        <f>SUMIFS(BT2:BT557,G2:G557,"TAAA",E2:E557,"0001",F2:F557,"00")</f>
        <v>0</v>
      </c>
      <c r="BU560" s="386">
        <f>SUMIFS(BU2:BU557,G2:G557,"TAAA",E2:E557,"0001",F2:F557,"00")</f>
        <v>8412.3720719999983</v>
      </c>
      <c r="BV560" s="386">
        <f>SUMIFS(BV2:BV557,G2:G557,"TAAA",E2:E557,"0001",F2:F557,"00")</f>
        <v>8329.0010000000002</v>
      </c>
      <c r="BW560" s="386">
        <f>SUMIFS(BW2:BW557,G2:G557,"TAAA",E2:E557,"0001",F2:F557,"00")</f>
        <v>0</v>
      </c>
      <c r="BX560" s="386">
        <f>SUMIFS(BX2:BX557,G2:G557,"TAAA",E2:E557,"0001",F2:F557,"00")</f>
        <v>627881.34975600021</v>
      </c>
      <c r="BY560" s="386">
        <f>SUMIFS(BY2:BY557,G2:G557,"TAAA",E2:E557,"0001",F2:F557,"00")</f>
        <v>65428.391760000006</v>
      </c>
      <c r="BZ560" s="386">
        <f>SUMIFS(BZ2:BZ557,G2:G557,"TAAA",E2:E557,"0001",F2:F557,"00")</f>
        <v>0</v>
      </c>
      <c r="CA560" s="386">
        <f>SUMIFS(CA2:CA557,G2:G557,"TAAA",E2:E557,"0001",F2:F557,"00")</f>
        <v>0</v>
      </c>
      <c r="CB560" s="386">
        <f>SUMIFS(CB2:CB557,G2:G557,"TAAA",E2:E557,"0001",F2:F557,"00")</f>
        <v>316.20000000000073</v>
      </c>
      <c r="CC560" s="386">
        <f>SUMIFS(CC2:CC557,G2:G557,"TAAA",E2:E557,"0001",F2:F557,"00")</f>
        <v>0</v>
      </c>
      <c r="CD560" s="386">
        <f>SUMIFS(CD2:CD557,G2:G557,"TAAA",E2:E557,"0001",F2:F557,"00")</f>
        <v>0</v>
      </c>
      <c r="CE560" s="386">
        <f>SUMIFS(CE2:CE557,G2:G557,"TAAA",E2:E557,"0001",F2:F557,"00")</f>
        <v>0</v>
      </c>
      <c r="CF560" s="386">
        <f>SUMIFS(CF2:CF557,G2:G557,"TAAA",E2:E557,"0001",F2:F557,"00")</f>
        <v>-14056.933800000001</v>
      </c>
      <c r="CG560" s="386">
        <f>SUMIFS(CG2:CG557,G2:G557,"TAAA",E2:E557,"0001",F2:F557,"00")</f>
        <v>0</v>
      </c>
      <c r="CH560" s="386">
        <f>SUMIFS(CH2:CH557,G2:G557,"TAAA",E2:E557,"0001",F2:F557,"00")</f>
        <v>333.16004000000095</v>
      </c>
      <c r="CI560" s="386">
        <f>SUMIFS(CI2:CI557,G2:G557,"TAAA",E2:E557,"0001",F2:F557,"00")</f>
        <v>0</v>
      </c>
      <c r="CJ560" s="386">
        <f>SUMIFS(CJ2:CJ557,G2:G557,"TAAA",E2:E557,"0001",F2:F557,"00")</f>
        <v>-13439.395359999997</v>
      </c>
      <c r="CK560" s="386">
        <f>SUMIFS(CK2:CK557,G2:G557,"TAAA",E2:E557,"0001",F2:F557,"00")</f>
        <v>31.821600000000082</v>
      </c>
      <c r="CL560" s="386">
        <f>SUMIFS(CL2:CL557,G2:G557,"TAAA",E2:E557,"0001",F2:F557,"00")</f>
        <v>104419.26000000001</v>
      </c>
      <c r="CM560" s="386">
        <f>SUMIFS(CM2:CM557,G2:G557,"TAAA",E2:E557,"0001",F2:F557,"00")</f>
        <v>18120.04</v>
      </c>
    </row>
    <row r="561" spans="43:91" ht="18.75" x14ac:dyDescent="0.3">
      <c r="AQ561" s="392" t="s">
        <v>1988</v>
      </c>
      <c r="AS561" s="393">
        <f t="shared" ref="AS561:CM561" si="396">SUM(AS560:AS560)</f>
        <v>51.050000000000004</v>
      </c>
      <c r="AT561" s="393">
        <f t="shared" si="396"/>
        <v>3</v>
      </c>
      <c r="AU561" s="393">
        <f t="shared" si="396"/>
        <v>54</v>
      </c>
      <c r="AV561" s="393">
        <f t="shared" si="396"/>
        <v>3</v>
      </c>
      <c r="AW561" s="393">
        <f t="shared" si="396"/>
        <v>97</v>
      </c>
      <c r="AX561" s="393">
        <f t="shared" si="396"/>
        <v>3535851.1999999997</v>
      </c>
      <c r="AY561" s="393">
        <f t="shared" si="396"/>
        <v>3013384.3999999994</v>
      </c>
      <c r="AZ561" s="393">
        <f t="shared" si="396"/>
        <v>318216</v>
      </c>
      <c r="BA561" s="393">
        <f t="shared" si="396"/>
        <v>0</v>
      </c>
      <c r="BB561" s="393">
        <f t="shared" si="396"/>
        <v>594732.5</v>
      </c>
      <c r="BC561" s="393">
        <f t="shared" si="396"/>
        <v>34950</v>
      </c>
      <c r="BD561" s="393">
        <f t="shared" si="396"/>
        <v>206130.03600000005</v>
      </c>
      <c r="BE561" s="393">
        <f t="shared" si="396"/>
        <v>48308.205799999996</v>
      </c>
      <c r="BF561" s="393">
        <f t="shared" si="396"/>
        <v>397793.08776000014</v>
      </c>
      <c r="BG561" s="393">
        <f t="shared" si="396"/>
        <v>24020.838883999993</v>
      </c>
      <c r="BH561" s="393">
        <f t="shared" si="396"/>
        <v>14056.933800000001</v>
      </c>
      <c r="BI561" s="393">
        <f t="shared" si="396"/>
        <v>8412.3720719999983</v>
      </c>
      <c r="BJ561" s="393">
        <f t="shared" si="396"/>
        <v>7995.8409599999995</v>
      </c>
      <c r="BK561" s="393">
        <f t="shared" si="396"/>
        <v>0</v>
      </c>
      <c r="BL561" s="393">
        <f t="shared" si="396"/>
        <v>641320.74511600006</v>
      </c>
      <c r="BM561" s="393">
        <f t="shared" si="396"/>
        <v>65396.57016000001</v>
      </c>
      <c r="BN561" s="393">
        <f t="shared" si="396"/>
        <v>594732.5</v>
      </c>
      <c r="BO561" s="393">
        <f t="shared" si="396"/>
        <v>34950</v>
      </c>
      <c r="BP561" s="393">
        <f t="shared" si="396"/>
        <v>206446.23600000006</v>
      </c>
      <c r="BQ561" s="393">
        <f t="shared" si="396"/>
        <v>48308.205799999996</v>
      </c>
      <c r="BR561" s="393">
        <f t="shared" si="396"/>
        <v>397793.08776000014</v>
      </c>
      <c r="BS561" s="393">
        <f t="shared" si="396"/>
        <v>24020.838883999993</v>
      </c>
      <c r="BT561" s="393">
        <f t="shared" si="396"/>
        <v>0</v>
      </c>
      <c r="BU561" s="393">
        <f t="shared" si="396"/>
        <v>8412.3720719999983</v>
      </c>
      <c r="BV561" s="393">
        <f t="shared" si="396"/>
        <v>8329.0010000000002</v>
      </c>
      <c r="BW561" s="393">
        <f t="shared" si="396"/>
        <v>0</v>
      </c>
      <c r="BX561" s="393">
        <f t="shared" si="396"/>
        <v>627881.34975600021</v>
      </c>
      <c r="BY561" s="393">
        <f t="shared" si="396"/>
        <v>65428.391760000006</v>
      </c>
      <c r="BZ561" s="393">
        <f t="shared" si="396"/>
        <v>0</v>
      </c>
      <c r="CA561" s="393">
        <f t="shared" si="396"/>
        <v>0</v>
      </c>
      <c r="CB561" s="393">
        <f t="shared" si="396"/>
        <v>316.20000000000073</v>
      </c>
      <c r="CC561" s="393">
        <f t="shared" si="396"/>
        <v>0</v>
      </c>
      <c r="CD561" s="393">
        <f t="shared" si="396"/>
        <v>0</v>
      </c>
      <c r="CE561" s="393">
        <f t="shared" si="396"/>
        <v>0</v>
      </c>
      <c r="CF561" s="393">
        <f t="shared" si="396"/>
        <v>-14056.933800000001</v>
      </c>
      <c r="CG561" s="393">
        <f t="shared" si="396"/>
        <v>0</v>
      </c>
      <c r="CH561" s="393">
        <f t="shared" si="396"/>
        <v>333.16004000000095</v>
      </c>
      <c r="CI561" s="393">
        <f t="shared" si="396"/>
        <v>0</v>
      </c>
      <c r="CJ561" s="393">
        <f t="shared" si="396"/>
        <v>-13439.395359999997</v>
      </c>
      <c r="CK561" s="393">
        <f t="shared" si="396"/>
        <v>31.821600000000082</v>
      </c>
      <c r="CL561" s="393">
        <f t="shared" si="396"/>
        <v>104419.26000000001</v>
      </c>
      <c r="CM561" s="393">
        <f t="shared" si="396"/>
        <v>18120.04</v>
      </c>
    </row>
    <row r="562" spans="43:91" ht="15.75" thickBot="1" x14ac:dyDescent="0.3">
      <c r="AR562" t="s">
        <v>1996</v>
      </c>
      <c r="AS562" s="386">
        <f>SUMIFS(AS2:AS557,G2:G557,"TAAA",E2:E557,"0338",F2:F557,"01",AT2:AT557,1)</f>
        <v>1</v>
      </c>
      <c r="AT562" s="386">
        <f>SUMIFS(AS2:AS557,G2:G557,"TAAA",E2:E557,"0338",F2:F557,"01",AT2:AT557,3)</f>
        <v>0</v>
      </c>
      <c r="AU562" s="386">
        <f>SUMIFS(AU2:AU557,G2:G557,"TAAA",E2:E557,"0338",F2:F557,"01")</f>
        <v>1</v>
      </c>
      <c r="AV562" s="386">
        <f>SUMIFS(AV2:AV557,G2:G557,"TAAA",E2:E557,"0338",F2:F557,"01")</f>
        <v>0</v>
      </c>
      <c r="AW562" s="386">
        <f>SUMIFS(AW2:AW557,G2:G557,"TAAA",E2:E557,"0338",F2:F557,"01")</f>
        <v>16</v>
      </c>
      <c r="AX562" s="386">
        <f>SUMIFS(AX2:AX557,G2:G557,"TAAA",E2:E557,"0338",F2:F557,"01")</f>
        <v>214572.79999999999</v>
      </c>
      <c r="AY562" s="386">
        <f>SUMIFS(AY2:AY557,G2:G557,"TAAA",E2:E557,"0338",F2:F557,"01")</f>
        <v>53643.199999999997</v>
      </c>
      <c r="AZ562" s="386">
        <f>SUMIFS(AZ2:AZ557,G2:G557,"TAAA",E2:E557,"0338",F2:F557,"01")</f>
        <v>0</v>
      </c>
      <c r="BA562" s="386">
        <f>SUMIFS(BA2:BA557,G2:G557,"TAAA",E2:E557,"0338",F2:F557,"01")</f>
        <v>0</v>
      </c>
      <c r="BB562" s="386">
        <f>SUMIFS(BB2:BB557,G2:G557,"TAAA",E2:E557,"0338",F2:F557,"01")</f>
        <v>11650</v>
      </c>
      <c r="BC562" s="386">
        <f>SUMIFS(BC2:BC557,G2:G557,"TAAA",E2:E557,"0338",F2:F557,"01")</f>
        <v>0</v>
      </c>
      <c r="BD562" s="386">
        <f>SUMIFS(BD2:BD557,G2:G557,"TAAA",E2:E557,"0338",F2:F557,"01")</f>
        <v>3325.8783999999996</v>
      </c>
      <c r="BE562" s="386">
        <f>SUMIFS(BE2:BE557,G2:G557,"TAAA",E2:E557,"0338",F2:F557,"01")</f>
        <v>777.82640000000004</v>
      </c>
      <c r="BF562" s="386">
        <f>SUMIFS(BF2:BF557,G2:G557,"TAAA",E2:E557,"0338",F2:F557,"01")</f>
        <v>6404.9980800000003</v>
      </c>
      <c r="BG562" s="386">
        <f>SUMIFS(BG2:BG557,G2:G557,"TAAA",E2:E557,"0338",F2:F557,"01")</f>
        <v>386.767472</v>
      </c>
      <c r="BH562" s="386">
        <f>SUMIFS(BH2:BH557,G2:G557,"TAAA",E2:E557,"0338",F2:F557,"01")</f>
        <v>262.85167999999999</v>
      </c>
      <c r="BI562" s="386">
        <f>SUMIFS(BI2:BI557,G2:G557,"TAAA",E2:E557,"0338",F2:F557,"01")</f>
        <v>164.14819199999997</v>
      </c>
      <c r="BJ562" s="386">
        <f>SUMIFS(BJ2:BJ557,G2:G557,"TAAA",E2:E557,"0338",F2:F557,"01")</f>
        <v>128.74367999999998</v>
      </c>
      <c r="BK562" s="386">
        <f>SUMIFS(BK2:BK557,G2:G557,"TAAA",E2:E557,"0338",F2:F557,"01")</f>
        <v>0</v>
      </c>
      <c r="BL562" s="386">
        <f>SUMIFS(BL2:BL557,G2:G557,"TAAA",E2:E557,"0338",F2:F557,"01")</f>
        <v>11451.213904</v>
      </c>
      <c r="BM562" s="386">
        <f>SUMIFS(BM2:BM557,G2:G557,"TAAA",E2:E557,"0338",F2:F557,"01")</f>
        <v>0</v>
      </c>
      <c r="BN562" s="386">
        <f>SUMIFS(BN2:BN557,G2:G557,"TAAA",E2:E557,"0338",F2:F557,"01")</f>
        <v>11650</v>
      </c>
      <c r="BO562" s="386">
        <f>SUMIFS(BO2:BO557,G2:G557,"TAAA",E2:E557,"0338",F2:F557,"01")</f>
        <v>0</v>
      </c>
      <c r="BP562" s="386">
        <f>SUMIFS(BP2:BP557,G2:G557,"TAAA",E2:E557,"0338",F2:F557,"01")</f>
        <v>3325.8783999999996</v>
      </c>
      <c r="BQ562" s="386">
        <f>SUMIFS(BQ2:BQ557,G2:G557,"TAAA",E2:E557,"0338",F2:F557,"01")</f>
        <v>777.82640000000004</v>
      </c>
      <c r="BR562" s="386">
        <f>SUMIFS(BR2:BR557,G2:G557,"TAAA",E2:E557,"0338",F2:F557,"01")</f>
        <v>6404.9980800000003</v>
      </c>
      <c r="BS562" s="386">
        <f>SUMIFS(BS2:BS557,G2:G557,"TAAA",E2:E557,"0338",F2:F557,"01")</f>
        <v>386.767472</v>
      </c>
      <c r="BT562" s="386">
        <f>SUMIFS(BT2:BT557,G2:G557,"TAAA",E2:E557,"0338",F2:F557,"01")</f>
        <v>0</v>
      </c>
      <c r="BU562" s="386">
        <f>SUMIFS(BU2:BU557,G2:G557,"TAAA",E2:E557,"0338",F2:F557,"01")</f>
        <v>164.14819199999997</v>
      </c>
      <c r="BV562" s="386">
        <f>SUMIFS(BV2:BV557,G2:G557,"TAAA",E2:E557,"0338",F2:F557,"01")</f>
        <v>134.108</v>
      </c>
      <c r="BW562" s="386">
        <f>SUMIFS(BW2:BW557,G2:G557,"TAAA",E2:E557,"0338",F2:F557,"01")</f>
        <v>0</v>
      </c>
      <c r="BX562" s="386">
        <f>SUMIFS(BX2:BX557,G2:G557,"TAAA",E2:E557,"0338",F2:F557,"01")</f>
        <v>11193.726544000001</v>
      </c>
      <c r="BY562" s="386">
        <f>SUMIFS(BY2:BY557,G2:G557,"TAAA",E2:E557,"0338",F2:F557,"01")</f>
        <v>0</v>
      </c>
      <c r="BZ562" s="386">
        <f>SUMIFS(BZ2:BZ557,G2:G557,"TAAA",E2:E557,"0338",F2:F557,"01")</f>
        <v>0</v>
      </c>
      <c r="CA562" s="386">
        <f>SUMIFS(CA2:CA557,G2:G557,"TAAA",E2:E557,"0338",F2:F557,"01")</f>
        <v>0</v>
      </c>
      <c r="CB562" s="386">
        <f>SUMIFS(CB2:CB557,G2:G557,"TAAA",E2:E557,"0338",F2:F557,"01")</f>
        <v>0</v>
      </c>
      <c r="CC562" s="386">
        <f>SUMIFS(CC2:CC557,G2:G557,"TAAA",E2:E557,"0338",F2:F557,"01")</f>
        <v>0</v>
      </c>
      <c r="CD562" s="386">
        <f>SUMIFS(CD2:CD557,G2:G557,"TAAA",E2:E557,"0338",F2:F557,"01")</f>
        <v>0</v>
      </c>
      <c r="CE562" s="386">
        <f>SUMIFS(CE2:CE557,G2:G557,"TAAA",E2:E557,"0338",F2:F557,"01")</f>
        <v>0</v>
      </c>
      <c r="CF562" s="386">
        <f>SUMIFS(CF2:CF557,G2:G557,"TAAA",E2:E557,"0338",F2:F557,"01")</f>
        <v>-262.85167999999999</v>
      </c>
      <c r="CG562" s="386">
        <f>SUMIFS(CG2:CG557,G2:G557,"TAAA",E2:E557,"0338",F2:F557,"01")</f>
        <v>0</v>
      </c>
      <c r="CH562" s="386">
        <f>SUMIFS(CH2:CH557,G2:G557,"TAAA",E2:E557,"0338",F2:F557,"01")</f>
        <v>5.3643200000000135</v>
      </c>
      <c r="CI562" s="386">
        <f>SUMIFS(CI2:CI557,G2:G557,"TAAA",E2:E557,"0338",F2:F557,"01")</f>
        <v>0</v>
      </c>
      <c r="CJ562" s="386">
        <f>SUMIFS(CJ2:CJ557,G2:G557,"TAAA",E2:E557,"0338",F2:F557,"01")</f>
        <v>-257.48735999999997</v>
      </c>
      <c r="CK562" s="386">
        <f>SUMIFS(CK2:CK557,G2:G557,"TAAA",E2:E557,"0338",F2:F557,"01")</f>
        <v>0</v>
      </c>
      <c r="CL562" s="386">
        <f>SUMIFS(CL2:CL557,G2:G557,"TAAA",E2:E557,"0338",F2:F557,"01")</f>
        <v>0</v>
      </c>
      <c r="CM562" s="386">
        <f>SUMIFS(CM2:CM557,G2:G557,"TAAA",E2:E557,"0338",F2:F557,"01")</f>
        <v>0</v>
      </c>
    </row>
    <row r="563" spans="43:91" ht="18.75" x14ac:dyDescent="0.3">
      <c r="AQ563" s="392" t="s">
        <v>1997</v>
      </c>
      <c r="AS563" s="393">
        <f t="shared" ref="AS563:CM563" si="397">SUM(AS562:AS562)</f>
        <v>1</v>
      </c>
      <c r="AT563" s="393">
        <f t="shared" si="397"/>
        <v>0</v>
      </c>
      <c r="AU563" s="393">
        <f t="shared" si="397"/>
        <v>1</v>
      </c>
      <c r="AV563" s="393">
        <f t="shared" si="397"/>
        <v>0</v>
      </c>
      <c r="AW563" s="393">
        <f t="shared" si="397"/>
        <v>16</v>
      </c>
      <c r="AX563" s="393">
        <f t="shared" si="397"/>
        <v>214572.79999999999</v>
      </c>
      <c r="AY563" s="393">
        <f t="shared" si="397"/>
        <v>53643.199999999997</v>
      </c>
      <c r="AZ563" s="393">
        <f t="shared" si="397"/>
        <v>0</v>
      </c>
      <c r="BA563" s="393">
        <f t="shared" si="397"/>
        <v>0</v>
      </c>
      <c r="BB563" s="393">
        <f t="shared" si="397"/>
        <v>11650</v>
      </c>
      <c r="BC563" s="393">
        <f t="shared" si="397"/>
        <v>0</v>
      </c>
      <c r="BD563" s="393">
        <f t="shared" si="397"/>
        <v>3325.8783999999996</v>
      </c>
      <c r="BE563" s="393">
        <f t="shared" si="397"/>
        <v>777.82640000000004</v>
      </c>
      <c r="BF563" s="393">
        <f t="shared" si="397"/>
        <v>6404.9980800000003</v>
      </c>
      <c r="BG563" s="393">
        <f t="shared" si="397"/>
        <v>386.767472</v>
      </c>
      <c r="BH563" s="393">
        <f t="shared" si="397"/>
        <v>262.85167999999999</v>
      </c>
      <c r="BI563" s="393">
        <f t="shared" si="397"/>
        <v>164.14819199999997</v>
      </c>
      <c r="BJ563" s="393">
        <f t="shared" si="397"/>
        <v>128.74367999999998</v>
      </c>
      <c r="BK563" s="393">
        <f t="shared" si="397"/>
        <v>0</v>
      </c>
      <c r="BL563" s="393">
        <f t="shared" si="397"/>
        <v>11451.213904</v>
      </c>
      <c r="BM563" s="393">
        <f t="shared" si="397"/>
        <v>0</v>
      </c>
      <c r="BN563" s="393">
        <f t="shared" si="397"/>
        <v>11650</v>
      </c>
      <c r="BO563" s="393">
        <f t="shared" si="397"/>
        <v>0</v>
      </c>
      <c r="BP563" s="393">
        <f t="shared" si="397"/>
        <v>3325.8783999999996</v>
      </c>
      <c r="BQ563" s="393">
        <f t="shared" si="397"/>
        <v>777.82640000000004</v>
      </c>
      <c r="BR563" s="393">
        <f t="shared" si="397"/>
        <v>6404.9980800000003</v>
      </c>
      <c r="BS563" s="393">
        <f t="shared" si="397"/>
        <v>386.767472</v>
      </c>
      <c r="BT563" s="393">
        <f t="shared" si="397"/>
        <v>0</v>
      </c>
      <c r="BU563" s="393">
        <f t="shared" si="397"/>
        <v>164.14819199999997</v>
      </c>
      <c r="BV563" s="393">
        <f t="shared" si="397"/>
        <v>134.108</v>
      </c>
      <c r="BW563" s="393">
        <f t="shared" si="397"/>
        <v>0</v>
      </c>
      <c r="BX563" s="393">
        <f t="shared" si="397"/>
        <v>11193.726544000001</v>
      </c>
      <c r="BY563" s="393">
        <f t="shared" si="397"/>
        <v>0</v>
      </c>
      <c r="BZ563" s="393">
        <f t="shared" si="397"/>
        <v>0</v>
      </c>
      <c r="CA563" s="393">
        <f t="shared" si="397"/>
        <v>0</v>
      </c>
      <c r="CB563" s="393">
        <f t="shared" si="397"/>
        <v>0</v>
      </c>
      <c r="CC563" s="393">
        <f t="shared" si="397"/>
        <v>0</v>
      </c>
      <c r="CD563" s="393">
        <f t="shared" si="397"/>
        <v>0</v>
      </c>
      <c r="CE563" s="393">
        <f t="shared" si="397"/>
        <v>0</v>
      </c>
      <c r="CF563" s="393">
        <f t="shared" si="397"/>
        <v>-262.85167999999999</v>
      </c>
      <c r="CG563" s="393">
        <f t="shared" si="397"/>
        <v>0</v>
      </c>
      <c r="CH563" s="393">
        <f t="shared" si="397"/>
        <v>5.3643200000000135</v>
      </c>
      <c r="CI563" s="393">
        <f t="shared" si="397"/>
        <v>0</v>
      </c>
      <c r="CJ563" s="393">
        <f t="shared" si="397"/>
        <v>-257.48735999999997</v>
      </c>
      <c r="CK563" s="393">
        <f t="shared" si="397"/>
        <v>0</v>
      </c>
      <c r="CL563" s="393">
        <f t="shared" si="397"/>
        <v>0</v>
      </c>
      <c r="CM563" s="393">
        <f t="shared" si="397"/>
        <v>0</v>
      </c>
    </row>
    <row r="564" spans="43:91" ht="15.75" thickBot="1" x14ac:dyDescent="0.3">
      <c r="AR564" t="s">
        <v>2002</v>
      </c>
      <c r="AS564" s="386">
        <f>SUMIFS(AS2:AS557,G2:G557,"TAAA",E2:E557,"0338",F2:F557,"02",AT2:AT557,1)</f>
        <v>5.4500000000000011</v>
      </c>
      <c r="AT564" s="386">
        <f>SUMIFS(AS2:AS557,G2:G557,"TAAA",E2:E557,"0338",F2:F557,"02",AT2:AT557,3)</f>
        <v>1</v>
      </c>
      <c r="AU564" s="386">
        <f>SUMIFS(AU2:AU557,G2:G557,"TAAA",E2:E557,"0338",F2:F557,"02")</f>
        <v>13</v>
      </c>
      <c r="AV564" s="386">
        <f>SUMIFS(AV2:AV557,G2:G557,"TAAA",E2:E557,"0338",F2:F557,"02")</f>
        <v>1</v>
      </c>
      <c r="AW564" s="386">
        <f>SUMIFS(AW2:AW557,G2:G557,"TAAA",E2:E557,"0338",F2:F557,"02")</f>
        <v>33</v>
      </c>
      <c r="AX564" s="386">
        <f>SUMIFS(AX2:AX557,G2:G557,"TAAA",E2:E557,"0338",F2:F557,"02")</f>
        <v>947265.60000000033</v>
      </c>
      <c r="AY564" s="386">
        <f>SUMIFS(AY2:AY557,G2:G557,"TAAA",E2:E557,"0338",F2:F557,"02")</f>
        <v>345430.79999999993</v>
      </c>
      <c r="AZ564" s="386">
        <f>SUMIFS(AZ2:AZ557,G2:G557,"TAAA",E2:E557,"0338",F2:F557,"02")</f>
        <v>106072</v>
      </c>
      <c r="BA564" s="386">
        <f>SUMIFS(BA2:BA557,G2:G557,"TAAA",E2:E557,"0338",F2:F557,"02")</f>
        <v>0</v>
      </c>
      <c r="BB564" s="386">
        <f>SUMIFS(BB2:BB557,G2:G557,"TAAA",E2:E557,"0338",F2:F557,"02")</f>
        <v>63492.5</v>
      </c>
      <c r="BC564" s="386">
        <f>SUMIFS(BC2:BC557,G2:G557,"TAAA",E2:E557,"0338",F2:F557,"02")</f>
        <v>11650</v>
      </c>
      <c r="BD564" s="386">
        <f>SUMIFS(BD2:BD557,G2:G557,"TAAA",E2:E557,"0338",F2:F557,"02")</f>
        <v>27993.173599999998</v>
      </c>
      <c r="BE564" s="386">
        <f>SUMIFS(BE2:BE557,G2:G557,"TAAA",E2:E557,"0338",F2:F557,"02")</f>
        <v>6546.7906000000012</v>
      </c>
      <c r="BF564" s="386">
        <f>SUMIFS(BF2:BF557,G2:G557,"TAAA",E2:E557,"0338",F2:F557,"02")</f>
        <v>53909.434320000008</v>
      </c>
      <c r="BG564" s="386">
        <f>SUMIFS(BG2:BG557,G2:G557,"TAAA",E2:E557,"0338",F2:F557,"02")</f>
        <v>3255.335188</v>
      </c>
      <c r="BH564" s="386">
        <f>SUMIFS(BH2:BH557,G2:G557,"TAAA",E2:E557,"0338",F2:F557,"02")</f>
        <v>1692.6109199999999</v>
      </c>
      <c r="BI564" s="386">
        <f>SUMIFS(BI2:BI557,G2:G557,"TAAA",E2:E557,"0338",F2:F557,"02")</f>
        <v>1057.0182479999999</v>
      </c>
      <c r="BJ564" s="386">
        <f>SUMIFS(BJ2:BJ557,G2:G557,"TAAA",E2:E557,"0338",F2:F557,"02")</f>
        <v>1083.6067199999998</v>
      </c>
      <c r="BK564" s="386">
        <f>SUMIFS(BK2:BK557,G2:G557,"TAAA",E2:E557,"0338",F2:F557,"02")</f>
        <v>0</v>
      </c>
      <c r="BL564" s="386">
        <f>SUMIFS(BL2:BL557,G2:G557,"TAAA",E2:E557,"0338",F2:F557,"02")</f>
        <v>73739.112876000028</v>
      </c>
      <c r="BM564" s="386">
        <f>SUMIFS(BM2:BM557,G2:G557,"TAAA",E2:E557,"0338",F2:F557,"02")</f>
        <v>21798.856720000003</v>
      </c>
      <c r="BN564" s="386">
        <f>SUMIFS(BN2:BN557,G2:G557,"TAAA",E2:E557,"0338",F2:F557,"02")</f>
        <v>63492.5</v>
      </c>
      <c r="BO564" s="386">
        <f>SUMIFS(BO2:BO557,G2:G557,"TAAA",E2:E557,"0338",F2:F557,"02")</f>
        <v>11650</v>
      </c>
      <c r="BP564" s="386">
        <f>SUMIFS(BP2:BP557,G2:G557,"TAAA",E2:E557,"0338",F2:F557,"02")</f>
        <v>27993.173599999998</v>
      </c>
      <c r="BQ564" s="386">
        <f>SUMIFS(BQ2:BQ557,G2:G557,"TAAA",E2:E557,"0338",F2:F557,"02")</f>
        <v>6546.7906000000012</v>
      </c>
      <c r="BR564" s="386">
        <f>SUMIFS(BR2:BR557,G2:G557,"TAAA",E2:E557,"0338",F2:F557,"02")</f>
        <v>53909.434320000008</v>
      </c>
      <c r="BS564" s="386">
        <f>SUMIFS(BS2:BS557,G2:G557,"TAAA",E2:E557,"0338",F2:F557,"02")</f>
        <v>3255.335188</v>
      </c>
      <c r="BT564" s="386">
        <f>SUMIFS(BT2:BT557,G2:G557,"TAAA",E2:E557,"0338",F2:F557,"02")</f>
        <v>0</v>
      </c>
      <c r="BU564" s="386">
        <f>SUMIFS(BU2:BU557,G2:G557,"TAAA",E2:E557,"0338",F2:F557,"02")</f>
        <v>1057.0182479999999</v>
      </c>
      <c r="BV564" s="386">
        <f>SUMIFS(BV2:BV557,G2:G557,"TAAA",E2:E557,"0338",F2:F557,"02")</f>
        <v>1128.7570000000001</v>
      </c>
      <c r="BW564" s="386">
        <f>SUMIFS(BW2:BW557,G2:G557,"TAAA",E2:E557,"0338",F2:F557,"02")</f>
        <v>0</v>
      </c>
      <c r="BX564" s="386">
        <f>SUMIFS(BX2:BX557,G2:G557,"TAAA",E2:E557,"0338",F2:F557,"02")</f>
        <v>72081.045036000025</v>
      </c>
      <c r="BY564" s="386">
        <f>SUMIFS(BY2:BY557,G2:G557,"TAAA",E2:E557,"0338",F2:F557,"02")</f>
        <v>21809.463920000002</v>
      </c>
      <c r="BZ564" s="386">
        <f>SUMIFS(BZ2:BZ557,G2:G557,"TAAA",E2:E557,"0338",F2:F557,"02")</f>
        <v>0</v>
      </c>
      <c r="CA564" s="386">
        <f>SUMIFS(CA2:CA557,G2:G557,"TAAA",E2:E557,"0338",F2:F557,"02")</f>
        <v>0</v>
      </c>
      <c r="CB564" s="386">
        <f>SUMIFS(CB2:CB557,G2:G557,"TAAA",E2:E557,"0338",F2:F557,"02")</f>
        <v>0</v>
      </c>
      <c r="CC564" s="386">
        <f>SUMIFS(CC2:CC557,G2:G557,"TAAA",E2:E557,"0338",F2:F557,"02")</f>
        <v>0</v>
      </c>
      <c r="CD564" s="386">
        <f>SUMIFS(CD2:CD557,G2:G557,"TAAA",E2:E557,"0338",F2:F557,"02")</f>
        <v>0</v>
      </c>
      <c r="CE564" s="386">
        <f>SUMIFS(CE2:CE557,G2:G557,"TAAA",E2:E557,"0338",F2:F557,"02")</f>
        <v>0</v>
      </c>
      <c r="CF564" s="386">
        <f>SUMIFS(CF2:CF557,G2:G557,"TAAA",E2:E557,"0338",F2:F557,"02")</f>
        <v>-1692.6109199999999</v>
      </c>
      <c r="CG564" s="386">
        <f>SUMIFS(CG2:CG557,G2:G557,"TAAA",E2:E557,"0338",F2:F557,"02")</f>
        <v>0</v>
      </c>
      <c r="CH564" s="386">
        <f>SUMIFS(CH2:CH557,G2:G557,"TAAA",E2:E557,"0338",F2:F557,"02")</f>
        <v>45.150280000000109</v>
      </c>
      <c r="CI564" s="386">
        <f>SUMIFS(CI2:CI557,G2:G557,"TAAA",E2:E557,"0338",F2:F557,"02")</f>
        <v>0</v>
      </c>
      <c r="CJ564" s="386">
        <f>SUMIFS(CJ2:CJ557,G2:G557,"TAAA",E2:E557,"0338",F2:F557,"02")</f>
        <v>-1658.0678399999999</v>
      </c>
      <c r="CK564" s="386">
        <f>SUMIFS(CK2:CK557,G2:G557,"TAAA",E2:E557,"0338",F2:F557,"02")</f>
        <v>10.607200000000027</v>
      </c>
      <c r="CL564" s="386">
        <f>SUMIFS(CL2:CL557,G2:G557,"TAAA",E2:E557,"0338",F2:F557,"02")</f>
        <v>0</v>
      </c>
      <c r="CM564" s="386">
        <f>SUMIFS(CM2:CM557,G2:G557,"TAAA",E2:E557,"0338",F2:F557,"02")</f>
        <v>0</v>
      </c>
    </row>
    <row r="565" spans="43:91" ht="18.75" x14ac:dyDescent="0.3">
      <c r="AQ565" s="392" t="s">
        <v>1997</v>
      </c>
      <c r="AS565" s="393">
        <f t="shared" ref="AS565:CM565" si="398">SUM(AS564:AS564)</f>
        <v>5.4500000000000011</v>
      </c>
      <c r="AT565" s="393">
        <f t="shared" si="398"/>
        <v>1</v>
      </c>
      <c r="AU565" s="393">
        <f t="shared" si="398"/>
        <v>13</v>
      </c>
      <c r="AV565" s="393">
        <f t="shared" si="398"/>
        <v>1</v>
      </c>
      <c r="AW565" s="393">
        <f t="shared" si="398"/>
        <v>33</v>
      </c>
      <c r="AX565" s="393">
        <f t="shared" si="398"/>
        <v>947265.60000000033</v>
      </c>
      <c r="AY565" s="393">
        <f t="shared" si="398"/>
        <v>345430.79999999993</v>
      </c>
      <c r="AZ565" s="393">
        <f t="shared" si="398"/>
        <v>106072</v>
      </c>
      <c r="BA565" s="393">
        <f t="shared" si="398"/>
        <v>0</v>
      </c>
      <c r="BB565" s="393">
        <f t="shared" si="398"/>
        <v>63492.5</v>
      </c>
      <c r="BC565" s="393">
        <f t="shared" si="398"/>
        <v>11650</v>
      </c>
      <c r="BD565" s="393">
        <f t="shared" si="398"/>
        <v>27993.173599999998</v>
      </c>
      <c r="BE565" s="393">
        <f t="shared" si="398"/>
        <v>6546.7906000000012</v>
      </c>
      <c r="BF565" s="393">
        <f t="shared" si="398"/>
        <v>53909.434320000008</v>
      </c>
      <c r="BG565" s="393">
        <f t="shared" si="398"/>
        <v>3255.335188</v>
      </c>
      <c r="BH565" s="393">
        <f t="shared" si="398"/>
        <v>1692.6109199999999</v>
      </c>
      <c r="BI565" s="393">
        <f t="shared" si="398"/>
        <v>1057.0182479999999</v>
      </c>
      <c r="BJ565" s="393">
        <f t="shared" si="398"/>
        <v>1083.6067199999998</v>
      </c>
      <c r="BK565" s="393">
        <f t="shared" si="398"/>
        <v>0</v>
      </c>
      <c r="BL565" s="393">
        <f t="shared" si="398"/>
        <v>73739.112876000028</v>
      </c>
      <c r="BM565" s="393">
        <f t="shared" si="398"/>
        <v>21798.856720000003</v>
      </c>
      <c r="BN565" s="393">
        <f t="shared" si="398"/>
        <v>63492.5</v>
      </c>
      <c r="BO565" s="393">
        <f t="shared" si="398"/>
        <v>11650</v>
      </c>
      <c r="BP565" s="393">
        <f t="shared" si="398"/>
        <v>27993.173599999998</v>
      </c>
      <c r="BQ565" s="393">
        <f t="shared" si="398"/>
        <v>6546.7906000000012</v>
      </c>
      <c r="BR565" s="393">
        <f t="shared" si="398"/>
        <v>53909.434320000008</v>
      </c>
      <c r="BS565" s="393">
        <f t="shared" si="398"/>
        <v>3255.335188</v>
      </c>
      <c r="BT565" s="393">
        <f t="shared" si="398"/>
        <v>0</v>
      </c>
      <c r="BU565" s="393">
        <f t="shared" si="398"/>
        <v>1057.0182479999999</v>
      </c>
      <c r="BV565" s="393">
        <f t="shared" si="398"/>
        <v>1128.7570000000001</v>
      </c>
      <c r="BW565" s="393">
        <f t="shared" si="398"/>
        <v>0</v>
      </c>
      <c r="BX565" s="393">
        <f t="shared" si="398"/>
        <v>72081.045036000025</v>
      </c>
      <c r="BY565" s="393">
        <f t="shared" si="398"/>
        <v>21809.463920000002</v>
      </c>
      <c r="BZ565" s="393">
        <f t="shared" si="398"/>
        <v>0</v>
      </c>
      <c r="CA565" s="393">
        <f t="shared" si="398"/>
        <v>0</v>
      </c>
      <c r="CB565" s="393">
        <f t="shared" si="398"/>
        <v>0</v>
      </c>
      <c r="CC565" s="393">
        <f t="shared" si="398"/>
        <v>0</v>
      </c>
      <c r="CD565" s="393">
        <f t="shared" si="398"/>
        <v>0</v>
      </c>
      <c r="CE565" s="393">
        <f t="shared" si="398"/>
        <v>0</v>
      </c>
      <c r="CF565" s="393">
        <f t="shared" si="398"/>
        <v>-1692.6109199999999</v>
      </c>
      <c r="CG565" s="393">
        <f t="shared" si="398"/>
        <v>0</v>
      </c>
      <c r="CH565" s="393">
        <f t="shared" si="398"/>
        <v>45.150280000000109</v>
      </c>
      <c r="CI565" s="393">
        <f t="shared" si="398"/>
        <v>0</v>
      </c>
      <c r="CJ565" s="393">
        <f t="shared" si="398"/>
        <v>-1658.0678399999999</v>
      </c>
      <c r="CK565" s="393">
        <f t="shared" si="398"/>
        <v>10.607200000000027</v>
      </c>
      <c r="CL565" s="393">
        <f t="shared" si="398"/>
        <v>0</v>
      </c>
      <c r="CM565" s="393">
        <f t="shared" si="398"/>
        <v>0</v>
      </c>
    </row>
    <row r="566" spans="43:91" ht="15.75" thickBot="1" x14ac:dyDescent="0.3">
      <c r="AR566" t="s">
        <v>2007</v>
      </c>
      <c r="AS566" s="386">
        <f>SUMIFS(AS2:AS557,G2:G557,"TAAB",E2:E557,"0001",F2:F557,"00",AT2:AT557,1)</f>
        <v>99.25</v>
      </c>
      <c r="AT566" s="386">
        <f>SUMIFS(AS2:AS557,G2:G557,"TAAB",E2:E557,"0001",F2:F557,"00",AT2:AT557,3)</f>
        <v>0</v>
      </c>
      <c r="AU566" s="386">
        <f>SUMIFS(AU2:AU557,G2:G557,"TAAB",E2:E557,"0001",F2:F557,"00")</f>
        <v>103.65</v>
      </c>
      <c r="AV566" s="386">
        <f>SUMIFS(AV2:AV557,G2:G557,"TAAB",E2:E557,"0001",F2:F557,"00")</f>
        <v>0</v>
      </c>
      <c r="AW566" s="386">
        <f>SUMIFS(AW2:AW557,G2:G557,"TAAB",E2:E557,"0001",F2:F557,"00")</f>
        <v>129</v>
      </c>
      <c r="AX566" s="386">
        <f>SUMIFS(AX2:AX557,G2:G557,"TAAB",E2:E557,"0001",F2:F557,"00")</f>
        <v>5827497.5199999986</v>
      </c>
      <c r="AY566" s="386">
        <f>SUMIFS(AY2:AY557,G2:G557,"TAAB",E2:E557,"0001",F2:F557,"00")</f>
        <v>5503066.3999999985</v>
      </c>
      <c r="AZ566" s="386">
        <f>SUMIFS(AZ2:AZ557,G2:G557,"TAAB",E2:E557,"0001",F2:F557,"00")</f>
        <v>0</v>
      </c>
      <c r="BA566" s="386">
        <f>SUMIFS(BA2:BA557,G2:G557,"TAAB",E2:E557,"0001",F2:F557,"00")</f>
        <v>0</v>
      </c>
      <c r="BB566" s="386">
        <f>SUMIFS(BB2:BB557,G2:G557,"TAAB",E2:E557,"0001",F2:F557,"00")</f>
        <v>1160340</v>
      </c>
      <c r="BC566" s="386">
        <f>SUMIFS(BC2:BC557,G2:G557,"TAAB",E2:E557,"0001",F2:F557,"00")</f>
        <v>0</v>
      </c>
      <c r="BD566" s="386">
        <f>SUMIFS(BD2:BD557,G2:G557,"TAAB",E2:E557,"0001",F2:F557,"00")</f>
        <v>341190.11680000008</v>
      </c>
      <c r="BE566" s="386">
        <f>SUMIFS(BE2:BE557,G2:G557,"TAAB",E2:E557,"0001",F2:F557,"00")</f>
        <v>79794.462800000008</v>
      </c>
      <c r="BF566" s="386">
        <f>SUMIFS(BF2:BF557,G2:G557,"TAAB",E2:E557,"0001",F2:F557,"00")</f>
        <v>657066.12815999973</v>
      </c>
      <c r="BG566" s="386">
        <f>SUMIFS(BG2:BG557,G2:G557,"TAAB",E2:E557,"0001",F2:F557,"00")</f>
        <v>39677.108743999997</v>
      </c>
      <c r="BH566" s="386">
        <f>SUMIFS(BH2:BH557,G2:G557,"TAAB",E2:E557,"0001",F2:F557,"00")</f>
        <v>26965.025360000007</v>
      </c>
      <c r="BI566" s="386">
        <f>SUMIFS(BI2:BI557,G2:G557,"TAAB",E2:E557,"0001",F2:F557,"00")</f>
        <v>16685.959679999996</v>
      </c>
      <c r="BJ566" s="386">
        <f>SUMIFS(BJ2:BJ557,G2:G557,"TAAB",E2:E557,"0001",F2:F557,"00")</f>
        <v>13207.359360000004</v>
      </c>
      <c r="BK566" s="386">
        <f>SUMIFS(BK2:BK557,G2:G557,"TAAB",E2:E557,"0001",F2:F557,"00")</f>
        <v>0</v>
      </c>
      <c r="BL566" s="386">
        <f>SUMIFS(BL2:BL557,G2:G557,"TAAB",E2:E557,"0001",F2:F557,"00")</f>
        <v>1174586.1609039998</v>
      </c>
      <c r="BM566" s="386">
        <f>SUMIFS(BM2:BM557,G2:G557,"TAAB",E2:E557,"0001",F2:F557,"00")</f>
        <v>0</v>
      </c>
      <c r="BN566" s="386">
        <f>SUMIFS(BN2:BN557,G2:G557,"TAAB",E2:E557,"0001",F2:F557,"00")</f>
        <v>1160340</v>
      </c>
      <c r="BO566" s="386">
        <f>SUMIFS(BO2:BO557,G2:G557,"TAAB",E2:E557,"0001",F2:F557,"00")</f>
        <v>0</v>
      </c>
      <c r="BP566" s="386">
        <f>SUMIFS(BP2:BP557,G2:G557,"TAAB",E2:E557,"0001",F2:F557,"00")</f>
        <v>341190.11680000008</v>
      </c>
      <c r="BQ566" s="386">
        <f>SUMIFS(BQ2:BQ557,G2:G557,"TAAB",E2:E557,"0001",F2:F557,"00")</f>
        <v>79794.462800000008</v>
      </c>
      <c r="BR566" s="386">
        <f>SUMIFS(BR2:BR557,G2:G557,"TAAB",E2:E557,"0001",F2:F557,"00")</f>
        <v>657066.12815999973</v>
      </c>
      <c r="BS566" s="386">
        <f>SUMIFS(BS2:BS557,G2:G557,"TAAB",E2:E557,"0001",F2:F557,"00")</f>
        <v>39677.108743999997</v>
      </c>
      <c r="BT566" s="386">
        <f>SUMIFS(BT2:BT557,G2:G557,"TAAB",E2:E557,"0001",F2:F557,"00")</f>
        <v>0</v>
      </c>
      <c r="BU566" s="386">
        <f>SUMIFS(BU2:BU557,G2:G557,"TAAB",E2:E557,"0001",F2:F557,"00")</f>
        <v>16685.959679999996</v>
      </c>
      <c r="BV566" s="386">
        <f>SUMIFS(BV2:BV557,G2:G557,"TAAB",E2:E557,"0001",F2:F557,"00")</f>
        <v>13757.665999999997</v>
      </c>
      <c r="BW566" s="386">
        <f>SUMIFS(BW2:BW557,G2:G557,"TAAB",E2:E557,"0001",F2:F557,"00")</f>
        <v>0</v>
      </c>
      <c r="BX566" s="386">
        <f>SUMIFS(BX2:BX557,G2:G557,"TAAB",E2:E557,"0001",F2:F557,"00")</f>
        <v>1148171.4421839996</v>
      </c>
      <c r="BY566" s="386">
        <f>SUMIFS(BY2:BY557,G2:G557,"TAAB",E2:E557,"0001",F2:F557,"00")</f>
        <v>0</v>
      </c>
      <c r="BZ566" s="386">
        <f>SUMIFS(BZ2:BZ557,G2:G557,"TAAB",E2:E557,"0001",F2:F557,"00")</f>
        <v>0</v>
      </c>
      <c r="CA566" s="386">
        <f>SUMIFS(CA2:CA557,G2:G557,"TAAB",E2:E557,"0001",F2:F557,"00")</f>
        <v>0</v>
      </c>
      <c r="CB566" s="386">
        <f>SUMIFS(CB2:CB557,G2:G557,"TAAB",E2:E557,"0001",F2:F557,"00")</f>
        <v>0</v>
      </c>
      <c r="CC566" s="386">
        <f>SUMIFS(CC2:CC557,G2:G557,"TAAB",E2:E557,"0001",F2:F557,"00")</f>
        <v>0</v>
      </c>
      <c r="CD566" s="386">
        <f>SUMIFS(CD2:CD557,G2:G557,"TAAB",E2:E557,"0001",F2:F557,"00")</f>
        <v>0</v>
      </c>
      <c r="CE566" s="386">
        <f>SUMIFS(CE2:CE557,G2:G557,"TAAB",E2:E557,"0001",F2:F557,"00")</f>
        <v>0</v>
      </c>
      <c r="CF566" s="386">
        <f>SUMIFS(CF2:CF557,G2:G557,"TAAB",E2:E557,"0001",F2:F557,"00")</f>
        <v>-26965.025360000007</v>
      </c>
      <c r="CG566" s="386">
        <f>SUMIFS(CG2:CG557,G2:G557,"TAAB",E2:E557,"0001",F2:F557,"00")</f>
        <v>0</v>
      </c>
      <c r="CH566" s="386">
        <f>SUMIFS(CH2:CH557,G2:G557,"TAAB",E2:E557,"0001",F2:F557,"00")</f>
        <v>550.30664000000172</v>
      </c>
      <c r="CI566" s="386">
        <f>SUMIFS(CI2:CI557,G2:G557,"TAAB",E2:E557,"0001",F2:F557,"00")</f>
        <v>0</v>
      </c>
      <c r="CJ566" s="386">
        <f>SUMIFS(CJ2:CJ557,G2:G557,"TAAB",E2:E557,"0001",F2:F557,"00")</f>
        <v>-26414.718720000008</v>
      </c>
      <c r="CK566" s="386">
        <f>SUMIFS(CK2:CK557,G2:G557,"TAAB",E2:E557,"0001",F2:F557,"00")</f>
        <v>0</v>
      </c>
      <c r="CL566" s="386">
        <f>SUMIFS(CL2:CL557,G2:G557,"TAAB",E2:E557,"0001",F2:F557,"00")</f>
        <v>41154.9</v>
      </c>
      <c r="CM566" s="386">
        <f>SUMIFS(CM2:CM557,G2:G557,"TAAB",E2:E557,"0001",F2:F557,"00")</f>
        <v>3319.45</v>
      </c>
    </row>
    <row r="567" spans="43:91" ht="18.75" x14ac:dyDescent="0.3">
      <c r="AQ567" s="392" t="s">
        <v>2008</v>
      </c>
      <c r="AS567" s="393">
        <f t="shared" ref="AS567:CM567" si="399">SUM(AS566:AS566)</f>
        <v>99.25</v>
      </c>
      <c r="AT567" s="393">
        <f t="shared" si="399"/>
        <v>0</v>
      </c>
      <c r="AU567" s="393">
        <f t="shared" si="399"/>
        <v>103.65</v>
      </c>
      <c r="AV567" s="393">
        <f t="shared" si="399"/>
        <v>0</v>
      </c>
      <c r="AW567" s="393">
        <f t="shared" si="399"/>
        <v>129</v>
      </c>
      <c r="AX567" s="393">
        <f t="shared" si="399"/>
        <v>5827497.5199999986</v>
      </c>
      <c r="AY567" s="393">
        <f t="shared" si="399"/>
        <v>5503066.3999999985</v>
      </c>
      <c r="AZ567" s="393">
        <f t="shared" si="399"/>
        <v>0</v>
      </c>
      <c r="BA567" s="393">
        <f t="shared" si="399"/>
        <v>0</v>
      </c>
      <c r="BB567" s="393">
        <f t="shared" si="399"/>
        <v>1160340</v>
      </c>
      <c r="BC567" s="393">
        <f t="shared" si="399"/>
        <v>0</v>
      </c>
      <c r="BD567" s="393">
        <f t="shared" si="399"/>
        <v>341190.11680000008</v>
      </c>
      <c r="BE567" s="393">
        <f t="shared" si="399"/>
        <v>79794.462800000008</v>
      </c>
      <c r="BF567" s="393">
        <f t="shared" si="399"/>
        <v>657066.12815999973</v>
      </c>
      <c r="BG567" s="393">
        <f t="shared" si="399"/>
        <v>39677.108743999997</v>
      </c>
      <c r="BH567" s="393">
        <f t="shared" si="399"/>
        <v>26965.025360000007</v>
      </c>
      <c r="BI567" s="393">
        <f t="shared" si="399"/>
        <v>16685.959679999996</v>
      </c>
      <c r="BJ567" s="393">
        <f t="shared" si="399"/>
        <v>13207.359360000004</v>
      </c>
      <c r="BK567" s="393">
        <f t="shared" si="399"/>
        <v>0</v>
      </c>
      <c r="BL567" s="393">
        <f t="shared" si="399"/>
        <v>1174586.1609039998</v>
      </c>
      <c r="BM567" s="393">
        <f t="shared" si="399"/>
        <v>0</v>
      </c>
      <c r="BN567" s="393">
        <f t="shared" si="399"/>
        <v>1160340</v>
      </c>
      <c r="BO567" s="393">
        <f t="shared" si="399"/>
        <v>0</v>
      </c>
      <c r="BP567" s="393">
        <f t="shared" si="399"/>
        <v>341190.11680000008</v>
      </c>
      <c r="BQ567" s="393">
        <f t="shared" si="399"/>
        <v>79794.462800000008</v>
      </c>
      <c r="BR567" s="393">
        <f t="shared" si="399"/>
        <v>657066.12815999973</v>
      </c>
      <c r="BS567" s="393">
        <f t="shared" si="399"/>
        <v>39677.108743999997</v>
      </c>
      <c r="BT567" s="393">
        <f t="shared" si="399"/>
        <v>0</v>
      </c>
      <c r="BU567" s="393">
        <f t="shared" si="399"/>
        <v>16685.959679999996</v>
      </c>
      <c r="BV567" s="393">
        <f t="shared" si="399"/>
        <v>13757.665999999997</v>
      </c>
      <c r="BW567" s="393">
        <f t="shared" si="399"/>
        <v>0</v>
      </c>
      <c r="BX567" s="393">
        <f t="shared" si="399"/>
        <v>1148171.4421839996</v>
      </c>
      <c r="BY567" s="393">
        <f t="shared" si="399"/>
        <v>0</v>
      </c>
      <c r="BZ567" s="393">
        <f t="shared" si="399"/>
        <v>0</v>
      </c>
      <c r="CA567" s="393">
        <f t="shared" si="399"/>
        <v>0</v>
      </c>
      <c r="CB567" s="393">
        <f t="shared" si="399"/>
        <v>0</v>
      </c>
      <c r="CC567" s="393">
        <f t="shared" si="399"/>
        <v>0</v>
      </c>
      <c r="CD567" s="393">
        <f t="shared" si="399"/>
        <v>0</v>
      </c>
      <c r="CE567" s="393">
        <f t="shared" si="399"/>
        <v>0</v>
      </c>
      <c r="CF567" s="393">
        <f t="shared" si="399"/>
        <v>-26965.025360000007</v>
      </c>
      <c r="CG567" s="393">
        <f t="shared" si="399"/>
        <v>0</v>
      </c>
      <c r="CH567" s="393">
        <f t="shared" si="399"/>
        <v>550.30664000000172</v>
      </c>
      <c r="CI567" s="393">
        <f t="shared" si="399"/>
        <v>0</v>
      </c>
      <c r="CJ567" s="393">
        <f t="shared" si="399"/>
        <v>-26414.718720000008</v>
      </c>
      <c r="CK567" s="393">
        <f t="shared" si="399"/>
        <v>0</v>
      </c>
      <c r="CL567" s="393">
        <f t="shared" si="399"/>
        <v>41154.9</v>
      </c>
      <c r="CM567" s="393">
        <f t="shared" si="399"/>
        <v>3319.45</v>
      </c>
    </row>
    <row r="568" spans="43:91" ht="15.75" thickBot="1" x14ac:dyDescent="0.3">
      <c r="AR568" t="s">
        <v>2011</v>
      </c>
      <c r="AS568" s="386">
        <f>SUMIFS(AS2:AS557,G2:G557,"TAAB",E2:E557,"0338",F2:F557,"01",AT2:AT557,1)</f>
        <v>0.15000000000000002</v>
      </c>
      <c r="AT568" s="386">
        <f>SUMIFS(AS2:AS557,G2:G557,"TAAB",E2:E557,"0338",F2:F557,"01",AT2:AT557,3)</f>
        <v>0</v>
      </c>
      <c r="AU568" s="386">
        <f>SUMIFS(AU2:AU557,G2:G557,"TAAB",E2:E557,"0338",F2:F557,"01")</f>
        <v>3</v>
      </c>
      <c r="AV568" s="386">
        <f>SUMIFS(AV2:AV557,G2:G557,"TAAB",E2:E557,"0338",F2:F557,"01")</f>
        <v>0</v>
      </c>
      <c r="AW568" s="386">
        <f>SUMIFS(AW2:AW557,G2:G557,"TAAB",E2:E557,"0338",F2:F557,"01")</f>
        <v>9</v>
      </c>
      <c r="AX568" s="386">
        <f>SUMIFS(AX2:AX557,G2:G557,"TAAB",E2:E557,"0338",F2:F557,"01")</f>
        <v>185224</v>
      </c>
      <c r="AY568" s="386">
        <f>SUMIFS(AY2:AY557,G2:G557,"TAAB",E2:E557,"0338",F2:F557,"01")</f>
        <v>9261.2000000000007</v>
      </c>
      <c r="AZ568" s="386">
        <f>SUMIFS(AZ2:AZ557,G2:G557,"TAAB",E2:E557,"0338",F2:F557,"01")</f>
        <v>0</v>
      </c>
      <c r="BA568" s="386">
        <f>SUMIFS(BA2:BA557,G2:G557,"TAAB",E2:E557,"0338",F2:F557,"01")</f>
        <v>0</v>
      </c>
      <c r="BB568" s="386">
        <f>SUMIFS(BB2:BB557,G2:G557,"TAAB",E2:E557,"0338",F2:F557,"01")</f>
        <v>1747.5</v>
      </c>
      <c r="BC568" s="386">
        <f>SUMIFS(BC2:BC557,G2:G557,"TAAB",E2:E557,"0338",F2:F557,"01")</f>
        <v>0</v>
      </c>
      <c r="BD568" s="386">
        <f>SUMIFS(BD2:BD557,G2:G557,"TAAB",E2:E557,"0338",F2:F557,"01")</f>
        <v>574.19440000000009</v>
      </c>
      <c r="BE568" s="386">
        <f>SUMIFS(BE2:BE557,G2:G557,"TAAB",E2:E557,"0338",F2:F557,"01")</f>
        <v>134.28739999999999</v>
      </c>
      <c r="BF568" s="386">
        <f>SUMIFS(BF2:BF557,G2:G557,"TAAB",E2:E557,"0338",F2:F557,"01")</f>
        <v>1105.78728</v>
      </c>
      <c r="BG568" s="386">
        <f>SUMIFS(BG2:BG557,G2:G557,"TAAB",E2:E557,"0338",F2:F557,"01")</f>
        <v>66.773252000000014</v>
      </c>
      <c r="BH568" s="386">
        <f>SUMIFS(BH2:BH557,G2:G557,"TAAB",E2:E557,"0338",F2:F557,"01")</f>
        <v>45.37988</v>
      </c>
      <c r="BI568" s="386">
        <f>SUMIFS(BI2:BI557,G2:G557,"TAAB",E2:E557,"0338",F2:F557,"01")</f>
        <v>28.339272000000001</v>
      </c>
      <c r="BJ568" s="386">
        <f>SUMIFS(BJ2:BJ557,G2:G557,"TAAB",E2:E557,"0338",F2:F557,"01")</f>
        <v>22.226879999999998</v>
      </c>
      <c r="BK568" s="386">
        <f>SUMIFS(BK2:BK557,G2:G557,"TAAB",E2:E557,"0338",F2:F557,"01")</f>
        <v>0</v>
      </c>
      <c r="BL568" s="386">
        <f>SUMIFS(BL2:BL557,G2:G557,"TAAB",E2:E557,"0338",F2:F557,"01")</f>
        <v>1976.9883640000003</v>
      </c>
      <c r="BM568" s="386">
        <f>SUMIFS(BM2:BM557,G2:G557,"TAAB",E2:E557,"0338",F2:F557,"01")</f>
        <v>0</v>
      </c>
      <c r="BN568" s="386">
        <f>SUMIFS(BN2:BN557,G2:G557,"TAAB",E2:E557,"0338",F2:F557,"01")</f>
        <v>1747.5</v>
      </c>
      <c r="BO568" s="386">
        <f>SUMIFS(BO2:BO557,G2:G557,"TAAB",E2:E557,"0338",F2:F557,"01")</f>
        <v>0</v>
      </c>
      <c r="BP568" s="386">
        <f>SUMIFS(BP2:BP557,G2:G557,"TAAB",E2:E557,"0338",F2:F557,"01")</f>
        <v>574.19440000000009</v>
      </c>
      <c r="BQ568" s="386">
        <f>SUMIFS(BQ2:BQ557,G2:G557,"TAAB",E2:E557,"0338",F2:F557,"01")</f>
        <v>134.28739999999999</v>
      </c>
      <c r="BR568" s="386">
        <f>SUMIFS(BR2:BR557,G2:G557,"TAAB",E2:E557,"0338",F2:F557,"01")</f>
        <v>1105.78728</v>
      </c>
      <c r="BS568" s="386">
        <f>SUMIFS(BS2:BS557,G2:G557,"TAAB",E2:E557,"0338",F2:F557,"01")</f>
        <v>66.773252000000014</v>
      </c>
      <c r="BT568" s="386">
        <f>SUMIFS(BT2:BT557,G2:G557,"TAAB",E2:E557,"0338",F2:F557,"01")</f>
        <v>0</v>
      </c>
      <c r="BU568" s="386">
        <f>SUMIFS(BU2:BU557,G2:G557,"TAAB",E2:E557,"0338",F2:F557,"01")</f>
        <v>28.339272000000001</v>
      </c>
      <c r="BV568" s="386">
        <f>SUMIFS(BV2:BV557,G2:G557,"TAAB",E2:E557,"0338",F2:F557,"01")</f>
        <v>23.153000000000002</v>
      </c>
      <c r="BW568" s="386">
        <f>SUMIFS(BW2:BW557,G2:G557,"TAAB",E2:E557,"0338",F2:F557,"01")</f>
        <v>0</v>
      </c>
      <c r="BX568" s="386">
        <f>SUMIFS(BX2:BX557,G2:G557,"TAAB",E2:E557,"0338",F2:F557,"01")</f>
        <v>1932.5346040000004</v>
      </c>
      <c r="BY568" s="386">
        <f>SUMIFS(BY2:BY557,G2:G557,"TAAB",E2:E557,"0338",F2:F557,"01")</f>
        <v>0</v>
      </c>
      <c r="BZ568" s="386">
        <f>SUMIFS(BZ2:BZ557,G2:G557,"TAAB",E2:E557,"0338",F2:F557,"01")</f>
        <v>0</v>
      </c>
      <c r="CA568" s="386">
        <f>SUMIFS(CA2:CA557,G2:G557,"TAAB",E2:E557,"0338",F2:F557,"01")</f>
        <v>0</v>
      </c>
      <c r="CB568" s="386">
        <f>SUMIFS(CB2:CB557,G2:G557,"TAAB",E2:E557,"0338",F2:F557,"01")</f>
        <v>0</v>
      </c>
      <c r="CC568" s="386">
        <f>SUMIFS(CC2:CC557,G2:G557,"TAAB",E2:E557,"0338",F2:F557,"01")</f>
        <v>0</v>
      </c>
      <c r="CD568" s="386">
        <f>SUMIFS(CD2:CD557,G2:G557,"TAAB",E2:E557,"0338",F2:F557,"01")</f>
        <v>0</v>
      </c>
      <c r="CE568" s="386">
        <f>SUMIFS(CE2:CE557,G2:G557,"TAAB",E2:E557,"0338",F2:F557,"01")</f>
        <v>0</v>
      </c>
      <c r="CF568" s="386">
        <f>SUMIFS(CF2:CF557,G2:G557,"TAAB",E2:E557,"0338",F2:F557,"01")</f>
        <v>-45.37988</v>
      </c>
      <c r="CG568" s="386">
        <f>SUMIFS(CG2:CG557,G2:G557,"TAAB",E2:E557,"0338",F2:F557,"01")</f>
        <v>0</v>
      </c>
      <c r="CH568" s="386">
        <f>SUMIFS(CH2:CH557,G2:G557,"TAAB",E2:E557,"0338",F2:F557,"01")</f>
        <v>0.9261200000000025</v>
      </c>
      <c r="CI568" s="386">
        <f>SUMIFS(CI2:CI557,G2:G557,"TAAB",E2:E557,"0338",F2:F557,"01")</f>
        <v>0</v>
      </c>
      <c r="CJ568" s="386">
        <f>SUMIFS(CJ2:CJ557,G2:G557,"TAAB",E2:E557,"0338",F2:F557,"01")</f>
        <v>-44.453759999999996</v>
      </c>
      <c r="CK568" s="386">
        <f>SUMIFS(CK2:CK557,G2:G557,"TAAB",E2:E557,"0338",F2:F557,"01")</f>
        <v>0</v>
      </c>
      <c r="CL568" s="386">
        <f>SUMIFS(CL2:CL557,G2:G557,"TAAB",E2:E557,"0338",F2:F557,"01")</f>
        <v>0</v>
      </c>
      <c r="CM568" s="386">
        <f>SUMIFS(CM2:CM557,G2:G557,"TAAB",E2:E557,"0338",F2:F557,"01")</f>
        <v>0</v>
      </c>
    </row>
    <row r="569" spans="43:91" ht="18.75" x14ac:dyDescent="0.3">
      <c r="AQ569" s="392" t="s">
        <v>2012</v>
      </c>
      <c r="AS569" s="393">
        <f t="shared" ref="AS569:CM569" si="400">SUM(AS568:AS568)</f>
        <v>0.15000000000000002</v>
      </c>
      <c r="AT569" s="393">
        <f t="shared" si="400"/>
        <v>0</v>
      </c>
      <c r="AU569" s="393">
        <f t="shared" si="400"/>
        <v>3</v>
      </c>
      <c r="AV569" s="393">
        <f t="shared" si="400"/>
        <v>0</v>
      </c>
      <c r="AW569" s="393">
        <f t="shared" si="400"/>
        <v>9</v>
      </c>
      <c r="AX569" s="393">
        <f t="shared" si="400"/>
        <v>185224</v>
      </c>
      <c r="AY569" s="393">
        <f t="shared" si="400"/>
        <v>9261.2000000000007</v>
      </c>
      <c r="AZ569" s="393">
        <f t="shared" si="400"/>
        <v>0</v>
      </c>
      <c r="BA569" s="393">
        <f t="shared" si="400"/>
        <v>0</v>
      </c>
      <c r="BB569" s="393">
        <f t="shared" si="400"/>
        <v>1747.5</v>
      </c>
      <c r="BC569" s="393">
        <f t="shared" si="400"/>
        <v>0</v>
      </c>
      <c r="BD569" s="393">
        <f t="shared" si="400"/>
        <v>574.19440000000009</v>
      </c>
      <c r="BE569" s="393">
        <f t="shared" si="400"/>
        <v>134.28739999999999</v>
      </c>
      <c r="BF569" s="393">
        <f t="shared" si="400"/>
        <v>1105.78728</v>
      </c>
      <c r="BG569" s="393">
        <f t="shared" si="400"/>
        <v>66.773252000000014</v>
      </c>
      <c r="BH569" s="393">
        <f t="shared" si="400"/>
        <v>45.37988</v>
      </c>
      <c r="BI569" s="393">
        <f t="shared" si="400"/>
        <v>28.339272000000001</v>
      </c>
      <c r="BJ569" s="393">
        <f t="shared" si="400"/>
        <v>22.226879999999998</v>
      </c>
      <c r="BK569" s="393">
        <f t="shared" si="400"/>
        <v>0</v>
      </c>
      <c r="BL569" s="393">
        <f t="shared" si="400"/>
        <v>1976.9883640000003</v>
      </c>
      <c r="BM569" s="393">
        <f t="shared" si="400"/>
        <v>0</v>
      </c>
      <c r="BN569" s="393">
        <f t="shared" si="400"/>
        <v>1747.5</v>
      </c>
      <c r="BO569" s="393">
        <f t="shared" si="400"/>
        <v>0</v>
      </c>
      <c r="BP569" s="393">
        <f t="shared" si="400"/>
        <v>574.19440000000009</v>
      </c>
      <c r="BQ569" s="393">
        <f t="shared" si="400"/>
        <v>134.28739999999999</v>
      </c>
      <c r="BR569" s="393">
        <f t="shared" si="400"/>
        <v>1105.78728</v>
      </c>
      <c r="BS569" s="393">
        <f t="shared" si="400"/>
        <v>66.773252000000014</v>
      </c>
      <c r="BT569" s="393">
        <f t="shared" si="400"/>
        <v>0</v>
      </c>
      <c r="BU569" s="393">
        <f t="shared" si="400"/>
        <v>28.339272000000001</v>
      </c>
      <c r="BV569" s="393">
        <f t="shared" si="400"/>
        <v>23.153000000000002</v>
      </c>
      <c r="BW569" s="393">
        <f t="shared" si="400"/>
        <v>0</v>
      </c>
      <c r="BX569" s="393">
        <f t="shared" si="400"/>
        <v>1932.5346040000004</v>
      </c>
      <c r="BY569" s="393">
        <f t="shared" si="400"/>
        <v>0</v>
      </c>
      <c r="BZ569" s="393">
        <f t="shared" si="400"/>
        <v>0</v>
      </c>
      <c r="CA569" s="393">
        <f t="shared" si="400"/>
        <v>0</v>
      </c>
      <c r="CB569" s="393">
        <f t="shared" si="400"/>
        <v>0</v>
      </c>
      <c r="CC569" s="393">
        <f t="shared" si="400"/>
        <v>0</v>
      </c>
      <c r="CD569" s="393">
        <f t="shared" si="400"/>
        <v>0</v>
      </c>
      <c r="CE569" s="393">
        <f t="shared" si="400"/>
        <v>0</v>
      </c>
      <c r="CF569" s="393">
        <f t="shared" si="400"/>
        <v>-45.37988</v>
      </c>
      <c r="CG569" s="393">
        <f t="shared" si="400"/>
        <v>0</v>
      </c>
      <c r="CH569" s="393">
        <f t="shared" si="400"/>
        <v>0.9261200000000025</v>
      </c>
      <c r="CI569" s="393">
        <f t="shared" si="400"/>
        <v>0</v>
      </c>
      <c r="CJ569" s="393">
        <f t="shared" si="400"/>
        <v>-44.453759999999996</v>
      </c>
      <c r="CK569" s="393">
        <f t="shared" si="400"/>
        <v>0</v>
      </c>
      <c r="CL569" s="393">
        <f t="shared" si="400"/>
        <v>0</v>
      </c>
      <c r="CM569" s="393">
        <f t="shared" si="400"/>
        <v>0</v>
      </c>
    </row>
    <row r="570" spans="43:91" ht="15.75" thickBot="1" x14ac:dyDescent="0.3">
      <c r="AR570" t="s">
        <v>2014</v>
      </c>
      <c r="AS570" s="386">
        <f>SUMIFS(AS2:AS557,G2:G557,"TAAB",E2:E557,"0338",F2:F557,"02",AT2:AT557,1)</f>
        <v>22.2</v>
      </c>
      <c r="AT570" s="386">
        <f>SUMIFS(AS2:AS557,G2:G557,"TAAB",E2:E557,"0338",F2:F557,"02",AT2:AT557,3)</f>
        <v>0</v>
      </c>
      <c r="AU570" s="386">
        <f>SUMIFS(AU2:AU557,G2:G557,"TAAB",E2:E557,"0338",F2:F557,"02")</f>
        <v>25</v>
      </c>
      <c r="AV570" s="386">
        <f>SUMIFS(AV2:AV557,G2:G557,"TAAB",E2:E557,"0338",F2:F557,"02")</f>
        <v>0</v>
      </c>
      <c r="AW570" s="386">
        <f>SUMIFS(AW2:AW557,G2:G557,"TAAB",E2:E557,"0338",F2:F557,"02")</f>
        <v>34</v>
      </c>
      <c r="AX570" s="386">
        <f>SUMIFS(AX2:AX557,G2:G557,"TAAB",E2:E557,"0338",F2:F557,"02")</f>
        <v>1416147.2</v>
      </c>
      <c r="AY570" s="386">
        <f>SUMIFS(AY2:AY557,G2:G557,"TAAB",E2:E557,"0338",F2:F557,"02")</f>
        <v>1214091.8400000001</v>
      </c>
      <c r="AZ570" s="386">
        <f>SUMIFS(AZ2:AZ557,G2:G557,"TAAB",E2:E557,"0338",F2:F557,"02")</f>
        <v>0</v>
      </c>
      <c r="BA570" s="386">
        <f>SUMIFS(BA2:BA557,G2:G557,"TAAB",E2:E557,"0338",F2:F557,"02")</f>
        <v>0</v>
      </c>
      <c r="BB570" s="386">
        <f>SUMIFS(BB2:BB557,G2:G557,"TAAB",E2:E557,"0338",F2:F557,"02")</f>
        <v>258630</v>
      </c>
      <c r="BC570" s="386">
        <f>SUMIFS(BC2:BC557,G2:G557,"TAAB",E2:E557,"0338",F2:F557,"02")</f>
        <v>0</v>
      </c>
      <c r="BD570" s="386">
        <f>SUMIFS(BD2:BD557,G2:G557,"TAAB",E2:E557,"0338",F2:F557,"02")</f>
        <v>75273.694080000001</v>
      </c>
      <c r="BE570" s="386">
        <f>SUMIFS(BE2:BE557,G2:G557,"TAAB",E2:E557,"0338",F2:F557,"02")</f>
        <v>17604.331679999999</v>
      </c>
      <c r="BF570" s="386">
        <f>SUMIFS(BF2:BF557,G2:G557,"TAAB",E2:E557,"0338",F2:F557,"02")</f>
        <v>144962.56569600003</v>
      </c>
      <c r="BG570" s="386">
        <f>SUMIFS(BG2:BG557,G2:G557,"TAAB",E2:E557,"0338",F2:F557,"02")</f>
        <v>8753.6021663999982</v>
      </c>
      <c r="BH570" s="386">
        <f>SUMIFS(BH2:BH557,G2:G557,"TAAB",E2:E557,"0338",F2:F557,"02")</f>
        <v>5949.0500160000001</v>
      </c>
      <c r="BI570" s="386">
        <f>SUMIFS(BI2:BI557,G2:G557,"TAAB",E2:E557,"0338",F2:F557,"02")</f>
        <v>3561.6975264000002</v>
      </c>
      <c r="BJ570" s="386">
        <f>SUMIFS(BJ2:BJ557,G2:G557,"TAAB",E2:E557,"0338",F2:F557,"02")</f>
        <v>2913.820416</v>
      </c>
      <c r="BK570" s="386">
        <f>SUMIFS(BK2:BK557,G2:G557,"TAAB",E2:E557,"0338",F2:F557,"02")</f>
        <v>0</v>
      </c>
      <c r="BL570" s="386">
        <f>SUMIFS(BL2:BL557,G2:G557,"TAAB",E2:E557,"0338",F2:F557,"02")</f>
        <v>259018.76158080006</v>
      </c>
      <c r="BM570" s="386">
        <f>SUMIFS(BM2:BM557,G2:G557,"TAAB",E2:E557,"0338",F2:F557,"02")</f>
        <v>0</v>
      </c>
      <c r="BN570" s="386">
        <f>SUMIFS(BN2:BN557,G2:G557,"TAAB",E2:E557,"0338",F2:F557,"02")</f>
        <v>258630</v>
      </c>
      <c r="BO570" s="386">
        <f>SUMIFS(BO2:BO557,G2:G557,"TAAB",E2:E557,"0338",F2:F557,"02")</f>
        <v>0</v>
      </c>
      <c r="BP570" s="386">
        <f>SUMIFS(BP2:BP557,G2:G557,"TAAB",E2:E557,"0338",F2:F557,"02")</f>
        <v>75273.694080000001</v>
      </c>
      <c r="BQ570" s="386">
        <f>SUMIFS(BQ2:BQ557,G2:G557,"TAAB",E2:E557,"0338",F2:F557,"02")</f>
        <v>17604.331679999999</v>
      </c>
      <c r="BR570" s="386">
        <f>SUMIFS(BR2:BR557,G2:G557,"TAAB",E2:E557,"0338",F2:F557,"02")</f>
        <v>144962.56569600003</v>
      </c>
      <c r="BS570" s="386">
        <f>SUMIFS(BS2:BS557,G2:G557,"TAAB",E2:E557,"0338",F2:F557,"02")</f>
        <v>8753.6021663999982</v>
      </c>
      <c r="BT570" s="386">
        <f>SUMIFS(BT2:BT557,G2:G557,"TAAB",E2:E557,"0338",F2:F557,"02")</f>
        <v>0</v>
      </c>
      <c r="BU570" s="386">
        <f>SUMIFS(BU2:BU557,G2:G557,"TAAB",E2:E557,"0338",F2:F557,"02")</f>
        <v>3561.6975264000002</v>
      </c>
      <c r="BV570" s="386">
        <f>SUMIFS(BV2:BV557,G2:G557,"TAAB",E2:E557,"0338",F2:F557,"02")</f>
        <v>3035.2296000000001</v>
      </c>
      <c r="BW570" s="386">
        <f>SUMIFS(BW2:BW557,G2:G557,"TAAB",E2:E557,"0338",F2:F557,"02")</f>
        <v>0</v>
      </c>
      <c r="BX570" s="386">
        <f>SUMIFS(BX2:BX557,G2:G557,"TAAB",E2:E557,"0338",F2:F557,"02")</f>
        <v>253191.12074879999</v>
      </c>
      <c r="BY570" s="386">
        <f>SUMIFS(BY2:BY557,G2:G557,"TAAB",E2:E557,"0338",F2:F557,"02")</f>
        <v>0</v>
      </c>
      <c r="BZ570" s="386">
        <f>SUMIFS(BZ2:BZ557,G2:G557,"TAAB",E2:E557,"0338",F2:F557,"02")</f>
        <v>0</v>
      </c>
      <c r="CA570" s="386">
        <f>SUMIFS(CA2:CA557,G2:G557,"TAAB",E2:E557,"0338",F2:F557,"02")</f>
        <v>0</v>
      </c>
      <c r="CB570" s="386">
        <f>SUMIFS(CB2:CB557,G2:G557,"TAAB",E2:E557,"0338",F2:F557,"02")</f>
        <v>0</v>
      </c>
      <c r="CC570" s="386">
        <f>SUMIFS(CC2:CC557,G2:G557,"TAAB",E2:E557,"0338",F2:F557,"02")</f>
        <v>0</v>
      </c>
      <c r="CD570" s="386">
        <f>SUMIFS(CD2:CD557,G2:G557,"TAAB",E2:E557,"0338",F2:F557,"02")</f>
        <v>0</v>
      </c>
      <c r="CE570" s="386">
        <f>SUMIFS(CE2:CE557,G2:G557,"TAAB",E2:E557,"0338",F2:F557,"02")</f>
        <v>0</v>
      </c>
      <c r="CF570" s="386">
        <f>SUMIFS(CF2:CF557,G2:G557,"TAAB",E2:E557,"0338",F2:F557,"02")</f>
        <v>-5949.0500160000001</v>
      </c>
      <c r="CG570" s="386">
        <f>SUMIFS(CG2:CG557,G2:G557,"TAAB",E2:E557,"0338",F2:F557,"02")</f>
        <v>0</v>
      </c>
      <c r="CH570" s="386">
        <f>SUMIFS(CH2:CH557,G2:G557,"TAAB",E2:E557,"0338",F2:F557,"02")</f>
        <v>121.40918400000031</v>
      </c>
      <c r="CI570" s="386">
        <f>SUMIFS(CI2:CI557,G2:G557,"TAAB",E2:E557,"0338",F2:F557,"02")</f>
        <v>0</v>
      </c>
      <c r="CJ570" s="386">
        <f>SUMIFS(CJ2:CJ557,G2:G557,"TAAB",E2:E557,"0338",F2:F557,"02")</f>
        <v>-5827.6408320000019</v>
      </c>
      <c r="CK570" s="386">
        <f>SUMIFS(CK2:CK557,G2:G557,"TAAB",E2:E557,"0338",F2:F557,"02")</f>
        <v>0</v>
      </c>
      <c r="CL570" s="386">
        <f>SUMIFS(CL2:CL557,G2:G557,"TAAB",E2:E557,"0338",F2:F557,"02")</f>
        <v>0</v>
      </c>
      <c r="CM570" s="386">
        <f>SUMIFS(CM2:CM557,G2:G557,"TAAB",E2:E557,"0338",F2:F557,"02")</f>
        <v>0</v>
      </c>
    </row>
    <row r="571" spans="43:91" ht="18.75" x14ac:dyDescent="0.3">
      <c r="AQ571" s="392" t="s">
        <v>2012</v>
      </c>
      <c r="AS571" s="393">
        <f t="shared" ref="AS571:CM571" si="401">SUM(AS570:AS570)</f>
        <v>22.2</v>
      </c>
      <c r="AT571" s="393">
        <f t="shared" si="401"/>
        <v>0</v>
      </c>
      <c r="AU571" s="393">
        <f t="shared" si="401"/>
        <v>25</v>
      </c>
      <c r="AV571" s="393">
        <f t="shared" si="401"/>
        <v>0</v>
      </c>
      <c r="AW571" s="393">
        <f t="shared" si="401"/>
        <v>34</v>
      </c>
      <c r="AX571" s="393">
        <f t="shared" si="401"/>
        <v>1416147.2</v>
      </c>
      <c r="AY571" s="393">
        <f t="shared" si="401"/>
        <v>1214091.8400000001</v>
      </c>
      <c r="AZ571" s="393">
        <f t="shared" si="401"/>
        <v>0</v>
      </c>
      <c r="BA571" s="393">
        <f t="shared" si="401"/>
        <v>0</v>
      </c>
      <c r="BB571" s="393">
        <f t="shared" si="401"/>
        <v>258630</v>
      </c>
      <c r="BC571" s="393">
        <f t="shared" si="401"/>
        <v>0</v>
      </c>
      <c r="BD571" s="393">
        <f t="shared" si="401"/>
        <v>75273.694080000001</v>
      </c>
      <c r="BE571" s="393">
        <f t="shared" si="401"/>
        <v>17604.331679999999</v>
      </c>
      <c r="BF571" s="393">
        <f t="shared" si="401"/>
        <v>144962.56569600003</v>
      </c>
      <c r="BG571" s="393">
        <f t="shared" si="401"/>
        <v>8753.6021663999982</v>
      </c>
      <c r="BH571" s="393">
        <f t="shared" si="401"/>
        <v>5949.0500160000001</v>
      </c>
      <c r="BI571" s="393">
        <f t="shared" si="401"/>
        <v>3561.6975264000002</v>
      </c>
      <c r="BJ571" s="393">
        <f t="shared" si="401"/>
        <v>2913.820416</v>
      </c>
      <c r="BK571" s="393">
        <f t="shared" si="401"/>
        <v>0</v>
      </c>
      <c r="BL571" s="393">
        <f t="shared" si="401"/>
        <v>259018.76158080006</v>
      </c>
      <c r="BM571" s="393">
        <f t="shared" si="401"/>
        <v>0</v>
      </c>
      <c r="BN571" s="393">
        <f t="shared" si="401"/>
        <v>258630</v>
      </c>
      <c r="BO571" s="393">
        <f t="shared" si="401"/>
        <v>0</v>
      </c>
      <c r="BP571" s="393">
        <f t="shared" si="401"/>
        <v>75273.694080000001</v>
      </c>
      <c r="BQ571" s="393">
        <f t="shared" si="401"/>
        <v>17604.331679999999</v>
      </c>
      <c r="BR571" s="393">
        <f t="shared" si="401"/>
        <v>144962.56569600003</v>
      </c>
      <c r="BS571" s="393">
        <f t="shared" si="401"/>
        <v>8753.6021663999982</v>
      </c>
      <c r="BT571" s="393">
        <f t="shared" si="401"/>
        <v>0</v>
      </c>
      <c r="BU571" s="393">
        <f t="shared" si="401"/>
        <v>3561.6975264000002</v>
      </c>
      <c r="BV571" s="393">
        <f t="shared" si="401"/>
        <v>3035.2296000000001</v>
      </c>
      <c r="BW571" s="393">
        <f t="shared" si="401"/>
        <v>0</v>
      </c>
      <c r="BX571" s="393">
        <f t="shared" si="401"/>
        <v>253191.12074879999</v>
      </c>
      <c r="BY571" s="393">
        <f t="shared" si="401"/>
        <v>0</v>
      </c>
      <c r="BZ571" s="393">
        <f t="shared" si="401"/>
        <v>0</v>
      </c>
      <c r="CA571" s="393">
        <f t="shared" si="401"/>
        <v>0</v>
      </c>
      <c r="CB571" s="393">
        <f t="shared" si="401"/>
        <v>0</v>
      </c>
      <c r="CC571" s="393">
        <f t="shared" si="401"/>
        <v>0</v>
      </c>
      <c r="CD571" s="393">
        <f t="shared" si="401"/>
        <v>0</v>
      </c>
      <c r="CE571" s="393">
        <f t="shared" si="401"/>
        <v>0</v>
      </c>
      <c r="CF571" s="393">
        <f t="shared" si="401"/>
        <v>-5949.0500160000001</v>
      </c>
      <c r="CG571" s="393">
        <f t="shared" si="401"/>
        <v>0</v>
      </c>
      <c r="CH571" s="393">
        <f t="shared" si="401"/>
        <v>121.40918400000031</v>
      </c>
      <c r="CI571" s="393">
        <f t="shared" si="401"/>
        <v>0</v>
      </c>
      <c r="CJ571" s="393">
        <f t="shared" si="401"/>
        <v>-5827.6408320000019</v>
      </c>
      <c r="CK571" s="393">
        <f t="shared" si="401"/>
        <v>0</v>
      </c>
      <c r="CL571" s="393">
        <f t="shared" si="401"/>
        <v>0</v>
      </c>
      <c r="CM571" s="393">
        <f t="shared" si="401"/>
        <v>0</v>
      </c>
    </row>
    <row r="572" spans="43:91" ht="15.75" thickBot="1" x14ac:dyDescent="0.3">
      <c r="AR572" t="s">
        <v>2016</v>
      </c>
      <c r="AS572" s="386">
        <f>SUMIFS(AS2:AS557,G2:G557,"TAAC",E2:E557,"0001",F2:F557,"00",AT2:AT557,1)</f>
        <v>61.11</v>
      </c>
      <c r="AT572" s="386">
        <f>SUMIFS(AS2:AS557,G2:G557,"TAAC",E2:E557,"0001",F2:F557,"00",AT2:AT557,3)</f>
        <v>0</v>
      </c>
      <c r="AU572" s="386">
        <f>SUMIFS(AU2:AU557,G2:G557,"TAAC",E2:E557,"0001",F2:F557,"00")</f>
        <v>64</v>
      </c>
      <c r="AV572" s="386">
        <f>SUMIFS(AV2:AV557,G2:G557,"TAAC",E2:E557,"0001",F2:F557,"00")</f>
        <v>0</v>
      </c>
      <c r="AW572" s="386">
        <f>SUMIFS(AW2:AW557,G2:G557,"TAAC",E2:E557,"0001",F2:F557,"00")</f>
        <v>90</v>
      </c>
      <c r="AX572" s="386">
        <f>SUMIFS(AX2:AX557,G2:G557,"TAAC",E2:E557,"0001",F2:F557,"00")</f>
        <v>2648235.1999999997</v>
      </c>
      <c r="AY572" s="386">
        <f>SUMIFS(AY2:AY557,G2:G557,"TAAC",E2:E557,"0001",F2:F557,"00")</f>
        <v>2458166.8800000004</v>
      </c>
      <c r="AZ572" s="386">
        <f>SUMIFS(AZ2:AZ557,G2:G557,"TAAC",E2:E557,"0001",F2:F557,"00")</f>
        <v>0</v>
      </c>
      <c r="BA572" s="386">
        <f>SUMIFS(BA2:BA557,G2:G557,"TAAC",E2:E557,"0001",F2:F557,"00")</f>
        <v>0</v>
      </c>
      <c r="BB572" s="386">
        <f>SUMIFS(BB2:BB557,G2:G557,"TAAC",E2:E557,"0001",F2:F557,"00")</f>
        <v>711931.5</v>
      </c>
      <c r="BC572" s="386">
        <f>SUMIFS(BC2:BC557,G2:G557,"TAAC",E2:E557,"0001",F2:F557,"00")</f>
        <v>0</v>
      </c>
      <c r="BD572" s="386">
        <f>SUMIFS(BD2:BD557,G2:G557,"TAAC",E2:E557,"0001",F2:F557,"00")</f>
        <v>152406.34656000003</v>
      </c>
      <c r="BE572" s="386">
        <f>SUMIFS(BE2:BE557,G2:G557,"TAAC",E2:E557,"0001",F2:F557,"00")</f>
        <v>35643.419759999997</v>
      </c>
      <c r="BF572" s="386">
        <f>SUMIFS(BF2:BF557,G2:G557,"TAAC",E2:E557,"0001",F2:F557,"00")</f>
        <v>293505.12547200004</v>
      </c>
      <c r="BG572" s="386">
        <f>SUMIFS(BG2:BG557,G2:G557,"TAAC",E2:E557,"0001",F2:F557,"00")</f>
        <v>17723.383204799997</v>
      </c>
      <c r="BH572" s="386">
        <f>SUMIFS(BH2:BH557,G2:G557,"TAAC",E2:E557,"0001",F2:F557,"00")</f>
        <v>12045.017711999999</v>
      </c>
      <c r="BI572" s="386">
        <f>SUMIFS(BI2:BI557,G2:G557,"TAAC",E2:E557,"0001",F2:F557,"00")</f>
        <v>7355.8693728000007</v>
      </c>
      <c r="BJ572" s="386">
        <f>SUMIFS(BJ2:BJ557,G2:G557,"TAAC",E2:E557,"0001",F2:F557,"00")</f>
        <v>5899.6005119999991</v>
      </c>
      <c r="BK572" s="386">
        <f>SUMIFS(BK2:BK557,G2:G557,"TAAC",E2:E557,"0001",F2:F557,"00")</f>
        <v>0</v>
      </c>
      <c r="BL572" s="386">
        <f>SUMIFS(BL2:BL557,G2:G557,"TAAC",E2:E557,"0001",F2:F557,"00")</f>
        <v>524578.76259359997</v>
      </c>
      <c r="BM572" s="386">
        <f>SUMIFS(BM2:BM557,G2:G557,"TAAC",E2:E557,"0001",F2:F557,"00")</f>
        <v>0</v>
      </c>
      <c r="BN572" s="386">
        <f>SUMIFS(BN2:BN557,G2:G557,"TAAC",E2:E557,"0001",F2:F557,"00")</f>
        <v>711931.5</v>
      </c>
      <c r="BO572" s="386">
        <f>SUMIFS(BO2:BO557,G2:G557,"TAAC",E2:E557,"0001",F2:F557,"00")</f>
        <v>0</v>
      </c>
      <c r="BP572" s="386">
        <f>SUMIFS(BP2:BP557,G2:G557,"TAAC",E2:E557,"0001",F2:F557,"00")</f>
        <v>152406.34656000003</v>
      </c>
      <c r="BQ572" s="386">
        <f>SUMIFS(BQ2:BQ557,G2:G557,"TAAC",E2:E557,"0001",F2:F557,"00")</f>
        <v>35643.419759999997</v>
      </c>
      <c r="BR572" s="386">
        <f>SUMIFS(BR2:BR557,G2:G557,"TAAC",E2:E557,"0001",F2:F557,"00")</f>
        <v>293505.12547200004</v>
      </c>
      <c r="BS572" s="386">
        <f>SUMIFS(BS2:BS557,G2:G557,"TAAC",E2:E557,"0001",F2:F557,"00")</f>
        <v>17723.383204799997</v>
      </c>
      <c r="BT572" s="386">
        <f>SUMIFS(BT2:BT557,G2:G557,"TAAC",E2:E557,"0001",F2:F557,"00")</f>
        <v>0</v>
      </c>
      <c r="BU572" s="386">
        <f>SUMIFS(BU2:BU557,G2:G557,"TAAC",E2:E557,"0001",F2:F557,"00")</f>
        <v>7355.8693728000007</v>
      </c>
      <c r="BV572" s="386">
        <f>SUMIFS(BV2:BV557,G2:G557,"TAAC",E2:E557,"0001",F2:F557,"00")</f>
        <v>6145.4171999999999</v>
      </c>
      <c r="BW572" s="386">
        <f>SUMIFS(BW2:BW557,G2:G557,"TAAC",E2:E557,"0001",F2:F557,"00")</f>
        <v>0</v>
      </c>
      <c r="BX572" s="386">
        <f>SUMIFS(BX2:BX557,G2:G557,"TAAC",E2:E557,"0001",F2:F557,"00")</f>
        <v>512779.56156959996</v>
      </c>
      <c r="BY572" s="386">
        <f>SUMIFS(BY2:BY557,G2:G557,"TAAC",E2:E557,"0001",F2:F557,"00")</f>
        <v>0</v>
      </c>
      <c r="BZ572" s="386">
        <f>SUMIFS(BZ2:BZ557,G2:G557,"TAAC",E2:E557,"0001",F2:F557,"00")</f>
        <v>0</v>
      </c>
      <c r="CA572" s="386">
        <f>SUMIFS(CA2:CA557,G2:G557,"TAAC",E2:E557,"0001",F2:F557,"00")</f>
        <v>0</v>
      </c>
      <c r="CB572" s="386">
        <f>SUMIFS(CB2:CB557,G2:G557,"TAAC",E2:E557,"0001",F2:F557,"00")</f>
        <v>0</v>
      </c>
      <c r="CC572" s="386">
        <f>SUMIFS(CC2:CC557,G2:G557,"TAAC",E2:E557,"0001",F2:F557,"00")</f>
        <v>0</v>
      </c>
      <c r="CD572" s="386">
        <f>SUMIFS(CD2:CD557,G2:G557,"TAAC",E2:E557,"0001",F2:F557,"00")</f>
        <v>0</v>
      </c>
      <c r="CE572" s="386">
        <f>SUMIFS(CE2:CE557,G2:G557,"TAAC",E2:E557,"0001",F2:F557,"00")</f>
        <v>0</v>
      </c>
      <c r="CF572" s="386">
        <f>SUMIFS(CF2:CF557,G2:G557,"TAAC",E2:E557,"0001",F2:F557,"00")</f>
        <v>-12045.017711999999</v>
      </c>
      <c r="CG572" s="386">
        <f>SUMIFS(CG2:CG557,G2:G557,"TAAC",E2:E557,"0001",F2:F557,"00")</f>
        <v>0</v>
      </c>
      <c r="CH572" s="386">
        <f>SUMIFS(CH2:CH557,G2:G557,"TAAC",E2:E557,"0001",F2:F557,"00")</f>
        <v>245.81668800000065</v>
      </c>
      <c r="CI572" s="386">
        <f>SUMIFS(CI2:CI557,G2:G557,"TAAC",E2:E557,"0001",F2:F557,"00")</f>
        <v>0</v>
      </c>
      <c r="CJ572" s="386">
        <f>SUMIFS(CJ2:CJ557,G2:G557,"TAAC",E2:E557,"0001",F2:F557,"00")</f>
        <v>-11799.201024</v>
      </c>
      <c r="CK572" s="386">
        <f>SUMIFS(CK2:CK557,G2:G557,"TAAC",E2:E557,"0001",F2:F557,"00")</f>
        <v>0</v>
      </c>
      <c r="CL572" s="386">
        <f>SUMIFS(CL2:CL557,G2:G557,"TAAC",E2:E557,"0001",F2:F557,"00")</f>
        <v>526925.31000000006</v>
      </c>
      <c r="CM572" s="386">
        <f>SUMIFS(CM2:CM557,G2:G557,"TAAC",E2:E557,"0001",F2:F557,"00")</f>
        <v>42396.600000000006</v>
      </c>
    </row>
    <row r="573" spans="43:91" ht="18.75" x14ac:dyDescent="0.3">
      <c r="AQ573" s="392" t="s">
        <v>2017</v>
      </c>
      <c r="AS573" s="393">
        <f t="shared" ref="AS573:CM573" si="402">SUM(AS572:AS572)</f>
        <v>61.11</v>
      </c>
      <c r="AT573" s="393">
        <f t="shared" si="402"/>
        <v>0</v>
      </c>
      <c r="AU573" s="393">
        <f t="shared" si="402"/>
        <v>64</v>
      </c>
      <c r="AV573" s="393">
        <f t="shared" si="402"/>
        <v>0</v>
      </c>
      <c r="AW573" s="393">
        <f t="shared" si="402"/>
        <v>90</v>
      </c>
      <c r="AX573" s="393">
        <f t="shared" si="402"/>
        <v>2648235.1999999997</v>
      </c>
      <c r="AY573" s="393">
        <f t="shared" si="402"/>
        <v>2458166.8800000004</v>
      </c>
      <c r="AZ573" s="393">
        <f t="shared" si="402"/>
        <v>0</v>
      </c>
      <c r="BA573" s="393">
        <f t="shared" si="402"/>
        <v>0</v>
      </c>
      <c r="BB573" s="393">
        <f t="shared" si="402"/>
        <v>711931.5</v>
      </c>
      <c r="BC573" s="393">
        <f t="shared" si="402"/>
        <v>0</v>
      </c>
      <c r="BD573" s="393">
        <f t="shared" si="402"/>
        <v>152406.34656000003</v>
      </c>
      <c r="BE573" s="393">
        <f t="shared" si="402"/>
        <v>35643.419759999997</v>
      </c>
      <c r="BF573" s="393">
        <f t="shared" si="402"/>
        <v>293505.12547200004</v>
      </c>
      <c r="BG573" s="393">
        <f t="shared" si="402"/>
        <v>17723.383204799997</v>
      </c>
      <c r="BH573" s="393">
        <f t="shared" si="402"/>
        <v>12045.017711999999</v>
      </c>
      <c r="BI573" s="393">
        <f t="shared" si="402"/>
        <v>7355.8693728000007</v>
      </c>
      <c r="BJ573" s="393">
        <f t="shared" si="402"/>
        <v>5899.6005119999991</v>
      </c>
      <c r="BK573" s="393">
        <f t="shared" si="402"/>
        <v>0</v>
      </c>
      <c r="BL573" s="393">
        <f t="shared" si="402"/>
        <v>524578.76259359997</v>
      </c>
      <c r="BM573" s="393">
        <f t="shared" si="402"/>
        <v>0</v>
      </c>
      <c r="BN573" s="393">
        <f t="shared" si="402"/>
        <v>711931.5</v>
      </c>
      <c r="BO573" s="393">
        <f t="shared" si="402"/>
        <v>0</v>
      </c>
      <c r="BP573" s="393">
        <f t="shared" si="402"/>
        <v>152406.34656000003</v>
      </c>
      <c r="BQ573" s="393">
        <f t="shared" si="402"/>
        <v>35643.419759999997</v>
      </c>
      <c r="BR573" s="393">
        <f t="shared" si="402"/>
        <v>293505.12547200004</v>
      </c>
      <c r="BS573" s="393">
        <f t="shared" si="402"/>
        <v>17723.383204799997</v>
      </c>
      <c r="BT573" s="393">
        <f t="shared" si="402"/>
        <v>0</v>
      </c>
      <c r="BU573" s="393">
        <f t="shared" si="402"/>
        <v>7355.8693728000007</v>
      </c>
      <c r="BV573" s="393">
        <f t="shared" si="402"/>
        <v>6145.4171999999999</v>
      </c>
      <c r="BW573" s="393">
        <f t="shared" si="402"/>
        <v>0</v>
      </c>
      <c r="BX573" s="393">
        <f t="shared" si="402"/>
        <v>512779.56156959996</v>
      </c>
      <c r="BY573" s="393">
        <f t="shared" si="402"/>
        <v>0</v>
      </c>
      <c r="BZ573" s="393">
        <f t="shared" si="402"/>
        <v>0</v>
      </c>
      <c r="CA573" s="393">
        <f t="shared" si="402"/>
        <v>0</v>
      </c>
      <c r="CB573" s="393">
        <f t="shared" si="402"/>
        <v>0</v>
      </c>
      <c r="CC573" s="393">
        <f t="shared" si="402"/>
        <v>0</v>
      </c>
      <c r="CD573" s="393">
        <f t="shared" si="402"/>
        <v>0</v>
      </c>
      <c r="CE573" s="393">
        <f t="shared" si="402"/>
        <v>0</v>
      </c>
      <c r="CF573" s="393">
        <f t="shared" si="402"/>
        <v>-12045.017711999999</v>
      </c>
      <c r="CG573" s="393">
        <f t="shared" si="402"/>
        <v>0</v>
      </c>
      <c r="CH573" s="393">
        <f t="shared" si="402"/>
        <v>245.81668800000065</v>
      </c>
      <c r="CI573" s="393">
        <f t="shared" si="402"/>
        <v>0</v>
      </c>
      <c r="CJ573" s="393">
        <f t="shared" si="402"/>
        <v>-11799.201024</v>
      </c>
      <c r="CK573" s="393">
        <f t="shared" si="402"/>
        <v>0</v>
      </c>
      <c r="CL573" s="393">
        <f t="shared" si="402"/>
        <v>526925.31000000006</v>
      </c>
      <c r="CM573" s="393">
        <f t="shared" si="402"/>
        <v>42396.600000000006</v>
      </c>
    </row>
    <row r="574" spans="43:91" ht="15.75" thickBot="1" x14ac:dyDescent="0.3">
      <c r="AR574" t="s">
        <v>2020</v>
      </c>
      <c r="AS574" s="386">
        <f>SUMIFS(AS2:AS557,G2:G557,"TAAC",E2:E557,"0338",F2:F557,"01",AT2:AT557,1)</f>
        <v>0.28999999999999998</v>
      </c>
      <c r="AT574" s="386">
        <f>SUMIFS(AS2:AS557,G2:G557,"TAAC",E2:E557,"0338",F2:F557,"01",AT2:AT557,3)</f>
        <v>0</v>
      </c>
      <c r="AU574" s="386">
        <f>SUMIFS(AU2:AU557,G2:G557,"TAAC",E2:E557,"0338",F2:F557,"01")</f>
        <v>1</v>
      </c>
      <c r="AV574" s="386">
        <f>SUMIFS(AV2:AV557,G2:G557,"TAAC",E2:E557,"0338",F2:F557,"01")</f>
        <v>0</v>
      </c>
      <c r="AW574" s="386">
        <f>SUMIFS(AW2:AW557,G2:G557,"TAAC",E2:E557,"0338",F2:F557,"01")</f>
        <v>6</v>
      </c>
      <c r="AX574" s="386">
        <f>SUMIFS(AX2:AX557,G2:G557,"TAAC",E2:E557,"0338",F2:F557,"01")</f>
        <v>30056</v>
      </c>
      <c r="AY574" s="386">
        <f>SUMIFS(AY2:AY557,G2:G557,"TAAC",E2:E557,"0338",F2:F557,"01")</f>
        <v>8716.24</v>
      </c>
      <c r="AZ574" s="386">
        <f>SUMIFS(AZ2:AZ557,G2:G557,"TAAC",E2:E557,"0338",F2:F557,"01")</f>
        <v>0</v>
      </c>
      <c r="BA574" s="386">
        <f>SUMIFS(BA2:BA557,G2:G557,"TAAC",E2:E557,"0338",F2:F557,"01")</f>
        <v>0</v>
      </c>
      <c r="BB574" s="386">
        <f>SUMIFS(BB2:BB557,G2:G557,"TAAC",E2:E557,"0338",F2:F557,"01")</f>
        <v>3378.4999999999995</v>
      </c>
      <c r="BC574" s="386">
        <f>SUMIFS(BC2:BC557,G2:G557,"TAAC",E2:E557,"0338",F2:F557,"01")</f>
        <v>0</v>
      </c>
      <c r="BD574" s="386">
        <f>SUMIFS(BD2:BD557,G2:G557,"TAAC",E2:E557,"0338",F2:F557,"01")</f>
        <v>540.40688</v>
      </c>
      <c r="BE574" s="386">
        <f>SUMIFS(BE2:BE557,G2:G557,"TAAC",E2:E557,"0338",F2:F557,"01")</f>
        <v>126.38548</v>
      </c>
      <c r="BF574" s="386">
        <f>SUMIFS(BF2:BF557,G2:G557,"TAAC",E2:E557,"0338",F2:F557,"01")</f>
        <v>1040.7190560000001</v>
      </c>
      <c r="BG574" s="386">
        <f>SUMIFS(BG2:BG557,G2:G557,"TAAC",E2:E557,"0338",F2:F557,"01")</f>
        <v>62.844090399999999</v>
      </c>
      <c r="BH574" s="386">
        <f>SUMIFS(BH2:BH557,G2:G557,"TAAC",E2:E557,"0338",F2:F557,"01")</f>
        <v>42.709575999999998</v>
      </c>
      <c r="BI574" s="386">
        <f>SUMIFS(BI2:BI557,G2:G557,"TAAC",E2:E557,"0338",F2:F557,"01")</f>
        <v>26.671694399999996</v>
      </c>
      <c r="BJ574" s="386">
        <f>SUMIFS(BJ2:BJ557,G2:G557,"TAAC",E2:E557,"0338",F2:F557,"01")</f>
        <v>20.918975999999997</v>
      </c>
      <c r="BK574" s="386">
        <f>SUMIFS(BK2:BK557,G2:G557,"TAAC",E2:E557,"0338",F2:F557,"01")</f>
        <v>0</v>
      </c>
      <c r="BL574" s="386">
        <f>SUMIFS(BL2:BL557,G2:G557,"TAAC",E2:E557,"0338",F2:F557,"01")</f>
        <v>1860.6557528000001</v>
      </c>
      <c r="BM574" s="386">
        <f>SUMIFS(BM2:BM557,G2:G557,"TAAC",E2:E557,"0338",F2:F557,"01")</f>
        <v>0</v>
      </c>
      <c r="BN574" s="386">
        <f>SUMIFS(BN2:BN557,G2:G557,"TAAC",E2:E557,"0338",F2:F557,"01")</f>
        <v>3378.4999999999995</v>
      </c>
      <c r="BO574" s="386">
        <f>SUMIFS(BO2:BO557,G2:G557,"TAAC",E2:E557,"0338",F2:F557,"01")</f>
        <v>0</v>
      </c>
      <c r="BP574" s="386">
        <f>SUMIFS(BP2:BP557,G2:G557,"TAAC",E2:E557,"0338",F2:F557,"01")</f>
        <v>540.40688</v>
      </c>
      <c r="BQ574" s="386">
        <f>SUMIFS(BQ2:BQ557,G2:G557,"TAAC",E2:E557,"0338",F2:F557,"01")</f>
        <v>126.38548</v>
      </c>
      <c r="BR574" s="386">
        <f>SUMIFS(BR2:BR557,G2:G557,"TAAC",E2:E557,"0338",F2:F557,"01")</f>
        <v>1040.7190560000001</v>
      </c>
      <c r="BS574" s="386">
        <f>SUMIFS(BS2:BS557,G2:G557,"TAAC",E2:E557,"0338",F2:F557,"01")</f>
        <v>62.844090399999999</v>
      </c>
      <c r="BT574" s="386">
        <f>SUMIFS(BT2:BT557,G2:G557,"TAAC",E2:E557,"0338",F2:F557,"01")</f>
        <v>0</v>
      </c>
      <c r="BU574" s="386">
        <f>SUMIFS(BU2:BU557,G2:G557,"TAAC",E2:E557,"0338",F2:F557,"01")</f>
        <v>26.671694399999996</v>
      </c>
      <c r="BV574" s="386">
        <f>SUMIFS(BV2:BV557,G2:G557,"TAAC",E2:E557,"0338",F2:F557,"01")</f>
        <v>21.790600000000001</v>
      </c>
      <c r="BW574" s="386">
        <f>SUMIFS(BW2:BW557,G2:G557,"TAAC",E2:E557,"0338",F2:F557,"01")</f>
        <v>0</v>
      </c>
      <c r="BX574" s="386">
        <f>SUMIFS(BX2:BX557,G2:G557,"TAAC",E2:E557,"0338",F2:F557,"01")</f>
        <v>1818.8178008000002</v>
      </c>
      <c r="BY574" s="386">
        <f>SUMIFS(BY2:BY557,G2:G557,"TAAC",E2:E557,"0338",F2:F557,"01")</f>
        <v>0</v>
      </c>
      <c r="BZ574" s="386">
        <f>SUMIFS(BZ2:BZ557,G2:G557,"TAAC",E2:E557,"0338",F2:F557,"01")</f>
        <v>0</v>
      </c>
      <c r="CA574" s="386">
        <f>SUMIFS(CA2:CA557,G2:G557,"TAAC",E2:E557,"0338",F2:F557,"01")</f>
        <v>0</v>
      </c>
      <c r="CB574" s="386">
        <f>SUMIFS(CB2:CB557,G2:G557,"TAAC",E2:E557,"0338",F2:F557,"01")</f>
        <v>0</v>
      </c>
      <c r="CC574" s="386">
        <f>SUMIFS(CC2:CC557,G2:G557,"TAAC",E2:E557,"0338",F2:F557,"01")</f>
        <v>0</v>
      </c>
      <c r="CD574" s="386">
        <f>SUMIFS(CD2:CD557,G2:G557,"TAAC",E2:E557,"0338",F2:F557,"01")</f>
        <v>0</v>
      </c>
      <c r="CE574" s="386">
        <f>SUMIFS(CE2:CE557,G2:G557,"TAAC",E2:E557,"0338",F2:F557,"01")</f>
        <v>0</v>
      </c>
      <c r="CF574" s="386">
        <f>SUMIFS(CF2:CF557,G2:G557,"TAAC",E2:E557,"0338",F2:F557,"01")</f>
        <v>-42.709575999999998</v>
      </c>
      <c r="CG574" s="386">
        <f>SUMIFS(CG2:CG557,G2:G557,"TAAC",E2:E557,"0338",F2:F557,"01")</f>
        <v>0</v>
      </c>
      <c r="CH574" s="386">
        <f>SUMIFS(CH2:CH557,G2:G557,"TAAC",E2:E557,"0338",F2:F557,"01")</f>
        <v>0.87162400000000229</v>
      </c>
      <c r="CI574" s="386">
        <f>SUMIFS(CI2:CI557,G2:G557,"TAAC",E2:E557,"0338",F2:F557,"01")</f>
        <v>0</v>
      </c>
      <c r="CJ574" s="386">
        <f>SUMIFS(CJ2:CJ557,G2:G557,"TAAC",E2:E557,"0338",F2:F557,"01")</f>
        <v>-41.837951999999994</v>
      </c>
      <c r="CK574" s="386">
        <f>SUMIFS(CK2:CK557,G2:G557,"TAAC",E2:E557,"0338",F2:F557,"01")</f>
        <v>0</v>
      </c>
      <c r="CL574" s="386">
        <f>SUMIFS(CL2:CL557,G2:G557,"TAAC",E2:E557,"0338",F2:F557,"01")</f>
        <v>0</v>
      </c>
      <c r="CM574" s="386">
        <f>SUMIFS(CM2:CM557,G2:G557,"TAAC",E2:E557,"0338",F2:F557,"01")</f>
        <v>0</v>
      </c>
    </row>
    <row r="575" spans="43:91" ht="18.75" x14ac:dyDescent="0.3">
      <c r="AQ575" s="392" t="s">
        <v>2021</v>
      </c>
      <c r="AS575" s="393">
        <f t="shared" ref="AS575:CM575" si="403">SUM(AS574:AS574)</f>
        <v>0.28999999999999998</v>
      </c>
      <c r="AT575" s="393">
        <f t="shared" si="403"/>
        <v>0</v>
      </c>
      <c r="AU575" s="393">
        <f t="shared" si="403"/>
        <v>1</v>
      </c>
      <c r="AV575" s="393">
        <f t="shared" si="403"/>
        <v>0</v>
      </c>
      <c r="AW575" s="393">
        <f t="shared" si="403"/>
        <v>6</v>
      </c>
      <c r="AX575" s="393">
        <f t="shared" si="403"/>
        <v>30056</v>
      </c>
      <c r="AY575" s="393">
        <f t="shared" si="403"/>
        <v>8716.24</v>
      </c>
      <c r="AZ575" s="393">
        <f t="shared" si="403"/>
        <v>0</v>
      </c>
      <c r="BA575" s="393">
        <f t="shared" si="403"/>
        <v>0</v>
      </c>
      <c r="BB575" s="393">
        <f t="shared" si="403"/>
        <v>3378.4999999999995</v>
      </c>
      <c r="BC575" s="393">
        <f t="shared" si="403"/>
        <v>0</v>
      </c>
      <c r="BD575" s="393">
        <f t="shared" si="403"/>
        <v>540.40688</v>
      </c>
      <c r="BE575" s="393">
        <f t="shared" si="403"/>
        <v>126.38548</v>
      </c>
      <c r="BF575" s="393">
        <f t="shared" si="403"/>
        <v>1040.7190560000001</v>
      </c>
      <c r="BG575" s="393">
        <f t="shared" si="403"/>
        <v>62.844090399999999</v>
      </c>
      <c r="BH575" s="393">
        <f t="shared" si="403"/>
        <v>42.709575999999998</v>
      </c>
      <c r="BI575" s="393">
        <f t="shared" si="403"/>
        <v>26.671694399999996</v>
      </c>
      <c r="BJ575" s="393">
        <f t="shared" si="403"/>
        <v>20.918975999999997</v>
      </c>
      <c r="BK575" s="393">
        <f t="shared" si="403"/>
        <v>0</v>
      </c>
      <c r="BL575" s="393">
        <f t="shared" si="403"/>
        <v>1860.6557528000001</v>
      </c>
      <c r="BM575" s="393">
        <f t="shared" si="403"/>
        <v>0</v>
      </c>
      <c r="BN575" s="393">
        <f t="shared" si="403"/>
        <v>3378.4999999999995</v>
      </c>
      <c r="BO575" s="393">
        <f t="shared" si="403"/>
        <v>0</v>
      </c>
      <c r="BP575" s="393">
        <f t="shared" si="403"/>
        <v>540.40688</v>
      </c>
      <c r="BQ575" s="393">
        <f t="shared" si="403"/>
        <v>126.38548</v>
      </c>
      <c r="BR575" s="393">
        <f t="shared" si="403"/>
        <v>1040.7190560000001</v>
      </c>
      <c r="BS575" s="393">
        <f t="shared" si="403"/>
        <v>62.844090399999999</v>
      </c>
      <c r="BT575" s="393">
        <f t="shared" si="403"/>
        <v>0</v>
      </c>
      <c r="BU575" s="393">
        <f t="shared" si="403"/>
        <v>26.671694399999996</v>
      </c>
      <c r="BV575" s="393">
        <f t="shared" si="403"/>
        <v>21.790600000000001</v>
      </c>
      <c r="BW575" s="393">
        <f t="shared" si="403"/>
        <v>0</v>
      </c>
      <c r="BX575" s="393">
        <f t="shared" si="403"/>
        <v>1818.8178008000002</v>
      </c>
      <c r="BY575" s="393">
        <f t="shared" si="403"/>
        <v>0</v>
      </c>
      <c r="BZ575" s="393">
        <f t="shared" si="403"/>
        <v>0</v>
      </c>
      <c r="CA575" s="393">
        <f t="shared" si="403"/>
        <v>0</v>
      </c>
      <c r="CB575" s="393">
        <f t="shared" si="403"/>
        <v>0</v>
      </c>
      <c r="CC575" s="393">
        <f t="shared" si="403"/>
        <v>0</v>
      </c>
      <c r="CD575" s="393">
        <f t="shared" si="403"/>
        <v>0</v>
      </c>
      <c r="CE575" s="393">
        <f t="shared" si="403"/>
        <v>0</v>
      </c>
      <c r="CF575" s="393">
        <f t="shared" si="403"/>
        <v>-42.709575999999998</v>
      </c>
      <c r="CG575" s="393">
        <f t="shared" si="403"/>
        <v>0</v>
      </c>
      <c r="CH575" s="393">
        <f t="shared" si="403"/>
        <v>0.87162400000000229</v>
      </c>
      <c r="CI575" s="393">
        <f t="shared" si="403"/>
        <v>0</v>
      </c>
      <c r="CJ575" s="393">
        <f t="shared" si="403"/>
        <v>-41.837951999999994</v>
      </c>
      <c r="CK575" s="393">
        <f t="shared" si="403"/>
        <v>0</v>
      </c>
      <c r="CL575" s="393">
        <f t="shared" si="403"/>
        <v>0</v>
      </c>
      <c r="CM575" s="393">
        <f t="shared" si="403"/>
        <v>0</v>
      </c>
    </row>
    <row r="576" spans="43:91" ht="15.75" thickBot="1" x14ac:dyDescent="0.3">
      <c r="AR576" t="s">
        <v>2023</v>
      </c>
      <c r="AS576" s="386">
        <f>SUMIFS(AS2:AS557,G2:G557,"TAAC",E2:E557,"0338",F2:F557,"02",AT2:AT557,1)</f>
        <v>10.6</v>
      </c>
      <c r="AT576" s="386">
        <f>SUMIFS(AS2:AS557,G2:G557,"TAAC",E2:E557,"0338",F2:F557,"02",AT2:AT557,3)</f>
        <v>0</v>
      </c>
      <c r="AU576" s="386">
        <f>SUMIFS(AU2:AU557,G2:G557,"TAAC",E2:E557,"0338",F2:F557,"02")</f>
        <v>15</v>
      </c>
      <c r="AV576" s="386">
        <f>SUMIFS(AV2:AV557,G2:G557,"TAAC",E2:E557,"0338",F2:F557,"02")</f>
        <v>0</v>
      </c>
      <c r="AW576" s="386">
        <f>SUMIFS(AW2:AW557,G2:G557,"TAAC",E2:E557,"0338",F2:F557,"02")</f>
        <v>38</v>
      </c>
      <c r="AX576" s="386">
        <f>SUMIFS(AX2:AX557,G2:G557,"TAAC",E2:E557,"0338",F2:F557,"02")</f>
        <v>768934.40000000002</v>
      </c>
      <c r="AY576" s="386">
        <f>SUMIFS(AY2:AY557,G2:G557,"TAAC",E2:E557,"0338",F2:F557,"02")</f>
        <v>476774.48</v>
      </c>
      <c r="AZ576" s="386">
        <f>SUMIFS(AZ2:AZ557,G2:G557,"TAAC",E2:E557,"0338",F2:F557,"02")</f>
        <v>0</v>
      </c>
      <c r="BA576" s="386">
        <f>SUMIFS(BA2:BA557,G2:G557,"TAAC",E2:E557,"0338",F2:F557,"02")</f>
        <v>0</v>
      </c>
      <c r="BB576" s="386">
        <f>SUMIFS(BB2:BB557,G2:G557,"TAAC",E2:E557,"0338",F2:F557,"02")</f>
        <v>123490</v>
      </c>
      <c r="BC576" s="386">
        <f>SUMIFS(BC2:BC557,G2:G557,"TAAC",E2:E557,"0338",F2:F557,"02")</f>
        <v>0</v>
      </c>
      <c r="BD576" s="386">
        <f>SUMIFS(BD2:BD557,G2:G557,"TAAC",E2:E557,"0338",F2:F557,"02")</f>
        <v>29560.017759999999</v>
      </c>
      <c r="BE576" s="386">
        <f>SUMIFS(BE2:BE557,G2:G557,"TAAC",E2:E557,"0338",F2:F557,"02")</f>
        <v>6913.2299599999997</v>
      </c>
      <c r="BF576" s="386">
        <f>SUMIFS(BF2:BF557,G2:G557,"TAAC",E2:E557,"0338",F2:F557,"02")</f>
        <v>56926.872911999999</v>
      </c>
      <c r="BG576" s="386">
        <f>SUMIFS(BG2:BG557,G2:G557,"TAAC",E2:E557,"0338",F2:F557,"02")</f>
        <v>3437.5440008</v>
      </c>
      <c r="BH576" s="386">
        <f>SUMIFS(BH2:BH557,G2:G557,"TAAC",E2:E557,"0338",F2:F557,"02")</f>
        <v>2336.1949519999994</v>
      </c>
      <c r="BI576" s="386">
        <f>SUMIFS(BI2:BI557,G2:G557,"TAAC",E2:E557,"0338",F2:F557,"02")</f>
        <v>1348.1823887999999</v>
      </c>
      <c r="BJ576" s="386">
        <f>SUMIFS(BJ2:BJ557,G2:G557,"TAAC",E2:E557,"0338",F2:F557,"02")</f>
        <v>1144.258752</v>
      </c>
      <c r="BK576" s="386">
        <f>SUMIFS(BK2:BK557,G2:G557,"TAAC",E2:E557,"0338",F2:F557,"02")</f>
        <v>0</v>
      </c>
      <c r="BL576" s="386">
        <f>SUMIFS(BL2:BL557,G2:G557,"TAAC",E2:E557,"0338",F2:F557,"02")</f>
        <v>101666.3007256</v>
      </c>
      <c r="BM576" s="386">
        <f>SUMIFS(BM2:BM557,G2:G557,"TAAC",E2:E557,"0338",F2:F557,"02")</f>
        <v>0</v>
      </c>
      <c r="BN576" s="386">
        <f>SUMIFS(BN2:BN557,G2:G557,"TAAC",E2:E557,"0338",F2:F557,"02")</f>
        <v>123490</v>
      </c>
      <c r="BO576" s="386">
        <f>SUMIFS(BO2:BO557,G2:G557,"TAAC",E2:E557,"0338",F2:F557,"02")</f>
        <v>0</v>
      </c>
      <c r="BP576" s="386">
        <f>SUMIFS(BP2:BP557,G2:G557,"TAAC",E2:E557,"0338",F2:F557,"02")</f>
        <v>29560.017759999999</v>
      </c>
      <c r="BQ576" s="386">
        <f>SUMIFS(BQ2:BQ557,G2:G557,"TAAC",E2:E557,"0338",F2:F557,"02")</f>
        <v>6913.2299599999997</v>
      </c>
      <c r="BR576" s="386">
        <f>SUMIFS(BR2:BR557,G2:G557,"TAAC",E2:E557,"0338",F2:F557,"02")</f>
        <v>56926.872911999999</v>
      </c>
      <c r="BS576" s="386">
        <f>SUMIFS(BS2:BS557,G2:G557,"TAAC",E2:E557,"0338",F2:F557,"02")</f>
        <v>3437.5440008</v>
      </c>
      <c r="BT576" s="386">
        <f>SUMIFS(BT2:BT557,G2:G557,"TAAC",E2:E557,"0338",F2:F557,"02")</f>
        <v>0</v>
      </c>
      <c r="BU576" s="386">
        <f>SUMIFS(BU2:BU557,G2:G557,"TAAC",E2:E557,"0338",F2:F557,"02")</f>
        <v>1348.1823887999999</v>
      </c>
      <c r="BV576" s="386">
        <f>SUMIFS(BV2:BV557,G2:G557,"TAAC",E2:E557,"0338",F2:F557,"02")</f>
        <v>1191.9362000000001</v>
      </c>
      <c r="BW576" s="386">
        <f>SUMIFS(BW2:BW557,G2:G557,"TAAC",E2:E557,"0338",F2:F557,"02")</f>
        <v>0</v>
      </c>
      <c r="BX576" s="386">
        <f>SUMIFS(BX2:BX557,G2:G557,"TAAC",E2:E557,"0338",F2:F557,"02")</f>
        <v>99377.78322160001</v>
      </c>
      <c r="BY576" s="386">
        <f>SUMIFS(BY2:BY557,G2:G557,"TAAC",E2:E557,"0338",F2:F557,"02")</f>
        <v>0</v>
      </c>
      <c r="BZ576" s="386">
        <f>SUMIFS(BZ2:BZ557,G2:G557,"TAAC",E2:E557,"0338",F2:F557,"02")</f>
        <v>0</v>
      </c>
      <c r="CA576" s="386">
        <f>SUMIFS(CA2:CA557,G2:G557,"TAAC",E2:E557,"0338",F2:F557,"02")</f>
        <v>0</v>
      </c>
      <c r="CB576" s="386">
        <f>SUMIFS(CB2:CB557,G2:G557,"TAAC",E2:E557,"0338",F2:F557,"02")</f>
        <v>0</v>
      </c>
      <c r="CC576" s="386">
        <f>SUMIFS(CC2:CC557,G2:G557,"TAAC",E2:E557,"0338",F2:F557,"02")</f>
        <v>0</v>
      </c>
      <c r="CD576" s="386">
        <f>SUMIFS(CD2:CD557,G2:G557,"TAAC",E2:E557,"0338",F2:F557,"02")</f>
        <v>0</v>
      </c>
      <c r="CE576" s="386">
        <f>SUMIFS(CE2:CE557,G2:G557,"TAAC",E2:E557,"0338",F2:F557,"02")</f>
        <v>0</v>
      </c>
      <c r="CF576" s="386">
        <f>SUMIFS(CF2:CF557,G2:G557,"TAAC",E2:E557,"0338",F2:F557,"02")</f>
        <v>-2336.1949519999994</v>
      </c>
      <c r="CG576" s="386">
        <f>SUMIFS(CG2:CG557,G2:G557,"TAAC",E2:E557,"0338",F2:F557,"02")</f>
        <v>0</v>
      </c>
      <c r="CH576" s="386">
        <f>SUMIFS(CH2:CH557,G2:G557,"TAAC",E2:E557,"0338",F2:F557,"02")</f>
        <v>47.677448000000119</v>
      </c>
      <c r="CI576" s="386">
        <f>SUMIFS(CI2:CI557,G2:G557,"TAAC",E2:E557,"0338",F2:F557,"02")</f>
        <v>0</v>
      </c>
      <c r="CJ576" s="386">
        <f>SUMIFS(CJ2:CJ557,G2:G557,"TAAC",E2:E557,"0338",F2:F557,"02")</f>
        <v>-2288.5175039999999</v>
      </c>
      <c r="CK576" s="386">
        <f>SUMIFS(CK2:CK557,G2:G557,"TAAC",E2:E557,"0338",F2:F557,"02")</f>
        <v>0</v>
      </c>
      <c r="CL576" s="386">
        <f>SUMIFS(CL2:CL557,G2:G557,"TAAC",E2:E557,"0338",F2:F557,"02")</f>
        <v>0</v>
      </c>
      <c r="CM576" s="386">
        <f>SUMIFS(CM2:CM557,G2:G557,"TAAC",E2:E557,"0338",F2:F557,"02")</f>
        <v>0</v>
      </c>
    </row>
    <row r="577" spans="41:91" ht="18.75" x14ac:dyDescent="0.3">
      <c r="AQ577" s="392" t="s">
        <v>2021</v>
      </c>
      <c r="AS577" s="393">
        <f t="shared" ref="AS577:CM577" si="404">SUM(AS576:AS576)</f>
        <v>10.6</v>
      </c>
      <c r="AT577" s="393">
        <f t="shared" si="404"/>
        <v>0</v>
      </c>
      <c r="AU577" s="393">
        <f t="shared" si="404"/>
        <v>15</v>
      </c>
      <c r="AV577" s="393">
        <f t="shared" si="404"/>
        <v>0</v>
      </c>
      <c r="AW577" s="393">
        <f t="shared" si="404"/>
        <v>38</v>
      </c>
      <c r="AX577" s="393">
        <f t="shared" si="404"/>
        <v>768934.40000000002</v>
      </c>
      <c r="AY577" s="393">
        <f t="shared" si="404"/>
        <v>476774.48</v>
      </c>
      <c r="AZ577" s="393">
        <f t="shared" si="404"/>
        <v>0</v>
      </c>
      <c r="BA577" s="393">
        <f t="shared" si="404"/>
        <v>0</v>
      </c>
      <c r="BB577" s="393">
        <f t="shared" si="404"/>
        <v>123490</v>
      </c>
      <c r="BC577" s="393">
        <f t="shared" si="404"/>
        <v>0</v>
      </c>
      <c r="BD577" s="393">
        <f t="shared" si="404"/>
        <v>29560.017759999999</v>
      </c>
      <c r="BE577" s="393">
        <f t="shared" si="404"/>
        <v>6913.2299599999997</v>
      </c>
      <c r="BF577" s="393">
        <f t="shared" si="404"/>
        <v>56926.872911999999</v>
      </c>
      <c r="BG577" s="393">
        <f t="shared" si="404"/>
        <v>3437.5440008</v>
      </c>
      <c r="BH577" s="393">
        <f t="shared" si="404"/>
        <v>2336.1949519999994</v>
      </c>
      <c r="BI577" s="393">
        <f t="shared" si="404"/>
        <v>1348.1823887999999</v>
      </c>
      <c r="BJ577" s="393">
        <f t="shared" si="404"/>
        <v>1144.258752</v>
      </c>
      <c r="BK577" s="393">
        <f t="shared" si="404"/>
        <v>0</v>
      </c>
      <c r="BL577" s="393">
        <f t="shared" si="404"/>
        <v>101666.3007256</v>
      </c>
      <c r="BM577" s="393">
        <f t="shared" si="404"/>
        <v>0</v>
      </c>
      <c r="BN577" s="393">
        <f t="shared" si="404"/>
        <v>123490</v>
      </c>
      <c r="BO577" s="393">
        <f t="shared" si="404"/>
        <v>0</v>
      </c>
      <c r="BP577" s="393">
        <f t="shared" si="404"/>
        <v>29560.017759999999</v>
      </c>
      <c r="BQ577" s="393">
        <f t="shared" si="404"/>
        <v>6913.2299599999997</v>
      </c>
      <c r="BR577" s="393">
        <f t="shared" si="404"/>
        <v>56926.872911999999</v>
      </c>
      <c r="BS577" s="393">
        <f t="shared" si="404"/>
        <v>3437.5440008</v>
      </c>
      <c r="BT577" s="393">
        <f t="shared" si="404"/>
        <v>0</v>
      </c>
      <c r="BU577" s="393">
        <f t="shared" si="404"/>
        <v>1348.1823887999999</v>
      </c>
      <c r="BV577" s="393">
        <f t="shared" si="404"/>
        <v>1191.9362000000001</v>
      </c>
      <c r="BW577" s="393">
        <f t="shared" si="404"/>
        <v>0</v>
      </c>
      <c r="BX577" s="393">
        <f t="shared" si="404"/>
        <v>99377.78322160001</v>
      </c>
      <c r="BY577" s="393">
        <f t="shared" si="404"/>
        <v>0</v>
      </c>
      <c r="BZ577" s="393">
        <f t="shared" si="404"/>
        <v>0</v>
      </c>
      <c r="CA577" s="393">
        <f t="shared" si="404"/>
        <v>0</v>
      </c>
      <c r="CB577" s="393">
        <f t="shared" si="404"/>
        <v>0</v>
      </c>
      <c r="CC577" s="393">
        <f t="shared" si="404"/>
        <v>0</v>
      </c>
      <c r="CD577" s="393">
        <f t="shared" si="404"/>
        <v>0</v>
      </c>
      <c r="CE577" s="393">
        <f t="shared" si="404"/>
        <v>0</v>
      </c>
      <c r="CF577" s="393">
        <f t="shared" si="404"/>
        <v>-2336.1949519999994</v>
      </c>
      <c r="CG577" s="393">
        <f t="shared" si="404"/>
        <v>0</v>
      </c>
      <c r="CH577" s="393">
        <f t="shared" si="404"/>
        <v>47.677448000000119</v>
      </c>
      <c r="CI577" s="393">
        <f t="shared" si="404"/>
        <v>0</v>
      </c>
      <c r="CJ577" s="393">
        <f t="shared" si="404"/>
        <v>-2288.5175039999999</v>
      </c>
      <c r="CK577" s="393">
        <f t="shared" si="404"/>
        <v>0</v>
      </c>
      <c r="CL577" s="393">
        <f t="shared" si="404"/>
        <v>0</v>
      </c>
      <c r="CM577" s="393">
        <f t="shared" si="404"/>
        <v>0</v>
      </c>
    </row>
    <row r="578" spans="41:91" ht="15.75" thickBot="1" x14ac:dyDescent="0.3">
      <c r="AR578" t="s">
        <v>2025</v>
      </c>
      <c r="AS578" s="386">
        <f>SUMIFS(AS2:AS557,G2:G557,"TAAD",E2:E557,"0001",F2:F557,"00",AT2:AT557,1)</f>
        <v>39</v>
      </c>
      <c r="AT578" s="386">
        <f>SUMIFS(AS2:AS557,G2:G557,"TAAD",E2:E557,"0001",F2:F557,"00",AT2:AT557,3)</f>
        <v>0</v>
      </c>
      <c r="AU578" s="386">
        <f>SUMIFS(AU2:AU557,G2:G557,"TAAD",E2:E557,"0001",F2:F557,"00")</f>
        <v>39</v>
      </c>
      <c r="AV578" s="386">
        <f>SUMIFS(AV2:AV557,G2:G557,"TAAD",E2:E557,"0001",F2:F557,"00")</f>
        <v>0</v>
      </c>
      <c r="AW578" s="386">
        <f>SUMIFS(AW2:AW557,G2:G557,"TAAD",E2:E557,"0001",F2:F557,"00")</f>
        <v>39</v>
      </c>
      <c r="AX578" s="386">
        <f>SUMIFS(AX2:AX557,G2:G557,"TAAD",E2:E557,"0001",F2:F557,"00")</f>
        <v>2557755.2000000002</v>
      </c>
      <c r="AY578" s="386">
        <f>SUMIFS(AY2:AY557,G2:G557,"TAAD",E2:E557,"0001",F2:F557,"00")</f>
        <v>2557755.2000000002</v>
      </c>
      <c r="AZ578" s="386">
        <f>SUMIFS(AZ2:AZ557,G2:G557,"TAAD",E2:E557,"0001",F2:F557,"00")</f>
        <v>0</v>
      </c>
      <c r="BA578" s="386">
        <f>SUMIFS(BA2:BA557,G2:G557,"TAAD",E2:E557,"0001",F2:F557,"00")</f>
        <v>0</v>
      </c>
      <c r="BB578" s="386">
        <f>SUMIFS(BB2:BB557,G2:G557,"TAAD",E2:E557,"0001",F2:F557,"00")</f>
        <v>454350</v>
      </c>
      <c r="BC578" s="386">
        <f>SUMIFS(BC2:BC557,G2:G557,"TAAD",E2:E557,"0001",F2:F557,"00")</f>
        <v>0</v>
      </c>
      <c r="BD578" s="386">
        <f>SUMIFS(BD2:BD557,G2:G557,"TAAD",E2:E557,"0001",F2:F557,"00")</f>
        <v>158580.82240000003</v>
      </c>
      <c r="BE578" s="386">
        <f>SUMIFS(BE2:BE557,G2:G557,"TAAD",E2:E557,"0001",F2:F557,"00")</f>
        <v>37087.450400000002</v>
      </c>
      <c r="BF578" s="386">
        <f>SUMIFS(BF2:BF557,G2:G557,"TAAD",E2:E557,"0001",F2:F557,"00")</f>
        <v>305395.97088000004</v>
      </c>
      <c r="BG578" s="386">
        <f>SUMIFS(BG2:BG557,G2:G557,"TAAD",E2:E557,"0001",F2:F557,"00")</f>
        <v>18441.414992000005</v>
      </c>
      <c r="BH578" s="386">
        <f>SUMIFS(BH2:BH557,G2:G557,"TAAD",E2:E557,"0001",F2:F557,"00")</f>
        <v>12533.000479999997</v>
      </c>
      <c r="BI578" s="386">
        <f>SUMIFS(BI2:BI557,G2:G557,"TAAD",E2:E557,"0001",F2:F557,"00")</f>
        <v>7519.8839040000012</v>
      </c>
      <c r="BJ578" s="386">
        <f>SUMIFS(BJ2:BJ557,G2:G557,"TAAD",E2:E557,"0001",F2:F557,"00")</f>
        <v>6138.612479999998</v>
      </c>
      <c r="BK578" s="386">
        <f>SUMIFS(BK2:BK557,G2:G557,"TAAD",E2:E557,"0001",F2:F557,"00")</f>
        <v>0</v>
      </c>
      <c r="BL578" s="386">
        <f>SUMIFS(BL2:BL557,G2:G557,"TAAD",E2:E557,"0001",F2:F557,"00")</f>
        <v>545697.15553599992</v>
      </c>
      <c r="BM578" s="386">
        <f>SUMIFS(BM2:BM557,G2:G557,"TAAD",E2:E557,"0001",F2:F557,"00")</f>
        <v>0</v>
      </c>
      <c r="BN578" s="386">
        <f>SUMIFS(BN2:BN557,G2:G557,"TAAD",E2:E557,"0001",F2:F557,"00")</f>
        <v>454350</v>
      </c>
      <c r="BO578" s="386">
        <f>SUMIFS(BO2:BO557,G2:G557,"TAAD",E2:E557,"0001",F2:F557,"00")</f>
        <v>0</v>
      </c>
      <c r="BP578" s="386">
        <f>SUMIFS(BP2:BP557,G2:G557,"TAAD",E2:E557,"0001",F2:F557,"00")</f>
        <v>158580.82240000003</v>
      </c>
      <c r="BQ578" s="386">
        <f>SUMIFS(BQ2:BQ557,G2:G557,"TAAD",E2:E557,"0001",F2:F557,"00")</f>
        <v>37087.450400000002</v>
      </c>
      <c r="BR578" s="386">
        <f>SUMIFS(BR2:BR557,G2:G557,"TAAD",E2:E557,"0001",F2:F557,"00")</f>
        <v>305395.97088000004</v>
      </c>
      <c r="BS578" s="386">
        <f>SUMIFS(BS2:BS557,G2:G557,"TAAD",E2:E557,"0001",F2:F557,"00")</f>
        <v>18441.414992000005</v>
      </c>
      <c r="BT578" s="386">
        <f>SUMIFS(BT2:BT557,G2:G557,"TAAD",E2:E557,"0001",F2:F557,"00")</f>
        <v>0</v>
      </c>
      <c r="BU578" s="386">
        <f>SUMIFS(BU2:BU557,G2:G557,"TAAD",E2:E557,"0001",F2:F557,"00")</f>
        <v>7519.8839040000012</v>
      </c>
      <c r="BV578" s="386">
        <f>SUMIFS(BV2:BV557,G2:G557,"TAAD",E2:E557,"0001",F2:F557,"00")</f>
        <v>6394.3879999999972</v>
      </c>
      <c r="BW578" s="386">
        <f>SUMIFS(BW2:BW557,G2:G557,"TAAD",E2:E557,"0001",F2:F557,"00")</f>
        <v>0</v>
      </c>
      <c r="BX578" s="386">
        <f>SUMIFS(BX2:BX557,G2:G557,"TAAD",E2:E557,"0001",F2:F557,"00")</f>
        <v>533419.93057600001</v>
      </c>
      <c r="BY578" s="386">
        <f>SUMIFS(BY2:BY557,G2:G557,"TAAD",E2:E557,"0001",F2:F557,"00")</f>
        <v>0</v>
      </c>
      <c r="BZ578" s="386">
        <f>SUMIFS(BZ2:BZ557,G2:G557,"TAAD",E2:E557,"0001",F2:F557,"00")</f>
        <v>0</v>
      </c>
      <c r="CA578" s="386">
        <f>SUMIFS(CA2:CA557,G2:G557,"TAAD",E2:E557,"0001",F2:F557,"00")</f>
        <v>0</v>
      </c>
      <c r="CB578" s="386">
        <f>SUMIFS(CB2:CB557,G2:G557,"TAAD",E2:E557,"0001",F2:F557,"00")</f>
        <v>0</v>
      </c>
      <c r="CC578" s="386">
        <f>SUMIFS(CC2:CC557,G2:G557,"TAAD",E2:E557,"0001",F2:F557,"00")</f>
        <v>0</v>
      </c>
      <c r="CD578" s="386">
        <f>SUMIFS(CD2:CD557,G2:G557,"TAAD",E2:E557,"0001",F2:F557,"00")</f>
        <v>0</v>
      </c>
      <c r="CE578" s="386">
        <f>SUMIFS(CE2:CE557,G2:G557,"TAAD",E2:E557,"0001",F2:F557,"00")</f>
        <v>0</v>
      </c>
      <c r="CF578" s="386">
        <f>SUMIFS(CF2:CF557,G2:G557,"TAAD",E2:E557,"0001",F2:F557,"00")</f>
        <v>-12533.000479999997</v>
      </c>
      <c r="CG578" s="386">
        <f>SUMIFS(CG2:CG557,G2:G557,"TAAD",E2:E557,"0001",F2:F557,"00")</f>
        <v>0</v>
      </c>
      <c r="CH578" s="386">
        <f>SUMIFS(CH2:CH557,G2:G557,"TAAD",E2:E557,"0001",F2:F557,"00")</f>
        <v>255.77552000000065</v>
      </c>
      <c r="CI578" s="386">
        <f>SUMIFS(CI2:CI557,G2:G557,"TAAD",E2:E557,"0001",F2:F557,"00")</f>
        <v>0</v>
      </c>
      <c r="CJ578" s="386">
        <f>SUMIFS(CJ2:CJ557,G2:G557,"TAAD",E2:E557,"0001",F2:F557,"00")</f>
        <v>-12277.224959999996</v>
      </c>
      <c r="CK578" s="386">
        <f>SUMIFS(CK2:CK557,G2:G557,"TAAD",E2:E557,"0001",F2:F557,"00")</f>
        <v>0</v>
      </c>
      <c r="CL578" s="386">
        <f>SUMIFS(CL2:CL557,G2:G557,"TAAD",E2:E557,"0001",F2:F557,"00")</f>
        <v>0</v>
      </c>
      <c r="CM578" s="386">
        <f>SUMIFS(CM2:CM557,G2:G557,"TAAD",E2:E557,"0001",F2:F557,"00")</f>
        <v>0</v>
      </c>
    </row>
    <row r="579" spans="41:91" ht="18.75" x14ac:dyDescent="0.3">
      <c r="AQ579" s="392" t="s">
        <v>2026</v>
      </c>
      <c r="AS579" s="393">
        <f t="shared" ref="AS579:CM579" si="405">SUM(AS578:AS578)</f>
        <v>39</v>
      </c>
      <c r="AT579" s="393">
        <f t="shared" si="405"/>
        <v>0</v>
      </c>
      <c r="AU579" s="393">
        <f t="shared" si="405"/>
        <v>39</v>
      </c>
      <c r="AV579" s="393">
        <f t="shared" si="405"/>
        <v>0</v>
      </c>
      <c r="AW579" s="393">
        <f t="shared" si="405"/>
        <v>39</v>
      </c>
      <c r="AX579" s="393">
        <f t="shared" si="405"/>
        <v>2557755.2000000002</v>
      </c>
      <c r="AY579" s="393">
        <f t="shared" si="405"/>
        <v>2557755.2000000002</v>
      </c>
      <c r="AZ579" s="393">
        <f t="shared" si="405"/>
        <v>0</v>
      </c>
      <c r="BA579" s="393">
        <f t="shared" si="405"/>
        <v>0</v>
      </c>
      <c r="BB579" s="393">
        <f t="shared" si="405"/>
        <v>454350</v>
      </c>
      <c r="BC579" s="393">
        <f t="shared" si="405"/>
        <v>0</v>
      </c>
      <c r="BD579" s="393">
        <f t="shared" si="405"/>
        <v>158580.82240000003</v>
      </c>
      <c r="BE579" s="393">
        <f t="shared" si="405"/>
        <v>37087.450400000002</v>
      </c>
      <c r="BF579" s="393">
        <f t="shared" si="405"/>
        <v>305395.97088000004</v>
      </c>
      <c r="BG579" s="393">
        <f t="shared" si="405"/>
        <v>18441.414992000005</v>
      </c>
      <c r="BH579" s="393">
        <f t="shared" si="405"/>
        <v>12533.000479999997</v>
      </c>
      <c r="BI579" s="393">
        <f t="shared" si="405"/>
        <v>7519.8839040000012</v>
      </c>
      <c r="BJ579" s="393">
        <f t="shared" si="405"/>
        <v>6138.612479999998</v>
      </c>
      <c r="BK579" s="393">
        <f t="shared" si="405"/>
        <v>0</v>
      </c>
      <c r="BL579" s="393">
        <f t="shared" si="405"/>
        <v>545697.15553599992</v>
      </c>
      <c r="BM579" s="393">
        <f t="shared" si="405"/>
        <v>0</v>
      </c>
      <c r="BN579" s="393">
        <f t="shared" si="405"/>
        <v>454350</v>
      </c>
      <c r="BO579" s="393">
        <f t="shared" si="405"/>
        <v>0</v>
      </c>
      <c r="BP579" s="393">
        <f t="shared" si="405"/>
        <v>158580.82240000003</v>
      </c>
      <c r="BQ579" s="393">
        <f t="shared" si="405"/>
        <v>37087.450400000002</v>
      </c>
      <c r="BR579" s="393">
        <f t="shared" si="405"/>
        <v>305395.97088000004</v>
      </c>
      <c r="BS579" s="393">
        <f t="shared" si="405"/>
        <v>18441.414992000005</v>
      </c>
      <c r="BT579" s="393">
        <f t="shared" si="405"/>
        <v>0</v>
      </c>
      <c r="BU579" s="393">
        <f t="shared" si="405"/>
        <v>7519.8839040000012</v>
      </c>
      <c r="BV579" s="393">
        <f t="shared" si="405"/>
        <v>6394.3879999999972</v>
      </c>
      <c r="BW579" s="393">
        <f t="shared" si="405"/>
        <v>0</v>
      </c>
      <c r="BX579" s="393">
        <f t="shared" si="405"/>
        <v>533419.93057600001</v>
      </c>
      <c r="BY579" s="393">
        <f t="shared" si="405"/>
        <v>0</v>
      </c>
      <c r="BZ579" s="393">
        <f t="shared" si="405"/>
        <v>0</v>
      </c>
      <c r="CA579" s="393">
        <f t="shared" si="405"/>
        <v>0</v>
      </c>
      <c r="CB579" s="393">
        <f t="shared" si="405"/>
        <v>0</v>
      </c>
      <c r="CC579" s="393">
        <f t="shared" si="405"/>
        <v>0</v>
      </c>
      <c r="CD579" s="393">
        <f t="shared" si="405"/>
        <v>0</v>
      </c>
      <c r="CE579" s="393">
        <f t="shared" si="405"/>
        <v>0</v>
      </c>
      <c r="CF579" s="393">
        <f t="shared" si="405"/>
        <v>-12533.000479999997</v>
      </c>
      <c r="CG579" s="393">
        <f t="shared" si="405"/>
        <v>0</v>
      </c>
      <c r="CH579" s="393">
        <f t="shared" si="405"/>
        <v>255.77552000000065</v>
      </c>
      <c r="CI579" s="393">
        <f t="shared" si="405"/>
        <v>0</v>
      </c>
      <c r="CJ579" s="393">
        <f t="shared" si="405"/>
        <v>-12277.224959999996</v>
      </c>
      <c r="CK579" s="393">
        <f t="shared" si="405"/>
        <v>0</v>
      </c>
      <c r="CL579" s="393">
        <f t="shared" si="405"/>
        <v>0</v>
      </c>
      <c r="CM579" s="393">
        <f t="shared" si="405"/>
        <v>0</v>
      </c>
    </row>
    <row r="580" spans="41:91" ht="15.75" thickBot="1" x14ac:dyDescent="0.3">
      <c r="AR580" t="s">
        <v>2029</v>
      </c>
      <c r="AS580" s="386">
        <f>SUMIFS(AS2:AS557,G2:G557,"TAAF",E2:E557,"0276",F2:F557,"00",AT2:AT557,1)</f>
        <v>17.049999999999997</v>
      </c>
      <c r="AT580" s="386">
        <f>SUMIFS(AS2:AS557,G2:G557,"TAAF",E2:E557,"0276",F2:F557,"00",AT2:AT557,3)</f>
        <v>0</v>
      </c>
      <c r="AU580" s="386">
        <f>SUMIFS(AU2:AU557,G2:G557,"TAAF",E2:E557,"0276",F2:F557,"00")</f>
        <v>24</v>
      </c>
      <c r="AV580" s="386">
        <f>SUMIFS(AV2:AV557,G2:G557,"TAAF",E2:E557,"0276",F2:F557,"00")</f>
        <v>0</v>
      </c>
      <c r="AW580" s="386">
        <f>SUMIFS(AW2:AW557,G2:G557,"TAAF",E2:E557,"0276",F2:F557,"00")</f>
        <v>41</v>
      </c>
      <c r="AX580" s="386">
        <f>SUMIFS(AX2:AX557,G2:G557,"TAAF",E2:E557,"0276",F2:F557,"00")</f>
        <v>1491214.3999999997</v>
      </c>
      <c r="AY580" s="386">
        <f>SUMIFS(AY2:AY557,G2:G557,"TAAF",E2:E557,"0276",F2:F557,"00")</f>
        <v>1083754.8800000001</v>
      </c>
      <c r="AZ580" s="386">
        <f>SUMIFS(AZ2:AZ557,G2:G557,"TAAF",E2:E557,"0276",F2:F557,"00")</f>
        <v>0</v>
      </c>
      <c r="BA580" s="386">
        <f>SUMIFS(BA2:BA557,G2:G557,"TAAF",E2:E557,"0276",F2:F557,"00")</f>
        <v>0</v>
      </c>
      <c r="BB580" s="386">
        <f>SUMIFS(BB2:BB557,G2:G557,"TAAF",E2:E557,"0276",F2:F557,"00")</f>
        <v>198632.5</v>
      </c>
      <c r="BC580" s="386">
        <f>SUMIFS(BC2:BC557,G2:G557,"TAAF",E2:E557,"0276",F2:F557,"00")</f>
        <v>0</v>
      </c>
      <c r="BD580" s="386">
        <f>SUMIFS(BD2:BD557,G2:G557,"TAAF",E2:E557,"0276",F2:F557,"00")</f>
        <v>67192.802560000011</v>
      </c>
      <c r="BE580" s="386">
        <f>SUMIFS(BE2:BE557,G2:G557,"TAAF",E2:E557,"0276",F2:F557,"00")</f>
        <v>15714.445760000001</v>
      </c>
      <c r="BF580" s="386">
        <f>SUMIFS(BF2:BF557,G2:G557,"TAAF",E2:E557,"0276",F2:F557,"00")</f>
        <v>129400.33267199997</v>
      </c>
      <c r="BG580" s="386">
        <f>SUMIFS(BG2:BG557,G2:G557,"TAAF",E2:E557,"0276",F2:F557,"00")</f>
        <v>7813.8726848000006</v>
      </c>
      <c r="BH580" s="386">
        <f>SUMIFS(BH2:BH557,G2:G557,"TAAF",E2:E557,"0276",F2:F557,"00")</f>
        <v>5310.3989119999997</v>
      </c>
      <c r="BI580" s="386">
        <f>SUMIFS(BI2:BI557,G2:G557,"TAAF",E2:E557,"0276",F2:F557,"00")</f>
        <v>3316.2899328000003</v>
      </c>
      <c r="BJ580" s="386">
        <f>SUMIFS(BJ2:BJ557,G2:G557,"TAAF",E2:E557,"0276",F2:F557,"00")</f>
        <v>2601.0117119999995</v>
      </c>
      <c r="BK580" s="386">
        <f>SUMIFS(BK2:BK557,G2:G557,"TAAF",E2:E557,"0276",F2:F557,"00")</f>
        <v>0</v>
      </c>
      <c r="BL580" s="386">
        <f>SUMIFS(BL2:BL557,G2:G557,"TAAF",E2:E557,"0276",F2:F557,"00")</f>
        <v>231349.15423360001</v>
      </c>
      <c r="BM580" s="386">
        <f>SUMIFS(BM2:BM557,G2:G557,"TAAF",E2:E557,"0276",F2:F557,"00")</f>
        <v>0</v>
      </c>
      <c r="BN580" s="386">
        <f>SUMIFS(BN2:BN557,G2:G557,"TAAF",E2:E557,"0276",F2:F557,"00")</f>
        <v>198632.5</v>
      </c>
      <c r="BO580" s="386">
        <f>SUMIFS(BO2:BO557,G2:G557,"TAAF",E2:E557,"0276",F2:F557,"00")</f>
        <v>0</v>
      </c>
      <c r="BP580" s="386">
        <f>SUMIFS(BP2:BP557,G2:G557,"TAAF",E2:E557,"0276",F2:F557,"00")</f>
        <v>67192.802560000011</v>
      </c>
      <c r="BQ580" s="386">
        <f>SUMIFS(BQ2:BQ557,G2:G557,"TAAF",E2:E557,"0276",F2:F557,"00")</f>
        <v>15714.445760000001</v>
      </c>
      <c r="BR580" s="386">
        <f>SUMIFS(BR2:BR557,G2:G557,"TAAF",E2:E557,"0276",F2:F557,"00")</f>
        <v>129400.33267199997</v>
      </c>
      <c r="BS580" s="386">
        <f>SUMIFS(BS2:BS557,G2:G557,"TAAF",E2:E557,"0276",F2:F557,"00")</f>
        <v>7813.8726848000006</v>
      </c>
      <c r="BT580" s="386">
        <f>SUMIFS(BT2:BT557,G2:G557,"TAAF",E2:E557,"0276",F2:F557,"00")</f>
        <v>0</v>
      </c>
      <c r="BU580" s="386">
        <f>SUMIFS(BU2:BU557,G2:G557,"TAAF",E2:E557,"0276",F2:F557,"00")</f>
        <v>3316.2899328000003</v>
      </c>
      <c r="BV580" s="386">
        <f>SUMIFS(BV2:BV557,G2:G557,"TAAF",E2:E557,"0276",F2:F557,"00")</f>
        <v>2709.3872000000006</v>
      </c>
      <c r="BW580" s="386">
        <f>SUMIFS(BW2:BW557,G2:G557,"TAAF",E2:E557,"0276",F2:F557,"00")</f>
        <v>0</v>
      </c>
      <c r="BX580" s="386">
        <f>SUMIFS(BX2:BX557,G2:G557,"TAAF",E2:E557,"0276",F2:F557,"00")</f>
        <v>226147.13080960003</v>
      </c>
      <c r="BY580" s="386">
        <f>SUMIFS(BY2:BY557,G2:G557,"TAAF",E2:E557,"0276",F2:F557,"00")</f>
        <v>0</v>
      </c>
      <c r="BZ580" s="386">
        <f>SUMIFS(BZ2:BZ557,G2:G557,"TAAF",E2:E557,"0276",F2:F557,"00")</f>
        <v>0</v>
      </c>
      <c r="CA580" s="386">
        <f>SUMIFS(CA2:CA557,G2:G557,"TAAF",E2:E557,"0276",F2:F557,"00")</f>
        <v>0</v>
      </c>
      <c r="CB580" s="386">
        <f>SUMIFS(CB2:CB557,G2:G557,"TAAF",E2:E557,"0276",F2:F557,"00")</f>
        <v>0</v>
      </c>
      <c r="CC580" s="386">
        <f>SUMIFS(CC2:CC557,G2:G557,"TAAF",E2:E557,"0276",F2:F557,"00")</f>
        <v>0</v>
      </c>
      <c r="CD580" s="386">
        <f>SUMIFS(CD2:CD557,G2:G557,"TAAF",E2:E557,"0276",F2:F557,"00")</f>
        <v>0</v>
      </c>
      <c r="CE580" s="386">
        <f>SUMIFS(CE2:CE557,G2:G557,"TAAF",E2:E557,"0276",F2:F557,"00")</f>
        <v>0</v>
      </c>
      <c r="CF580" s="386">
        <f>SUMIFS(CF2:CF557,G2:G557,"TAAF",E2:E557,"0276",F2:F557,"00")</f>
        <v>-5310.3989119999997</v>
      </c>
      <c r="CG580" s="386">
        <f>SUMIFS(CG2:CG557,G2:G557,"TAAF",E2:E557,"0276",F2:F557,"00")</f>
        <v>0</v>
      </c>
      <c r="CH580" s="386">
        <f>SUMIFS(CH2:CH557,G2:G557,"TAAF",E2:E557,"0276",F2:F557,"00")</f>
        <v>108.37548800000029</v>
      </c>
      <c r="CI580" s="386">
        <f>SUMIFS(CI2:CI557,G2:G557,"TAAF",E2:E557,"0276",F2:F557,"00")</f>
        <v>0</v>
      </c>
      <c r="CJ580" s="386">
        <f>SUMIFS(CJ2:CJ557,G2:G557,"TAAF",E2:E557,"0276",F2:F557,"00")</f>
        <v>-5202.0234239999991</v>
      </c>
      <c r="CK580" s="386">
        <f>SUMIFS(CK2:CK557,G2:G557,"TAAF",E2:E557,"0276",F2:F557,"00")</f>
        <v>0</v>
      </c>
      <c r="CL580" s="386">
        <f>SUMIFS(CL2:CL557,G2:G557,"TAAF",E2:E557,"0276",F2:F557,"00")</f>
        <v>54975.97</v>
      </c>
      <c r="CM580" s="386">
        <f>SUMIFS(CM2:CM557,G2:G557,"TAAF",E2:E557,"0276",F2:F557,"00")</f>
        <v>4295.71</v>
      </c>
    </row>
    <row r="581" spans="41:91" ht="18.75" x14ac:dyDescent="0.3">
      <c r="AQ581" s="392" t="s">
        <v>2030</v>
      </c>
      <c r="AS581" s="393">
        <f t="shared" ref="AS581:CM581" si="406">SUM(AS580:AS580)</f>
        <v>17.049999999999997</v>
      </c>
      <c r="AT581" s="393">
        <f t="shared" si="406"/>
        <v>0</v>
      </c>
      <c r="AU581" s="393">
        <f t="shared" si="406"/>
        <v>24</v>
      </c>
      <c r="AV581" s="393">
        <f t="shared" si="406"/>
        <v>0</v>
      </c>
      <c r="AW581" s="393">
        <f t="shared" si="406"/>
        <v>41</v>
      </c>
      <c r="AX581" s="393">
        <f t="shared" si="406"/>
        <v>1491214.3999999997</v>
      </c>
      <c r="AY581" s="393">
        <f t="shared" si="406"/>
        <v>1083754.8800000001</v>
      </c>
      <c r="AZ581" s="393">
        <f t="shared" si="406"/>
        <v>0</v>
      </c>
      <c r="BA581" s="393">
        <f t="shared" si="406"/>
        <v>0</v>
      </c>
      <c r="BB581" s="393">
        <f t="shared" si="406"/>
        <v>198632.5</v>
      </c>
      <c r="BC581" s="393">
        <f t="shared" si="406"/>
        <v>0</v>
      </c>
      <c r="BD581" s="393">
        <f t="shared" si="406"/>
        <v>67192.802560000011</v>
      </c>
      <c r="BE581" s="393">
        <f t="shared" si="406"/>
        <v>15714.445760000001</v>
      </c>
      <c r="BF581" s="393">
        <f t="shared" si="406"/>
        <v>129400.33267199997</v>
      </c>
      <c r="BG581" s="393">
        <f t="shared" si="406"/>
        <v>7813.8726848000006</v>
      </c>
      <c r="BH581" s="393">
        <f t="shared" si="406"/>
        <v>5310.3989119999997</v>
      </c>
      <c r="BI581" s="393">
        <f t="shared" si="406"/>
        <v>3316.2899328000003</v>
      </c>
      <c r="BJ581" s="393">
        <f t="shared" si="406"/>
        <v>2601.0117119999995</v>
      </c>
      <c r="BK581" s="393">
        <f t="shared" si="406"/>
        <v>0</v>
      </c>
      <c r="BL581" s="393">
        <f t="shared" si="406"/>
        <v>231349.15423360001</v>
      </c>
      <c r="BM581" s="393">
        <f t="shared" si="406"/>
        <v>0</v>
      </c>
      <c r="BN581" s="393">
        <f t="shared" si="406"/>
        <v>198632.5</v>
      </c>
      <c r="BO581" s="393">
        <f t="shared" si="406"/>
        <v>0</v>
      </c>
      <c r="BP581" s="393">
        <f t="shared" si="406"/>
        <v>67192.802560000011</v>
      </c>
      <c r="BQ581" s="393">
        <f t="shared" si="406"/>
        <v>15714.445760000001</v>
      </c>
      <c r="BR581" s="393">
        <f t="shared" si="406"/>
        <v>129400.33267199997</v>
      </c>
      <c r="BS581" s="393">
        <f t="shared" si="406"/>
        <v>7813.8726848000006</v>
      </c>
      <c r="BT581" s="393">
        <f t="shared" si="406"/>
        <v>0</v>
      </c>
      <c r="BU581" s="393">
        <f t="shared" si="406"/>
        <v>3316.2899328000003</v>
      </c>
      <c r="BV581" s="393">
        <f t="shared" si="406"/>
        <v>2709.3872000000006</v>
      </c>
      <c r="BW581" s="393">
        <f t="shared" si="406"/>
        <v>0</v>
      </c>
      <c r="BX581" s="393">
        <f t="shared" si="406"/>
        <v>226147.13080960003</v>
      </c>
      <c r="BY581" s="393">
        <f t="shared" si="406"/>
        <v>0</v>
      </c>
      <c r="BZ581" s="393">
        <f t="shared" si="406"/>
        <v>0</v>
      </c>
      <c r="CA581" s="393">
        <f t="shared" si="406"/>
        <v>0</v>
      </c>
      <c r="CB581" s="393">
        <f t="shared" si="406"/>
        <v>0</v>
      </c>
      <c r="CC581" s="393">
        <f t="shared" si="406"/>
        <v>0</v>
      </c>
      <c r="CD581" s="393">
        <f t="shared" si="406"/>
        <v>0</v>
      </c>
      <c r="CE581" s="393">
        <f t="shared" si="406"/>
        <v>0</v>
      </c>
      <c r="CF581" s="393">
        <f t="shared" si="406"/>
        <v>-5310.3989119999997</v>
      </c>
      <c r="CG581" s="393">
        <f t="shared" si="406"/>
        <v>0</v>
      </c>
      <c r="CH581" s="393">
        <f t="shared" si="406"/>
        <v>108.37548800000029</v>
      </c>
      <c r="CI581" s="393">
        <f t="shared" si="406"/>
        <v>0</v>
      </c>
      <c r="CJ581" s="393">
        <f t="shared" si="406"/>
        <v>-5202.0234239999991</v>
      </c>
      <c r="CK581" s="393">
        <f t="shared" si="406"/>
        <v>0</v>
      </c>
      <c r="CL581" s="393">
        <f t="shared" si="406"/>
        <v>54975.97</v>
      </c>
      <c r="CM581" s="393">
        <f t="shared" si="406"/>
        <v>4295.71</v>
      </c>
    </row>
    <row r="582" spans="41:91" ht="15.75" thickBot="1" x14ac:dyDescent="0.3">
      <c r="AR582" t="s">
        <v>2035</v>
      </c>
      <c r="AS582" s="386">
        <f>SUMIFS(AS2:AS557,G2:G557,"TAAI",E2:E557,"0276",F2:F557,"00",AT2:AT557,1)</f>
        <v>0.5</v>
      </c>
      <c r="AT582" s="386">
        <f>SUMIFS(AS2:AS557,G2:G557,"TAAI",E2:E557,"0276",F2:F557,"00",AT2:AT557,3)</f>
        <v>0</v>
      </c>
      <c r="AU582" s="386">
        <f>SUMIFS(AU2:AU557,G2:G557,"TAAI",E2:E557,"0276",F2:F557,"00")</f>
        <v>3</v>
      </c>
      <c r="AV582" s="386">
        <f>SUMIFS(AV2:AV557,G2:G557,"TAAI",E2:E557,"0276",F2:F557,"00")</f>
        <v>0</v>
      </c>
      <c r="AW582" s="386">
        <f>SUMIFS(AW2:AW557,G2:G557,"TAAI",E2:E557,"0276",F2:F557,"00")</f>
        <v>10</v>
      </c>
      <c r="AX582" s="386">
        <f>SUMIFS(AX2:AX557,G2:G557,"TAAI",E2:E557,"0276",F2:F557,"00")</f>
        <v>208062.40000000002</v>
      </c>
      <c r="AY582" s="386">
        <f>SUMIFS(AY2:AY557,G2:G557,"TAAI",E2:E557,"0276",F2:F557,"00")</f>
        <v>40466.400000000001</v>
      </c>
      <c r="AZ582" s="386">
        <f>SUMIFS(AZ2:AZ557,G2:G557,"TAAI",E2:E557,"0276",F2:F557,"00")</f>
        <v>0</v>
      </c>
      <c r="BA582" s="386">
        <f>SUMIFS(BA2:BA557,G2:G557,"TAAI",E2:E557,"0276",F2:F557,"00")</f>
        <v>0</v>
      </c>
      <c r="BB582" s="386">
        <f>SUMIFS(BB2:BB557,G2:G557,"TAAI",E2:E557,"0276",F2:F557,"00")</f>
        <v>5825</v>
      </c>
      <c r="BC582" s="386">
        <f>SUMIFS(BC2:BC557,G2:G557,"TAAI",E2:E557,"0276",F2:F557,"00")</f>
        <v>0</v>
      </c>
      <c r="BD582" s="386">
        <f>SUMIFS(BD2:BD557,G2:G557,"TAAI",E2:E557,"0276",F2:F557,"00")</f>
        <v>2508.9168</v>
      </c>
      <c r="BE582" s="386">
        <f>SUMIFS(BE2:BE557,G2:G557,"TAAI",E2:E557,"0276",F2:F557,"00")</f>
        <v>586.76280000000008</v>
      </c>
      <c r="BF582" s="386">
        <f>SUMIFS(BF2:BF557,G2:G557,"TAAI",E2:E557,"0276",F2:F557,"00")</f>
        <v>4831.6881600000006</v>
      </c>
      <c r="BG582" s="386">
        <f>SUMIFS(BG2:BG557,G2:G557,"TAAI",E2:E557,"0276",F2:F557,"00")</f>
        <v>291.76274400000005</v>
      </c>
      <c r="BH582" s="386">
        <f>SUMIFS(BH2:BH557,G2:G557,"TAAI",E2:E557,"0276",F2:F557,"00")</f>
        <v>198.28536</v>
      </c>
      <c r="BI582" s="386">
        <f>SUMIFS(BI2:BI557,G2:G557,"TAAI",E2:E557,"0276",F2:F557,"00")</f>
        <v>123.82718399999999</v>
      </c>
      <c r="BJ582" s="386">
        <f>SUMIFS(BJ2:BJ557,G2:G557,"TAAI",E2:E557,"0276",F2:F557,"00")</f>
        <v>97.11936</v>
      </c>
      <c r="BK582" s="386">
        <f>SUMIFS(BK2:BK557,G2:G557,"TAAI",E2:E557,"0276",F2:F557,"00")</f>
        <v>0</v>
      </c>
      <c r="BL582" s="386">
        <f>SUMIFS(BL2:BL557,G2:G557,"TAAI",E2:E557,"0276",F2:F557,"00")</f>
        <v>8638.3624080000009</v>
      </c>
      <c r="BM582" s="386">
        <f>SUMIFS(BM2:BM557,G2:G557,"TAAI",E2:E557,"0276",F2:F557,"00")</f>
        <v>0</v>
      </c>
      <c r="BN582" s="386">
        <f>SUMIFS(BN2:BN557,G2:G557,"TAAI",E2:E557,"0276",F2:F557,"00")</f>
        <v>5825</v>
      </c>
      <c r="BO582" s="386">
        <f>SUMIFS(BO2:BO557,G2:G557,"TAAI",E2:E557,"0276",F2:F557,"00")</f>
        <v>0</v>
      </c>
      <c r="BP582" s="386">
        <f>SUMIFS(BP2:BP557,G2:G557,"TAAI",E2:E557,"0276",F2:F557,"00")</f>
        <v>2508.9168</v>
      </c>
      <c r="BQ582" s="386">
        <f>SUMIFS(BQ2:BQ557,G2:G557,"TAAI",E2:E557,"0276",F2:F557,"00")</f>
        <v>586.76280000000008</v>
      </c>
      <c r="BR582" s="386">
        <f>SUMIFS(BR2:BR557,G2:G557,"TAAI",E2:E557,"0276",F2:F557,"00")</f>
        <v>4831.6881600000006</v>
      </c>
      <c r="BS582" s="386">
        <f>SUMIFS(BS2:BS557,G2:G557,"TAAI",E2:E557,"0276",F2:F557,"00")</f>
        <v>291.76274400000005</v>
      </c>
      <c r="BT582" s="386">
        <f>SUMIFS(BT2:BT557,G2:G557,"TAAI",E2:E557,"0276",F2:F557,"00")</f>
        <v>0</v>
      </c>
      <c r="BU582" s="386">
        <f>SUMIFS(BU2:BU557,G2:G557,"TAAI",E2:E557,"0276",F2:F557,"00")</f>
        <v>123.82718399999999</v>
      </c>
      <c r="BV582" s="386">
        <f>SUMIFS(BV2:BV557,G2:G557,"TAAI",E2:E557,"0276",F2:F557,"00")</f>
        <v>101.16600000000001</v>
      </c>
      <c r="BW582" s="386">
        <f>SUMIFS(BW2:BW557,G2:G557,"TAAI",E2:E557,"0276",F2:F557,"00")</f>
        <v>0</v>
      </c>
      <c r="BX582" s="386">
        <f>SUMIFS(BX2:BX557,G2:G557,"TAAI",E2:E557,"0276",F2:F557,"00")</f>
        <v>8444.1236879999997</v>
      </c>
      <c r="BY582" s="386">
        <f>SUMIFS(BY2:BY557,G2:G557,"TAAI",E2:E557,"0276",F2:F557,"00")</f>
        <v>0</v>
      </c>
      <c r="BZ582" s="386">
        <f>SUMIFS(BZ2:BZ557,G2:G557,"TAAI",E2:E557,"0276",F2:F557,"00")</f>
        <v>0</v>
      </c>
      <c r="CA582" s="386">
        <f>SUMIFS(CA2:CA557,G2:G557,"TAAI",E2:E557,"0276",F2:F557,"00")</f>
        <v>0</v>
      </c>
      <c r="CB582" s="386">
        <f>SUMIFS(CB2:CB557,G2:G557,"TAAI",E2:E557,"0276",F2:F557,"00")</f>
        <v>0</v>
      </c>
      <c r="CC582" s="386">
        <f>SUMIFS(CC2:CC557,G2:G557,"TAAI",E2:E557,"0276",F2:F557,"00")</f>
        <v>0</v>
      </c>
      <c r="CD582" s="386">
        <f>SUMIFS(CD2:CD557,G2:G557,"TAAI",E2:E557,"0276",F2:F557,"00")</f>
        <v>0</v>
      </c>
      <c r="CE582" s="386">
        <f>SUMIFS(CE2:CE557,G2:G557,"TAAI",E2:E557,"0276",F2:F557,"00")</f>
        <v>0</v>
      </c>
      <c r="CF582" s="386">
        <f>SUMIFS(CF2:CF557,G2:G557,"TAAI",E2:E557,"0276",F2:F557,"00")</f>
        <v>-198.28536</v>
      </c>
      <c r="CG582" s="386">
        <f>SUMIFS(CG2:CG557,G2:G557,"TAAI",E2:E557,"0276",F2:F557,"00")</f>
        <v>0</v>
      </c>
      <c r="CH582" s="386">
        <f>SUMIFS(CH2:CH557,G2:G557,"TAAI",E2:E557,"0276",F2:F557,"00")</f>
        <v>4.0466400000000107</v>
      </c>
      <c r="CI582" s="386">
        <f>SUMIFS(CI2:CI557,G2:G557,"TAAI",E2:E557,"0276",F2:F557,"00")</f>
        <v>0</v>
      </c>
      <c r="CJ582" s="386">
        <f>SUMIFS(CJ2:CJ557,G2:G557,"TAAI",E2:E557,"0276",F2:F557,"00")</f>
        <v>-194.23872</v>
      </c>
      <c r="CK582" s="386">
        <f>SUMIFS(CK2:CK557,G2:G557,"TAAI",E2:E557,"0276",F2:F557,"00")</f>
        <v>0</v>
      </c>
      <c r="CL582" s="386">
        <f>SUMIFS(CL2:CL557,G2:G557,"TAAI",E2:E557,"0276",F2:F557,"00")</f>
        <v>0</v>
      </c>
      <c r="CM582" s="386">
        <f>SUMIFS(CM2:CM557,G2:G557,"TAAI",E2:E557,"0276",F2:F557,"00")</f>
        <v>0</v>
      </c>
    </row>
    <row r="583" spans="41:91" ht="18.75" x14ac:dyDescent="0.3">
      <c r="AQ583" s="392" t="s">
        <v>2036</v>
      </c>
      <c r="AS583" s="393">
        <f t="shared" ref="AS583:CM583" si="407">SUM(AS582:AS582)</f>
        <v>0.5</v>
      </c>
      <c r="AT583" s="393">
        <f t="shared" si="407"/>
        <v>0</v>
      </c>
      <c r="AU583" s="393">
        <f t="shared" si="407"/>
        <v>3</v>
      </c>
      <c r="AV583" s="393">
        <f t="shared" si="407"/>
        <v>0</v>
      </c>
      <c r="AW583" s="393">
        <f t="shared" si="407"/>
        <v>10</v>
      </c>
      <c r="AX583" s="393">
        <f t="shared" si="407"/>
        <v>208062.40000000002</v>
      </c>
      <c r="AY583" s="393">
        <f t="shared" si="407"/>
        <v>40466.400000000001</v>
      </c>
      <c r="AZ583" s="393">
        <f t="shared" si="407"/>
        <v>0</v>
      </c>
      <c r="BA583" s="393">
        <f t="shared" si="407"/>
        <v>0</v>
      </c>
      <c r="BB583" s="393">
        <f t="shared" si="407"/>
        <v>5825</v>
      </c>
      <c r="BC583" s="393">
        <f t="shared" si="407"/>
        <v>0</v>
      </c>
      <c r="BD583" s="393">
        <f t="shared" si="407"/>
        <v>2508.9168</v>
      </c>
      <c r="BE583" s="393">
        <f t="shared" si="407"/>
        <v>586.76280000000008</v>
      </c>
      <c r="BF583" s="393">
        <f t="shared" si="407"/>
        <v>4831.6881600000006</v>
      </c>
      <c r="BG583" s="393">
        <f t="shared" si="407"/>
        <v>291.76274400000005</v>
      </c>
      <c r="BH583" s="393">
        <f t="shared" si="407"/>
        <v>198.28536</v>
      </c>
      <c r="BI583" s="393">
        <f t="shared" si="407"/>
        <v>123.82718399999999</v>
      </c>
      <c r="BJ583" s="393">
        <f t="shared" si="407"/>
        <v>97.11936</v>
      </c>
      <c r="BK583" s="393">
        <f t="shared" si="407"/>
        <v>0</v>
      </c>
      <c r="BL583" s="393">
        <f t="shared" si="407"/>
        <v>8638.3624080000009</v>
      </c>
      <c r="BM583" s="393">
        <f t="shared" si="407"/>
        <v>0</v>
      </c>
      <c r="BN583" s="393">
        <f t="shared" si="407"/>
        <v>5825</v>
      </c>
      <c r="BO583" s="393">
        <f t="shared" si="407"/>
        <v>0</v>
      </c>
      <c r="BP583" s="393">
        <f t="shared" si="407"/>
        <v>2508.9168</v>
      </c>
      <c r="BQ583" s="393">
        <f t="shared" si="407"/>
        <v>586.76280000000008</v>
      </c>
      <c r="BR583" s="393">
        <f t="shared" si="407"/>
        <v>4831.6881600000006</v>
      </c>
      <c r="BS583" s="393">
        <f t="shared" si="407"/>
        <v>291.76274400000005</v>
      </c>
      <c r="BT583" s="393">
        <f t="shared" si="407"/>
        <v>0</v>
      </c>
      <c r="BU583" s="393">
        <f t="shared" si="407"/>
        <v>123.82718399999999</v>
      </c>
      <c r="BV583" s="393">
        <f t="shared" si="407"/>
        <v>101.16600000000001</v>
      </c>
      <c r="BW583" s="393">
        <f t="shared" si="407"/>
        <v>0</v>
      </c>
      <c r="BX583" s="393">
        <f t="shared" si="407"/>
        <v>8444.1236879999997</v>
      </c>
      <c r="BY583" s="393">
        <f t="shared" si="407"/>
        <v>0</v>
      </c>
      <c r="BZ583" s="393">
        <f t="shared" si="407"/>
        <v>0</v>
      </c>
      <c r="CA583" s="393">
        <f t="shared" si="407"/>
        <v>0</v>
      </c>
      <c r="CB583" s="393">
        <f t="shared" si="407"/>
        <v>0</v>
      </c>
      <c r="CC583" s="393">
        <f t="shared" si="407"/>
        <v>0</v>
      </c>
      <c r="CD583" s="393">
        <f t="shared" si="407"/>
        <v>0</v>
      </c>
      <c r="CE583" s="393">
        <f t="shared" si="407"/>
        <v>0</v>
      </c>
      <c r="CF583" s="393">
        <f t="shared" si="407"/>
        <v>-198.28536</v>
      </c>
      <c r="CG583" s="393">
        <f t="shared" si="407"/>
        <v>0</v>
      </c>
      <c r="CH583" s="393">
        <f t="shared" si="407"/>
        <v>4.0466400000000107</v>
      </c>
      <c r="CI583" s="393">
        <f t="shared" si="407"/>
        <v>0</v>
      </c>
      <c r="CJ583" s="393">
        <f t="shared" si="407"/>
        <v>-194.23872</v>
      </c>
      <c r="CK583" s="393">
        <f t="shared" si="407"/>
        <v>0</v>
      </c>
      <c r="CL583" s="393">
        <f t="shared" si="407"/>
        <v>0</v>
      </c>
      <c r="CM583" s="393">
        <f t="shared" si="407"/>
        <v>0</v>
      </c>
    </row>
    <row r="584" spans="41:91" ht="15.75" thickBot="1" x14ac:dyDescent="0.3">
      <c r="AR584" t="s">
        <v>2038</v>
      </c>
      <c r="AS584" s="386">
        <f>SUMIFS(AS2:AS557,G2:G557,"TACA",E2:E557,"0001",F2:F557,"00",AT2:AT557,1)</f>
        <v>85.899999999999991</v>
      </c>
      <c r="AT584" s="386">
        <f>SUMIFS(AS2:AS557,G2:G557,"TACA",E2:E557,"0001",F2:F557,"00",AT2:AT557,3)</f>
        <v>0</v>
      </c>
      <c r="AU584" s="386">
        <f>SUMIFS(AU2:AU557,G2:G557,"TACA",E2:E557,"0001",F2:F557,"00")</f>
        <v>86.75</v>
      </c>
      <c r="AV584" s="386">
        <f>SUMIFS(AV2:AV557,G2:G557,"TACA",E2:E557,"0001",F2:F557,"00")</f>
        <v>0</v>
      </c>
      <c r="AW584" s="386">
        <f>SUMIFS(AW2:AW557,G2:G557,"TACA",E2:E557,"0001",F2:F557,"00")</f>
        <v>93</v>
      </c>
      <c r="AX584" s="386">
        <f>SUMIFS(AX2:AX557,G2:G557,"TACA",E2:E557,"0001",F2:F557,"00")</f>
        <v>4232826.0000000009</v>
      </c>
      <c r="AY584" s="386">
        <f>SUMIFS(AY2:AY557,G2:G557,"TACA",E2:E557,"0001",F2:F557,"00")</f>
        <v>4165760.5600000005</v>
      </c>
      <c r="AZ584" s="386">
        <f>SUMIFS(AZ2:AZ557,G2:G557,"TACA",E2:E557,"0001",F2:F557,"00")</f>
        <v>0</v>
      </c>
      <c r="BA584" s="386">
        <f>SUMIFS(BA2:BA557,G2:G557,"TACA",E2:E557,"0001",F2:F557,"00")</f>
        <v>0</v>
      </c>
      <c r="BB584" s="386">
        <f>SUMIFS(BB2:BB557,G2:G557,"TACA",E2:E557,"0001",F2:F557,"00")</f>
        <v>1003647.5</v>
      </c>
      <c r="BC584" s="386">
        <f>SUMIFS(BC2:BC557,G2:G557,"TACA",E2:E557,"0001",F2:F557,"00")</f>
        <v>0</v>
      </c>
      <c r="BD584" s="386">
        <f>SUMIFS(BD2:BD557,G2:G557,"TACA",E2:E557,"0001",F2:F557,"00")</f>
        <v>258277.15471999993</v>
      </c>
      <c r="BE584" s="386">
        <f>SUMIFS(BE2:BE557,G2:G557,"TACA",E2:E557,"0001",F2:F557,"00")</f>
        <v>60403.528120000025</v>
      </c>
      <c r="BF584" s="386">
        <f>SUMIFS(BF2:BF557,G2:G557,"TACA",E2:E557,"0001",F2:F557,"00")</f>
        <v>497391.810864</v>
      </c>
      <c r="BG584" s="386">
        <f>SUMIFS(BG2:BG557,G2:G557,"TACA",E2:E557,"0001",F2:F557,"00")</f>
        <v>30035.133637599996</v>
      </c>
      <c r="BH584" s="386">
        <f>SUMIFS(BH2:BH557,G2:G557,"TACA",E2:E557,"0001",F2:F557,"00")</f>
        <v>20412.226743999996</v>
      </c>
      <c r="BI584" s="386">
        <f>SUMIFS(BI2:BI557,G2:G557,"TACA",E2:E557,"0001",F2:F557,"00")</f>
        <v>12393.917265599996</v>
      </c>
      <c r="BJ584" s="386">
        <f>SUMIFS(BJ2:BJ557,G2:G557,"TACA",E2:E557,"0001",F2:F557,"00")</f>
        <v>9997.8253440000026</v>
      </c>
      <c r="BK584" s="386">
        <f>SUMIFS(BK2:BK557,G2:G557,"TACA",E2:E557,"0001",F2:F557,"00")</f>
        <v>0</v>
      </c>
      <c r="BL584" s="386">
        <f>SUMIFS(BL2:BL557,G2:G557,"TACA",E2:E557,"0001",F2:F557,"00")</f>
        <v>888911.59669519984</v>
      </c>
      <c r="BM584" s="386">
        <f>SUMIFS(BM2:BM557,G2:G557,"TACA",E2:E557,"0001",F2:F557,"00")</f>
        <v>0</v>
      </c>
      <c r="BN584" s="386">
        <f>SUMIFS(BN2:BN557,G2:G557,"TACA",E2:E557,"0001",F2:F557,"00")</f>
        <v>1003647.5</v>
      </c>
      <c r="BO584" s="386">
        <f>SUMIFS(BO2:BO557,G2:G557,"TACA",E2:E557,"0001",F2:F557,"00")</f>
        <v>0</v>
      </c>
      <c r="BP584" s="386">
        <f>SUMIFS(BP2:BP557,G2:G557,"TACA",E2:E557,"0001",F2:F557,"00")</f>
        <v>258277.15471999993</v>
      </c>
      <c r="BQ584" s="386">
        <f>SUMIFS(BQ2:BQ557,G2:G557,"TACA",E2:E557,"0001",F2:F557,"00")</f>
        <v>60403.528120000025</v>
      </c>
      <c r="BR584" s="386">
        <f>SUMIFS(BR2:BR557,G2:G557,"TACA",E2:E557,"0001",F2:F557,"00")</f>
        <v>497391.810864</v>
      </c>
      <c r="BS584" s="386">
        <f>SUMIFS(BS2:BS557,G2:G557,"TACA",E2:E557,"0001",F2:F557,"00")</f>
        <v>30035.133637599996</v>
      </c>
      <c r="BT584" s="386">
        <f>SUMIFS(BT2:BT557,G2:G557,"TACA",E2:E557,"0001",F2:F557,"00")</f>
        <v>0</v>
      </c>
      <c r="BU584" s="386">
        <f>SUMIFS(BU2:BU557,G2:G557,"TACA",E2:E557,"0001",F2:F557,"00")</f>
        <v>12393.917265599996</v>
      </c>
      <c r="BV584" s="386">
        <f>SUMIFS(BV2:BV557,G2:G557,"TACA",E2:E557,"0001",F2:F557,"00")</f>
        <v>10414.401399999997</v>
      </c>
      <c r="BW584" s="386">
        <f>SUMIFS(BW2:BW557,G2:G557,"TACA",E2:E557,"0001",F2:F557,"00")</f>
        <v>0</v>
      </c>
      <c r="BX584" s="386">
        <f>SUMIFS(BX2:BX557,G2:G557,"TACA",E2:E557,"0001",F2:F557,"00")</f>
        <v>868915.94600720005</v>
      </c>
      <c r="BY584" s="386">
        <f>SUMIFS(BY2:BY557,G2:G557,"TACA",E2:E557,"0001",F2:F557,"00")</f>
        <v>0</v>
      </c>
      <c r="BZ584" s="386">
        <f>SUMIFS(BZ2:BZ557,G2:G557,"TACA",E2:E557,"0001",F2:F557,"00")</f>
        <v>0</v>
      </c>
      <c r="CA584" s="386">
        <f>SUMIFS(CA2:CA557,G2:G557,"TACA",E2:E557,"0001",F2:F557,"00")</f>
        <v>0</v>
      </c>
      <c r="CB584" s="386">
        <f>SUMIFS(CB2:CB557,G2:G557,"TACA",E2:E557,"0001",F2:F557,"00")</f>
        <v>0</v>
      </c>
      <c r="CC584" s="386">
        <f>SUMIFS(CC2:CC557,G2:G557,"TACA",E2:E557,"0001",F2:F557,"00")</f>
        <v>0</v>
      </c>
      <c r="CD584" s="386">
        <f>SUMIFS(CD2:CD557,G2:G557,"TACA",E2:E557,"0001",F2:F557,"00")</f>
        <v>0</v>
      </c>
      <c r="CE584" s="386">
        <f>SUMIFS(CE2:CE557,G2:G557,"TACA",E2:E557,"0001",F2:F557,"00")</f>
        <v>0</v>
      </c>
      <c r="CF584" s="386">
        <f>SUMIFS(CF2:CF557,G2:G557,"TACA",E2:E557,"0001",F2:F557,"00")</f>
        <v>-20412.226743999996</v>
      </c>
      <c r="CG584" s="386">
        <f>SUMIFS(CG2:CG557,G2:G557,"TACA",E2:E557,"0001",F2:F557,"00")</f>
        <v>0</v>
      </c>
      <c r="CH584" s="386">
        <f>SUMIFS(CH2:CH557,G2:G557,"TACA",E2:E557,"0001",F2:F557,"00")</f>
        <v>416.57605600000119</v>
      </c>
      <c r="CI584" s="386">
        <f>SUMIFS(CI2:CI557,G2:G557,"TACA",E2:E557,"0001",F2:F557,"00")</f>
        <v>0</v>
      </c>
      <c r="CJ584" s="386">
        <f>SUMIFS(CJ2:CJ557,G2:G557,"TACA",E2:E557,"0001",F2:F557,"00")</f>
        <v>-19995.650688000005</v>
      </c>
      <c r="CK584" s="386">
        <f>SUMIFS(CK2:CK557,G2:G557,"TACA",E2:E557,"0001",F2:F557,"00")</f>
        <v>0</v>
      </c>
      <c r="CL584" s="386">
        <f>SUMIFS(CL2:CL557,G2:G557,"TACA",E2:E557,"0001",F2:F557,"00")</f>
        <v>35703.910000000003</v>
      </c>
      <c r="CM584" s="386">
        <f>SUMIFS(CM2:CM557,G2:G557,"TACA",E2:E557,"0001",F2:F557,"00")</f>
        <v>2902.44</v>
      </c>
    </row>
    <row r="585" spans="41:91" ht="18.75" x14ac:dyDescent="0.3">
      <c r="AQ585" s="392" t="s">
        <v>2039</v>
      </c>
      <c r="AS585" s="393">
        <f t="shared" ref="AS585:CM585" si="408">SUM(AS584:AS584)</f>
        <v>85.899999999999991</v>
      </c>
      <c r="AT585" s="393">
        <f t="shared" si="408"/>
        <v>0</v>
      </c>
      <c r="AU585" s="393">
        <f t="shared" si="408"/>
        <v>86.75</v>
      </c>
      <c r="AV585" s="393">
        <f t="shared" si="408"/>
        <v>0</v>
      </c>
      <c r="AW585" s="393">
        <f t="shared" si="408"/>
        <v>93</v>
      </c>
      <c r="AX585" s="393">
        <f t="shared" si="408"/>
        <v>4232826.0000000009</v>
      </c>
      <c r="AY585" s="393">
        <f t="shared" si="408"/>
        <v>4165760.5600000005</v>
      </c>
      <c r="AZ585" s="393">
        <f t="shared" si="408"/>
        <v>0</v>
      </c>
      <c r="BA585" s="393">
        <f t="shared" si="408"/>
        <v>0</v>
      </c>
      <c r="BB585" s="393">
        <f t="shared" si="408"/>
        <v>1003647.5</v>
      </c>
      <c r="BC585" s="393">
        <f t="shared" si="408"/>
        <v>0</v>
      </c>
      <c r="BD585" s="393">
        <f t="shared" si="408"/>
        <v>258277.15471999993</v>
      </c>
      <c r="BE585" s="393">
        <f t="shared" si="408"/>
        <v>60403.528120000025</v>
      </c>
      <c r="BF585" s="393">
        <f t="shared" si="408"/>
        <v>497391.810864</v>
      </c>
      <c r="BG585" s="393">
        <f t="shared" si="408"/>
        <v>30035.133637599996</v>
      </c>
      <c r="BH585" s="393">
        <f t="shared" si="408"/>
        <v>20412.226743999996</v>
      </c>
      <c r="BI585" s="393">
        <f t="shared" si="408"/>
        <v>12393.917265599996</v>
      </c>
      <c r="BJ585" s="393">
        <f t="shared" si="408"/>
        <v>9997.8253440000026</v>
      </c>
      <c r="BK585" s="393">
        <f t="shared" si="408"/>
        <v>0</v>
      </c>
      <c r="BL585" s="393">
        <f t="shared" si="408"/>
        <v>888911.59669519984</v>
      </c>
      <c r="BM585" s="393">
        <f t="shared" si="408"/>
        <v>0</v>
      </c>
      <c r="BN585" s="393">
        <f t="shared" si="408"/>
        <v>1003647.5</v>
      </c>
      <c r="BO585" s="393">
        <f t="shared" si="408"/>
        <v>0</v>
      </c>
      <c r="BP585" s="393">
        <f t="shared" si="408"/>
        <v>258277.15471999993</v>
      </c>
      <c r="BQ585" s="393">
        <f t="shared" si="408"/>
        <v>60403.528120000025</v>
      </c>
      <c r="BR585" s="393">
        <f t="shared" si="408"/>
        <v>497391.810864</v>
      </c>
      <c r="BS585" s="393">
        <f t="shared" si="408"/>
        <v>30035.133637599996</v>
      </c>
      <c r="BT585" s="393">
        <f t="shared" si="408"/>
        <v>0</v>
      </c>
      <c r="BU585" s="393">
        <f t="shared" si="408"/>
        <v>12393.917265599996</v>
      </c>
      <c r="BV585" s="393">
        <f t="shared" si="408"/>
        <v>10414.401399999997</v>
      </c>
      <c r="BW585" s="393">
        <f t="shared" si="408"/>
        <v>0</v>
      </c>
      <c r="BX585" s="393">
        <f t="shared" si="408"/>
        <v>868915.94600720005</v>
      </c>
      <c r="BY585" s="393">
        <f t="shared" si="408"/>
        <v>0</v>
      </c>
      <c r="BZ585" s="393">
        <f t="shared" si="408"/>
        <v>0</v>
      </c>
      <c r="CA585" s="393">
        <f t="shared" si="408"/>
        <v>0</v>
      </c>
      <c r="CB585" s="393">
        <f t="shared" si="408"/>
        <v>0</v>
      </c>
      <c r="CC585" s="393">
        <f t="shared" si="408"/>
        <v>0</v>
      </c>
      <c r="CD585" s="393">
        <f t="shared" si="408"/>
        <v>0</v>
      </c>
      <c r="CE585" s="393">
        <f t="shared" si="408"/>
        <v>0</v>
      </c>
      <c r="CF585" s="393">
        <f t="shared" si="408"/>
        <v>-20412.226743999996</v>
      </c>
      <c r="CG585" s="393">
        <f t="shared" si="408"/>
        <v>0</v>
      </c>
      <c r="CH585" s="393">
        <f t="shared" si="408"/>
        <v>416.57605600000119</v>
      </c>
      <c r="CI585" s="393">
        <f t="shared" si="408"/>
        <v>0</v>
      </c>
      <c r="CJ585" s="393">
        <f t="shared" si="408"/>
        <v>-19995.650688000005</v>
      </c>
      <c r="CK585" s="393">
        <f t="shared" si="408"/>
        <v>0</v>
      </c>
      <c r="CL585" s="393">
        <f t="shared" si="408"/>
        <v>35703.910000000003</v>
      </c>
      <c r="CM585" s="393">
        <f t="shared" si="408"/>
        <v>2902.44</v>
      </c>
    </row>
    <row r="586" spans="41:91" ht="15.75" thickBot="1" x14ac:dyDescent="0.3">
      <c r="AR586" t="s">
        <v>2042</v>
      </c>
      <c r="AS586" s="386">
        <f>SUMIFS(AS2:AS557,G2:G557,"TACA",E2:E557,"0338",F2:F557,"02",AT2:AT557,1)</f>
        <v>2.85</v>
      </c>
      <c r="AT586" s="386">
        <f>SUMIFS(AS2:AS557,G2:G557,"TACA",E2:E557,"0338",F2:F557,"02",AT2:AT557,3)</f>
        <v>0</v>
      </c>
      <c r="AU586" s="386">
        <f>SUMIFS(AU2:AU557,G2:G557,"TACA",E2:E557,"0338",F2:F557,"02")</f>
        <v>8</v>
      </c>
      <c r="AV586" s="386">
        <f>SUMIFS(AV2:AV557,G2:G557,"TACA",E2:E557,"0338",F2:F557,"02")</f>
        <v>0</v>
      </c>
      <c r="AW586" s="386">
        <f>SUMIFS(AW2:AW557,G2:G557,"TACA",E2:E557,"0338",F2:F557,"02")</f>
        <v>14</v>
      </c>
      <c r="AX586" s="386">
        <f>SUMIFS(AX2:AX557,G2:G557,"TACA",E2:E557,"0338",F2:F557,"02")</f>
        <v>552031.99999999988</v>
      </c>
      <c r="AY586" s="386">
        <f>SUMIFS(AY2:AY557,G2:G557,"TACA",E2:E557,"0338",F2:F557,"02")</f>
        <v>146729.44</v>
      </c>
      <c r="AZ586" s="386">
        <f>SUMIFS(AZ2:AZ557,G2:G557,"TACA",E2:E557,"0338",F2:F557,"02")</f>
        <v>0</v>
      </c>
      <c r="BA586" s="386">
        <f>SUMIFS(BA2:BA557,G2:G557,"TACA",E2:E557,"0338",F2:F557,"02")</f>
        <v>0</v>
      </c>
      <c r="BB586" s="386">
        <f>SUMIFS(BB2:BB557,G2:G557,"TACA",E2:E557,"0338",F2:F557,"02")</f>
        <v>33202.5</v>
      </c>
      <c r="BC586" s="386">
        <f>SUMIFS(BC2:BC557,G2:G557,"TACA",E2:E557,"0338",F2:F557,"02")</f>
        <v>0</v>
      </c>
      <c r="BD586" s="386">
        <f>SUMIFS(BD2:BD557,G2:G557,"TACA",E2:E557,"0338",F2:F557,"02")</f>
        <v>9097.2252799999987</v>
      </c>
      <c r="BE586" s="386">
        <f>SUMIFS(BE2:BE557,G2:G557,"TACA",E2:E557,"0338",F2:F557,"02")</f>
        <v>2127.5768800000001</v>
      </c>
      <c r="BF586" s="386">
        <f>SUMIFS(BF2:BF557,G2:G557,"TACA",E2:E557,"0338",F2:F557,"02")</f>
        <v>17519.495136000001</v>
      </c>
      <c r="BG586" s="386">
        <f>SUMIFS(BG2:BG557,G2:G557,"TACA",E2:E557,"0338",F2:F557,"02")</f>
        <v>1057.9192624000002</v>
      </c>
      <c r="BH586" s="386">
        <f>SUMIFS(BH2:BH557,G2:G557,"TACA",E2:E557,"0338",F2:F557,"02")</f>
        <v>718.97425599999997</v>
      </c>
      <c r="BI586" s="386">
        <f>SUMIFS(BI2:BI557,G2:G557,"TACA",E2:E557,"0338",F2:F557,"02")</f>
        <v>448.99208640000001</v>
      </c>
      <c r="BJ586" s="386">
        <f>SUMIFS(BJ2:BJ557,G2:G557,"TACA",E2:E557,"0338",F2:F557,"02")</f>
        <v>352.15065599999997</v>
      </c>
      <c r="BK586" s="386">
        <f>SUMIFS(BK2:BK557,G2:G557,"TACA",E2:E557,"0338",F2:F557,"02")</f>
        <v>0</v>
      </c>
      <c r="BL586" s="386">
        <f>SUMIFS(BL2:BL557,G2:G557,"TACA",E2:E557,"0338",F2:F557,"02")</f>
        <v>31322.333556800007</v>
      </c>
      <c r="BM586" s="386">
        <f>SUMIFS(BM2:BM557,G2:G557,"TACA",E2:E557,"0338",F2:F557,"02")</f>
        <v>0</v>
      </c>
      <c r="BN586" s="386">
        <f>SUMIFS(BN2:BN557,G2:G557,"TACA",E2:E557,"0338",F2:F557,"02")</f>
        <v>33202.5</v>
      </c>
      <c r="BO586" s="386">
        <f>SUMIFS(BO2:BO557,G2:G557,"TACA",E2:E557,"0338",F2:F557,"02")</f>
        <v>0</v>
      </c>
      <c r="BP586" s="386">
        <f>SUMIFS(BP2:BP557,G2:G557,"TACA",E2:E557,"0338",F2:F557,"02")</f>
        <v>9097.2252799999987</v>
      </c>
      <c r="BQ586" s="386">
        <f>SUMIFS(BQ2:BQ557,G2:G557,"TACA",E2:E557,"0338",F2:F557,"02")</f>
        <v>2127.5768800000001</v>
      </c>
      <c r="BR586" s="386">
        <f>SUMIFS(BR2:BR557,G2:G557,"TACA",E2:E557,"0338",F2:F557,"02")</f>
        <v>17519.495136000001</v>
      </c>
      <c r="BS586" s="386">
        <f>SUMIFS(BS2:BS557,G2:G557,"TACA",E2:E557,"0338",F2:F557,"02")</f>
        <v>1057.9192624000002</v>
      </c>
      <c r="BT586" s="386">
        <f>SUMIFS(BT2:BT557,G2:G557,"TACA",E2:E557,"0338",F2:F557,"02")</f>
        <v>0</v>
      </c>
      <c r="BU586" s="386">
        <f>SUMIFS(BU2:BU557,G2:G557,"TACA",E2:E557,"0338",F2:F557,"02")</f>
        <v>448.99208640000001</v>
      </c>
      <c r="BV586" s="386">
        <f>SUMIFS(BV2:BV557,G2:G557,"TACA",E2:E557,"0338",F2:F557,"02")</f>
        <v>366.8236</v>
      </c>
      <c r="BW586" s="386">
        <f>SUMIFS(BW2:BW557,G2:G557,"TACA",E2:E557,"0338",F2:F557,"02")</f>
        <v>0</v>
      </c>
      <c r="BX586" s="386">
        <f>SUMIFS(BX2:BX557,G2:G557,"TACA",E2:E557,"0338",F2:F557,"02")</f>
        <v>30618.032244800004</v>
      </c>
      <c r="BY586" s="386">
        <f>SUMIFS(BY2:BY557,G2:G557,"TACA",E2:E557,"0338",F2:F557,"02")</f>
        <v>0</v>
      </c>
      <c r="BZ586" s="386">
        <f>SUMIFS(BZ2:BZ557,G2:G557,"TACA",E2:E557,"0338",F2:F557,"02")</f>
        <v>0</v>
      </c>
      <c r="CA586" s="386">
        <f>SUMIFS(CA2:CA557,G2:G557,"TACA",E2:E557,"0338",F2:F557,"02")</f>
        <v>0</v>
      </c>
      <c r="CB586" s="386">
        <f>SUMIFS(CB2:CB557,G2:G557,"TACA",E2:E557,"0338",F2:F557,"02")</f>
        <v>0</v>
      </c>
      <c r="CC586" s="386">
        <f>SUMIFS(CC2:CC557,G2:G557,"TACA",E2:E557,"0338",F2:F557,"02")</f>
        <v>0</v>
      </c>
      <c r="CD586" s="386">
        <f>SUMIFS(CD2:CD557,G2:G557,"TACA",E2:E557,"0338",F2:F557,"02")</f>
        <v>0</v>
      </c>
      <c r="CE586" s="386">
        <f>SUMIFS(CE2:CE557,G2:G557,"TACA",E2:E557,"0338",F2:F557,"02")</f>
        <v>0</v>
      </c>
      <c r="CF586" s="386">
        <f>SUMIFS(CF2:CF557,G2:G557,"TACA",E2:E557,"0338",F2:F557,"02")</f>
        <v>-718.97425599999997</v>
      </c>
      <c r="CG586" s="386">
        <f>SUMIFS(CG2:CG557,G2:G557,"TACA",E2:E557,"0338",F2:F557,"02")</f>
        <v>0</v>
      </c>
      <c r="CH586" s="386">
        <f>SUMIFS(CH2:CH557,G2:G557,"TACA",E2:E557,"0338",F2:F557,"02")</f>
        <v>14.67294400000004</v>
      </c>
      <c r="CI586" s="386">
        <f>SUMIFS(CI2:CI557,G2:G557,"TACA",E2:E557,"0338",F2:F557,"02")</f>
        <v>0</v>
      </c>
      <c r="CJ586" s="386">
        <f>SUMIFS(CJ2:CJ557,G2:G557,"TACA",E2:E557,"0338",F2:F557,"02")</f>
        <v>-704.30131199999983</v>
      </c>
      <c r="CK586" s="386">
        <f>SUMIFS(CK2:CK557,G2:G557,"TACA",E2:E557,"0338",F2:F557,"02")</f>
        <v>0</v>
      </c>
      <c r="CL586" s="386">
        <f>SUMIFS(CL2:CL557,G2:G557,"TACA",E2:E557,"0338",F2:F557,"02")</f>
        <v>0</v>
      </c>
      <c r="CM586" s="386">
        <f>SUMIFS(CM2:CM557,G2:G557,"TACA",E2:E557,"0338",F2:F557,"02")</f>
        <v>0</v>
      </c>
    </row>
    <row r="587" spans="41:91" ht="18.75" x14ac:dyDescent="0.3">
      <c r="AQ587" s="392" t="s">
        <v>2043</v>
      </c>
      <c r="AS587" s="393">
        <f t="shared" ref="AS587:CM587" si="409">SUM(AS586:AS586)</f>
        <v>2.85</v>
      </c>
      <c r="AT587" s="393">
        <f t="shared" si="409"/>
        <v>0</v>
      </c>
      <c r="AU587" s="393">
        <f t="shared" si="409"/>
        <v>8</v>
      </c>
      <c r="AV587" s="393">
        <f t="shared" si="409"/>
        <v>0</v>
      </c>
      <c r="AW587" s="393">
        <f t="shared" si="409"/>
        <v>14</v>
      </c>
      <c r="AX587" s="393">
        <f t="shared" si="409"/>
        <v>552031.99999999988</v>
      </c>
      <c r="AY587" s="393">
        <f t="shared" si="409"/>
        <v>146729.44</v>
      </c>
      <c r="AZ587" s="393">
        <f t="shared" si="409"/>
        <v>0</v>
      </c>
      <c r="BA587" s="393">
        <f t="shared" si="409"/>
        <v>0</v>
      </c>
      <c r="BB587" s="393">
        <f t="shared" si="409"/>
        <v>33202.5</v>
      </c>
      <c r="BC587" s="393">
        <f t="shared" si="409"/>
        <v>0</v>
      </c>
      <c r="BD587" s="393">
        <f t="shared" si="409"/>
        <v>9097.2252799999987</v>
      </c>
      <c r="BE587" s="393">
        <f t="shared" si="409"/>
        <v>2127.5768800000001</v>
      </c>
      <c r="BF587" s="393">
        <f t="shared" si="409"/>
        <v>17519.495136000001</v>
      </c>
      <c r="BG587" s="393">
        <f t="shared" si="409"/>
        <v>1057.9192624000002</v>
      </c>
      <c r="BH587" s="393">
        <f t="shared" si="409"/>
        <v>718.97425599999997</v>
      </c>
      <c r="BI587" s="393">
        <f t="shared" si="409"/>
        <v>448.99208640000001</v>
      </c>
      <c r="BJ587" s="393">
        <f t="shared" si="409"/>
        <v>352.15065599999997</v>
      </c>
      <c r="BK587" s="393">
        <f t="shared" si="409"/>
        <v>0</v>
      </c>
      <c r="BL587" s="393">
        <f t="shared" si="409"/>
        <v>31322.333556800007</v>
      </c>
      <c r="BM587" s="393">
        <f t="shared" si="409"/>
        <v>0</v>
      </c>
      <c r="BN587" s="393">
        <f t="shared" si="409"/>
        <v>33202.5</v>
      </c>
      <c r="BO587" s="393">
        <f t="shared" si="409"/>
        <v>0</v>
      </c>
      <c r="BP587" s="393">
        <f t="shared" si="409"/>
        <v>9097.2252799999987</v>
      </c>
      <c r="BQ587" s="393">
        <f t="shared" si="409"/>
        <v>2127.5768800000001</v>
      </c>
      <c r="BR587" s="393">
        <f t="shared" si="409"/>
        <v>17519.495136000001</v>
      </c>
      <c r="BS587" s="393">
        <f t="shared" si="409"/>
        <v>1057.9192624000002</v>
      </c>
      <c r="BT587" s="393">
        <f t="shared" si="409"/>
        <v>0</v>
      </c>
      <c r="BU587" s="393">
        <f t="shared" si="409"/>
        <v>448.99208640000001</v>
      </c>
      <c r="BV587" s="393">
        <f t="shared" si="409"/>
        <v>366.8236</v>
      </c>
      <c r="BW587" s="393">
        <f t="shared" si="409"/>
        <v>0</v>
      </c>
      <c r="BX587" s="393">
        <f t="shared" si="409"/>
        <v>30618.032244800004</v>
      </c>
      <c r="BY587" s="393">
        <f t="shared" si="409"/>
        <v>0</v>
      </c>
      <c r="BZ587" s="393">
        <f t="shared" si="409"/>
        <v>0</v>
      </c>
      <c r="CA587" s="393">
        <f t="shared" si="409"/>
        <v>0</v>
      </c>
      <c r="CB587" s="393">
        <f t="shared" si="409"/>
        <v>0</v>
      </c>
      <c r="CC587" s="393">
        <f t="shared" si="409"/>
        <v>0</v>
      </c>
      <c r="CD587" s="393">
        <f t="shared" si="409"/>
        <v>0</v>
      </c>
      <c r="CE587" s="393">
        <f t="shared" si="409"/>
        <v>0</v>
      </c>
      <c r="CF587" s="393">
        <f t="shared" si="409"/>
        <v>-718.97425599999997</v>
      </c>
      <c r="CG587" s="393">
        <f t="shared" si="409"/>
        <v>0</v>
      </c>
      <c r="CH587" s="393">
        <f t="shared" si="409"/>
        <v>14.67294400000004</v>
      </c>
      <c r="CI587" s="393">
        <f t="shared" si="409"/>
        <v>0</v>
      </c>
      <c r="CJ587" s="393">
        <f t="shared" si="409"/>
        <v>-704.30131199999983</v>
      </c>
      <c r="CK587" s="393">
        <f t="shared" si="409"/>
        <v>0</v>
      </c>
      <c r="CL587" s="393">
        <f t="shared" si="409"/>
        <v>0</v>
      </c>
      <c r="CM587" s="393">
        <f t="shared" si="409"/>
        <v>0</v>
      </c>
    </row>
    <row r="589" spans="41:91" ht="21" x14ac:dyDescent="0.35">
      <c r="AO589" s="251" t="s">
        <v>97</v>
      </c>
      <c r="AP589" s="251"/>
      <c r="AQ589" s="251"/>
    </row>
    <row r="591" spans="41:91" ht="21" x14ac:dyDescent="0.35">
      <c r="AO591" s="252"/>
      <c r="AP591" s="252"/>
      <c r="AQ591" s="252"/>
    </row>
    <row r="592" spans="41:91" ht="15.75" x14ac:dyDescent="0.25">
      <c r="AS592" s="372" t="s">
        <v>83</v>
      </c>
      <c r="AT592" s="474" t="s">
        <v>2048</v>
      </c>
      <c r="AU592" s="474"/>
      <c r="AV592" s="475" t="s">
        <v>2046</v>
      </c>
      <c r="AW592" s="474" t="s">
        <v>2049</v>
      </c>
      <c r="AX592" s="474"/>
      <c r="AY592" s="475" t="s">
        <v>2047</v>
      </c>
      <c r="AZ592" s="474" t="s">
        <v>2050</v>
      </c>
      <c r="BA592" s="474"/>
    </row>
    <row r="593" spans="41:53" ht="15.75" x14ac:dyDescent="0.25">
      <c r="AS593" s="249"/>
      <c r="AT593" s="372" t="s">
        <v>94</v>
      </c>
      <c r="AU593" s="371" t="s">
        <v>96</v>
      </c>
      <c r="AV593" s="476"/>
      <c r="AW593" s="372" t="s">
        <v>98</v>
      </c>
      <c r="AX593" s="371" t="s">
        <v>95</v>
      </c>
      <c r="AY593" s="476"/>
      <c r="AZ593" s="372" t="s">
        <v>98</v>
      </c>
      <c r="BA593" s="371" t="s">
        <v>95</v>
      </c>
    </row>
    <row r="594" spans="41:53" x14ac:dyDescent="0.25">
      <c r="AO594" s="391" t="s">
        <v>2051</v>
      </c>
    </row>
    <row r="595" spans="41:53" x14ac:dyDescent="0.25">
      <c r="AQ595" t="s">
        <v>1993</v>
      </c>
      <c r="AS595" s="386">
        <f>SUM(SUMIFS(AS2:AS557,CN2:CN557,AQ595,E2:E557,"0001",F2:F557,"00",AT2:AT557,{1,3}))</f>
        <v>339.31000000000006</v>
      </c>
      <c r="AT595" s="386">
        <f>SUMPRODUCT(--(CN2:CN557=AQ595),--(N2:N557&lt;&gt;"NG"),--(AG2:AG557&lt;&gt;"D"),--(AR2:AR557&lt;&gt;6),--(AR2:AR557&lt;&gt;36),--(AR2:AR557&lt;&gt;56),T2:T557)+SUMPRODUCT(--(CN2:CN557=AQ595),--(N2:N557&lt;&gt;"NG"),--(AG2:AG557&lt;&gt;"D"),--(AR2:AR557&lt;&gt;6),--(AR2:AR557&lt;&gt;36),--(AR2:AR557&lt;&gt;56),U2:U557)</f>
        <v>17037626.780000001</v>
      </c>
      <c r="AU595" s="386">
        <f>SUMPRODUCT(--(CN2:CN557=AQ595),--(N2:N557&lt;&gt;"NG"),--(AG2:AG557&lt;&gt;"D"),--(AR2:AR557&lt;&gt;6),--(AR2:AR557&lt;&gt;36),--(AR2:AR557&lt;&gt;56),V2:V557)</f>
        <v>7498098.0999999987</v>
      </c>
      <c r="AV595" s="386">
        <f>SUMPRODUCT(--(CN2:CN557=AQ595),AY2:AY557)+SUMPRODUCT(--(CN2:CN557=AQ595),AZ2:AZ557)</f>
        <v>18016349.440000001</v>
      </c>
      <c r="AW595" s="386">
        <f>SUMPRODUCT(--(CN2:CN557=AQ595),BB2:BB557)+SUMPRODUCT(--(CN2:CN557=AQ595),BC2:BC557)</f>
        <v>3959951.5</v>
      </c>
      <c r="AX595" s="386">
        <f>SUMPRODUCT(--(CN2:CN557=AQ595),BL2:BL557)+SUMPRODUCT(--(CN2:CN557=AQ595),BM2:BM557)</f>
        <v>3840490.9910048046</v>
      </c>
      <c r="AY595" s="386">
        <f>SUMPRODUCT(--(CN2:CN557=AQ595),AY2:AY557)+SUMPRODUCT(--(CN2:CN557=AQ595),AZ2:AZ557)+SUMPRODUCT(--(CN2:CN557=AQ595),BA2:BA557)</f>
        <v>18016349.440000001</v>
      </c>
      <c r="AZ595" s="386">
        <f>SUMPRODUCT(--(CN2:CN557=AQ595),BN2:BN557)+SUMPRODUCT(--(CN2:CN557=AQ595),BO2:BO557)</f>
        <v>3959951.5</v>
      </c>
      <c r="BA595" s="386">
        <f>SUMPRODUCT(--(CN2:CN557=AQ595),BX2:BX557)+SUMPRODUCT(--(CN2:CN557=AQ595),BY2:BY557)</f>
        <v>3756596.6218527993</v>
      </c>
    </row>
    <row r="596" spans="41:53" x14ac:dyDescent="0.25">
      <c r="AP596" t="s">
        <v>2052</v>
      </c>
      <c r="AS596" s="397">
        <f t="shared" ref="AS596:BA596" si="410">SUM(AS595:AS595)</f>
        <v>339.31000000000006</v>
      </c>
      <c r="AT596" s="397">
        <f t="shared" si="410"/>
        <v>17037626.780000001</v>
      </c>
      <c r="AU596" s="397">
        <f t="shared" si="410"/>
        <v>7498098.0999999987</v>
      </c>
      <c r="AV596" s="397">
        <f t="shared" si="410"/>
        <v>18016349.440000001</v>
      </c>
      <c r="AW596" s="397">
        <f t="shared" si="410"/>
        <v>3959951.5</v>
      </c>
      <c r="AX596" s="397">
        <f t="shared" si="410"/>
        <v>3840490.9910048046</v>
      </c>
      <c r="AY596" s="397">
        <f t="shared" si="410"/>
        <v>18016349.440000001</v>
      </c>
      <c r="AZ596" s="397">
        <f t="shared" si="410"/>
        <v>3959951.5</v>
      </c>
      <c r="BA596" s="397">
        <f t="shared" si="410"/>
        <v>3756596.6218527993</v>
      </c>
    </row>
    <row r="597" spans="41:53" x14ac:dyDescent="0.25">
      <c r="AQ597" t="s">
        <v>2032</v>
      </c>
      <c r="AS597" s="386">
        <f>SUM(SUMIFS(AS2:AS557,CN2:CN557,AQ597,E2:E557,"0276",F2:F557,"00",AT2:AT557,{1,3}))</f>
        <v>17.55</v>
      </c>
      <c r="AT597" s="386">
        <f>SUMPRODUCT(--(CN2:CN557=AQ597),--(N2:N557&lt;&gt;"NG"),--(AG2:AG557&lt;&gt;"D"),--(AR2:AR557&lt;&gt;6),--(AR2:AR557&lt;&gt;36),--(AR2:AR557&lt;&gt;56),T2:T557)+SUMPRODUCT(--(CN2:CN557=AQ597),--(N2:N557&lt;&gt;"NG"),--(AG2:AG557&lt;&gt;"D"),--(AR2:AR557&lt;&gt;6),--(AR2:AR557&lt;&gt;36),--(AR2:AR557&lt;&gt;56),U2:U557)</f>
        <v>1164872.5200000003</v>
      </c>
      <c r="AU597" s="386">
        <f>SUMPRODUCT(--(CN2:CN557=AQ597),--(N2:N557&lt;&gt;"NG"),--(AG2:AG557&lt;&gt;"D"),--(AR2:AR557&lt;&gt;6),--(AR2:AR557&lt;&gt;36),--(AR2:AR557&lt;&gt;56),V2:V557)</f>
        <v>454901.12999999995</v>
      </c>
      <c r="AV597" s="386">
        <f>SUMPRODUCT(--(CN2:CN557=AQ597),AY2:AY557)+SUMPRODUCT(--(CN2:CN557=AQ597),AZ2:AZ557)</f>
        <v>1124221.2800000003</v>
      </c>
      <c r="AW597" s="386">
        <f>SUMPRODUCT(--(CN2:CN557=AQ597),BB2:BB557)+SUMPRODUCT(--(CN2:CN557=AQ597),BC2:BC557)</f>
        <v>204457.5</v>
      </c>
      <c r="AX597" s="386">
        <f>SUMPRODUCT(--(CN2:CN557=AQ597),BL2:BL557)+SUMPRODUCT(--(CN2:CN557=AQ597),BM2:BM557)</f>
        <v>239987.5166416</v>
      </c>
      <c r="AY597" s="386">
        <f>SUMPRODUCT(--(CN2:CN557=AQ597),AY2:AY557)+SUMPRODUCT(--(CN2:CN557=AQ597),AZ2:AZ557)+SUMPRODUCT(--(CN2:CN557=AQ597),BA2:BA557)</f>
        <v>1124221.2800000003</v>
      </c>
      <c r="AZ597" s="386">
        <f>SUMPRODUCT(--(CN2:CN557=AQ597),BN2:BN557)+SUMPRODUCT(--(CN2:CN557=AQ597),BO2:BO557)</f>
        <v>204457.5</v>
      </c>
      <c r="BA597" s="386">
        <f>SUMPRODUCT(--(CN2:CN557=AQ597),BX2:BX557)+SUMPRODUCT(--(CN2:CN557=AQ597),BY2:BY557)</f>
        <v>234591.25449760002</v>
      </c>
    </row>
    <row r="598" spans="41:53" x14ac:dyDescent="0.25">
      <c r="AP598" t="s">
        <v>2053</v>
      </c>
      <c r="AS598" s="397">
        <f t="shared" ref="AS598:BA598" si="411">SUM(AS597:AS597)</f>
        <v>17.55</v>
      </c>
      <c r="AT598" s="397">
        <f t="shared" si="411"/>
        <v>1164872.5200000003</v>
      </c>
      <c r="AU598" s="397">
        <f t="shared" si="411"/>
        <v>454901.12999999995</v>
      </c>
      <c r="AV598" s="397">
        <f t="shared" si="411"/>
        <v>1124221.2800000003</v>
      </c>
      <c r="AW598" s="397">
        <f t="shared" si="411"/>
        <v>204457.5</v>
      </c>
      <c r="AX598" s="397">
        <f t="shared" si="411"/>
        <v>239987.5166416</v>
      </c>
      <c r="AY598" s="397">
        <f t="shared" si="411"/>
        <v>1124221.2800000003</v>
      </c>
      <c r="AZ598" s="397">
        <f t="shared" si="411"/>
        <v>204457.5</v>
      </c>
      <c r="BA598" s="397">
        <f t="shared" si="411"/>
        <v>234591.25449760002</v>
      </c>
    </row>
    <row r="599" spans="41:53" x14ac:dyDescent="0.25">
      <c r="AQ599" t="s">
        <v>1999</v>
      </c>
      <c r="AS599" s="386">
        <f>SUM(SUMIFS(AS2:AS557,CN2:CN557,AQ599,E2:E557,"0338",F2:F557,"01",AT2:AT557,{1,3}))</f>
        <v>1.4400000000000002</v>
      </c>
      <c r="AT599" s="386">
        <f>SUMPRODUCT(--(CN2:CN557=AQ599),--(N2:N557&lt;&gt;"NG"),--(AG2:AG557&lt;&gt;"D"),--(AR2:AR557&lt;&gt;6),--(AR2:AR557&lt;&gt;36),--(AR2:AR557&lt;&gt;56),T2:T557)+SUMPRODUCT(--(CN2:CN557=AQ599),--(N2:N557&lt;&gt;"NG"),--(AG2:AG557&lt;&gt;"D"),--(AR2:AR557&lt;&gt;6),--(AR2:AR557&lt;&gt;36),--(AR2:AR557&lt;&gt;56),U2:U557)</f>
        <v>68612.290000000008</v>
      </c>
      <c r="AU599" s="386">
        <f>SUMPRODUCT(--(CN2:CN557=AQ599),--(N2:N557&lt;&gt;"NG"),--(AG2:AG557&lt;&gt;"D"),--(AR2:AR557&lt;&gt;6),--(AR2:AR557&lt;&gt;36),--(AR2:AR557&lt;&gt;56),V2:V557)</f>
        <v>30815.379999999997</v>
      </c>
      <c r="AV599" s="386">
        <f>SUMPRODUCT(--(CN2:CN557=AQ599),AY2:AY557)+SUMPRODUCT(--(CN2:CN557=AQ599),AZ2:AZ557)</f>
        <v>71620.639999999999</v>
      </c>
      <c r="AW599" s="386">
        <f>SUMPRODUCT(--(CN2:CN557=AQ599),BB2:BB557)+SUMPRODUCT(--(CN2:CN557=AQ599),BC2:BC557)</f>
        <v>16776</v>
      </c>
      <c r="AX599" s="386">
        <f>SUMPRODUCT(--(CN2:CN557=AQ599),BL2:BL557)+SUMPRODUCT(--(CN2:CN557=AQ599),BM2:BM557)</f>
        <v>15288.8580208</v>
      </c>
      <c r="AY599" s="386">
        <f>SUMPRODUCT(--(CN2:CN557=AQ599),AY2:AY557)+SUMPRODUCT(--(CN2:CN557=AQ599),AZ2:AZ557)+SUMPRODUCT(--(CN2:CN557=AQ599),BA2:BA557)</f>
        <v>71620.639999999999</v>
      </c>
      <c r="AZ599" s="386">
        <f>SUMPRODUCT(--(CN2:CN557=AQ599),BN2:BN557)+SUMPRODUCT(--(CN2:CN557=AQ599),BO2:BO557)</f>
        <v>16776</v>
      </c>
      <c r="BA599" s="386">
        <f>SUMPRODUCT(--(CN2:CN557=AQ599),BX2:BX557)+SUMPRODUCT(--(CN2:CN557=AQ599),BY2:BY557)</f>
        <v>14945.078948800001</v>
      </c>
    </row>
    <row r="600" spans="41:53" x14ac:dyDescent="0.25">
      <c r="AQ600" t="s">
        <v>2004</v>
      </c>
      <c r="AS600" s="386">
        <f>SUM(SUMIFS(AS2:AS557,CN2:CN557,AQ600,E2:E557,"0338",F2:F557,"02",AT2:AT557,{1,3}))</f>
        <v>42.099999999999994</v>
      </c>
      <c r="AT600" s="386">
        <f>SUMPRODUCT(--(CN2:CN557=AQ600),--(N2:N557&lt;&gt;"NG"),--(AG2:AG557&lt;&gt;"D"),--(AR2:AR557&lt;&gt;6),--(AR2:AR557&lt;&gt;36),--(AR2:AR557&lt;&gt;56),T2:T557)+SUMPRODUCT(--(CN2:CN557=AQ600),--(N2:N557&lt;&gt;"NG"),--(AG2:AG557&lt;&gt;"D"),--(AR2:AR557&lt;&gt;6),--(AR2:AR557&lt;&gt;36),--(AR2:AR557&lt;&gt;56),U2:U557)</f>
        <v>2164275.88</v>
      </c>
      <c r="AU600" s="386">
        <f>SUMPRODUCT(--(CN2:CN557=AQ600),--(N2:N557&lt;&gt;"NG"),--(AG2:AG557&lt;&gt;"D"),--(AR2:AR557&lt;&gt;6),--(AR2:AR557&lt;&gt;36),--(AR2:AR557&lt;&gt;56),V2:V557)</f>
        <v>922201.28</v>
      </c>
      <c r="AV600" s="386">
        <f>SUMPRODUCT(--(CN2:CN557=AQ600),AY2:AY557)+SUMPRODUCT(--(CN2:CN557=AQ600),AZ2:AZ557)</f>
        <v>2289098.5599999996</v>
      </c>
      <c r="AW600" s="386">
        <f>SUMPRODUCT(--(CN2:CN557=AQ600),BB2:BB557)+SUMPRODUCT(--(CN2:CN557=AQ600),BC2:BC557)</f>
        <v>490465</v>
      </c>
      <c r="AX600" s="386">
        <f>SUMPRODUCT(--(CN2:CN557=AQ600),BL2:BL557)+SUMPRODUCT(--(CN2:CN557=AQ600),BM2:BM557)</f>
        <v>487545.36545919982</v>
      </c>
      <c r="AY600" s="386">
        <f>SUMPRODUCT(--(CN2:CN557=AQ600),AY2:AY557)+SUMPRODUCT(--(CN2:CN557=AQ600),AZ2:AZ557)+SUMPRODUCT(--(CN2:CN557=AQ600),BA2:BA557)</f>
        <v>2289098.5599999996</v>
      </c>
      <c r="AZ600" s="386">
        <f>SUMPRODUCT(--(CN2:CN557=AQ600),BN2:BN557)+SUMPRODUCT(--(CN2:CN557=AQ600),BO2:BO557)</f>
        <v>490465</v>
      </c>
      <c r="BA600" s="386">
        <f>SUMPRODUCT(--(CN2:CN557=AQ600),BX2:BX557)+SUMPRODUCT(--(CN2:CN557=AQ600),BY2:BY557)</f>
        <v>477077.44517120003</v>
      </c>
    </row>
    <row r="601" spans="41:53" x14ac:dyDescent="0.25">
      <c r="AP601" t="s">
        <v>2054</v>
      </c>
      <c r="AS601" s="397">
        <f t="shared" ref="AS601:BA601" si="412">SUM(AS599:AS600)</f>
        <v>43.539999999999992</v>
      </c>
      <c r="AT601" s="397">
        <f t="shared" si="412"/>
        <v>2232888.17</v>
      </c>
      <c r="AU601" s="397">
        <f t="shared" si="412"/>
        <v>953016.66</v>
      </c>
      <c r="AV601" s="397">
        <f t="shared" si="412"/>
        <v>2360719.1999999997</v>
      </c>
      <c r="AW601" s="397">
        <f t="shared" si="412"/>
        <v>507241</v>
      </c>
      <c r="AX601" s="397">
        <f t="shared" si="412"/>
        <v>502834.22347999981</v>
      </c>
      <c r="AY601" s="397">
        <f t="shared" si="412"/>
        <v>2360719.1999999997</v>
      </c>
      <c r="AZ601" s="397">
        <f t="shared" si="412"/>
        <v>507241</v>
      </c>
      <c r="BA601" s="397">
        <f t="shared" si="412"/>
        <v>492022.52412000002</v>
      </c>
    </row>
    <row r="602" spans="41:53" x14ac:dyDescent="0.25">
      <c r="AS602" s="386"/>
      <c r="AT602" s="386"/>
      <c r="AU602" s="386"/>
      <c r="AV602" s="386"/>
      <c r="AW602" s="386"/>
      <c r="AX602" s="386"/>
      <c r="AY602" s="386"/>
      <c r="AZ602" s="386"/>
      <c r="BA602" s="386"/>
    </row>
    <row r="603" spans="41:53" x14ac:dyDescent="0.25">
      <c r="AO603" s="395" t="s">
        <v>2055</v>
      </c>
      <c r="AS603" s="398">
        <f t="shared" ref="AS603:BA603" si="413">SUM(AS596,AS598,AS601)</f>
        <v>400.40000000000009</v>
      </c>
      <c r="AT603" s="398">
        <f t="shared" si="413"/>
        <v>20435387.469999999</v>
      </c>
      <c r="AU603" s="398">
        <f t="shared" si="413"/>
        <v>8906015.8899999987</v>
      </c>
      <c r="AV603" s="398">
        <f t="shared" si="413"/>
        <v>21501289.920000002</v>
      </c>
      <c r="AW603" s="398">
        <f t="shared" si="413"/>
        <v>4671650</v>
      </c>
      <c r="AX603" s="398">
        <f t="shared" si="413"/>
        <v>4583312.7311264044</v>
      </c>
      <c r="AY603" s="398">
        <f t="shared" si="413"/>
        <v>21501289.920000002</v>
      </c>
      <c r="AZ603" s="398">
        <f t="shared" si="413"/>
        <v>4671650</v>
      </c>
      <c r="BA603" s="398">
        <f t="shared" si="413"/>
        <v>4483210.4004703993</v>
      </c>
    </row>
    <row r="604" spans="41:53" x14ac:dyDescent="0.25">
      <c r="AS604" s="386"/>
      <c r="AT604" s="386"/>
      <c r="AU604" s="386"/>
      <c r="AV604" s="386"/>
      <c r="AW604" s="386"/>
      <c r="AX604" s="386"/>
      <c r="AY604" s="386"/>
      <c r="AZ604" s="386"/>
      <c r="BA604" s="386"/>
    </row>
    <row r="605" spans="41:53" x14ac:dyDescent="0.25">
      <c r="AO605" s="391" t="s">
        <v>2056</v>
      </c>
      <c r="AS605" s="386"/>
      <c r="AT605" s="386"/>
      <c r="AU605" s="386"/>
      <c r="AV605" s="386"/>
      <c r="AW605" s="386"/>
      <c r="AX605" s="386"/>
      <c r="AY605" s="386"/>
      <c r="AZ605" s="386"/>
      <c r="BA605" s="386"/>
    </row>
    <row r="606" spans="41:53" x14ac:dyDescent="0.25">
      <c r="AQ606" t="s">
        <v>1993</v>
      </c>
      <c r="AS606" s="386"/>
      <c r="AT606" s="386">
        <f>SUMIF(CN2:CN557,AQ606,CL2:CL557)</f>
        <v>708203.38</v>
      </c>
      <c r="AU606" s="386">
        <f>SUMIF(CN2:CN557,AQ606,CM2:CM557)</f>
        <v>66738.53</v>
      </c>
      <c r="AV606" s="386">
        <f>SUMIF(CN2:CN557,AQ606,CL2:CL557)</f>
        <v>708203.38</v>
      </c>
      <c r="AW606" s="386">
        <v>0</v>
      </c>
      <c r="AX606" s="386">
        <f>SUMIF(CN2:CN557,AQ606,CM2:CM557)</f>
        <v>66738.53</v>
      </c>
      <c r="AY606" s="386">
        <f>SUMIF(CN2:CN557,AQ606,CL2:CL557)</f>
        <v>708203.38</v>
      </c>
      <c r="AZ606" s="386">
        <v>0</v>
      </c>
      <c r="BA606" s="386">
        <f>SUMIF(CN2:CN557,AQ606,CM2:CM557)</f>
        <v>66738.53</v>
      </c>
    </row>
    <row r="607" spans="41:53" x14ac:dyDescent="0.25">
      <c r="AP607" t="s">
        <v>2052</v>
      </c>
      <c r="AS607" s="397"/>
      <c r="AT607" s="397">
        <f t="shared" ref="AT607:BA607" si="414">SUM(AT606:AT606)</f>
        <v>708203.38</v>
      </c>
      <c r="AU607" s="397">
        <f t="shared" si="414"/>
        <v>66738.53</v>
      </c>
      <c r="AV607" s="397">
        <f t="shared" si="414"/>
        <v>708203.38</v>
      </c>
      <c r="AW607" s="397">
        <f t="shared" si="414"/>
        <v>0</v>
      </c>
      <c r="AX607" s="397">
        <f t="shared" si="414"/>
        <v>66738.53</v>
      </c>
      <c r="AY607" s="397">
        <f t="shared" si="414"/>
        <v>708203.38</v>
      </c>
      <c r="AZ607" s="397">
        <f t="shared" si="414"/>
        <v>0</v>
      </c>
      <c r="BA607" s="397">
        <f t="shared" si="414"/>
        <v>66738.53</v>
      </c>
    </row>
    <row r="608" spans="41:53" x14ac:dyDescent="0.25">
      <c r="AQ608" t="s">
        <v>2032</v>
      </c>
      <c r="AS608" s="386"/>
      <c r="AT608" s="386">
        <f>SUMIF(CN2:CN557,AQ608,CL2:CL557)</f>
        <v>54975.97</v>
      </c>
      <c r="AU608" s="386">
        <f>SUMIF(CN2:CN557,AQ608,CM2:CM557)</f>
        <v>4295.71</v>
      </c>
      <c r="AV608" s="386">
        <f>SUMIF(CN2:CN557,AQ608,CL2:CL557)</f>
        <v>54975.97</v>
      </c>
      <c r="AW608" s="386">
        <v>0</v>
      </c>
      <c r="AX608" s="386">
        <f>SUMIF(CN2:CN557,AQ608,CM2:CM557)</f>
        <v>4295.71</v>
      </c>
      <c r="AY608" s="386">
        <f>SUMIF(CN2:CN557,AQ608,CL2:CL557)</f>
        <v>54975.97</v>
      </c>
      <c r="AZ608" s="386">
        <v>0</v>
      </c>
      <c r="BA608" s="386">
        <f>SUMIF(CN2:CN557,AQ608,CM2:CM557)</f>
        <v>4295.71</v>
      </c>
    </row>
    <row r="609" spans="41:656" x14ac:dyDescent="0.25">
      <c r="AP609" t="s">
        <v>2053</v>
      </c>
      <c r="AS609" s="397"/>
      <c r="AT609" s="397">
        <f t="shared" ref="AT609:BA609" si="415">SUM(AT608:AT608)</f>
        <v>54975.97</v>
      </c>
      <c r="AU609" s="397">
        <f t="shared" si="415"/>
        <v>4295.71</v>
      </c>
      <c r="AV609" s="397">
        <f t="shared" si="415"/>
        <v>54975.97</v>
      </c>
      <c r="AW609" s="397">
        <f t="shared" si="415"/>
        <v>0</v>
      </c>
      <c r="AX609" s="397">
        <f t="shared" si="415"/>
        <v>4295.71</v>
      </c>
      <c r="AY609" s="397">
        <f t="shared" si="415"/>
        <v>54975.97</v>
      </c>
      <c r="AZ609" s="397">
        <f t="shared" si="415"/>
        <v>0</v>
      </c>
      <c r="BA609" s="397">
        <f t="shared" si="415"/>
        <v>4295.71</v>
      </c>
    </row>
    <row r="610" spans="41:656" x14ac:dyDescent="0.25">
      <c r="AS610" s="386"/>
      <c r="AT610" s="386"/>
      <c r="AU610" s="386"/>
      <c r="AV610" s="386"/>
      <c r="AW610" s="386"/>
      <c r="AX610" s="386"/>
      <c r="AY610" s="386"/>
      <c r="AZ610" s="386"/>
      <c r="BA610" s="386"/>
    </row>
    <row r="611" spans="41:656" x14ac:dyDescent="0.25">
      <c r="AO611" s="395" t="s">
        <v>2057</v>
      </c>
      <c r="AS611" s="398">
        <f t="shared" ref="AS611:BA611" si="416">SUM(AS607,AS609)</f>
        <v>0</v>
      </c>
      <c r="AT611" s="398">
        <f t="shared" si="416"/>
        <v>763179.35</v>
      </c>
      <c r="AU611" s="398">
        <f t="shared" si="416"/>
        <v>71034.240000000005</v>
      </c>
      <c r="AV611" s="398">
        <f t="shared" si="416"/>
        <v>763179.35</v>
      </c>
      <c r="AW611" s="398">
        <f t="shared" si="416"/>
        <v>0</v>
      </c>
      <c r="AX611" s="398">
        <f t="shared" si="416"/>
        <v>71034.240000000005</v>
      </c>
      <c r="AY611" s="398">
        <f t="shared" si="416"/>
        <v>763179.35</v>
      </c>
      <c r="AZ611" s="398">
        <f t="shared" si="416"/>
        <v>0</v>
      </c>
      <c r="BA611" s="398">
        <f t="shared" si="416"/>
        <v>71034.240000000005</v>
      </c>
      <c r="XX611" s="391"/>
      <c r="YF611" s="391"/>
    </row>
    <row r="612" spans="41:656" x14ac:dyDescent="0.25">
      <c r="AS612" s="386"/>
      <c r="AT612" s="386"/>
      <c r="AU612" s="386"/>
      <c r="AV612" s="386"/>
      <c r="AW612" s="386"/>
      <c r="AX612" s="386"/>
      <c r="AY612" s="386"/>
      <c r="AZ612" s="386"/>
      <c r="BA612" s="386"/>
    </row>
    <row r="613" spans="41:656" x14ac:dyDescent="0.25">
      <c r="AO613" s="396" t="s">
        <v>2058</v>
      </c>
      <c r="AS613" s="399">
        <f t="shared" ref="AS613:BA613" si="417">SUM(AS603,AS611)</f>
        <v>400.40000000000009</v>
      </c>
      <c r="AT613" s="400">
        <f t="shared" si="417"/>
        <v>21198566.82</v>
      </c>
      <c r="AU613" s="400">
        <f t="shared" si="417"/>
        <v>8977050.129999999</v>
      </c>
      <c r="AV613" s="400">
        <f t="shared" si="417"/>
        <v>22264469.270000003</v>
      </c>
      <c r="AW613" s="400">
        <f t="shared" si="417"/>
        <v>4671650</v>
      </c>
      <c r="AX613" s="400">
        <f t="shared" si="417"/>
        <v>4654346.9711264046</v>
      </c>
      <c r="AY613" s="400">
        <f t="shared" si="417"/>
        <v>22264469.270000003</v>
      </c>
      <c r="AZ613" s="400">
        <f t="shared" si="417"/>
        <v>4671650</v>
      </c>
      <c r="BA613" s="400">
        <f t="shared" si="417"/>
        <v>4554244.6404703995</v>
      </c>
    </row>
  </sheetData>
  <mergeCells count="5">
    <mergeCell ref="AT592:AU592"/>
    <mergeCell ref="AV592:AV593"/>
    <mergeCell ref="AW592:AX592"/>
    <mergeCell ref="AY592:AY593"/>
    <mergeCell ref="AZ592:BA592"/>
  </mergeCells>
  <pageMargins left="0.7" right="0.7" top="0.75" bottom="0.75" header="0.3" footer="0.3"/>
  <pageSetup orientation="portrait" horizontalDpi="1200" verticalDpi="1200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5">
    <pageSetUpPr fitToPage="1"/>
  </sheetPr>
  <dimension ref="A1:O40"/>
  <sheetViews>
    <sheetView topLeftCell="A7" zoomScaleNormal="100" workbookViewId="0">
      <selection activeCell="G24" sqref="G24"/>
    </sheetView>
  </sheetViews>
  <sheetFormatPr defaultColWidth="9.140625" defaultRowHeight="19.5" x14ac:dyDescent="0.3"/>
  <cols>
    <col min="1" max="1" width="4" style="1" customWidth="1"/>
    <col min="2" max="2" width="42" style="1" bestFit="1" customWidth="1"/>
    <col min="3" max="3" width="20.28515625" style="1" customWidth="1"/>
    <col min="4" max="4" width="21.42578125" style="1" bestFit="1" customWidth="1"/>
    <col min="5" max="5" width="20.5703125" style="1" customWidth="1"/>
    <col min="6" max="6" width="14.28515625" style="1" bestFit="1" customWidth="1"/>
    <col min="7" max="7" width="12" style="1" bestFit="1" customWidth="1"/>
    <col min="8" max="8" width="15" style="1" bestFit="1" customWidth="1"/>
    <col min="9" max="10" width="9.140625" style="1"/>
    <col min="11" max="11" width="9.85546875" style="1" bestFit="1" customWidth="1"/>
    <col min="12" max="12" width="16.42578125" style="1" bestFit="1" customWidth="1"/>
    <col min="13" max="14" width="15.85546875" style="1" bestFit="1" customWidth="1"/>
    <col min="15" max="15" width="16.42578125" style="1" bestFit="1" customWidth="1"/>
    <col min="16" max="16384" width="9.140625" style="1"/>
  </cols>
  <sheetData>
    <row r="1" spans="1:15" x14ac:dyDescent="0.3">
      <c r="A1" s="477"/>
      <c r="B1" s="477"/>
      <c r="C1" s="477"/>
      <c r="D1" s="477"/>
      <c r="E1" s="477"/>
    </row>
    <row r="2" spans="1:15" ht="28.5" customHeight="1" x14ac:dyDescent="0.3">
      <c r="A2" s="2" t="s">
        <v>10</v>
      </c>
      <c r="B2" s="2"/>
      <c r="C2" s="2"/>
      <c r="D2" s="2"/>
      <c r="E2" s="2"/>
    </row>
    <row r="3" spans="1:15" x14ac:dyDescent="0.3">
      <c r="A3" s="3"/>
      <c r="B3" s="3"/>
      <c r="C3" s="4" t="s">
        <v>0</v>
      </c>
      <c r="D3" s="4" t="s">
        <v>1</v>
      </c>
      <c r="E3" s="3"/>
    </row>
    <row r="4" spans="1:15" ht="39" x14ac:dyDescent="0.3">
      <c r="A4" s="3"/>
      <c r="B4" s="225"/>
      <c r="C4" s="5">
        <f>D4-1</f>
        <v>2022</v>
      </c>
      <c r="D4" s="6">
        <f>FiscalYear</f>
        <v>2023</v>
      </c>
      <c r="E4" s="7" t="str">
        <f>"DIFFERENCE "&amp;D4&amp;" - "&amp;C4</f>
        <v>DIFFERENCE 2023 - 2022</v>
      </c>
      <c r="F4" s="247" t="str">
        <f>"MAX "&amp;C4</f>
        <v>MAX 2022</v>
      </c>
      <c r="G4" s="247" t="str">
        <f>"MAX "&amp;D4</f>
        <v>MAX 2023</v>
      </c>
    </row>
    <row r="5" spans="1:15" x14ac:dyDescent="0.3">
      <c r="A5" s="3"/>
      <c r="B5" s="130" t="s">
        <v>2</v>
      </c>
      <c r="C5" s="226">
        <v>6.2E-2</v>
      </c>
      <c r="D5" s="226">
        <v>6.2E-2</v>
      </c>
      <c r="E5" s="313">
        <f>D5-C5</f>
        <v>0</v>
      </c>
      <c r="F5" s="248">
        <v>137700</v>
      </c>
      <c r="G5" s="248">
        <v>142800</v>
      </c>
    </row>
    <row r="6" spans="1:15" x14ac:dyDescent="0.3">
      <c r="A6" s="3"/>
      <c r="B6" s="130" t="s">
        <v>3</v>
      </c>
      <c r="C6" s="226">
        <v>1.4500000000000001E-2</v>
      </c>
      <c r="D6" s="226">
        <v>1.4500000000000001E-2</v>
      </c>
      <c r="E6" s="313">
        <f t="shared" ref="E6:E15" si="0">D6-C6</f>
        <v>0</v>
      </c>
    </row>
    <row r="7" spans="1:15" x14ac:dyDescent="0.3">
      <c r="A7" s="3"/>
      <c r="B7" s="130" t="s">
        <v>4</v>
      </c>
      <c r="C7" s="226">
        <v>4.8999999999999998E-3</v>
      </c>
      <c r="D7" s="226">
        <v>0</v>
      </c>
      <c r="E7" s="313">
        <f t="shared" si="0"/>
        <v>-4.8999999999999998E-3</v>
      </c>
    </row>
    <row r="8" spans="1:15" x14ac:dyDescent="0.3">
      <c r="A8" s="3"/>
      <c r="B8" s="130" t="s">
        <v>5</v>
      </c>
      <c r="C8" s="235">
        <v>2.3999999999999998E-3</v>
      </c>
      <c r="D8" s="234">
        <v>2.5000000000000001E-3</v>
      </c>
      <c r="E8" s="314">
        <f t="shared" si="0"/>
        <v>1.0000000000000026E-4</v>
      </c>
    </row>
    <row r="9" spans="1:15" x14ac:dyDescent="0.3">
      <c r="A9" s="3"/>
      <c r="B9" s="130" t="s">
        <v>6</v>
      </c>
      <c r="C9" s="226">
        <v>7.2100000000000003E-3</v>
      </c>
      <c r="D9" s="226">
        <v>7.2100000000000003E-3</v>
      </c>
      <c r="E9" s="313">
        <f t="shared" si="0"/>
        <v>0</v>
      </c>
    </row>
    <row r="10" spans="1:15" x14ac:dyDescent="0.3">
      <c r="A10" s="3"/>
      <c r="B10" s="130" t="s">
        <v>7</v>
      </c>
      <c r="C10" s="226">
        <v>0</v>
      </c>
      <c r="D10" s="226">
        <v>0</v>
      </c>
      <c r="E10" s="313">
        <f t="shared" si="0"/>
        <v>0</v>
      </c>
    </row>
    <row r="11" spans="1:15" x14ac:dyDescent="0.3">
      <c r="A11" s="3"/>
      <c r="B11" s="130" t="s">
        <v>8</v>
      </c>
      <c r="C11" s="226">
        <v>3.0599999999999998E-3</v>
      </c>
      <c r="D11" s="226">
        <v>3.0599999999999998E-3</v>
      </c>
      <c r="E11" s="313">
        <f t="shared" si="0"/>
        <v>0</v>
      </c>
    </row>
    <row r="12" spans="1:15" x14ac:dyDescent="0.3">
      <c r="A12" s="3"/>
      <c r="B12" s="233" t="s">
        <v>11</v>
      </c>
      <c r="C12" s="234">
        <f>SUM(C5:C11)</f>
        <v>9.4069999999999987E-2</v>
      </c>
      <c r="D12" s="234">
        <f>SUM(D5:D11)</f>
        <v>8.9269999999999988E-2</v>
      </c>
      <c r="E12" s="315">
        <f>D12-C12</f>
        <v>-4.7999999999999987E-3</v>
      </c>
      <c r="M12" s="320"/>
    </row>
    <row r="13" spans="1:15" x14ac:dyDescent="0.3">
      <c r="A13" s="3"/>
      <c r="B13" s="231" t="s">
        <v>9</v>
      </c>
      <c r="C13" s="226">
        <f>SUM(C5:C8)</f>
        <v>8.3799999999999999E-2</v>
      </c>
      <c r="D13" s="226">
        <f>SUM(D5:D8)</f>
        <v>7.9000000000000001E-2</v>
      </c>
      <c r="E13" s="313">
        <f t="shared" si="0"/>
        <v>-4.7999999999999987E-3</v>
      </c>
      <c r="F13" s="8"/>
    </row>
    <row r="14" spans="1:15" x14ac:dyDescent="0.3">
      <c r="A14" s="230"/>
      <c r="B14" s="232" t="s">
        <v>102</v>
      </c>
      <c r="C14" s="226">
        <f>SUM(C5:C6,C8:C9)</f>
        <v>8.6109999999999992E-2</v>
      </c>
      <c r="D14" s="226">
        <f>SUM(D5:D6,D8:D9)</f>
        <v>8.6209999999999995E-2</v>
      </c>
      <c r="E14" s="313">
        <f>D14-C14</f>
        <v>1.0000000000000286E-4</v>
      </c>
      <c r="M14" s="320"/>
    </row>
    <row r="15" spans="1:15" x14ac:dyDescent="0.3">
      <c r="A15" s="3"/>
      <c r="B15" s="231" t="s">
        <v>12</v>
      </c>
      <c r="C15" s="228">
        <v>11650</v>
      </c>
      <c r="D15" s="228">
        <v>11650</v>
      </c>
      <c r="E15" s="311">
        <f t="shared" si="0"/>
        <v>0</v>
      </c>
      <c r="L15" s="8"/>
      <c r="O15" s="9"/>
    </row>
    <row r="16" spans="1:15" x14ac:dyDescent="0.3">
      <c r="A16" s="3"/>
      <c r="B16" s="231" t="s">
        <v>82</v>
      </c>
      <c r="C16" s="229">
        <v>9320</v>
      </c>
      <c r="D16" s="229">
        <v>9320</v>
      </c>
      <c r="E16" s="312">
        <f>PTHealthBY-PTHealth</f>
        <v>0</v>
      </c>
      <c r="H16" s="319"/>
      <c r="L16" s="8"/>
      <c r="O16" s="9"/>
    </row>
    <row r="17" spans="1:11" x14ac:dyDescent="0.3">
      <c r="B17" s="130"/>
      <c r="D17" s="1" t="s">
        <v>45</v>
      </c>
      <c r="K17" s="319"/>
    </row>
    <row r="18" spans="1:11" ht="12" customHeight="1" x14ac:dyDescent="0.3">
      <c r="C18" s="1" t="s">
        <v>45</v>
      </c>
    </row>
    <row r="19" spans="1:11" ht="39" x14ac:dyDescent="0.3">
      <c r="B19" s="10" t="s">
        <v>81</v>
      </c>
      <c r="C19" s="227">
        <f>C4</f>
        <v>2022</v>
      </c>
      <c r="D19" s="227">
        <f>BudgetYear</f>
        <v>2023</v>
      </c>
      <c r="E19" s="11" t="str">
        <f>E4</f>
        <v>DIFFERENCE 2023 - 2022</v>
      </c>
    </row>
    <row r="20" spans="1:11" x14ac:dyDescent="0.3">
      <c r="A20" s="1" t="s">
        <v>68</v>
      </c>
      <c r="B20" s="216" t="s">
        <v>75</v>
      </c>
      <c r="C20" s="361">
        <v>0.11940000000000001</v>
      </c>
      <c r="D20" s="361">
        <v>0.11940000000000001</v>
      </c>
      <c r="E20" s="362">
        <f>D20-C20</f>
        <v>0</v>
      </c>
    </row>
    <row r="21" spans="1:11" x14ac:dyDescent="0.3">
      <c r="A21" s="1" t="s">
        <v>70</v>
      </c>
      <c r="B21" s="1" t="s">
        <v>76</v>
      </c>
      <c r="C21" s="361">
        <v>0.12280000000000001</v>
      </c>
      <c r="D21" s="361">
        <v>0.12280000000000001</v>
      </c>
      <c r="E21" s="362">
        <f t="shared" ref="E21" si="1">D21-C21</f>
        <v>0</v>
      </c>
    </row>
    <row r="22" spans="1:11" x14ac:dyDescent="0.3">
      <c r="A22" s="1" t="s">
        <v>71</v>
      </c>
      <c r="B22" s="1" t="s">
        <v>77</v>
      </c>
      <c r="C22" s="361">
        <v>0.11940000000000001</v>
      </c>
      <c r="D22" s="361">
        <v>0.11940000000000001</v>
      </c>
      <c r="E22" s="362">
        <f>D22-C22</f>
        <v>0</v>
      </c>
    </row>
    <row r="23" spans="1:11" hidden="1" x14ac:dyDescent="0.3">
      <c r="A23" s="1" t="s">
        <v>72</v>
      </c>
      <c r="B23" s="1" t="s">
        <v>78</v>
      </c>
      <c r="C23" s="361">
        <v>0</v>
      </c>
      <c r="D23" s="361">
        <v>0</v>
      </c>
      <c r="E23" s="362">
        <v>0</v>
      </c>
    </row>
    <row r="24" spans="1:11" x14ac:dyDescent="0.3">
      <c r="A24" s="1" t="s">
        <v>69</v>
      </c>
      <c r="B24" s="1" t="s">
        <v>79</v>
      </c>
      <c r="C24" s="361">
        <v>0.62529999999999997</v>
      </c>
      <c r="D24" s="361">
        <v>0.62529999999999997</v>
      </c>
      <c r="E24" s="362">
        <f>D24-C24</f>
        <v>0</v>
      </c>
    </row>
    <row r="25" spans="1:11" x14ac:dyDescent="0.3">
      <c r="A25" s="1" t="s">
        <v>74</v>
      </c>
      <c r="B25" s="1" t="s">
        <v>80</v>
      </c>
      <c r="C25" s="361">
        <v>0.1084</v>
      </c>
      <c r="D25" s="361">
        <v>0.1084</v>
      </c>
      <c r="E25" s="362">
        <f>D25-C25</f>
        <v>0</v>
      </c>
    </row>
    <row r="26" spans="1:11" x14ac:dyDescent="0.3">
      <c r="A26" s="1" t="s">
        <v>73</v>
      </c>
      <c r="B26" s="1" t="s">
        <v>80</v>
      </c>
      <c r="C26" s="361">
        <v>0.1084</v>
      </c>
      <c r="D26" s="361">
        <v>0.1084</v>
      </c>
      <c r="E26" s="362">
        <f>D26-C26</f>
        <v>0</v>
      </c>
    </row>
    <row r="28" spans="1:11" x14ac:dyDescent="0.3">
      <c r="A28" s="478" t="s">
        <v>110</v>
      </c>
      <c r="B28" s="478"/>
      <c r="C28" s="478"/>
      <c r="D28" s="478"/>
      <c r="E28" s="478"/>
    </row>
    <row r="29" spans="1:11" x14ac:dyDescent="0.3">
      <c r="A29" s="478" t="s">
        <v>111</v>
      </c>
      <c r="B29" s="478"/>
      <c r="C29" s="478"/>
      <c r="D29" s="478"/>
      <c r="E29" s="478"/>
    </row>
    <row r="30" spans="1:11" ht="12.75" customHeight="1" x14ac:dyDescent="0.3">
      <c r="A30" s="247"/>
      <c r="B30" s="247"/>
      <c r="C30" s="247"/>
      <c r="D30" s="247"/>
      <c r="E30" s="247"/>
    </row>
    <row r="31" spans="1:11" x14ac:dyDescent="0.3">
      <c r="A31" s="316" t="s">
        <v>88</v>
      </c>
      <c r="B31" s="316"/>
      <c r="C31" s="247"/>
      <c r="D31" s="247"/>
      <c r="E31" s="247"/>
    </row>
    <row r="32" spans="1:11" x14ac:dyDescent="0.3">
      <c r="A32" s="316"/>
      <c r="B32" s="316" t="s">
        <v>89</v>
      </c>
      <c r="C32" s="247"/>
      <c r="D32" s="247"/>
      <c r="E32" s="247"/>
    </row>
    <row r="33" spans="1:5" x14ac:dyDescent="0.3">
      <c r="A33" s="316"/>
      <c r="B33" s="316" t="s">
        <v>90</v>
      </c>
      <c r="C33" s="247"/>
      <c r="D33" s="247"/>
      <c r="E33" s="247"/>
    </row>
    <row r="34" spans="1:5" x14ac:dyDescent="0.3">
      <c r="A34" s="316"/>
      <c r="B34" s="316" t="s">
        <v>91</v>
      </c>
      <c r="C34" s="247"/>
      <c r="D34" s="247"/>
      <c r="E34" s="247"/>
    </row>
    <row r="35" spans="1:5" x14ac:dyDescent="0.3">
      <c r="A35" s="316"/>
      <c r="B35" s="316" t="s">
        <v>92</v>
      </c>
      <c r="C35" s="247"/>
      <c r="D35" s="247"/>
      <c r="E35" s="247"/>
    </row>
    <row r="36" spans="1:5" x14ac:dyDescent="0.3">
      <c r="A36" s="316"/>
      <c r="B36" s="316" t="s">
        <v>93</v>
      </c>
      <c r="C36" s="247"/>
      <c r="D36" s="247"/>
      <c r="E36" s="247"/>
    </row>
    <row r="38" spans="1:5" x14ac:dyDescent="0.3">
      <c r="B38" s="317" t="s">
        <v>103</v>
      </c>
      <c r="C38" s="318">
        <v>0.01</v>
      </c>
    </row>
    <row r="39" spans="1:5" x14ac:dyDescent="0.3">
      <c r="B39" s="341" t="s">
        <v>104</v>
      </c>
      <c r="C39" s="340">
        <v>0.01</v>
      </c>
    </row>
    <row r="40" spans="1:5" x14ac:dyDescent="0.3">
      <c r="B40" s="342" t="s">
        <v>109</v>
      </c>
      <c r="C40" s="343">
        <v>1</v>
      </c>
    </row>
  </sheetData>
  <mergeCells count="3">
    <mergeCell ref="A1:E1"/>
    <mergeCell ref="A28:E28"/>
    <mergeCell ref="A29:E29"/>
  </mergeCells>
  <pageMargins left="0.7" right="0.7" top="0.75" bottom="0.75" header="0.3" footer="0.3"/>
  <pageSetup scale="71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1">
    <pageSetUpPr fitToPage="1"/>
  </sheetPr>
  <dimension ref="A1:CP80"/>
  <sheetViews>
    <sheetView showGridLines="0" zoomScaleNormal="100" workbookViewId="0">
      <selection sqref="A1:XFD1048576"/>
    </sheetView>
  </sheetViews>
  <sheetFormatPr defaultColWidth="9.140625" defaultRowHeight="15.75" x14ac:dyDescent="0.25"/>
  <cols>
    <col min="1" max="1" width="7.85546875" style="124" customWidth="1"/>
    <col min="2" max="2" width="7.7109375" style="125" customWidth="1"/>
    <col min="3" max="3" width="9" style="125" customWidth="1"/>
    <col min="4" max="4" width="39.28515625" style="53" customWidth="1"/>
    <col min="5" max="5" width="13" style="126" customWidth="1"/>
    <col min="6" max="6" width="12.28515625" style="127" customWidth="1"/>
    <col min="7" max="7" width="12.140625" style="127" bestFit="1" customWidth="1"/>
    <col min="8" max="8" width="14.5703125" style="127" customWidth="1"/>
    <col min="9" max="9" width="19.5703125" style="128" bestFit="1" customWidth="1"/>
    <col min="10" max="10" width="13.7109375" style="129" customWidth="1"/>
    <col min="11" max="11" width="13.7109375" style="129" hidden="1" customWidth="1"/>
    <col min="12" max="12" width="18.42578125" style="129" customWidth="1"/>
    <col min="13" max="13" width="16.42578125" style="129" customWidth="1"/>
    <col min="14" max="14" width="16.140625" style="128" customWidth="1"/>
    <col min="15" max="25" width="16.140625" customWidth="1"/>
    <col min="26" max="26" width="16.140625" style="344" customWidth="1"/>
    <col min="27" max="27" width="22.140625" style="334" bestFit="1" customWidth="1"/>
    <col min="28" max="28" width="31.140625" style="334" bestFit="1" customWidth="1"/>
    <col min="29" max="29" width="7.85546875" style="334" bestFit="1" customWidth="1"/>
    <col min="30" max="30" width="9.140625" style="110" customWidth="1"/>
    <col min="31" max="94" width="9.140625" style="17"/>
    <col min="95" max="16384" width="9.140625" style="18"/>
  </cols>
  <sheetData>
    <row r="1" spans="1:94" x14ac:dyDescent="0.25">
      <c r="A1" s="12" t="s">
        <v>13</v>
      </c>
      <c r="B1" s="13"/>
      <c r="C1" s="13"/>
      <c r="D1" s="14"/>
      <c r="E1" s="15"/>
      <c r="F1" s="15"/>
      <c r="G1" s="15"/>
      <c r="H1" s="15"/>
      <c r="I1" s="15"/>
      <c r="J1" s="15"/>
      <c r="K1" s="15"/>
      <c r="L1" s="16" t="s">
        <v>14</v>
      </c>
      <c r="M1" s="467"/>
      <c r="N1" s="468"/>
      <c r="AA1" s="337"/>
      <c r="AB1" s="333"/>
      <c r="AC1" s="333"/>
      <c r="AD1" s="325"/>
    </row>
    <row r="2" spans="1:94" ht="20.25" x14ac:dyDescent="0.25">
      <c r="A2" s="19" t="s">
        <v>116</v>
      </c>
      <c r="B2" s="20"/>
      <c r="C2" s="20"/>
      <c r="D2" s="14"/>
      <c r="E2" s="21"/>
      <c r="F2" s="21"/>
      <c r="G2" s="21"/>
      <c r="H2" s="21"/>
      <c r="I2" s="21"/>
      <c r="J2" s="20"/>
      <c r="K2" s="20"/>
      <c r="L2" s="22" t="s">
        <v>113</v>
      </c>
      <c r="M2" s="469"/>
      <c r="N2" s="470"/>
      <c r="AA2" s="333"/>
      <c r="AB2" s="333"/>
      <c r="AC2" s="333"/>
      <c r="AD2" s="325"/>
    </row>
    <row r="3" spans="1:94" x14ac:dyDescent="0.25">
      <c r="A3" s="19" t="s">
        <v>117</v>
      </c>
      <c r="B3" s="20"/>
      <c r="C3" s="20"/>
      <c r="D3" s="23"/>
      <c r="E3" s="24"/>
      <c r="F3" s="25"/>
      <c r="G3" s="25"/>
      <c r="H3" s="25"/>
      <c r="I3" s="26"/>
      <c r="J3" s="20"/>
      <c r="K3" s="20"/>
      <c r="L3" s="22" t="s">
        <v>114</v>
      </c>
      <c r="M3" s="467"/>
      <c r="N3" s="468"/>
      <c r="AA3" s="337"/>
      <c r="AB3" s="333"/>
      <c r="AC3" s="333"/>
      <c r="AD3" s="325"/>
    </row>
    <row r="4" spans="1:94" x14ac:dyDescent="0.25">
      <c r="A4" s="19"/>
      <c r="B4" s="20"/>
      <c r="C4" s="20"/>
      <c r="D4" s="27"/>
      <c r="E4" s="24"/>
      <c r="F4" s="25"/>
      <c r="G4" s="25"/>
      <c r="H4" s="25"/>
      <c r="I4" s="28"/>
      <c r="J4" s="26"/>
      <c r="K4" s="26"/>
      <c r="L4" s="22" t="s">
        <v>15</v>
      </c>
      <c r="M4" s="467">
        <v>2023</v>
      </c>
      <c r="N4" s="468"/>
      <c r="AA4" s="337"/>
      <c r="AB4" s="333"/>
      <c r="AC4" s="333"/>
      <c r="AD4" s="325"/>
    </row>
    <row r="5" spans="1:94" s="34" customFormat="1" ht="18" customHeight="1" x14ac:dyDescent="0.25">
      <c r="A5" s="19" t="s">
        <v>16</v>
      </c>
      <c r="B5" s="20"/>
      <c r="C5" s="20"/>
      <c r="D5" s="350">
        <v>44440</v>
      </c>
      <c r="E5" s="27"/>
      <c r="F5" s="30"/>
      <c r="G5" s="31"/>
      <c r="H5" s="31" t="s">
        <v>17</v>
      </c>
      <c r="I5" s="469"/>
      <c r="J5" s="471"/>
      <c r="K5" s="471"/>
      <c r="L5" s="470"/>
      <c r="M5" s="351" t="s">
        <v>115</v>
      </c>
      <c r="N5" s="32"/>
      <c r="O5"/>
      <c r="P5"/>
      <c r="Q5"/>
      <c r="R5"/>
      <c r="S5"/>
      <c r="T5"/>
      <c r="U5"/>
      <c r="V5"/>
      <c r="W5"/>
      <c r="X5"/>
      <c r="Y5"/>
      <c r="Z5" s="344"/>
      <c r="AA5" s="337"/>
      <c r="AB5" s="333"/>
      <c r="AC5" s="333"/>
      <c r="AD5" s="326"/>
      <c r="AE5" s="33"/>
      <c r="AF5" s="33"/>
      <c r="AG5" s="33"/>
      <c r="AH5" s="33"/>
      <c r="AI5" s="33"/>
      <c r="AJ5" s="33"/>
      <c r="AK5" s="33"/>
      <c r="AL5" s="33"/>
      <c r="AM5" s="33"/>
      <c r="AN5" s="33"/>
      <c r="AO5" s="33"/>
      <c r="AP5" s="33"/>
      <c r="AQ5" s="33"/>
      <c r="AR5" s="33"/>
      <c r="AS5" s="33"/>
      <c r="AT5" s="33"/>
      <c r="AU5" s="33"/>
      <c r="AV5" s="33"/>
      <c r="AW5" s="33"/>
      <c r="AX5" s="33"/>
      <c r="AY5" s="33"/>
      <c r="AZ5" s="33"/>
      <c r="BA5" s="33"/>
      <c r="BB5" s="33"/>
      <c r="BC5" s="33"/>
      <c r="BD5" s="33"/>
      <c r="BE5" s="33"/>
      <c r="BF5" s="33"/>
      <c r="BG5" s="33"/>
      <c r="BH5" s="33"/>
      <c r="BI5" s="33"/>
      <c r="BJ5" s="33"/>
      <c r="BK5" s="33"/>
      <c r="BL5" s="33"/>
      <c r="BM5" s="33"/>
      <c r="BN5" s="33"/>
      <c r="BO5" s="33"/>
      <c r="BP5" s="33"/>
      <c r="BQ5" s="33"/>
      <c r="BR5" s="33"/>
      <c r="BS5" s="33"/>
      <c r="BT5" s="33"/>
      <c r="BU5" s="33"/>
      <c r="BV5" s="33"/>
      <c r="BW5" s="33"/>
      <c r="BX5" s="33"/>
      <c r="BY5" s="33"/>
      <c r="BZ5" s="33"/>
      <c r="CA5" s="33"/>
      <c r="CB5" s="33"/>
      <c r="CC5" s="33"/>
      <c r="CD5" s="33"/>
      <c r="CE5" s="33"/>
      <c r="CF5" s="33"/>
      <c r="CG5" s="33"/>
      <c r="CH5" s="33"/>
      <c r="CI5" s="33"/>
      <c r="CJ5" s="33"/>
      <c r="CK5" s="33"/>
      <c r="CL5" s="33"/>
      <c r="CM5" s="33"/>
      <c r="CN5" s="33"/>
      <c r="CO5" s="33"/>
      <c r="CP5" s="33"/>
    </row>
    <row r="6" spans="1:94" ht="23.25" customHeight="1" x14ac:dyDescent="0.25">
      <c r="A6" s="19"/>
      <c r="B6" s="20" t="s">
        <v>18</v>
      </c>
      <c r="C6" s="20"/>
      <c r="D6" s="29"/>
      <c r="E6" s="35" t="s">
        <v>19</v>
      </c>
      <c r="F6" s="36"/>
      <c r="G6" s="25"/>
      <c r="H6" s="25"/>
      <c r="I6" s="37"/>
      <c r="J6" s="31" t="s">
        <v>84</v>
      </c>
      <c r="K6" s="31"/>
      <c r="L6" s="352"/>
      <c r="M6" s="353" t="s">
        <v>85</v>
      </c>
      <c r="N6" s="306"/>
      <c r="AA6" s="337"/>
      <c r="AB6" s="333"/>
      <c r="AC6" s="333"/>
      <c r="AD6" s="325"/>
    </row>
    <row r="7" spans="1:94" x14ac:dyDescent="0.25">
      <c r="A7" s="38"/>
      <c r="B7" s="39"/>
      <c r="C7" s="40"/>
      <c r="D7" s="41"/>
      <c r="E7" s="42"/>
      <c r="F7" s="40"/>
      <c r="G7" s="43"/>
      <c r="H7" s="44"/>
      <c r="I7" s="45"/>
      <c r="J7" s="46"/>
      <c r="K7" s="46"/>
      <c r="L7" s="46"/>
      <c r="M7" s="46"/>
      <c r="N7" s="47"/>
    </row>
    <row r="8" spans="1:94" s="52" customFormat="1" ht="40.5" customHeight="1" x14ac:dyDescent="0.25">
      <c r="A8" s="48" t="s">
        <v>20</v>
      </c>
      <c r="B8" s="256" t="s">
        <v>21</v>
      </c>
      <c r="C8" s="472" t="s">
        <v>22</v>
      </c>
      <c r="D8" s="473"/>
      <c r="E8" s="332" t="s">
        <v>23</v>
      </c>
      <c r="F8" s="49" t="s">
        <v>24</v>
      </c>
      <c r="G8" s="50" t="str">
        <f>"FY "&amp;[0]!FiscalYear-1&amp;" SALARY"</f>
        <v>FY 2022 SALARY</v>
      </c>
      <c r="H8" s="50" t="str">
        <f>"FY "&amp;[0]!FiscalYear-1&amp;" HEALTH BENEFITS"</f>
        <v>FY 2022 HEALTH BENEFITS</v>
      </c>
      <c r="I8" s="50" t="str">
        <f>"FY "&amp;[0]!FiscalYear-1&amp;" VAR BENEFITS"</f>
        <v>FY 2022 VAR BENEFITS</v>
      </c>
      <c r="J8" s="50" t="str">
        <f>"FY "&amp;[0]!FiscalYear-1&amp;" TOTAL"</f>
        <v>FY 2022 TOTAL</v>
      </c>
      <c r="K8" s="50" t="str">
        <f>"FY "&amp;[0]!FiscalYear&amp;" SALARY CHANGE"</f>
        <v>FY 2023 SALARY CHANGE</v>
      </c>
      <c r="L8" s="50" t="str">
        <f>"FY "&amp;[0]!FiscalYear&amp;" CHG HEALTH BENEFITS"</f>
        <v>FY 2023 CHG HEALTH BENEFITS</v>
      </c>
      <c r="M8" s="50" t="str">
        <f>"FY "&amp;[0]!FiscalYear&amp;" CHG VAR BENEFITS"</f>
        <v>FY 2023 CHG VAR BENEFITS</v>
      </c>
      <c r="N8" s="50" t="s">
        <v>25</v>
      </c>
      <c r="O8"/>
      <c r="P8"/>
      <c r="Q8"/>
      <c r="R8"/>
      <c r="S8"/>
      <c r="T8"/>
      <c r="U8"/>
      <c r="V8"/>
      <c r="W8"/>
      <c r="X8"/>
      <c r="Y8"/>
      <c r="Z8" s="344"/>
      <c r="AA8" s="463" t="s">
        <v>105</v>
      </c>
      <c r="AB8" s="463"/>
      <c r="AC8" s="463"/>
      <c r="AD8" s="327"/>
      <c r="AE8" s="51"/>
      <c r="AF8" s="51"/>
      <c r="AG8" s="51"/>
      <c r="AH8" s="51"/>
      <c r="AI8" s="51"/>
      <c r="AJ8" s="51"/>
      <c r="AK8" s="51"/>
      <c r="AL8" s="51"/>
      <c r="AM8" s="51"/>
      <c r="AN8" s="51"/>
      <c r="AO8" s="51"/>
      <c r="AP8" s="51"/>
      <c r="AQ8" s="51"/>
      <c r="AR8" s="51"/>
      <c r="AS8" s="51"/>
      <c r="AT8" s="51"/>
      <c r="AU8" s="51"/>
      <c r="AV8" s="51"/>
      <c r="AW8" s="51"/>
      <c r="AX8" s="51"/>
      <c r="AY8" s="51"/>
      <c r="AZ8" s="51"/>
      <c r="BA8" s="51"/>
      <c r="BB8" s="51"/>
      <c r="BC8" s="51"/>
      <c r="BD8" s="51"/>
      <c r="BE8" s="51"/>
      <c r="BF8" s="51"/>
      <c r="BG8" s="51"/>
      <c r="BH8" s="51"/>
      <c r="BI8" s="51"/>
      <c r="BJ8" s="51"/>
      <c r="BK8" s="51"/>
      <c r="BL8" s="51"/>
      <c r="BM8" s="51"/>
      <c r="BN8" s="51"/>
      <c r="BO8" s="51"/>
      <c r="BP8" s="51"/>
      <c r="BQ8" s="51"/>
      <c r="BR8" s="51"/>
      <c r="BS8" s="51"/>
      <c r="BT8" s="51"/>
      <c r="BU8" s="51"/>
      <c r="BV8" s="51"/>
      <c r="BW8" s="51"/>
      <c r="BX8" s="51"/>
      <c r="BY8" s="51"/>
      <c r="BZ8" s="51"/>
      <c r="CA8" s="51"/>
      <c r="CB8" s="51"/>
      <c r="CC8" s="51"/>
      <c r="CD8" s="51"/>
      <c r="CE8" s="51"/>
      <c r="CF8" s="51"/>
      <c r="CG8" s="51"/>
      <c r="CH8" s="51"/>
      <c r="CI8" s="51"/>
      <c r="CJ8" s="51"/>
      <c r="CK8" s="51"/>
      <c r="CL8" s="51"/>
      <c r="CM8" s="51"/>
      <c r="CN8" s="51"/>
      <c r="CO8" s="51"/>
      <c r="CP8" s="51"/>
    </row>
    <row r="9" spans="1:94" s="149" customFormat="1" x14ac:dyDescent="0.25">
      <c r="A9" s="139"/>
      <c r="B9" s="140"/>
      <c r="C9" s="464" t="s">
        <v>26</v>
      </c>
      <c r="D9" s="465"/>
      <c r="E9" s="141"/>
      <c r="F9" s="142"/>
      <c r="G9" s="143"/>
      <c r="H9" s="143"/>
      <c r="I9" s="143"/>
      <c r="J9" s="144"/>
      <c r="K9" s="144"/>
      <c r="L9" s="145"/>
      <c r="M9" s="146"/>
      <c r="N9" s="144"/>
      <c r="O9"/>
      <c r="P9"/>
      <c r="Q9"/>
      <c r="R9"/>
      <c r="S9"/>
      <c r="T9"/>
      <c r="U9"/>
      <c r="V9"/>
      <c r="W9"/>
      <c r="X9"/>
      <c r="Y9"/>
      <c r="Z9" s="344"/>
      <c r="AA9" s="337" t="s">
        <v>94</v>
      </c>
      <c r="AB9" s="333" t="s">
        <v>95</v>
      </c>
      <c r="AC9" s="333" t="s">
        <v>106</v>
      </c>
      <c r="AD9" s="328"/>
      <c r="AE9" s="148"/>
      <c r="AF9" s="148"/>
      <c r="AG9" s="148"/>
      <c r="AH9" s="148"/>
      <c r="AI9" s="148"/>
      <c r="AJ9" s="148"/>
      <c r="AK9" s="148"/>
      <c r="AL9" s="148"/>
      <c r="AM9" s="148"/>
      <c r="AN9" s="148"/>
      <c r="AO9" s="148"/>
      <c r="AP9" s="148"/>
      <c r="AQ9" s="148"/>
      <c r="AR9" s="148"/>
      <c r="AS9" s="148"/>
      <c r="AT9" s="148"/>
      <c r="AU9" s="148"/>
      <c r="AV9" s="148"/>
      <c r="AW9" s="148"/>
      <c r="AX9" s="148"/>
      <c r="AY9" s="148"/>
      <c r="AZ9" s="148"/>
      <c r="BA9" s="148"/>
      <c r="BB9" s="148"/>
      <c r="BC9" s="148"/>
      <c r="BD9" s="148"/>
      <c r="BE9" s="148"/>
      <c r="BF9" s="148"/>
      <c r="BG9" s="148"/>
      <c r="BH9" s="148"/>
      <c r="BI9" s="148"/>
      <c r="BJ9" s="148"/>
      <c r="BK9" s="148"/>
      <c r="BL9" s="148"/>
      <c r="BM9" s="148"/>
      <c r="BN9" s="148"/>
      <c r="BO9" s="148"/>
      <c r="BP9" s="148"/>
      <c r="BQ9" s="148"/>
      <c r="BR9" s="148"/>
      <c r="BS9" s="148"/>
      <c r="BT9" s="148"/>
      <c r="BU9" s="148"/>
      <c r="BV9" s="148"/>
      <c r="BW9" s="148"/>
      <c r="BX9" s="148"/>
      <c r="BY9" s="148"/>
      <c r="BZ9" s="148"/>
      <c r="CA9" s="148"/>
      <c r="CB9" s="148"/>
      <c r="CC9" s="148"/>
      <c r="CD9" s="148"/>
      <c r="CE9" s="148"/>
      <c r="CF9" s="148"/>
      <c r="CG9" s="148"/>
      <c r="CH9" s="148"/>
      <c r="CI9" s="148"/>
      <c r="CJ9" s="148"/>
      <c r="CK9" s="148"/>
      <c r="CL9" s="148"/>
      <c r="CM9" s="148"/>
      <c r="CN9" s="148"/>
      <c r="CO9" s="148"/>
      <c r="CP9" s="148"/>
    </row>
    <row r="10" spans="1:94" s="149" customFormat="1" x14ac:dyDescent="0.25">
      <c r="A10" s="139"/>
      <c r="B10" s="139"/>
      <c r="C10" s="443" t="s">
        <v>27</v>
      </c>
      <c r="D10" s="466"/>
      <c r="E10" s="217">
        <v>1</v>
      </c>
      <c r="F10" s="288">
        <v>0</v>
      </c>
      <c r="G10" s="218">
        <v>0</v>
      </c>
      <c r="H10" s="218">
        <v>0</v>
      </c>
      <c r="I10" s="218">
        <v>0</v>
      </c>
      <c r="J10" s="219">
        <f>SUM(G10:I10)</f>
        <v>0</v>
      </c>
      <c r="K10" s="219">
        <v>0</v>
      </c>
      <c r="L10" s="218">
        <v>0</v>
      </c>
      <c r="M10" s="218">
        <v>0</v>
      </c>
      <c r="N10" s="218">
        <f>SUM(L10:M10)</f>
        <v>0</v>
      </c>
      <c r="O10"/>
      <c r="P10"/>
      <c r="Q10"/>
      <c r="R10"/>
      <c r="S10"/>
      <c r="T10"/>
      <c r="U10"/>
      <c r="V10"/>
      <c r="W10"/>
      <c r="X10"/>
      <c r="Y10"/>
      <c r="Z10" s="344"/>
      <c r="AA10" s="338">
        <f>ROUND(CECPerm*PermSalary,-2)</f>
        <v>0</v>
      </c>
      <c r="AB10" s="335">
        <f>ROUND(PermVarBen*CECPerm+(CECPerm*PermVarBenChg),-2)</f>
        <v>0</v>
      </c>
      <c r="AC10" s="335">
        <f>SUM(AA10:AB10)</f>
        <v>0</v>
      </c>
      <c r="AD10" s="328"/>
      <c r="AE10" s="148"/>
      <c r="AF10" s="148"/>
      <c r="AG10" s="148"/>
      <c r="AH10" s="148"/>
      <c r="AI10" s="148"/>
      <c r="AJ10" s="148"/>
      <c r="AK10" s="148"/>
      <c r="AL10" s="148"/>
      <c r="AM10" s="148"/>
      <c r="AN10" s="148"/>
      <c r="AO10" s="148"/>
      <c r="AP10" s="148"/>
      <c r="AQ10" s="148"/>
      <c r="AR10" s="148"/>
      <c r="AS10" s="148"/>
      <c r="AT10" s="148"/>
      <c r="AU10" s="148"/>
      <c r="AV10" s="148"/>
      <c r="AW10" s="148"/>
      <c r="AX10" s="148"/>
      <c r="AY10" s="148"/>
      <c r="AZ10" s="148"/>
      <c r="BA10" s="148"/>
      <c r="BB10" s="148"/>
      <c r="BC10" s="148"/>
      <c r="BD10" s="148"/>
      <c r="BE10" s="148"/>
      <c r="BF10" s="148"/>
      <c r="BG10" s="148"/>
      <c r="BH10" s="148"/>
      <c r="BI10" s="148"/>
      <c r="BJ10" s="148"/>
      <c r="BK10" s="148"/>
      <c r="BL10" s="148"/>
      <c r="BM10" s="148"/>
      <c r="BN10" s="148"/>
      <c r="BO10" s="148"/>
      <c r="BP10" s="148"/>
      <c r="BQ10" s="148"/>
      <c r="BR10" s="148"/>
      <c r="BS10" s="148"/>
      <c r="BT10" s="148"/>
      <c r="BU10" s="148"/>
      <c r="BV10" s="148"/>
      <c r="BW10" s="148"/>
      <c r="BX10" s="148"/>
      <c r="BY10" s="148"/>
      <c r="BZ10" s="148"/>
      <c r="CA10" s="148"/>
      <c r="CB10" s="148"/>
      <c r="CC10" s="148"/>
      <c r="CD10" s="148"/>
      <c r="CE10" s="148"/>
      <c r="CF10" s="148"/>
      <c r="CG10" s="148"/>
      <c r="CH10" s="148"/>
      <c r="CI10" s="148"/>
      <c r="CJ10" s="148"/>
      <c r="CK10" s="148"/>
      <c r="CL10" s="148"/>
      <c r="CM10" s="148"/>
      <c r="CN10" s="148"/>
      <c r="CO10" s="148"/>
      <c r="CP10" s="148"/>
    </row>
    <row r="11" spans="1:94" s="149" customFormat="1" x14ac:dyDescent="0.25">
      <c r="A11" s="139"/>
      <c r="B11" s="139"/>
      <c r="C11" s="443" t="s">
        <v>28</v>
      </c>
      <c r="D11" s="466"/>
      <c r="E11" s="217">
        <v>2</v>
      </c>
      <c r="F11" s="288"/>
      <c r="G11" s="218">
        <v>0</v>
      </c>
      <c r="H11" s="218">
        <v>0</v>
      </c>
      <c r="I11" s="218">
        <v>0</v>
      </c>
      <c r="J11" s="219">
        <f>SUM(G11:I11)</f>
        <v>0</v>
      </c>
      <c r="K11" s="268"/>
      <c r="L11" s="218"/>
      <c r="M11" s="218"/>
      <c r="N11" s="218"/>
      <c r="O11"/>
      <c r="P11"/>
      <c r="Q11"/>
      <c r="R11"/>
      <c r="S11"/>
      <c r="T11"/>
      <c r="U11"/>
      <c r="V11"/>
      <c r="W11"/>
      <c r="X11"/>
      <c r="Y11"/>
      <c r="Z11" s="344"/>
      <c r="AA11" s="338">
        <f>ROUND(GroupSalary*CECGroup,-2)</f>
        <v>0</v>
      </c>
      <c r="AB11" s="335">
        <f>ROUND((GroupSalary*GroupVBBY)*CECGroup,-2)</f>
        <v>0</v>
      </c>
      <c r="AC11" s="335">
        <f>SUM(AA12:AB12)</f>
        <v>0</v>
      </c>
      <c r="AD11" s="328"/>
      <c r="AE11" s="148"/>
      <c r="AF11" s="148"/>
      <c r="AG11" s="148"/>
      <c r="AH11" s="148"/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148"/>
      <c r="AV11" s="148"/>
      <c r="AW11" s="148"/>
      <c r="AX11" s="148"/>
      <c r="AY11" s="148"/>
      <c r="AZ11" s="148"/>
      <c r="BA11" s="148"/>
      <c r="BB11" s="148"/>
      <c r="BC11" s="148"/>
      <c r="BD11" s="148"/>
      <c r="BE11" s="148"/>
      <c r="BF11" s="148"/>
      <c r="BG11" s="148"/>
      <c r="BH11" s="148"/>
      <c r="BI11" s="148"/>
      <c r="BJ11" s="148"/>
      <c r="BK11" s="148"/>
      <c r="BL11" s="148"/>
      <c r="BM11" s="148"/>
      <c r="BN11" s="148"/>
      <c r="BO11" s="148"/>
      <c r="BP11" s="148"/>
      <c r="BQ11" s="148"/>
      <c r="BR11" s="148"/>
      <c r="BS11" s="148"/>
      <c r="BT11" s="148"/>
      <c r="BU11" s="148"/>
      <c r="BV11" s="148"/>
      <c r="BW11" s="148"/>
      <c r="BX11" s="148"/>
      <c r="BY11" s="148"/>
      <c r="BZ11" s="148"/>
      <c r="CA11" s="148"/>
      <c r="CB11" s="148"/>
      <c r="CC11" s="148"/>
      <c r="CD11" s="148"/>
      <c r="CE11" s="148"/>
      <c r="CF11" s="148"/>
      <c r="CG11" s="148"/>
      <c r="CH11" s="148"/>
      <c r="CI11" s="148"/>
      <c r="CJ11" s="148"/>
      <c r="CK11" s="148"/>
      <c r="CL11" s="148"/>
      <c r="CM11" s="148"/>
      <c r="CN11" s="148"/>
      <c r="CO11" s="148"/>
      <c r="CP11" s="148"/>
    </row>
    <row r="12" spans="1:94" s="149" customFormat="1" x14ac:dyDescent="0.25">
      <c r="A12" s="139"/>
      <c r="B12" s="139"/>
      <c r="C12" s="443" t="s">
        <v>29</v>
      </c>
      <c r="D12" s="444"/>
      <c r="E12" s="217">
        <v>3</v>
      </c>
      <c r="F12" s="288">
        <v>0</v>
      </c>
      <c r="G12" s="218">
        <v>0</v>
      </c>
      <c r="H12" s="218">
        <v>0</v>
      </c>
      <c r="I12" s="218">
        <v>0</v>
      </c>
      <c r="J12" s="219">
        <f>SUM(G12:I12)</f>
        <v>0</v>
      </c>
      <c r="K12" s="268"/>
      <c r="L12" s="218">
        <v>0</v>
      </c>
      <c r="M12" s="218">
        <v>0</v>
      </c>
      <c r="N12" s="219">
        <f>SUM(L12:M12)</f>
        <v>0</v>
      </c>
      <c r="O12"/>
      <c r="P12"/>
      <c r="Q12"/>
      <c r="R12"/>
      <c r="S12"/>
      <c r="T12"/>
      <c r="U12"/>
      <c r="V12"/>
      <c r="W12"/>
      <c r="X12"/>
      <c r="Y12"/>
      <c r="Z12" s="344"/>
      <c r="AA12" s="336"/>
      <c r="AB12" s="336"/>
      <c r="AC12" s="336"/>
      <c r="AD12" s="328"/>
      <c r="AE12" s="148"/>
      <c r="AF12" s="148"/>
      <c r="AG12" s="148"/>
      <c r="AH12" s="148"/>
      <c r="AI12" s="148"/>
      <c r="AJ12" s="148"/>
      <c r="AK12" s="148"/>
      <c r="AL12" s="148"/>
      <c r="AM12" s="148"/>
      <c r="AN12" s="148"/>
      <c r="AO12" s="148"/>
      <c r="AP12" s="148"/>
      <c r="AQ12" s="148"/>
      <c r="AR12" s="148"/>
      <c r="AS12" s="148"/>
      <c r="AT12" s="148"/>
      <c r="AU12" s="148"/>
      <c r="AV12" s="148"/>
      <c r="AW12" s="148"/>
      <c r="AX12" s="148"/>
      <c r="AY12" s="148"/>
      <c r="AZ12" s="148"/>
      <c r="BA12" s="148"/>
      <c r="BB12" s="148"/>
      <c r="BC12" s="148"/>
      <c r="BD12" s="148"/>
      <c r="BE12" s="148"/>
      <c r="BF12" s="148"/>
      <c r="BG12" s="148"/>
      <c r="BH12" s="148"/>
      <c r="BI12" s="148"/>
      <c r="BJ12" s="148"/>
      <c r="BK12" s="148"/>
      <c r="BL12" s="148"/>
      <c r="BM12" s="148"/>
      <c r="BN12" s="148"/>
      <c r="BO12" s="148"/>
      <c r="BP12" s="148"/>
      <c r="BQ12" s="148"/>
      <c r="BR12" s="148"/>
      <c r="BS12" s="148"/>
      <c r="BT12" s="148"/>
      <c r="BU12" s="148"/>
      <c r="BV12" s="148"/>
      <c r="BW12" s="148"/>
      <c r="BX12" s="148"/>
      <c r="BY12" s="148"/>
      <c r="BZ12" s="148"/>
      <c r="CA12" s="148"/>
      <c r="CB12" s="148"/>
      <c r="CC12" s="148"/>
      <c r="CD12" s="148"/>
      <c r="CE12" s="148"/>
      <c r="CF12" s="148"/>
      <c r="CG12" s="148"/>
      <c r="CH12" s="148"/>
      <c r="CI12" s="148"/>
      <c r="CJ12" s="148"/>
      <c r="CK12" s="148"/>
      <c r="CL12" s="148"/>
      <c r="CM12" s="148"/>
      <c r="CN12" s="148"/>
      <c r="CO12" s="148"/>
      <c r="CP12" s="148"/>
    </row>
    <row r="13" spans="1:94" s="153" customFormat="1" x14ac:dyDescent="0.25">
      <c r="A13" s="139"/>
      <c r="B13" s="139"/>
      <c r="C13" s="443" t="s">
        <v>30</v>
      </c>
      <c r="D13" s="466"/>
      <c r="E13" s="217"/>
      <c r="F13" s="220">
        <f>SUM(F10:F12)</f>
        <v>0</v>
      </c>
      <c r="G13" s="221">
        <f>SUM(G10:G12)</f>
        <v>0</v>
      </c>
      <c r="H13" s="221">
        <f>SUM(H10:H12)</f>
        <v>0</v>
      </c>
      <c r="I13" s="221">
        <f>SUM(I10:I12)</f>
        <v>0</v>
      </c>
      <c r="J13" s="219">
        <f>SUM(G13:I13)</f>
        <v>0</v>
      </c>
      <c r="K13" s="268"/>
      <c r="L13" s="219">
        <f>SUM(L10:L12)</f>
        <v>0</v>
      </c>
      <c r="M13" s="219">
        <f>SUM(M10:M12)</f>
        <v>0</v>
      </c>
      <c r="N13" s="219">
        <f>SUM(N10:N12)</f>
        <v>0</v>
      </c>
      <c r="O13"/>
      <c r="P13"/>
      <c r="Q13"/>
      <c r="R13"/>
      <c r="S13"/>
      <c r="T13"/>
      <c r="U13"/>
      <c r="V13"/>
      <c r="W13"/>
      <c r="X13"/>
      <c r="Y13"/>
      <c r="Z13" s="344"/>
      <c r="AA13" s="336"/>
      <c r="AB13" s="336"/>
      <c r="AC13" s="336"/>
      <c r="AD13" s="329"/>
      <c r="AE13" s="147"/>
      <c r="AF13" s="147"/>
      <c r="AG13" s="147"/>
      <c r="AH13" s="147"/>
      <c r="AI13" s="147"/>
      <c r="AJ13" s="147"/>
      <c r="AK13" s="147"/>
      <c r="AL13" s="147"/>
      <c r="AM13" s="147"/>
      <c r="AN13" s="147"/>
      <c r="AO13" s="147"/>
      <c r="AP13" s="147"/>
      <c r="AQ13" s="147"/>
      <c r="AR13" s="147"/>
      <c r="AS13" s="147"/>
      <c r="AT13" s="147"/>
      <c r="AU13" s="147"/>
      <c r="AV13" s="147"/>
      <c r="AW13" s="147"/>
      <c r="AX13" s="147"/>
      <c r="AY13" s="147"/>
      <c r="AZ13" s="147"/>
      <c r="BA13" s="147"/>
      <c r="BB13" s="147"/>
      <c r="BC13" s="147"/>
      <c r="BD13" s="147"/>
      <c r="BE13" s="147"/>
      <c r="BF13" s="147"/>
      <c r="BG13" s="147"/>
      <c r="BH13" s="147"/>
      <c r="BI13" s="147"/>
      <c r="BJ13" s="147"/>
      <c r="BK13" s="147"/>
      <c r="BL13" s="147"/>
      <c r="BM13" s="147"/>
      <c r="BN13" s="147"/>
      <c r="BO13" s="147"/>
      <c r="BP13" s="147"/>
      <c r="BQ13" s="147"/>
      <c r="BR13" s="147"/>
      <c r="BS13" s="147"/>
      <c r="BT13" s="147"/>
      <c r="BU13" s="147"/>
      <c r="BV13" s="147"/>
      <c r="BW13" s="147"/>
      <c r="BX13" s="147"/>
      <c r="BY13" s="147"/>
      <c r="BZ13" s="147"/>
      <c r="CA13" s="147"/>
      <c r="CB13" s="147"/>
      <c r="CC13" s="147"/>
      <c r="CD13" s="147"/>
      <c r="CE13" s="147"/>
      <c r="CF13" s="147"/>
      <c r="CG13" s="147"/>
      <c r="CH13" s="147"/>
      <c r="CI13" s="147"/>
      <c r="CJ13" s="147"/>
      <c r="CK13" s="147"/>
      <c r="CL13" s="147"/>
      <c r="CM13" s="147"/>
      <c r="CN13" s="147"/>
      <c r="CO13" s="147"/>
      <c r="CP13" s="147"/>
    </row>
    <row r="14" spans="1:94" s="153" customFormat="1" ht="5.45" customHeight="1" x14ac:dyDescent="0.25">
      <c r="A14" s="139"/>
      <c r="B14" s="139"/>
      <c r="C14" s="154"/>
      <c r="D14" s="155"/>
      <c r="E14" s="217"/>
      <c r="F14" s="220"/>
      <c r="G14" s="219"/>
      <c r="H14" s="219"/>
      <c r="I14" s="219"/>
      <c r="J14" s="219"/>
      <c r="K14" s="268"/>
      <c r="L14" s="219"/>
      <c r="M14" s="222"/>
      <c r="N14" s="222"/>
      <c r="O14"/>
      <c r="P14"/>
      <c r="Q14"/>
      <c r="R14"/>
      <c r="S14"/>
      <c r="T14"/>
      <c r="U14"/>
      <c r="V14"/>
      <c r="W14"/>
      <c r="X14"/>
      <c r="Y14"/>
      <c r="Z14" s="344"/>
      <c r="AA14" s="336"/>
      <c r="AB14" s="336"/>
      <c r="AC14" s="336"/>
      <c r="AD14" s="329"/>
      <c r="AE14" s="147"/>
      <c r="AF14" s="147"/>
      <c r="AG14" s="147"/>
      <c r="AH14" s="147"/>
      <c r="AI14" s="147"/>
      <c r="AJ14" s="147"/>
      <c r="AK14" s="147"/>
      <c r="AL14" s="147"/>
      <c r="AM14" s="147"/>
      <c r="AN14" s="147"/>
      <c r="AO14" s="147"/>
      <c r="AP14" s="147"/>
      <c r="AQ14" s="147"/>
      <c r="AR14" s="147"/>
      <c r="AS14" s="147"/>
      <c r="AT14" s="147"/>
      <c r="AU14" s="147"/>
      <c r="AV14" s="147"/>
      <c r="AW14" s="147"/>
      <c r="AX14" s="147"/>
      <c r="AY14" s="147"/>
      <c r="AZ14" s="147"/>
      <c r="BA14" s="147"/>
      <c r="BB14" s="147"/>
      <c r="BC14" s="147"/>
      <c r="BD14" s="147"/>
      <c r="BE14" s="147"/>
      <c r="BF14" s="147"/>
      <c r="BG14" s="147"/>
      <c r="BH14" s="147"/>
      <c r="BI14" s="147"/>
      <c r="BJ14" s="147"/>
      <c r="BK14" s="147"/>
      <c r="BL14" s="147"/>
      <c r="BM14" s="147"/>
      <c r="BN14" s="147"/>
      <c r="BO14" s="147"/>
      <c r="BP14" s="147"/>
      <c r="BQ14" s="147"/>
      <c r="BR14" s="147"/>
      <c r="BS14" s="147"/>
      <c r="BT14" s="147"/>
      <c r="BU14" s="147"/>
      <c r="BV14" s="147"/>
      <c r="BW14" s="147"/>
      <c r="BX14" s="147"/>
      <c r="BY14" s="147"/>
      <c r="BZ14" s="147"/>
      <c r="CA14" s="147"/>
      <c r="CB14" s="147"/>
      <c r="CC14" s="147"/>
      <c r="CD14" s="147"/>
      <c r="CE14" s="147"/>
      <c r="CF14" s="147"/>
      <c r="CG14" s="147"/>
      <c r="CH14" s="147"/>
      <c r="CI14" s="147"/>
      <c r="CJ14" s="147"/>
      <c r="CK14" s="147"/>
      <c r="CL14" s="147"/>
      <c r="CM14" s="147"/>
      <c r="CN14" s="147"/>
      <c r="CO14" s="147"/>
      <c r="CP14" s="147"/>
    </row>
    <row r="15" spans="1:94" s="153" customFormat="1" ht="15.75" customHeight="1" x14ac:dyDescent="0.25">
      <c r="A15" s="139"/>
      <c r="B15" s="156"/>
      <c r="C15" s="157" t="str">
        <f>"FY "&amp;[0]!FiscalYear-1</f>
        <v>FY 2022</v>
      </c>
      <c r="D15" s="158" t="s">
        <v>31</v>
      </c>
      <c r="E15" s="354">
        <v>0</v>
      </c>
      <c r="F15" s="55">
        <v>0</v>
      </c>
      <c r="G15" s="223">
        <f>IF(OrigApprop=0,0,(G13/$J$13)*OrigApprop)</f>
        <v>0</v>
      </c>
      <c r="H15" s="223">
        <f>IF(OrigApprop=0,0,(H13/$J$13)*OrigApprop)</f>
        <v>0</v>
      </c>
      <c r="I15" s="223">
        <f>IF(G15=0,0,(I13/$J$13)*OrigApprop)</f>
        <v>0</v>
      </c>
      <c r="J15" s="223">
        <f>SUM(G15:I15)</f>
        <v>0</v>
      </c>
      <c r="K15" s="268"/>
      <c r="L15" s="224"/>
      <c r="M15" s="224"/>
      <c r="N15" s="224"/>
      <c r="O15"/>
      <c r="P15"/>
      <c r="Q15"/>
      <c r="R15"/>
      <c r="S15"/>
      <c r="T15"/>
      <c r="U15"/>
      <c r="V15"/>
      <c r="W15"/>
      <c r="X15"/>
      <c r="Y15"/>
      <c r="Z15" s="344"/>
      <c r="AA15" s="336"/>
      <c r="AB15" s="336"/>
      <c r="AC15" s="336"/>
      <c r="AD15" s="329"/>
      <c r="AE15" s="147"/>
      <c r="AF15" s="147"/>
      <c r="AG15" s="147"/>
      <c r="AH15" s="147"/>
      <c r="AI15" s="147"/>
      <c r="AJ15" s="147"/>
      <c r="AK15" s="147"/>
      <c r="AL15" s="147"/>
      <c r="AM15" s="147"/>
      <c r="AN15" s="147"/>
      <c r="AO15" s="147"/>
      <c r="AP15" s="147"/>
      <c r="AQ15" s="147"/>
      <c r="AR15" s="147"/>
      <c r="AS15" s="147"/>
      <c r="AT15" s="147"/>
      <c r="AU15" s="147"/>
      <c r="AV15" s="147"/>
      <c r="AW15" s="147"/>
      <c r="AX15" s="147"/>
      <c r="AY15" s="147"/>
      <c r="AZ15" s="147"/>
      <c r="BA15" s="147"/>
      <c r="BB15" s="147"/>
      <c r="BC15" s="147"/>
      <c r="BD15" s="147"/>
      <c r="BE15" s="147"/>
      <c r="BF15" s="147"/>
      <c r="BG15" s="147"/>
      <c r="BH15" s="147"/>
      <c r="BI15" s="147"/>
      <c r="BJ15" s="147"/>
      <c r="BK15" s="147"/>
      <c r="BL15" s="147"/>
      <c r="BM15" s="147"/>
      <c r="BN15" s="147"/>
      <c r="BO15" s="147"/>
      <c r="BP15" s="147"/>
      <c r="BQ15" s="147"/>
      <c r="BR15" s="147"/>
      <c r="BS15" s="147"/>
      <c r="BT15" s="147"/>
      <c r="BU15" s="147"/>
      <c r="BV15" s="147"/>
      <c r="BW15" s="147"/>
      <c r="BX15" s="147"/>
      <c r="BY15" s="147"/>
      <c r="BZ15" s="147"/>
      <c r="CA15" s="147"/>
      <c r="CB15" s="147"/>
      <c r="CC15" s="147"/>
      <c r="CD15" s="147"/>
      <c r="CE15" s="147"/>
      <c r="CF15" s="147"/>
      <c r="CG15" s="147"/>
      <c r="CH15" s="147"/>
      <c r="CI15" s="147"/>
      <c r="CJ15" s="147"/>
      <c r="CK15" s="147"/>
      <c r="CL15" s="147"/>
      <c r="CM15" s="147"/>
      <c r="CN15" s="147"/>
      <c r="CO15" s="147"/>
      <c r="CP15" s="147"/>
    </row>
    <row r="16" spans="1:94" s="153" customFormat="1" ht="15.75" customHeight="1" x14ac:dyDescent="0.25">
      <c r="A16" s="139"/>
      <c r="B16" s="139"/>
      <c r="C16" s="453" t="s">
        <v>32</v>
      </c>
      <c r="D16" s="454"/>
      <c r="E16" s="160" t="s">
        <v>33</v>
      </c>
      <c r="F16" s="161">
        <f>F15-F13</f>
        <v>0</v>
      </c>
      <c r="G16" s="162">
        <f>G15-G13</f>
        <v>0</v>
      </c>
      <c r="H16" s="162">
        <f>H15-H13</f>
        <v>0</v>
      </c>
      <c r="I16" s="162">
        <f>I15-I13</f>
        <v>0</v>
      </c>
      <c r="J16" s="162">
        <f>J15-J13</f>
        <v>0</v>
      </c>
      <c r="K16" s="269"/>
      <c r="L16" s="56" t="str">
        <f>IF([0]!OrigApprop=0,"ERROR! Enter Original Appropriation amount in DU 3.00!","Calculated "&amp;IF([0]!AdjustedTotal&gt;0,"overfunding ","underfunding ")&amp;"is "&amp;TEXT([0]!AdjustedTotal/[0]!AppropTotal,"#.0%;(#.0% );0% ;")&amp;" of Original Appropriation")</f>
        <v>ERROR! Enter Original Appropriation amount in DU 3.00!</v>
      </c>
      <c r="M16" s="163"/>
      <c r="N16" s="164"/>
      <c r="O16"/>
      <c r="P16"/>
      <c r="Q16"/>
      <c r="R16"/>
      <c r="S16"/>
      <c r="T16"/>
      <c r="U16"/>
      <c r="V16"/>
      <c r="W16"/>
      <c r="X16"/>
      <c r="Y16"/>
      <c r="Z16" s="344"/>
      <c r="AA16" s="336"/>
      <c r="AB16" s="336"/>
      <c r="AC16" s="336"/>
      <c r="AD16" s="329"/>
      <c r="AE16" s="147"/>
      <c r="AF16" s="147"/>
      <c r="AG16" s="147"/>
      <c r="AH16" s="147"/>
      <c r="AI16" s="147"/>
      <c r="AJ16" s="147"/>
      <c r="AK16" s="147"/>
      <c r="AL16" s="147"/>
      <c r="AM16" s="147"/>
      <c r="AN16" s="147"/>
      <c r="AO16" s="147"/>
      <c r="AP16" s="147"/>
      <c r="AQ16" s="147"/>
      <c r="AR16" s="147"/>
      <c r="AS16" s="147"/>
      <c r="AT16" s="147"/>
      <c r="AU16" s="147"/>
      <c r="AV16" s="147"/>
      <c r="AW16" s="147"/>
      <c r="AX16" s="147"/>
      <c r="AY16" s="147"/>
      <c r="AZ16" s="147"/>
      <c r="BA16" s="147"/>
      <c r="BB16" s="147"/>
      <c r="BC16" s="147"/>
      <c r="BD16" s="147"/>
      <c r="BE16" s="147"/>
      <c r="BF16" s="147"/>
      <c r="BG16" s="147"/>
      <c r="BH16" s="147"/>
      <c r="BI16" s="147"/>
      <c r="BJ16" s="147"/>
      <c r="BK16" s="147"/>
      <c r="BL16" s="147"/>
      <c r="BM16" s="147"/>
      <c r="BN16" s="147"/>
      <c r="BO16" s="147"/>
      <c r="BP16" s="147"/>
      <c r="BQ16" s="147"/>
      <c r="BR16" s="147"/>
      <c r="BS16" s="147"/>
      <c r="BT16" s="147"/>
      <c r="BU16" s="147"/>
      <c r="BV16" s="147"/>
      <c r="BW16" s="147"/>
      <c r="BX16" s="147"/>
      <c r="BY16" s="147"/>
      <c r="BZ16" s="147"/>
      <c r="CA16" s="147"/>
      <c r="CB16" s="147"/>
      <c r="CC16" s="147"/>
      <c r="CD16" s="147"/>
      <c r="CE16" s="147"/>
      <c r="CF16" s="147"/>
      <c r="CG16" s="147"/>
      <c r="CH16" s="147"/>
      <c r="CI16" s="147"/>
      <c r="CJ16" s="147"/>
      <c r="CK16" s="147"/>
      <c r="CL16" s="147"/>
      <c r="CM16" s="147"/>
      <c r="CN16" s="147"/>
      <c r="CO16" s="147"/>
      <c r="CP16" s="147"/>
    </row>
    <row r="17" spans="1:94" s="153" customFormat="1" x14ac:dyDescent="0.25">
      <c r="A17" s="139"/>
      <c r="B17" s="139"/>
      <c r="C17" s="455" t="s">
        <v>34</v>
      </c>
      <c r="D17" s="456"/>
      <c r="E17" s="147"/>
      <c r="F17" s="258"/>
      <c r="G17" s="147"/>
      <c r="H17" s="166"/>
      <c r="I17" s="167"/>
      <c r="J17" s="166"/>
      <c r="K17" s="166"/>
      <c r="L17" s="166"/>
      <c r="M17" s="166"/>
      <c r="N17" s="166"/>
      <c r="O17"/>
      <c r="P17"/>
      <c r="Q17"/>
      <c r="R17"/>
      <c r="S17"/>
      <c r="T17"/>
      <c r="U17"/>
      <c r="V17"/>
      <c r="W17"/>
      <c r="X17"/>
      <c r="Y17"/>
      <c r="Z17" s="344"/>
      <c r="AA17" s="336"/>
      <c r="AB17" s="336"/>
      <c r="AC17" s="336"/>
      <c r="AD17" s="329"/>
      <c r="AE17" s="147"/>
      <c r="AF17" s="147"/>
      <c r="AG17" s="147"/>
      <c r="AH17" s="147"/>
      <c r="AI17" s="147"/>
      <c r="AJ17" s="147"/>
      <c r="AK17" s="147"/>
      <c r="AL17" s="147"/>
      <c r="AM17" s="147"/>
      <c r="AN17" s="147"/>
      <c r="AO17" s="147"/>
      <c r="AP17" s="147"/>
      <c r="AQ17" s="147"/>
      <c r="AR17" s="147"/>
      <c r="AS17" s="147"/>
      <c r="AT17" s="147"/>
      <c r="AU17" s="147"/>
      <c r="AV17" s="147"/>
      <c r="AW17" s="147"/>
      <c r="AX17" s="147"/>
      <c r="AY17" s="147"/>
      <c r="AZ17" s="147"/>
      <c r="BA17" s="147"/>
      <c r="BB17" s="147"/>
      <c r="BC17" s="147"/>
      <c r="BD17" s="147"/>
      <c r="BE17" s="147"/>
      <c r="BF17" s="147"/>
      <c r="BG17" s="147"/>
      <c r="BH17" s="147"/>
      <c r="BI17" s="147"/>
      <c r="BJ17" s="147"/>
      <c r="BK17" s="147"/>
      <c r="BL17" s="147"/>
      <c r="BM17" s="147"/>
      <c r="BN17" s="147"/>
      <c r="BO17" s="147"/>
      <c r="BP17" s="147"/>
      <c r="BQ17" s="147"/>
      <c r="BR17" s="147"/>
      <c r="BS17" s="147"/>
      <c r="BT17" s="147"/>
      <c r="BU17" s="147"/>
      <c r="BV17" s="147"/>
      <c r="BW17" s="147"/>
      <c r="BX17" s="147"/>
      <c r="BY17" s="147"/>
      <c r="BZ17" s="147"/>
      <c r="CA17" s="147"/>
      <c r="CB17" s="147"/>
      <c r="CC17" s="147"/>
      <c r="CD17" s="147"/>
      <c r="CE17" s="147"/>
      <c r="CF17" s="147"/>
      <c r="CG17" s="147"/>
      <c r="CH17" s="147"/>
      <c r="CI17" s="147"/>
      <c r="CJ17" s="147"/>
      <c r="CK17" s="147"/>
      <c r="CL17" s="147"/>
      <c r="CM17" s="147"/>
      <c r="CN17" s="147"/>
      <c r="CO17" s="147"/>
      <c r="CP17" s="147"/>
    </row>
    <row r="18" spans="1:94" s="153" customFormat="1" ht="26.25" customHeight="1" x14ac:dyDescent="0.25">
      <c r="A18" s="139"/>
      <c r="B18" s="168"/>
      <c r="C18" s="457" t="s">
        <v>35</v>
      </c>
      <c r="D18" s="458"/>
      <c r="E18" s="150"/>
      <c r="F18" s="165"/>
      <c r="G18" s="166"/>
      <c r="H18" s="169"/>
      <c r="I18" s="166"/>
      <c r="J18" s="166"/>
      <c r="K18" s="166"/>
      <c r="L18" s="166"/>
      <c r="M18" s="166"/>
      <c r="N18" s="166"/>
      <c r="O18"/>
      <c r="P18"/>
      <c r="Q18"/>
      <c r="R18"/>
      <c r="S18"/>
      <c r="T18"/>
      <c r="U18"/>
      <c r="V18"/>
      <c r="W18"/>
      <c r="X18"/>
      <c r="Y18"/>
      <c r="Z18" s="344"/>
      <c r="AA18" s="336"/>
      <c r="AB18" s="336"/>
      <c r="AC18" s="336"/>
      <c r="AD18" s="329"/>
      <c r="AE18" s="147"/>
      <c r="AF18" s="147"/>
      <c r="AG18" s="147"/>
      <c r="AH18" s="147"/>
      <c r="AI18" s="147"/>
      <c r="AJ18" s="147"/>
      <c r="AK18" s="147"/>
      <c r="AL18" s="147"/>
      <c r="AM18" s="147"/>
      <c r="AN18" s="147"/>
      <c r="AO18" s="147"/>
      <c r="AP18" s="147"/>
      <c r="AQ18" s="147"/>
      <c r="AR18" s="147"/>
      <c r="AS18" s="147"/>
      <c r="AT18" s="147"/>
      <c r="AU18" s="147"/>
      <c r="AV18" s="147"/>
      <c r="AW18" s="147"/>
      <c r="AX18" s="147"/>
      <c r="AY18" s="147"/>
      <c r="AZ18" s="147"/>
      <c r="BA18" s="147"/>
      <c r="BB18" s="147"/>
      <c r="BC18" s="147"/>
      <c r="BD18" s="147"/>
      <c r="BE18" s="147"/>
      <c r="BF18" s="147"/>
      <c r="BG18" s="147"/>
      <c r="BH18" s="147"/>
      <c r="BI18" s="147"/>
      <c r="BJ18" s="147"/>
      <c r="BK18" s="147"/>
      <c r="BL18" s="147"/>
      <c r="BM18" s="147"/>
      <c r="BN18" s="147"/>
      <c r="BO18" s="147"/>
      <c r="BP18" s="147"/>
      <c r="BQ18" s="147"/>
      <c r="BR18" s="147"/>
      <c r="BS18" s="147"/>
      <c r="BT18" s="147"/>
      <c r="BU18" s="147"/>
      <c r="BV18" s="147"/>
      <c r="BW18" s="147"/>
      <c r="BX18" s="147"/>
      <c r="BY18" s="147"/>
      <c r="BZ18" s="147"/>
      <c r="CA18" s="147"/>
      <c r="CB18" s="147"/>
      <c r="CC18" s="147"/>
      <c r="CD18" s="147"/>
      <c r="CE18" s="147"/>
      <c r="CF18" s="147"/>
      <c r="CG18" s="147"/>
      <c r="CH18" s="147"/>
      <c r="CI18" s="147"/>
      <c r="CJ18" s="147"/>
      <c r="CK18" s="147"/>
      <c r="CL18" s="147"/>
    </row>
    <row r="19" spans="1:94" s="153" customFormat="1" ht="25.5" x14ac:dyDescent="0.25">
      <c r="A19" s="238"/>
      <c r="B19" s="202"/>
      <c r="C19" s="239" t="s">
        <v>86</v>
      </c>
      <c r="D19" s="240" t="s">
        <v>87</v>
      </c>
      <c r="E19" s="241"/>
      <c r="F19" s="165"/>
      <c r="G19" s="166"/>
      <c r="H19" s="169"/>
      <c r="I19" s="170"/>
      <c r="J19" s="166"/>
      <c r="K19" s="166"/>
      <c r="L19" s="169"/>
      <c r="M19" s="166"/>
      <c r="N19" s="166"/>
      <c r="O19"/>
      <c r="P19"/>
      <c r="Q19"/>
      <c r="R19"/>
      <c r="S19"/>
      <c r="T19"/>
      <c r="U19"/>
      <c r="V19"/>
      <c r="W19"/>
      <c r="X19"/>
      <c r="Y19"/>
      <c r="Z19" s="344"/>
      <c r="AA19" s="337"/>
      <c r="AB19" s="337"/>
      <c r="AC19" s="337"/>
      <c r="AD19" s="329"/>
      <c r="AE19" s="147"/>
      <c r="AF19" s="147"/>
      <c r="AG19" s="147"/>
      <c r="AH19" s="147"/>
      <c r="AI19" s="147"/>
      <c r="AJ19" s="147"/>
      <c r="AK19" s="147"/>
      <c r="AL19" s="147"/>
      <c r="AM19" s="147"/>
      <c r="AN19" s="147"/>
      <c r="AO19" s="147"/>
      <c r="AP19" s="147"/>
      <c r="AQ19" s="147"/>
      <c r="AR19" s="147"/>
      <c r="AS19" s="147"/>
      <c r="AT19" s="147"/>
      <c r="AU19" s="147"/>
      <c r="AV19" s="147"/>
      <c r="AW19" s="147"/>
      <c r="AX19" s="147"/>
      <c r="AY19" s="147"/>
      <c r="AZ19" s="147"/>
      <c r="BA19" s="147"/>
      <c r="BB19" s="147"/>
      <c r="BC19" s="147"/>
      <c r="BD19" s="147"/>
      <c r="BE19" s="147"/>
      <c r="BF19" s="147"/>
      <c r="BG19" s="147"/>
      <c r="BH19" s="147"/>
      <c r="BI19" s="147"/>
      <c r="BJ19" s="147"/>
      <c r="BK19" s="147"/>
      <c r="BL19" s="147"/>
      <c r="BM19" s="147"/>
      <c r="BN19" s="147"/>
      <c r="BO19" s="147"/>
      <c r="BP19" s="147"/>
      <c r="BQ19" s="147"/>
      <c r="BR19" s="147"/>
      <c r="BS19" s="147"/>
      <c r="BT19" s="147"/>
      <c r="BU19" s="147"/>
      <c r="BV19" s="147"/>
      <c r="BW19" s="147"/>
      <c r="BX19" s="147"/>
      <c r="BY19" s="147"/>
      <c r="BZ19" s="147"/>
      <c r="CA19" s="147"/>
      <c r="CB19" s="147"/>
      <c r="CC19" s="147"/>
      <c r="CD19" s="147"/>
      <c r="CE19" s="147"/>
      <c r="CF19" s="147"/>
      <c r="CG19" s="147"/>
      <c r="CH19" s="147"/>
      <c r="CI19" s="147"/>
      <c r="CJ19" s="147"/>
      <c r="CK19" s="147"/>
      <c r="CL19" s="147"/>
      <c r="CM19" s="147"/>
      <c r="CN19" s="147"/>
      <c r="CO19" s="147"/>
      <c r="CP19" s="147"/>
    </row>
    <row r="20" spans="1:94" s="177" customFormat="1" ht="15" x14ac:dyDescent="0.25">
      <c r="A20" s="171"/>
      <c r="B20" s="172"/>
      <c r="C20" s="244"/>
      <c r="D20" s="242"/>
      <c r="E20" s="173"/>
      <c r="F20" s="174">
        <v>0</v>
      </c>
      <c r="G20" s="175">
        <v>0</v>
      </c>
      <c r="H20" s="176">
        <f t="shared" ref="H20:H30" si="0">IF(AND($F20&lt;&gt;0,$G20&lt;&gt;0,OR($E20=1,$E20=3)),$F20*Health,0)</f>
        <v>0</v>
      </c>
      <c r="I20" s="176">
        <f t="shared" ref="I20:I30" si="1">IF(AND($E20=1,$C20=""),$G20*PermVB+$G20*Retire1,IF($E20=1,$G20*PermVB+$G20*VLOOKUP($C20,Retirement_Rates,3,FALSE),IF($E20=2,$G20*GroupVB,IF(AND($E20=3,$C20=""),$G20*ElectVB+$G20*Retire1,IF($E20=3,$G20*ElectVB+$G20*VLOOKUP($C20,Retirement_Rates,3,FALSE),0)))))</f>
        <v>0</v>
      </c>
      <c r="J20" s="159">
        <f>IF($E20&gt;0,SUM($G20:$I20),0)</f>
        <v>0</v>
      </c>
      <c r="K20" s="166"/>
      <c r="L20" s="176">
        <f t="shared" ref="L20:L30" si="2">IF(AND($F20&lt;&gt;0,$G20&lt;&gt;0,OR($E20=1,$E20=3)),$F20*HealthCHG,0)</f>
        <v>0</v>
      </c>
      <c r="M20" s="176">
        <f>IF(AND($E20=1,$C20=""),$G20*PermVBCHG+$G20*Retire1CHG,IF($E20=1,$G20*PermVBCHG+$G20*VLOOKUP($C20,Retirement_Rates,5,FALSE),IF($E20=2,0,IF(AND($E20=3,$C20=""),$G20*ElectVBCHG+$G20*Retire1CHG,IF($E20=3,$G20*ElectVBCHG+$G20*VLOOKUP($C20,Retirement_Rates,5,FALSE),0)))))</f>
        <v>0</v>
      </c>
      <c r="N20" s="176">
        <f>SUM(L20:M20)</f>
        <v>0</v>
      </c>
      <c r="O20"/>
      <c r="P20"/>
      <c r="Q20"/>
      <c r="R20"/>
      <c r="S20"/>
      <c r="T20"/>
      <c r="U20"/>
      <c r="V20"/>
      <c r="W20"/>
      <c r="X20"/>
      <c r="Y20"/>
      <c r="Z20" s="344"/>
      <c r="AA20" s="337"/>
      <c r="AB20" s="337"/>
      <c r="AC20" s="337"/>
      <c r="AD20" s="329"/>
      <c r="AE20" s="147"/>
      <c r="AF20" s="147"/>
      <c r="AG20" s="147"/>
      <c r="AH20" s="147"/>
      <c r="AI20" s="147"/>
      <c r="AJ20" s="147"/>
      <c r="AK20" s="147"/>
      <c r="AL20" s="147"/>
      <c r="AM20" s="147"/>
      <c r="AN20" s="147"/>
      <c r="AO20" s="147"/>
      <c r="AP20" s="147"/>
      <c r="AQ20" s="147"/>
      <c r="AR20" s="147"/>
      <c r="AS20" s="147"/>
      <c r="AT20" s="147"/>
      <c r="AU20" s="147"/>
      <c r="AV20" s="147"/>
      <c r="AW20" s="147"/>
      <c r="AX20" s="147"/>
      <c r="AY20" s="147"/>
      <c r="AZ20" s="147"/>
      <c r="BA20" s="147"/>
      <c r="BB20" s="147"/>
      <c r="BC20" s="147"/>
      <c r="BD20" s="147"/>
      <c r="BE20" s="147"/>
      <c r="BF20" s="147"/>
      <c r="BG20" s="147"/>
      <c r="BH20" s="147"/>
      <c r="BI20" s="147"/>
      <c r="BJ20" s="147"/>
      <c r="BK20" s="147"/>
      <c r="BL20" s="147"/>
      <c r="BM20" s="147"/>
      <c r="BN20" s="147"/>
      <c r="BO20" s="147"/>
      <c r="BP20" s="147"/>
      <c r="BQ20" s="147"/>
      <c r="BR20" s="147"/>
      <c r="BS20" s="147"/>
      <c r="BT20" s="147"/>
      <c r="BU20" s="147"/>
      <c r="BV20" s="147"/>
      <c r="BW20" s="147"/>
      <c r="BX20" s="147"/>
      <c r="BY20" s="147"/>
      <c r="BZ20" s="147"/>
      <c r="CA20" s="147"/>
      <c r="CB20" s="147"/>
      <c r="CC20" s="147"/>
      <c r="CD20" s="147"/>
      <c r="CE20" s="147"/>
      <c r="CF20" s="147"/>
      <c r="CG20" s="147"/>
      <c r="CH20" s="147"/>
      <c r="CI20" s="147"/>
      <c r="CJ20" s="147"/>
      <c r="CK20" s="147"/>
      <c r="CL20" s="147"/>
      <c r="CM20" s="147"/>
      <c r="CN20" s="147"/>
      <c r="CO20" s="147"/>
      <c r="CP20" s="147"/>
    </row>
    <row r="21" spans="1:94" s="177" customFormat="1" ht="15" x14ac:dyDescent="0.25">
      <c r="A21" s="178"/>
      <c r="B21" s="179"/>
      <c r="C21" s="244"/>
      <c r="D21" s="242"/>
      <c r="E21" s="180"/>
      <c r="F21" s="181">
        <v>0</v>
      </c>
      <c r="G21" s="175">
        <v>0</v>
      </c>
      <c r="H21" s="176">
        <f t="shared" si="0"/>
        <v>0</v>
      </c>
      <c r="I21" s="176">
        <f t="shared" si="1"/>
        <v>0</v>
      </c>
      <c r="J21" s="159">
        <f t="shared" ref="J21:J35" si="3">IF($E21&gt;0,SUM($G21:$I21),0)</f>
        <v>0</v>
      </c>
      <c r="K21" s="166"/>
      <c r="L21" s="176">
        <f t="shared" si="2"/>
        <v>0</v>
      </c>
      <c r="M21" s="176">
        <f t="shared" ref="M21:M30" si="4">IF(AND($E21=1,$C21=""),$G21*PermVBCHG+$G21*Retire1CHG,IF($E21=1,$G21*PermVBCHG+$G21*VLOOKUP($C21,Retirement_Rates,5,FALSE),IF($E21=2,0,IF(AND($E21=3,$C21=""),$G21*ElectVBCHG+$G21*Retire1CHG,IF($E21=3,$G21*ElectVBCHG+$G21*VLOOKUP($C21,Retirement_Rates,5,FALSE),0)))))</f>
        <v>0</v>
      </c>
      <c r="N21" s="183">
        <f t="shared" ref="N21:N30" si="5">SUM(L21:M21)</f>
        <v>0</v>
      </c>
      <c r="O21"/>
      <c r="P21"/>
      <c r="Q21"/>
      <c r="R21"/>
      <c r="S21"/>
      <c r="T21"/>
      <c r="U21"/>
      <c r="V21"/>
      <c r="W21"/>
      <c r="X21"/>
      <c r="Y21"/>
      <c r="Z21" s="344"/>
      <c r="AA21" s="337"/>
      <c r="AB21" s="337"/>
      <c r="AC21" s="337"/>
      <c r="AD21" s="329"/>
      <c r="AE21" s="147"/>
      <c r="AF21" s="147"/>
      <c r="AG21" s="147"/>
      <c r="AH21" s="147"/>
      <c r="AI21" s="147"/>
      <c r="AJ21" s="147"/>
      <c r="AK21" s="147"/>
      <c r="AL21" s="147"/>
      <c r="AM21" s="147"/>
      <c r="AN21" s="147"/>
      <c r="AO21" s="147"/>
      <c r="AP21" s="147"/>
      <c r="AQ21" s="147"/>
      <c r="AR21" s="147"/>
      <c r="AS21" s="147"/>
      <c r="AT21" s="147"/>
      <c r="AU21" s="147"/>
      <c r="AV21" s="147"/>
      <c r="AW21" s="147"/>
      <c r="AX21" s="147"/>
      <c r="AY21" s="147"/>
      <c r="AZ21" s="147"/>
      <c r="BA21" s="147"/>
      <c r="BB21" s="147"/>
      <c r="BC21" s="147"/>
      <c r="BD21" s="147"/>
      <c r="BE21" s="147"/>
      <c r="BF21" s="147"/>
      <c r="BG21" s="147"/>
      <c r="BH21" s="147"/>
      <c r="BI21" s="147"/>
      <c r="BJ21" s="147"/>
      <c r="BK21" s="147"/>
      <c r="BL21" s="147"/>
      <c r="BM21" s="147"/>
      <c r="BN21" s="147"/>
      <c r="BO21" s="147"/>
      <c r="BP21" s="147"/>
      <c r="BQ21" s="147"/>
      <c r="BR21" s="147"/>
      <c r="BS21" s="147"/>
      <c r="BT21" s="147"/>
      <c r="BU21" s="147"/>
      <c r="BV21" s="147"/>
      <c r="BW21" s="147"/>
      <c r="BX21" s="147"/>
      <c r="BY21" s="147"/>
      <c r="BZ21" s="147"/>
      <c r="CA21" s="147"/>
      <c r="CB21" s="147"/>
      <c r="CC21" s="147"/>
      <c r="CD21" s="147"/>
      <c r="CE21" s="147"/>
      <c r="CF21" s="147"/>
      <c r="CG21" s="147"/>
      <c r="CH21" s="147"/>
      <c r="CI21" s="147"/>
      <c r="CJ21" s="147"/>
      <c r="CK21" s="147"/>
      <c r="CL21" s="147"/>
      <c r="CM21" s="147"/>
      <c r="CN21" s="147"/>
      <c r="CO21" s="147"/>
      <c r="CP21" s="147"/>
    </row>
    <row r="22" spans="1:94" s="177" customFormat="1" ht="15" x14ac:dyDescent="0.25">
      <c r="A22" s="178"/>
      <c r="B22" s="179"/>
      <c r="C22" s="244"/>
      <c r="D22" s="242"/>
      <c r="E22" s="180"/>
      <c r="F22" s="181">
        <v>0</v>
      </c>
      <c r="G22" s="175">
        <v>0</v>
      </c>
      <c r="H22" s="176">
        <f t="shared" si="0"/>
        <v>0</v>
      </c>
      <c r="I22" s="176">
        <f t="shared" si="1"/>
        <v>0</v>
      </c>
      <c r="J22" s="159">
        <f t="shared" si="3"/>
        <v>0</v>
      </c>
      <c r="K22" s="166"/>
      <c r="L22" s="176">
        <f t="shared" si="2"/>
        <v>0</v>
      </c>
      <c r="M22" s="176">
        <f t="shared" si="4"/>
        <v>0</v>
      </c>
      <c r="N22" s="183">
        <f t="shared" si="5"/>
        <v>0</v>
      </c>
      <c r="O22"/>
      <c r="P22"/>
      <c r="Q22"/>
      <c r="R22"/>
      <c r="S22"/>
      <c r="T22"/>
      <c r="U22"/>
      <c r="V22"/>
      <c r="W22"/>
      <c r="X22"/>
      <c r="Y22"/>
      <c r="Z22" s="344"/>
      <c r="AA22" s="337"/>
      <c r="AB22" s="337"/>
      <c r="AC22" s="337"/>
      <c r="AD22" s="329"/>
      <c r="AE22" s="147"/>
      <c r="AF22" s="147"/>
      <c r="AG22" s="147"/>
      <c r="AH22" s="147"/>
      <c r="AI22" s="147"/>
      <c r="AJ22" s="147"/>
      <c r="AK22" s="147"/>
      <c r="AL22" s="147"/>
      <c r="AM22" s="147"/>
      <c r="AN22" s="147"/>
      <c r="AO22" s="147"/>
      <c r="AP22" s="147"/>
      <c r="AQ22" s="147"/>
      <c r="AR22" s="147"/>
      <c r="AS22" s="147"/>
      <c r="AT22" s="147"/>
      <c r="AU22" s="147"/>
      <c r="AV22" s="147"/>
      <c r="AW22" s="147"/>
      <c r="AX22" s="147"/>
      <c r="AY22" s="147"/>
      <c r="AZ22" s="147"/>
      <c r="BA22" s="147"/>
      <c r="BB22" s="147"/>
      <c r="BC22" s="147"/>
      <c r="BD22" s="147"/>
      <c r="BE22" s="147"/>
      <c r="BF22" s="147"/>
      <c r="BG22" s="147"/>
      <c r="BH22" s="147"/>
      <c r="BI22" s="147"/>
      <c r="BJ22" s="147"/>
      <c r="BK22" s="147"/>
      <c r="BL22" s="147"/>
      <c r="BM22" s="147"/>
      <c r="BN22" s="147"/>
      <c r="BO22" s="147"/>
      <c r="BP22" s="147"/>
      <c r="BQ22" s="147"/>
      <c r="BR22" s="147"/>
      <c r="BS22" s="147"/>
      <c r="BT22" s="147"/>
      <c r="BU22" s="147"/>
      <c r="BV22" s="147"/>
      <c r="BW22" s="147"/>
      <c r="BX22" s="147"/>
      <c r="BY22" s="147"/>
      <c r="BZ22" s="147"/>
      <c r="CA22" s="147"/>
      <c r="CB22" s="147"/>
      <c r="CC22" s="147"/>
      <c r="CD22" s="147"/>
      <c r="CE22" s="147"/>
      <c r="CF22" s="147"/>
      <c r="CG22" s="147"/>
      <c r="CH22" s="147"/>
      <c r="CI22" s="147"/>
      <c r="CJ22" s="147"/>
      <c r="CK22" s="147"/>
      <c r="CL22" s="147"/>
      <c r="CM22" s="147"/>
      <c r="CN22" s="147"/>
      <c r="CO22" s="147"/>
      <c r="CP22" s="147"/>
    </row>
    <row r="23" spans="1:94" s="177" customFormat="1" ht="15" x14ac:dyDescent="0.25">
      <c r="A23" s="178"/>
      <c r="B23" s="179"/>
      <c r="C23" s="244"/>
      <c r="D23" s="242"/>
      <c r="E23" s="180"/>
      <c r="F23" s="181">
        <v>0</v>
      </c>
      <c r="G23" s="175">
        <v>0</v>
      </c>
      <c r="H23" s="176">
        <f t="shared" si="0"/>
        <v>0</v>
      </c>
      <c r="I23" s="176">
        <f t="shared" si="1"/>
        <v>0</v>
      </c>
      <c r="J23" s="159">
        <f t="shared" si="3"/>
        <v>0</v>
      </c>
      <c r="K23" s="166"/>
      <c r="L23" s="176">
        <f t="shared" si="2"/>
        <v>0</v>
      </c>
      <c r="M23" s="176">
        <f t="shared" si="4"/>
        <v>0</v>
      </c>
      <c r="N23" s="183">
        <f t="shared" si="5"/>
        <v>0</v>
      </c>
      <c r="O23"/>
      <c r="P23"/>
      <c r="Q23"/>
      <c r="R23"/>
      <c r="S23"/>
      <c r="T23"/>
      <c r="U23"/>
      <c r="V23"/>
      <c r="W23"/>
      <c r="X23"/>
      <c r="Y23"/>
      <c r="Z23" s="344"/>
      <c r="AA23" s="337"/>
      <c r="AB23" s="337"/>
      <c r="AC23" s="337"/>
      <c r="AD23" s="329"/>
      <c r="AE23" s="147"/>
      <c r="AF23" s="147"/>
      <c r="AG23" s="147"/>
      <c r="AH23" s="147"/>
      <c r="AI23" s="147"/>
      <c r="AJ23" s="147"/>
      <c r="AK23" s="147"/>
      <c r="AL23" s="147"/>
      <c r="AM23" s="147"/>
      <c r="AN23" s="147"/>
      <c r="AO23" s="147"/>
      <c r="AP23" s="147"/>
      <c r="AQ23" s="147"/>
      <c r="AR23" s="147"/>
      <c r="AS23" s="147"/>
      <c r="AT23" s="147"/>
      <c r="AU23" s="147"/>
      <c r="AV23" s="147"/>
      <c r="AW23" s="147"/>
      <c r="AX23" s="147"/>
      <c r="AY23" s="147"/>
      <c r="AZ23" s="147"/>
      <c r="BA23" s="147"/>
      <c r="BB23" s="147"/>
      <c r="BC23" s="147"/>
      <c r="BD23" s="147"/>
      <c r="BE23" s="147"/>
      <c r="BF23" s="147"/>
      <c r="BG23" s="147"/>
      <c r="BH23" s="147"/>
      <c r="BI23" s="147"/>
      <c r="BJ23" s="147"/>
      <c r="BK23" s="147"/>
      <c r="BL23" s="147"/>
      <c r="BM23" s="147"/>
      <c r="BN23" s="147"/>
      <c r="BO23" s="147"/>
      <c r="BP23" s="147"/>
      <c r="BQ23" s="147"/>
      <c r="BR23" s="147"/>
      <c r="BS23" s="147"/>
      <c r="BT23" s="147"/>
      <c r="BU23" s="147"/>
      <c r="BV23" s="147"/>
      <c r="BW23" s="147"/>
      <c r="BX23" s="147"/>
      <c r="BY23" s="147"/>
      <c r="BZ23" s="147"/>
      <c r="CA23" s="147"/>
      <c r="CB23" s="147"/>
      <c r="CC23" s="147"/>
      <c r="CD23" s="147"/>
      <c r="CE23" s="147"/>
      <c r="CF23" s="147"/>
      <c r="CG23" s="147"/>
      <c r="CH23" s="147"/>
      <c r="CI23" s="147"/>
      <c r="CJ23" s="147"/>
      <c r="CK23" s="147"/>
      <c r="CL23" s="147"/>
      <c r="CM23" s="147"/>
      <c r="CN23" s="147"/>
      <c r="CO23" s="147"/>
      <c r="CP23" s="147"/>
    </row>
    <row r="24" spans="1:94" s="177" customFormat="1" ht="15" x14ac:dyDescent="0.25">
      <c r="A24" s="178"/>
      <c r="B24" s="179"/>
      <c r="C24" s="244"/>
      <c r="D24" s="242"/>
      <c r="E24" s="180"/>
      <c r="F24" s="181">
        <v>0</v>
      </c>
      <c r="G24" s="175">
        <v>0</v>
      </c>
      <c r="H24" s="176">
        <f t="shared" si="0"/>
        <v>0</v>
      </c>
      <c r="I24" s="176">
        <f t="shared" si="1"/>
        <v>0</v>
      </c>
      <c r="J24" s="159">
        <f t="shared" si="3"/>
        <v>0</v>
      </c>
      <c r="K24" s="166"/>
      <c r="L24" s="176">
        <f t="shared" si="2"/>
        <v>0</v>
      </c>
      <c r="M24" s="176">
        <f t="shared" si="4"/>
        <v>0</v>
      </c>
      <c r="N24" s="183">
        <f t="shared" si="5"/>
        <v>0</v>
      </c>
      <c r="O24"/>
      <c r="P24"/>
      <c r="Q24"/>
      <c r="R24"/>
      <c r="S24"/>
      <c r="T24"/>
      <c r="U24"/>
      <c r="V24"/>
      <c r="W24"/>
      <c r="X24"/>
      <c r="Y24"/>
      <c r="Z24" s="344"/>
      <c r="AA24" s="345"/>
      <c r="AB24" s="337"/>
      <c r="AC24" s="337"/>
      <c r="AD24" s="329"/>
      <c r="AE24" s="147"/>
      <c r="AF24" s="147"/>
      <c r="AG24" s="147"/>
      <c r="AH24" s="147"/>
      <c r="AI24" s="147"/>
      <c r="AJ24" s="147"/>
      <c r="AK24" s="147"/>
      <c r="AL24" s="147"/>
      <c r="AM24" s="147"/>
      <c r="AN24" s="147"/>
      <c r="AO24" s="147"/>
      <c r="AP24" s="147"/>
      <c r="AQ24" s="147"/>
      <c r="AR24" s="147"/>
      <c r="AS24" s="147"/>
      <c r="AT24" s="147"/>
      <c r="AU24" s="147"/>
      <c r="AV24" s="147"/>
      <c r="AW24" s="147"/>
      <c r="AX24" s="147"/>
      <c r="AY24" s="147"/>
      <c r="AZ24" s="147"/>
      <c r="BA24" s="147"/>
      <c r="BB24" s="147"/>
      <c r="BC24" s="147"/>
      <c r="BD24" s="147"/>
      <c r="BE24" s="147"/>
      <c r="BF24" s="147"/>
      <c r="BG24" s="147"/>
      <c r="BH24" s="147"/>
      <c r="BI24" s="147"/>
      <c r="BJ24" s="147"/>
      <c r="BK24" s="147"/>
      <c r="BL24" s="147"/>
      <c r="BM24" s="147"/>
      <c r="BN24" s="147"/>
      <c r="BO24" s="147"/>
      <c r="BP24" s="147"/>
      <c r="BQ24" s="147"/>
      <c r="BR24" s="147"/>
      <c r="BS24" s="147"/>
      <c r="BT24" s="147"/>
      <c r="BU24" s="147"/>
      <c r="BV24" s="147"/>
      <c r="BW24" s="147"/>
      <c r="BX24" s="147"/>
      <c r="BY24" s="147"/>
      <c r="BZ24" s="147"/>
      <c r="CA24" s="147"/>
      <c r="CB24" s="147"/>
      <c r="CC24" s="147"/>
      <c r="CD24" s="147"/>
      <c r="CE24" s="147"/>
      <c r="CF24" s="147"/>
      <c r="CG24" s="147"/>
      <c r="CH24" s="147"/>
      <c r="CI24" s="147"/>
      <c r="CJ24" s="147"/>
      <c r="CK24" s="147"/>
      <c r="CL24" s="147"/>
      <c r="CM24" s="147"/>
      <c r="CN24" s="147"/>
      <c r="CO24" s="147"/>
      <c r="CP24" s="147"/>
    </row>
    <row r="25" spans="1:94" s="177" customFormat="1" ht="15" x14ac:dyDescent="0.25">
      <c r="A25" s="178"/>
      <c r="B25" s="179"/>
      <c r="C25" s="244"/>
      <c r="D25" s="242"/>
      <c r="E25" s="180"/>
      <c r="F25" s="181">
        <v>0</v>
      </c>
      <c r="G25" s="182">
        <v>0</v>
      </c>
      <c r="H25" s="176">
        <f t="shared" si="0"/>
        <v>0</v>
      </c>
      <c r="I25" s="176">
        <f t="shared" si="1"/>
        <v>0</v>
      </c>
      <c r="J25" s="159">
        <f t="shared" si="3"/>
        <v>0</v>
      </c>
      <c r="K25" s="166"/>
      <c r="L25" s="176">
        <f t="shared" si="2"/>
        <v>0</v>
      </c>
      <c r="M25" s="176">
        <f t="shared" si="4"/>
        <v>0</v>
      </c>
      <c r="N25" s="183">
        <f t="shared" si="5"/>
        <v>0</v>
      </c>
      <c r="O25"/>
      <c r="P25"/>
      <c r="Q25"/>
      <c r="R25"/>
      <c r="S25"/>
      <c r="T25"/>
      <c r="U25"/>
      <c r="V25"/>
      <c r="W25"/>
      <c r="X25"/>
      <c r="Y25"/>
      <c r="Z25" s="344"/>
      <c r="AA25" s="345"/>
      <c r="AB25" s="337"/>
      <c r="AC25" s="337"/>
      <c r="AD25" s="329"/>
      <c r="AE25" s="147"/>
      <c r="AF25" s="147"/>
      <c r="AG25" s="147"/>
      <c r="AH25" s="147"/>
      <c r="AI25" s="147"/>
      <c r="AJ25" s="147"/>
      <c r="AK25" s="147"/>
      <c r="AL25" s="147"/>
      <c r="AM25" s="147"/>
      <c r="AN25" s="147"/>
      <c r="AO25" s="147"/>
      <c r="AP25" s="147"/>
      <c r="AQ25" s="147"/>
      <c r="AR25" s="147"/>
      <c r="AS25" s="147"/>
      <c r="AT25" s="147"/>
      <c r="AU25" s="147"/>
      <c r="AV25" s="147"/>
      <c r="AW25" s="147"/>
      <c r="AX25" s="147"/>
      <c r="AY25" s="147"/>
      <c r="AZ25" s="147"/>
      <c r="BA25" s="147"/>
      <c r="BB25" s="147"/>
      <c r="BC25" s="147"/>
      <c r="BD25" s="147"/>
      <c r="BE25" s="147"/>
      <c r="BF25" s="147"/>
      <c r="BG25" s="147"/>
      <c r="BH25" s="147"/>
      <c r="BI25" s="147"/>
      <c r="BJ25" s="147"/>
      <c r="BK25" s="147"/>
      <c r="BL25" s="147"/>
      <c r="BM25" s="147"/>
      <c r="BN25" s="147"/>
      <c r="BO25" s="147"/>
      <c r="BP25" s="147"/>
      <c r="BQ25" s="147"/>
      <c r="BR25" s="147"/>
      <c r="BS25" s="147"/>
      <c r="BT25" s="147"/>
      <c r="BU25" s="147"/>
      <c r="BV25" s="147"/>
      <c r="BW25" s="147"/>
      <c r="BX25" s="147"/>
      <c r="BY25" s="147"/>
      <c r="BZ25" s="147"/>
      <c r="CA25" s="147"/>
      <c r="CB25" s="147"/>
      <c r="CC25" s="147"/>
      <c r="CD25" s="147"/>
      <c r="CE25" s="147"/>
      <c r="CF25" s="147"/>
      <c r="CG25" s="147"/>
      <c r="CH25" s="147"/>
      <c r="CI25" s="147"/>
      <c r="CJ25" s="147"/>
      <c r="CK25" s="147"/>
      <c r="CL25" s="147"/>
      <c r="CM25" s="147"/>
      <c r="CN25" s="147"/>
      <c r="CO25" s="147"/>
      <c r="CP25" s="147"/>
    </row>
    <row r="26" spans="1:94" s="177" customFormat="1" ht="15" x14ac:dyDescent="0.25">
      <c r="A26" s="178"/>
      <c r="B26" s="179"/>
      <c r="C26" s="244"/>
      <c r="D26" s="242"/>
      <c r="E26" s="180"/>
      <c r="F26" s="181">
        <v>0</v>
      </c>
      <c r="G26" s="182">
        <v>0</v>
      </c>
      <c r="H26" s="176">
        <f t="shared" si="0"/>
        <v>0</v>
      </c>
      <c r="I26" s="176">
        <f t="shared" si="1"/>
        <v>0</v>
      </c>
      <c r="J26" s="159">
        <f t="shared" si="3"/>
        <v>0</v>
      </c>
      <c r="K26" s="166"/>
      <c r="L26" s="176">
        <f t="shared" si="2"/>
        <v>0</v>
      </c>
      <c r="M26" s="176">
        <f t="shared" si="4"/>
        <v>0</v>
      </c>
      <c r="N26" s="183">
        <f t="shared" si="5"/>
        <v>0</v>
      </c>
      <c r="O26"/>
      <c r="P26"/>
      <c r="Q26"/>
      <c r="R26"/>
      <c r="S26"/>
      <c r="T26"/>
      <c r="U26"/>
      <c r="V26"/>
      <c r="W26"/>
      <c r="X26"/>
      <c r="Y26"/>
      <c r="Z26" s="344"/>
      <c r="AA26" s="345"/>
      <c r="AB26" s="337"/>
      <c r="AC26" s="337"/>
      <c r="AD26" s="329"/>
      <c r="AE26" s="147"/>
      <c r="AF26" s="147"/>
      <c r="AG26" s="147"/>
      <c r="AH26" s="147"/>
      <c r="AI26" s="147"/>
      <c r="AJ26" s="147"/>
      <c r="AK26" s="147"/>
      <c r="AL26" s="147"/>
      <c r="AM26" s="147"/>
      <c r="AN26" s="147"/>
      <c r="AO26" s="147"/>
      <c r="AP26" s="147"/>
      <c r="AQ26" s="147"/>
      <c r="AR26" s="147"/>
      <c r="AS26" s="147"/>
      <c r="AT26" s="147"/>
      <c r="AU26" s="147"/>
      <c r="AV26" s="147"/>
      <c r="AW26" s="147"/>
      <c r="AX26" s="147"/>
      <c r="AY26" s="147"/>
      <c r="AZ26" s="147"/>
      <c r="BA26" s="147"/>
      <c r="BB26" s="147"/>
      <c r="BC26" s="147"/>
      <c r="BD26" s="147"/>
      <c r="BE26" s="147"/>
      <c r="BF26" s="147"/>
      <c r="BG26" s="147"/>
      <c r="BH26" s="147"/>
      <c r="BI26" s="147"/>
      <c r="BJ26" s="147"/>
      <c r="BK26" s="147"/>
      <c r="BL26" s="147"/>
      <c r="BM26" s="147"/>
      <c r="BN26" s="147"/>
      <c r="BO26" s="147"/>
      <c r="BP26" s="147"/>
      <c r="BQ26" s="147"/>
      <c r="BR26" s="147"/>
      <c r="BS26" s="147"/>
      <c r="BT26" s="147"/>
      <c r="BU26" s="147"/>
      <c r="BV26" s="147"/>
      <c r="BW26" s="147"/>
      <c r="BX26" s="147"/>
      <c r="BY26" s="147"/>
      <c r="BZ26" s="147"/>
      <c r="CA26" s="147"/>
      <c r="CB26" s="147"/>
      <c r="CC26" s="147"/>
      <c r="CD26" s="147"/>
      <c r="CE26" s="147"/>
      <c r="CF26" s="147"/>
      <c r="CG26" s="147"/>
      <c r="CH26" s="147"/>
      <c r="CI26" s="147"/>
      <c r="CJ26" s="147"/>
      <c r="CK26" s="147"/>
      <c r="CL26" s="147"/>
      <c r="CM26" s="147"/>
      <c r="CN26" s="147"/>
      <c r="CO26" s="147"/>
      <c r="CP26" s="147"/>
    </row>
    <row r="27" spans="1:94" s="177" customFormat="1" ht="15" x14ac:dyDescent="0.25">
      <c r="A27" s="178"/>
      <c r="B27" s="179"/>
      <c r="C27" s="244"/>
      <c r="D27" s="242"/>
      <c r="E27" s="180"/>
      <c r="F27" s="181">
        <v>0</v>
      </c>
      <c r="G27" s="182">
        <v>0</v>
      </c>
      <c r="H27" s="176">
        <f t="shared" si="0"/>
        <v>0</v>
      </c>
      <c r="I27" s="176">
        <f t="shared" si="1"/>
        <v>0</v>
      </c>
      <c r="J27" s="159">
        <f t="shared" si="3"/>
        <v>0</v>
      </c>
      <c r="K27" s="166"/>
      <c r="L27" s="176">
        <f t="shared" si="2"/>
        <v>0</v>
      </c>
      <c r="M27" s="176">
        <f t="shared" si="4"/>
        <v>0</v>
      </c>
      <c r="N27" s="183">
        <f t="shared" si="5"/>
        <v>0</v>
      </c>
      <c r="O27"/>
      <c r="P27"/>
      <c r="Q27"/>
      <c r="R27"/>
      <c r="S27"/>
      <c r="T27"/>
      <c r="U27"/>
      <c r="V27"/>
      <c r="W27"/>
      <c r="X27"/>
      <c r="Y27"/>
      <c r="Z27" s="344"/>
      <c r="AA27" s="337"/>
      <c r="AB27" s="337"/>
      <c r="AC27" s="337"/>
      <c r="AD27" s="329"/>
      <c r="AE27" s="147"/>
      <c r="AF27" s="147"/>
      <c r="AG27" s="147"/>
      <c r="AH27" s="147"/>
      <c r="AI27" s="147"/>
      <c r="AJ27" s="147"/>
      <c r="AK27" s="147"/>
      <c r="AL27" s="147"/>
      <c r="AM27" s="147"/>
      <c r="AN27" s="147"/>
      <c r="AO27" s="147"/>
      <c r="AP27" s="147"/>
      <c r="AQ27" s="147"/>
      <c r="AR27" s="147"/>
      <c r="AS27" s="147"/>
      <c r="AT27" s="147"/>
      <c r="AU27" s="147"/>
      <c r="AV27" s="147"/>
      <c r="AW27" s="147"/>
      <c r="AX27" s="147"/>
      <c r="AY27" s="147"/>
      <c r="AZ27" s="147"/>
      <c r="BA27" s="147"/>
      <c r="BB27" s="147"/>
      <c r="BC27" s="147"/>
      <c r="BD27" s="147"/>
      <c r="BE27" s="147"/>
      <c r="BF27" s="147"/>
      <c r="BG27" s="147"/>
      <c r="BH27" s="147"/>
      <c r="BI27" s="147"/>
      <c r="BJ27" s="147"/>
      <c r="BK27" s="147"/>
      <c r="BL27" s="147"/>
      <c r="BM27" s="147"/>
      <c r="BN27" s="147"/>
      <c r="BO27" s="147"/>
      <c r="BP27" s="147"/>
      <c r="BQ27" s="147"/>
      <c r="BR27" s="147"/>
      <c r="BS27" s="147"/>
      <c r="BT27" s="147"/>
      <c r="BU27" s="147"/>
      <c r="BV27" s="147"/>
      <c r="BW27" s="147"/>
      <c r="BX27" s="147"/>
      <c r="BY27" s="147"/>
      <c r="BZ27" s="147"/>
      <c r="CA27" s="147"/>
      <c r="CB27" s="147"/>
      <c r="CC27" s="147"/>
      <c r="CD27" s="147"/>
      <c r="CE27" s="147"/>
      <c r="CF27" s="147"/>
      <c r="CG27" s="147"/>
      <c r="CH27" s="147"/>
      <c r="CI27" s="147"/>
      <c r="CJ27" s="147"/>
      <c r="CK27" s="147"/>
      <c r="CL27" s="147"/>
      <c r="CM27" s="147"/>
      <c r="CN27" s="147"/>
      <c r="CO27" s="147"/>
      <c r="CP27" s="147"/>
    </row>
    <row r="28" spans="1:94" s="177" customFormat="1" ht="15" x14ac:dyDescent="0.25">
      <c r="A28" s="178"/>
      <c r="B28" s="179"/>
      <c r="C28" s="244"/>
      <c r="D28" s="242"/>
      <c r="E28" s="180"/>
      <c r="F28" s="181">
        <v>0</v>
      </c>
      <c r="G28" s="182">
        <v>0</v>
      </c>
      <c r="H28" s="176">
        <f t="shared" si="0"/>
        <v>0</v>
      </c>
      <c r="I28" s="176">
        <f t="shared" si="1"/>
        <v>0</v>
      </c>
      <c r="J28" s="159">
        <f t="shared" si="3"/>
        <v>0</v>
      </c>
      <c r="K28" s="166"/>
      <c r="L28" s="176">
        <f t="shared" si="2"/>
        <v>0</v>
      </c>
      <c r="M28" s="176">
        <f t="shared" si="4"/>
        <v>0</v>
      </c>
      <c r="N28" s="183">
        <f t="shared" si="5"/>
        <v>0</v>
      </c>
      <c r="O28"/>
      <c r="P28"/>
      <c r="Q28"/>
      <c r="R28"/>
      <c r="S28"/>
      <c r="T28"/>
      <c r="U28"/>
      <c r="V28"/>
      <c r="W28"/>
      <c r="X28"/>
      <c r="Y28"/>
      <c r="Z28" s="344"/>
      <c r="AA28" s="337"/>
      <c r="AB28" s="337"/>
      <c r="AC28" s="337"/>
      <c r="AD28" s="329"/>
      <c r="AE28" s="147"/>
      <c r="AF28" s="147"/>
      <c r="AG28" s="147"/>
      <c r="AH28" s="147"/>
      <c r="AI28" s="147"/>
      <c r="AJ28" s="147"/>
      <c r="AK28" s="147"/>
      <c r="AL28" s="147"/>
      <c r="AM28" s="147"/>
      <c r="AN28" s="147"/>
      <c r="AO28" s="147"/>
      <c r="AP28" s="147"/>
      <c r="AQ28" s="147"/>
      <c r="AR28" s="147"/>
      <c r="AS28" s="147"/>
      <c r="AT28" s="147"/>
      <c r="AU28" s="147"/>
      <c r="AV28" s="147"/>
      <c r="AW28" s="147"/>
      <c r="AX28" s="147"/>
      <c r="AY28" s="147"/>
      <c r="AZ28" s="147"/>
      <c r="BA28" s="147"/>
      <c r="BB28" s="147"/>
      <c r="BC28" s="147"/>
      <c r="BD28" s="147"/>
      <c r="BE28" s="147"/>
      <c r="BF28" s="147"/>
      <c r="BG28" s="147"/>
      <c r="BH28" s="147"/>
      <c r="BI28" s="147"/>
      <c r="BJ28" s="147"/>
      <c r="BK28" s="147"/>
      <c r="BL28" s="147"/>
      <c r="BM28" s="147"/>
      <c r="BN28" s="147"/>
      <c r="BO28" s="147"/>
      <c r="BP28" s="147"/>
      <c r="BQ28" s="147"/>
      <c r="BR28" s="147"/>
      <c r="BS28" s="147"/>
      <c r="BT28" s="147"/>
      <c r="BU28" s="147"/>
      <c r="BV28" s="147"/>
      <c r="BW28" s="147"/>
      <c r="BX28" s="147"/>
      <c r="BY28" s="147"/>
      <c r="BZ28" s="147"/>
      <c r="CA28" s="147"/>
      <c r="CB28" s="147"/>
      <c r="CC28" s="147"/>
      <c r="CD28" s="147"/>
      <c r="CE28" s="147"/>
      <c r="CF28" s="147"/>
      <c r="CG28" s="147"/>
      <c r="CH28" s="147"/>
      <c r="CI28" s="147"/>
      <c r="CJ28" s="147"/>
      <c r="CK28" s="147"/>
      <c r="CL28" s="147"/>
      <c r="CM28" s="147"/>
      <c r="CN28" s="147"/>
      <c r="CO28" s="147"/>
      <c r="CP28" s="147"/>
    </row>
    <row r="29" spans="1:94" s="177" customFormat="1" ht="15" x14ac:dyDescent="0.25">
      <c r="A29" s="179"/>
      <c r="B29" s="179"/>
      <c r="C29" s="171"/>
      <c r="D29" s="243"/>
      <c r="E29" s="180"/>
      <c r="F29" s="181">
        <v>0</v>
      </c>
      <c r="G29" s="182">
        <v>0</v>
      </c>
      <c r="H29" s="176">
        <f t="shared" si="0"/>
        <v>0</v>
      </c>
      <c r="I29" s="176">
        <f t="shared" si="1"/>
        <v>0</v>
      </c>
      <c r="J29" s="159">
        <f t="shared" si="3"/>
        <v>0</v>
      </c>
      <c r="K29" s="166"/>
      <c r="L29" s="176">
        <f t="shared" si="2"/>
        <v>0</v>
      </c>
      <c r="M29" s="176">
        <f t="shared" si="4"/>
        <v>0</v>
      </c>
      <c r="N29" s="183">
        <f t="shared" si="5"/>
        <v>0</v>
      </c>
      <c r="O29"/>
      <c r="P29"/>
      <c r="Q29"/>
      <c r="R29"/>
      <c r="S29"/>
      <c r="T29"/>
      <c r="U29"/>
      <c r="V29"/>
      <c r="W29"/>
      <c r="X29"/>
      <c r="Y29"/>
      <c r="Z29" s="344"/>
      <c r="AA29" s="337"/>
      <c r="AB29" s="337"/>
      <c r="AC29" s="337"/>
      <c r="AD29" s="329"/>
      <c r="AE29" s="147"/>
      <c r="AF29" s="147"/>
      <c r="AG29" s="147"/>
      <c r="AH29" s="147"/>
      <c r="AI29" s="147"/>
      <c r="AJ29" s="147"/>
      <c r="AK29" s="147"/>
      <c r="AL29" s="147"/>
      <c r="AM29" s="147"/>
      <c r="AN29" s="147"/>
      <c r="AO29" s="147"/>
      <c r="AP29" s="147"/>
      <c r="AQ29" s="147"/>
      <c r="AR29" s="147"/>
      <c r="AS29" s="147"/>
      <c r="AT29" s="147"/>
      <c r="AU29" s="147"/>
      <c r="AV29" s="147"/>
      <c r="AW29" s="147"/>
      <c r="AX29" s="147"/>
      <c r="AY29" s="147"/>
      <c r="AZ29" s="147"/>
      <c r="BA29" s="147"/>
      <c r="BB29" s="147"/>
      <c r="BC29" s="147"/>
      <c r="BD29" s="147"/>
      <c r="BE29" s="147"/>
      <c r="BF29" s="147"/>
      <c r="BG29" s="147"/>
      <c r="BH29" s="147"/>
      <c r="BI29" s="147"/>
      <c r="BJ29" s="147"/>
      <c r="BK29" s="147"/>
      <c r="BL29" s="147"/>
      <c r="BM29" s="147"/>
      <c r="BN29" s="147"/>
      <c r="BO29" s="147"/>
      <c r="BP29" s="147"/>
      <c r="BQ29" s="147"/>
      <c r="BR29" s="147"/>
      <c r="BS29" s="147"/>
      <c r="BT29" s="147"/>
      <c r="BU29" s="147"/>
      <c r="BV29" s="147"/>
      <c r="BW29" s="147"/>
      <c r="BX29" s="147"/>
      <c r="BY29" s="147"/>
      <c r="BZ29" s="147"/>
      <c r="CA29" s="147"/>
      <c r="CB29" s="147"/>
      <c r="CC29" s="147"/>
      <c r="CD29" s="147"/>
      <c r="CE29" s="147"/>
      <c r="CF29" s="147"/>
      <c r="CG29" s="147"/>
      <c r="CH29" s="147"/>
      <c r="CI29" s="147"/>
      <c r="CJ29" s="147"/>
      <c r="CK29" s="147"/>
      <c r="CL29" s="147"/>
      <c r="CM29" s="147"/>
      <c r="CN29" s="147"/>
      <c r="CO29" s="147"/>
      <c r="CP29" s="147"/>
    </row>
    <row r="30" spans="1:94" s="177" customFormat="1" ht="15" x14ac:dyDescent="0.25">
      <c r="A30" s="179"/>
      <c r="B30" s="184"/>
      <c r="C30" s="171"/>
      <c r="D30" s="243"/>
      <c r="E30" s="180"/>
      <c r="F30" s="181">
        <v>0</v>
      </c>
      <c r="G30" s="182">
        <v>0</v>
      </c>
      <c r="H30" s="176">
        <f t="shared" si="0"/>
        <v>0</v>
      </c>
      <c r="I30" s="176">
        <f t="shared" si="1"/>
        <v>0</v>
      </c>
      <c r="J30" s="159">
        <f t="shared" si="3"/>
        <v>0</v>
      </c>
      <c r="K30" s="166"/>
      <c r="L30" s="176">
        <f t="shared" si="2"/>
        <v>0</v>
      </c>
      <c r="M30" s="176">
        <f t="shared" si="4"/>
        <v>0</v>
      </c>
      <c r="N30" s="183">
        <f t="shared" si="5"/>
        <v>0</v>
      </c>
      <c r="O30"/>
      <c r="P30"/>
      <c r="Q30"/>
      <c r="R30"/>
      <c r="S30"/>
      <c r="T30"/>
      <c r="U30"/>
      <c r="V30"/>
      <c r="W30"/>
      <c r="X30"/>
      <c r="Y30"/>
      <c r="Z30" s="344"/>
      <c r="AA30" s="337"/>
      <c r="AB30" s="337"/>
      <c r="AC30" s="337"/>
      <c r="AD30" s="329"/>
      <c r="AE30" s="147"/>
      <c r="AF30" s="147"/>
      <c r="AG30" s="147"/>
      <c r="AH30" s="147"/>
      <c r="AI30" s="147"/>
      <c r="AJ30" s="147"/>
      <c r="AK30" s="147"/>
      <c r="AL30" s="147"/>
      <c r="AM30" s="147"/>
      <c r="AN30" s="147"/>
      <c r="AO30" s="147"/>
      <c r="AP30" s="147"/>
      <c r="AQ30" s="147"/>
      <c r="AR30" s="147"/>
      <c r="AS30" s="147"/>
      <c r="AT30" s="147"/>
      <c r="AU30" s="147"/>
      <c r="AV30" s="147"/>
      <c r="AW30" s="147"/>
      <c r="AX30" s="147"/>
      <c r="AY30" s="147"/>
      <c r="AZ30" s="147"/>
      <c r="BA30" s="147"/>
      <c r="BB30" s="147"/>
      <c r="BC30" s="147"/>
      <c r="BD30" s="147"/>
      <c r="BE30" s="147"/>
      <c r="BF30" s="147"/>
      <c r="BG30" s="147"/>
      <c r="BH30" s="147"/>
      <c r="BI30" s="147"/>
      <c r="BJ30" s="147"/>
      <c r="BK30" s="147"/>
      <c r="BL30" s="147"/>
      <c r="BM30" s="147"/>
      <c r="BN30" s="147"/>
      <c r="BO30" s="147"/>
      <c r="BP30" s="147"/>
      <c r="BQ30" s="147"/>
      <c r="BR30" s="147"/>
      <c r="BS30" s="147"/>
      <c r="BT30" s="147"/>
      <c r="BU30" s="147"/>
      <c r="BV30" s="147"/>
      <c r="BW30" s="147"/>
      <c r="BX30" s="147"/>
      <c r="BY30" s="147"/>
      <c r="BZ30" s="147"/>
      <c r="CA30" s="147"/>
      <c r="CB30" s="147"/>
      <c r="CC30" s="147"/>
      <c r="CD30" s="147"/>
      <c r="CE30" s="147"/>
      <c r="CF30" s="147"/>
      <c r="CG30" s="147"/>
      <c r="CH30" s="147"/>
      <c r="CI30" s="147"/>
      <c r="CJ30" s="147"/>
      <c r="CK30" s="147"/>
      <c r="CL30" s="147"/>
      <c r="CM30" s="147"/>
      <c r="CN30" s="147"/>
      <c r="CO30" s="147"/>
      <c r="CP30" s="147"/>
    </row>
    <row r="31" spans="1:94" s="153" customFormat="1" ht="15" x14ac:dyDescent="0.25">
      <c r="A31" s="139"/>
      <c r="B31" s="168"/>
      <c r="C31" s="245"/>
      <c r="D31" s="246" t="s">
        <v>36</v>
      </c>
      <c r="E31" s="150"/>
      <c r="F31" s="165"/>
      <c r="G31" s="166"/>
      <c r="H31" s="166"/>
      <c r="I31" s="166"/>
      <c r="J31" s="166"/>
      <c r="K31" s="166"/>
      <c r="L31" s="166"/>
      <c r="M31" s="166"/>
      <c r="N31" s="166"/>
      <c r="O31"/>
      <c r="P31"/>
      <c r="Q31"/>
      <c r="R31"/>
      <c r="S31"/>
      <c r="T31"/>
      <c r="U31"/>
      <c r="V31"/>
      <c r="W31"/>
      <c r="X31"/>
      <c r="Y31"/>
      <c r="Z31" s="344"/>
      <c r="AA31" s="337"/>
      <c r="AB31" s="337"/>
      <c r="AC31" s="337"/>
      <c r="AD31" s="329"/>
      <c r="AE31" s="147"/>
      <c r="AF31" s="147"/>
      <c r="AG31" s="147"/>
      <c r="AH31" s="147"/>
      <c r="AI31" s="147"/>
      <c r="AJ31" s="147"/>
      <c r="AK31" s="147"/>
      <c r="AL31" s="147"/>
      <c r="AM31" s="147"/>
      <c r="AN31" s="147"/>
      <c r="AO31" s="147"/>
      <c r="AP31" s="147"/>
      <c r="AQ31" s="147"/>
      <c r="AR31" s="147"/>
      <c r="AS31" s="147"/>
      <c r="AT31" s="147"/>
      <c r="AU31" s="147"/>
      <c r="AV31" s="147"/>
      <c r="AW31" s="147"/>
      <c r="AX31" s="147"/>
      <c r="AY31" s="147"/>
      <c r="AZ31" s="147"/>
      <c r="BA31" s="147"/>
      <c r="BB31" s="147"/>
      <c r="BC31" s="147"/>
      <c r="BD31" s="147"/>
      <c r="BE31" s="147"/>
      <c r="BF31" s="147"/>
      <c r="BG31" s="147"/>
      <c r="BH31" s="147"/>
      <c r="BI31" s="147"/>
      <c r="BJ31" s="147"/>
      <c r="BK31" s="147"/>
      <c r="BL31" s="147"/>
      <c r="BM31" s="147"/>
      <c r="BN31" s="147"/>
      <c r="BO31" s="147"/>
      <c r="BP31" s="147"/>
      <c r="BQ31" s="147"/>
      <c r="BR31" s="147"/>
      <c r="BS31" s="147"/>
      <c r="BT31" s="147"/>
      <c r="BU31" s="147"/>
      <c r="BV31" s="147"/>
      <c r="BW31" s="147"/>
      <c r="BX31" s="147"/>
      <c r="BY31" s="147"/>
      <c r="BZ31" s="147"/>
      <c r="CA31" s="147"/>
      <c r="CB31" s="147"/>
      <c r="CC31" s="147"/>
      <c r="CD31" s="147"/>
      <c r="CE31" s="147"/>
      <c r="CF31" s="147"/>
      <c r="CG31" s="147"/>
      <c r="CH31" s="147"/>
      <c r="CI31" s="147"/>
      <c r="CJ31" s="147"/>
      <c r="CK31" s="147"/>
      <c r="CL31" s="147"/>
      <c r="CM31" s="147"/>
      <c r="CN31" s="147"/>
      <c r="CO31" s="147"/>
      <c r="CP31" s="147"/>
    </row>
    <row r="32" spans="1:94" s="177" customFormat="1" ht="15" x14ac:dyDescent="0.25">
      <c r="A32" s="185"/>
      <c r="B32" s="185"/>
      <c r="C32" s="244"/>
      <c r="D32" s="242"/>
      <c r="E32" s="173"/>
      <c r="F32" s="174">
        <v>0</v>
      </c>
      <c r="G32" s="175">
        <v>0</v>
      </c>
      <c r="H32" s="176">
        <f t="shared" ref="H32:H35" si="6">IF(AND($F32&lt;&gt;0,$G32&lt;&gt;0,OR($E32=1,$E32=3)),$F32*Health,0)</f>
        <v>0</v>
      </c>
      <c r="I32" s="176">
        <f t="shared" ref="I32:I34" si="7">IF(AND($E32=1,$C32=""),$G32*PermVB+$G32*Retire1,IF($E32=1,$G32*PermVB+$G32*VLOOKUP($C32,Retirement_Rates,3,FALSE),IF($E32=2,$G32*GroupVB,IF(AND($E32=3,$C32=""),$G32*ElectVB+$G32*Retire1,IF($E32=3,$G32*ElectVB+$G32*VLOOKUP($C32,Retirement_Rates,3,FALSE),0)))))</f>
        <v>0</v>
      </c>
      <c r="J32" s="279">
        <f t="shared" si="3"/>
        <v>0</v>
      </c>
      <c r="K32" s="166"/>
      <c r="L32" s="176">
        <f t="shared" ref="L32:L35" si="8">IF(AND($F32&lt;&gt;0,$G32&lt;&gt;0,OR($E32=1,$E32=3)),$F32*HealthCHG,0)</f>
        <v>0</v>
      </c>
      <c r="M32" s="176">
        <f t="shared" ref="M32:M35" si="9">IF(AND($E32=1,$C32=""),$G32*PermVBCHG+$G32*Retire1CHG,IF($E32=1,$G32*PermVBCHG+$G32*VLOOKUP($C32,Retirement_Rates,5,FALSE),IF($E32=2,0,IF(AND($E32=3,$C32=""),$G32*ElectVBCHG+$G32*Retire1CHG,IF($E32=3,$G32*ElectVBCHG+$G32*VLOOKUP($C32,Retirement_Rates,5,FALSE),0)))))</f>
        <v>0</v>
      </c>
      <c r="N32" s="176">
        <f t="shared" ref="N32:N35" si="10">SUM(L32:M32)</f>
        <v>0</v>
      </c>
      <c r="O32"/>
      <c r="P32"/>
      <c r="Q32"/>
      <c r="R32"/>
      <c r="S32"/>
      <c r="T32"/>
      <c r="U32"/>
      <c r="V32"/>
      <c r="W32"/>
      <c r="X32"/>
      <c r="Y32"/>
      <c r="Z32" s="344"/>
      <c r="AA32" s="337"/>
      <c r="AB32" s="337"/>
      <c r="AC32" s="337"/>
      <c r="AD32" s="329"/>
      <c r="AE32" s="147"/>
      <c r="AF32" s="147"/>
      <c r="AG32" s="147"/>
      <c r="AH32" s="147"/>
      <c r="AI32" s="147"/>
      <c r="AJ32" s="147"/>
      <c r="AK32" s="147"/>
      <c r="AL32" s="147"/>
      <c r="AM32" s="147"/>
      <c r="AN32" s="147"/>
      <c r="AO32" s="147"/>
      <c r="AP32" s="147"/>
      <c r="AQ32" s="147"/>
      <c r="AR32" s="147"/>
      <c r="AS32" s="147"/>
      <c r="AT32" s="147"/>
      <c r="AU32" s="147"/>
      <c r="AV32" s="147"/>
      <c r="AW32" s="147"/>
      <c r="AX32" s="147"/>
      <c r="AY32" s="147"/>
      <c r="AZ32" s="147"/>
      <c r="BA32" s="147"/>
      <c r="BB32" s="147"/>
      <c r="BC32" s="147"/>
      <c r="BD32" s="147"/>
      <c r="BE32" s="147"/>
      <c r="BF32" s="147"/>
      <c r="BG32" s="147"/>
      <c r="BH32" s="147"/>
      <c r="BI32" s="147"/>
      <c r="BJ32" s="147"/>
      <c r="BK32" s="147"/>
      <c r="BL32" s="147"/>
      <c r="BM32" s="147"/>
      <c r="BN32" s="147"/>
      <c r="BO32" s="147"/>
      <c r="BP32" s="147"/>
      <c r="BQ32" s="147"/>
      <c r="BR32" s="147"/>
      <c r="BS32" s="147"/>
      <c r="BT32" s="147"/>
      <c r="BU32" s="147"/>
      <c r="BV32" s="147"/>
      <c r="BW32" s="147"/>
      <c r="BX32" s="147"/>
      <c r="BY32" s="147"/>
      <c r="BZ32" s="147"/>
      <c r="CA32" s="147"/>
      <c r="CB32" s="147"/>
      <c r="CC32" s="147"/>
      <c r="CD32" s="147"/>
      <c r="CE32" s="147"/>
      <c r="CF32" s="147"/>
      <c r="CG32" s="147"/>
      <c r="CH32" s="147"/>
      <c r="CI32" s="147"/>
      <c r="CJ32" s="147"/>
      <c r="CK32" s="147"/>
      <c r="CL32" s="147"/>
      <c r="CM32" s="147"/>
      <c r="CN32" s="147"/>
      <c r="CO32" s="147"/>
      <c r="CP32" s="147"/>
    </row>
    <row r="33" spans="1:94" s="177" customFormat="1" ht="15" x14ac:dyDescent="0.25">
      <c r="A33" s="186"/>
      <c r="B33" s="187"/>
      <c r="C33" s="244"/>
      <c r="D33" s="242"/>
      <c r="E33" s="180"/>
      <c r="F33" s="181">
        <v>0</v>
      </c>
      <c r="G33" s="182">
        <v>0</v>
      </c>
      <c r="H33" s="176">
        <f t="shared" si="6"/>
        <v>0</v>
      </c>
      <c r="I33" s="176">
        <f t="shared" si="7"/>
        <v>0</v>
      </c>
      <c r="J33" s="279">
        <f t="shared" si="3"/>
        <v>0</v>
      </c>
      <c r="K33" s="166"/>
      <c r="L33" s="176">
        <f t="shared" si="8"/>
        <v>0</v>
      </c>
      <c r="M33" s="176">
        <f t="shared" si="9"/>
        <v>0</v>
      </c>
      <c r="N33" s="183">
        <f t="shared" si="10"/>
        <v>0</v>
      </c>
      <c r="O33"/>
      <c r="P33"/>
      <c r="Q33"/>
      <c r="R33"/>
      <c r="S33"/>
      <c r="T33"/>
      <c r="U33"/>
      <c r="V33"/>
      <c r="W33"/>
      <c r="X33"/>
      <c r="Y33"/>
      <c r="Z33" s="344"/>
      <c r="AA33" s="337"/>
      <c r="AB33" s="337"/>
      <c r="AC33" s="337"/>
      <c r="AD33" s="329"/>
      <c r="AE33" s="147"/>
      <c r="AF33" s="147"/>
      <c r="AG33" s="147"/>
      <c r="AH33" s="147"/>
      <c r="AI33" s="147"/>
      <c r="AJ33" s="147"/>
      <c r="AK33" s="147"/>
      <c r="AL33" s="147"/>
      <c r="AM33" s="147"/>
      <c r="AN33" s="147"/>
      <c r="AO33" s="147"/>
      <c r="AP33" s="147"/>
      <c r="AQ33" s="147"/>
      <c r="AR33" s="147"/>
      <c r="AS33" s="147"/>
      <c r="AT33" s="147"/>
      <c r="AU33" s="147"/>
      <c r="AV33" s="147"/>
      <c r="AW33" s="147"/>
      <c r="AX33" s="147"/>
      <c r="AY33" s="147"/>
      <c r="AZ33" s="147"/>
      <c r="BA33" s="147"/>
      <c r="BB33" s="147"/>
      <c r="BC33" s="147"/>
      <c r="BD33" s="147"/>
      <c r="BE33" s="147"/>
      <c r="BF33" s="147"/>
      <c r="BG33" s="147"/>
      <c r="BH33" s="147"/>
      <c r="BI33" s="147"/>
      <c r="BJ33" s="147"/>
      <c r="BK33" s="147"/>
      <c r="BL33" s="147"/>
      <c r="BM33" s="147"/>
      <c r="BN33" s="147"/>
      <c r="BO33" s="147"/>
      <c r="BP33" s="147"/>
      <c r="BQ33" s="147"/>
      <c r="BR33" s="147"/>
      <c r="BS33" s="147"/>
      <c r="BT33" s="147"/>
      <c r="BU33" s="147"/>
      <c r="BV33" s="147"/>
      <c r="BW33" s="147"/>
      <c r="BX33" s="147"/>
      <c r="BY33" s="147"/>
      <c r="BZ33" s="147"/>
      <c r="CA33" s="147"/>
      <c r="CB33" s="147"/>
      <c r="CC33" s="147"/>
      <c r="CD33" s="147"/>
      <c r="CE33" s="147"/>
      <c r="CF33" s="147"/>
      <c r="CG33" s="147"/>
      <c r="CH33" s="147"/>
      <c r="CI33" s="147"/>
      <c r="CJ33" s="147"/>
      <c r="CK33" s="147"/>
      <c r="CL33" s="147"/>
      <c r="CM33" s="147"/>
      <c r="CN33" s="147"/>
      <c r="CO33" s="147"/>
      <c r="CP33" s="147"/>
    </row>
    <row r="34" spans="1:94" s="177" customFormat="1" ht="15" x14ac:dyDescent="0.25">
      <c r="A34" s="186"/>
      <c r="B34" s="187"/>
      <c r="C34" s="244"/>
      <c r="D34" s="242"/>
      <c r="E34" s="180"/>
      <c r="F34" s="181">
        <v>0</v>
      </c>
      <c r="G34" s="182">
        <v>0</v>
      </c>
      <c r="H34" s="176">
        <f t="shared" si="6"/>
        <v>0</v>
      </c>
      <c r="I34" s="176">
        <f t="shared" si="7"/>
        <v>0</v>
      </c>
      <c r="J34" s="279">
        <f t="shared" si="3"/>
        <v>0</v>
      </c>
      <c r="K34" s="280"/>
      <c r="L34" s="176">
        <f t="shared" si="8"/>
        <v>0</v>
      </c>
      <c r="M34" s="176">
        <f t="shared" si="9"/>
        <v>0</v>
      </c>
      <c r="N34" s="183">
        <f t="shared" si="10"/>
        <v>0</v>
      </c>
      <c r="O34"/>
      <c r="P34"/>
      <c r="Q34"/>
      <c r="R34"/>
      <c r="S34"/>
      <c r="T34"/>
      <c r="U34"/>
      <c r="V34"/>
      <c r="W34"/>
      <c r="X34"/>
      <c r="Y34"/>
      <c r="Z34" s="344"/>
      <c r="AA34" s="337"/>
      <c r="AB34" s="337"/>
      <c r="AC34" s="337"/>
      <c r="AD34" s="329"/>
      <c r="AE34" s="147"/>
      <c r="AF34" s="147"/>
      <c r="AG34" s="147"/>
      <c r="AH34" s="147"/>
      <c r="AI34" s="147"/>
      <c r="AJ34" s="147"/>
      <c r="AK34" s="147"/>
      <c r="AL34" s="147"/>
      <c r="AM34" s="147"/>
      <c r="AN34" s="147"/>
      <c r="AO34" s="147"/>
      <c r="AP34" s="147"/>
      <c r="AQ34" s="147"/>
      <c r="AR34" s="147"/>
      <c r="AS34" s="147"/>
      <c r="AT34" s="147"/>
      <c r="AU34" s="147"/>
      <c r="AV34" s="147"/>
      <c r="AW34" s="147"/>
      <c r="AX34" s="147"/>
      <c r="AY34" s="147"/>
      <c r="AZ34" s="147"/>
      <c r="BA34" s="147"/>
      <c r="BB34" s="147"/>
      <c r="BC34" s="147"/>
      <c r="BD34" s="147"/>
      <c r="BE34" s="147"/>
      <c r="BF34" s="147"/>
      <c r="BG34" s="147"/>
      <c r="BH34" s="147"/>
      <c r="BI34" s="147"/>
      <c r="BJ34" s="147"/>
      <c r="BK34" s="147"/>
      <c r="BL34" s="147"/>
      <c r="BM34" s="147"/>
      <c r="BN34" s="147"/>
      <c r="BO34" s="147"/>
      <c r="BP34" s="147"/>
      <c r="BQ34" s="147"/>
      <c r="BR34" s="147"/>
      <c r="BS34" s="147"/>
      <c r="BT34" s="147"/>
      <c r="BU34" s="147"/>
      <c r="BV34" s="147"/>
      <c r="BW34" s="147"/>
      <c r="BX34" s="147"/>
      <c r="BY34" s="147"/>
      <c r="BZ34" s="147"/>
      <c r="CA34" s="147"/>
      <c r="CB34" s="147"/>
      <c r="CC34" s="147"/>
      <c r="CD34" s="147"/>
      <c r="CE34" s="147"/>
      <c r="CF34" s="147"/>
      <c r="CG34" s="147"/>
      <c r="CH34" s="147"/>
      <c r="CI34" s="147"/>
      <c r="CJ34" s="147"/>
      <c r="CK34" s="147"/>
      <c r="CL34" s="147"/>
      <c r="CM34" s="147"/>
      <c r="CN34" s="147"/>
      <c r="CO34" s="147"/>
      <c r="CP34" s="147"/>
    </row>
    <row r="35" spans="1:94" s="177" customFormat="1" ht="15" x14ac:dyDescent="0.25">
      <c r="A35" s="186"/>
      <c r="B35" s="187"/>
      <c r="C35" s="244"/>
      <c r="D35" s="242"/>
      <c r="E35" s="180"/>
      <c r="F35" s="181">
        <v>0</v>
      </c>
      <c r="G35" s="182">
        <v>0</v>
      </c>
      <c r="H35" s="176">
        <f t="shared" si="6"/>
        <v>0</v>
      </c>
      <c r="I35" s="176">
        <f>IF(AND($E35=1,$C35=""),$G35*(PermVB+Retire1),IF($E35=1,$G35*PermVB+$G35*VLOOKUP($C35,Retirement_Rates,3,FALSE),IF($E35=2,$G35*GroupVB,IF(AND($E35=3,$C35=""),$G35*ElectVB+$G35*Retire1,IF($E35=3,$G35*ElectVB+$G35*VLOOKUP($C35,Retirement_Rates,3,FALSE),0)))))</f>
        <v>0</v>
      </c>
      <c r="J35" s="279">
        <f t="shared" si="3"/>
        <v>0</v>
      </c>
      <c r="K35" s="309"/>
      <c r="L35" s="176">
        <f t="shared" si="8"/>
        <v>0</v>
      </c>
      <c r="M35" s="176">
        <f t="shared" si="9"/>
        <v>0</v>
      </c>
      <c r="N35" s="183">
        <f t="shared" si="10"/>
        <v>0</v>
      </c>
      <c r="O35"/>
      <c r="P35"/>
      <c r="Q35"/>
      <c r="R35"/>
      <c r="S35"/>
      <c r="T35"/>
      <c r="U35"/>
      <c r="V35"/>
      <c r="W35"/>
      <c r="X35"/>
      <c r="Y35"/>
      <c r="Z35" s="344"/>
      <c r="AA35" s="337"/>
      <c r="AB35" s="337"/>
      <c r="AC35" s="337"/>
      <c r="AD35" s="329"/>
      <c r="AE35" s="147"/>
      <c r="AF35" s="147"/>
      <c r="AG35" s="147"/>
      <c r="AH35" s="147"/>
      <c r="AI35" s="147"/>
      <c r="AJ35" s="147"/>
      <c r="AK35" s="147"/>
      <c r="AL35" s="147"/>
      <c r="AM35" s="147"/>
      <c r="AN35" s="147"/>
      <c r="AO35" s="147"/>
      <c r="AP35" s="147"/>
      <c r="AQ35" s="147"/>
      <c r="AR35" s="147"/>
      <c r="AS35" s="147"/>
      <c r="AT35" s="147"/>
      <c r="AU35" s="147"/>
      <c r="AV35" s="147"/>
      <c r="AW35" s="147"/>
      <c r="AX35" s="147"/>
      <c r="AY35" s="147"/>
      <c r="AZ35" s="147"/>
      <c r="BA35" s="147"/>
      <c r="BB35" s="147"/>
      <c r="BC35" s="147"/>
      <c r="BD35" s="147"/>
      <c r="BE35" s="147"/>
      <c r="BF35" s="147"/>
      <c r="BG35" s="147"/>
      <c r="BH35" s="147"/>
      <c r="BI35" s="147"/>
      <c r="BJ35" s="147"/>
      <c r="BK35" s="147"/>
      <c r="BL35" s="147"/>
      <c r="BM35" s="147"/>
      <c r="BN35" s="147"/>
      <c r="BO35" s="147"/>
      <c r="BP35" s="147"/>
      <c r="BQ35" s="147"/>
      <c r="BR35" s="147"/>
      <c r="BS35" s="147"/>
      <c r="BT35" s="147"/>
      <c r="BU35" s="147"/>
      <c r="BV35" s="147"/>
      <c r="BW35" s="147"/>
      <c r="BX35" s="147"/>
      <c r="BY35" s="147"/>
      <c r="BZ35" s="147"/>
      <c r="CA35" s="147"/>
      <c r="CB35" s="147"/>
      <c r="CC35" s="147"/>
      <c r="CD35" s="147"/>
      <c r="CE35" s="147"/>
      <c r="CF35" s="147"/>
      <c r="CG35" s="147"/>
      <c r="CH35" s="147"/>
      <c r="CI35" s="147"/>
      <c r="CJ35" s="147"/>
      <c r="CK35" s="147"/>
      <c r="CL35" s="147"/>
      <c r="CM35" s="147"/>
      <c r="CN35" s="147"/>
      <c r="CO35" s="147"/>
      <c r="CP35" s="147"/>
    </row>
    <row r="36" spans="1:94" s="213" customFormat="1" ht="15" x14ac:dyDescent="0.25">
      <c r="A36" s="281"/>
      <c r="B36" s="282"/>
      <c r="C36" s="283"/>
      <c r="D36" s="284"/>
      <c r="E36" s="285"/>
      <c r="F36" s="197"/>
      <c r="G36" s="259"/>
      <c r="H36" s="259"/>
      <c r="I36" s="259"/>
      <c r="J36" s="286"/>
      <c r="K36" s="280"/>
      <c r="L36" s="321"/>
      <c r="M36" s="259"/>
      <c r="N36" s="259"/>
      <c r="O36"/>
      <c r="P36"/>
      <c r="Q36"/>
      <c r="R36"/>
      <c r="S36"/>
      <c r="T36"/>
      <c r="U36"/>
      <c r="V36"/>
      <c r="W36"/>
      <c r="X36"/>
      <c r="Y36"/>
      <c r="Z36" s="344"/>
      <c r="AA36" s="337" t="s">
        <v>94</v>
      </c>
      <c r="AB36" s="333" t="s">
        <v>95</v>
      </c>
      <c r="AC36" s="333" t="s">
        <v>106</v>
      </c>
      <c r="AD36" s="330"/>
    </row>
    <row r="37" spans="1:94" s="153" customFormat="1" ht="17.25" customHeight="1" x14ac:dyDescent="0.25">
      <c r="A37" s="139"/>
      <c r="B37" s="188"/>
      <c r="C37" s="459" t="s">
        <v>37</v>
      </c>
      <c r="D37" s="460"/>
      <c r="E37" s="150"/>
      <c r="F37" s="165"/>
      <c r="G37" s="166"/>
      <c r="H37" s="166"/>
      <c r="I37" s="166"/>
      <c r="J37" s="322"/>
      <c r="K37" s="166"/>
      <c r="L37" s="166"/>
      <c r="M37" s="166"/>
      <c r="N37" s="166"/>
      <c r="O37"/>
      <c r="P37"/>
      <c r="Q37"/>
      <c r="R37"/>
      <c r="S37"/>
      <c r="T37"/>
      <c r="U37"/>
      <c r="V37"/>
      <c r="W37"/>
      <c r="X37"/>
      <c r="Y37"/>
      <c r="Z37" s="344"/>
      <c r="AA37" s="461" t="s">
        <v>107</v>
      </c>
      <c r="AB37" s="462"/>
      <c r="AC37" s="462"/>
      <c r="AD37" s="329"/>
      <c r="AE37" s="147"/>
      <c r="AF37" s="147"/>
      <c r="AG37" s="147"/>
      <c r="AH37" s="147"/>
      <c r="AI37" s="147"/>
      <c r="AJ37" s="147"/>
      <c r="AK37" s="147"/>
      <c r="AL37" s="147"/>
      <c r="AM37" s="147"/>
      <c r="AN37" s="147"/>
      <c r="AO37" s="147"/>
      <c r="AP37" s="147"/>
      <c r="AQ37" s="147"/>
      <c r="AR37" s="147"/>
      <c r="AS37" s="147"/>
      <c r="AT37" s="147"/>
      <c r="AU37" s="147"/>
      <c r="AV37" s="147"/>
      <c r="AW37" s="147"/>
      <c r="AX37" s="147"/>
      <c r="AY37" s="147"/>
      <c r="AZ37" s="147"/>
      <c r="BA37" s="147"/>
      <c r="BB37" s="147"/>
      <c r="BC37" s="147"/>
      <c r="BD37" s="147"/>
      <c r="BE37" s="147"/>
      <c r="BF37" s="147"/>
      <c r="BG37" s="147"/>
      <c r="BH37" s="147"/>
      <c r="BI37" s="147"/>
      <c r="BJ37" s="147"/>
      <c r="BK37" s="147"/>
      <c r="BL37" s="147"/>
      <c r="BM37" s="147"/>
      <c r="BN37" s="147"/>
      <c r="BO37" s="147"/>
      <c r="BP37" s="147"/>
      <c r="BQ37" s="147"/>
      <c r="BR37" s="147"/>
      <c r="BS37" s="147"/>
      <c r="BT37" s="147"/>
      <c r="BU37" s="147"/>
      <c r="BV37" s="147"/>
      <c r="BW37" s="147"/>
      <c r="BX37" s="147"/>
      <c r="BY37" s="147"/>
      <c r="BZ37" s="147"/>
      <c r="CA37" s="147"/>
      <c r="CB37" s="147"/>
      <c r="CC37" s="147"/>
      <c r="CD37" s="147"/>
      <c r="CE37" s="147"/>
      <c r="CF37" s="147"/>
      <c r="CG37" s="147"/>
      <c r="CH37" s="147"/>
      <c r="CI37" s="147"/>
      <c r="CJ37" s="147"/>
      <c r="CK37" s="147"/>
      <c r="CL37" s="147"/>
      <c r="CM37" s="147"/>
      <c r="CN37" s="147"/>
      <c r="CO37" s="147"/>
      <c r="CP37" s="147"/>
    </row>
    <row r="38" spans="1:94" s="153" customFormat="1" ht="15" x14ac:dyDescent="0.25">
      <c r="A38" s="139"/>
      <c r="B38" s="188"/>
      <c r="C38" s="443" t="str">
        <f>perm_name</f>
        <v>Permanent Positions</v>
      </c>
      <c r="D38" s="444"/>
      <c r="E38" s="189">
        <v>1</v>
      </c>
      <c r="F38" s="190">
        <f>SUMIF($E9:$E35,$E38,$F9:$F35)</f>
        <v>0</v>
      </c>
      <c r="G38" s="191">
        <f>SUMIF($E10:$E35,$E38,$G10:$G35)</f>
        <v>0</v>
      </c>
      <c r="H38" s="192">
        <f>SUMIF($E10:$E35,$E38,$H10:$H35)</f>
        <v>0</v>
      </c>
      <c r="I38" s="192">
        <f>SUMIF($E10:$E35,$E38,$I10:$I35)</f>
        <v>0</v>
      </c>
      <c r="J38" s="192">
        <f>SUM(G38:I38)</f>
        <v>0</v>
      </c>
      <c r="K38" s="166"/>
      <c r="L38" s="191">
        <f>SUMIF($E10:$E35,$E38,$L10:$L35)</f>
        <v>0</v>
      </c>
      <c r="M38" s="192">
        <f>SUMIF($E10:$E35,$E38,$M10:$M35)</f>
        <v>0</v>
      </c>
      <c r="N38" s="192">
        <f>SUM(L38:M38)</f>
        <v>0</v>
      </c>
      <c r="O38"/>
      <c r="P38"/>
      <c r="Q38"/>
      <c r="R38"/>
      <c r="S38"/>
      <c r="T38"/>
      <c r="U38"/>
      <c r="V38"/>
      <c r="W38"/>
      <c r="X38"/>
      <c r="Y38"/>
      <c r="Z38" s="344"/>
      <c r="AA38" s="338">
        <f>ROUND(AdjPermSalary*CECPerm,-2)</f>
        <v>0</v>
      </c>
      <c r="AB38" s="338">
        <f>ROUND((AdjPermVB*CECPerm+AdjPermVBBY*CECPerm),-2)</f>
        <v>0</v>
      </c>
      <c r="AC38" s="338">
        <f>SUM(AA38:AB38)</f>
        <v>0</v>
      </c>
      <c r="AD38" s="329"/>
      <c r="AE38" s="147"/>
      <c r="AF38" s="147"/>
      <c r="AG38" s="147"/>
      <c r="AH38" s="147"/>
      <c r="AI38" s="147"/>
      <c r="AJ38" s="147"/>
      <c r="AK38" s="147"/>
      <c r="AL38" s="147"/>
      <c r="AM38" s="147"/>
      <c r="AN38" s="147"/>
      <c r="AO38" s="147"/>
      <c r="AP38" s="147"/>
      <c r="AQ38" s="147"/>
      <c r="AR38" s="147"/>
      <c r="AS38" s="147"/>
      <c r="AT38" s="147"/>
      <c r="AU38" s="147"/>
      <c r="AV38" s="147"/>
      <c r="AW38" s="147"/>
      <c r="AX38" s="147"/>
      <c r="AY38" s="147"/>
      <c r="AZ38" s="147"/>
      <c r="BA38" s="147"/>
      <c r="BB38" s="147"/>
      <c r="BC38" s="147"/>
      <c r="BD38" s="147"/>
      <c r="BE38" s="147"/>
      <c r="BF38" s="147"/>
      <c r="BG38" s="147"/>
      <c r="BH38" s="147"/>
      <c r="BI38" s="147"/>
      <c r="BJ38" s="147"/>
      <c r="BK38" s="147"/>
      <c r="BL38" s="147"/>
      <c r="BM38" s="147"/>
      <c r="BN38" s="147"/>
      <c r="BO38" s="147"/>
      <c r="BP38" s="147"/>
      <c r="BQ38" s="147"/>
      <c r="BR38" s="147"/>
      <c r="BS38" s="147"/>
      <c r="BT38" s="147"/>
      <c r="BU38" s="147"/>
      <c r="BV38" s="147"/>
      <c r="BW38" s="147"/>
      <c r="BX38" s="147"/>
      <c r="BY38" s="147"/>
      <c r="BZ38" s="147"/>
      <c r="CA38" s="147"/>
      <c r="CB38" s="147"/>
      <c r="CC38" s="147"/>
      <c r="CD38" s="147"/>
      <c r="CE38" s="147"/>
      <c r="CF38" s="147"/>
      <c r="CG38" s="147"/>
      <c r="CH38" s="147"/>
      <c r="CI38" s="147"/>
      <c r="CJ38" s="147"/>
      <c r="CK38" s="147"/>
      <c r="CL38" s="147"/>
      <c r="CM38" s="147"/>
      <c r="CN38" s="147"/>
      <c r="CO38" s="147"/>
      <c r="CP38" s="147"/>
    </row>
    <row r="39" spans="1:94" s="153" customFormat="1" ht="15" x14ac:dyDescent="0.25">
      <c r="A39" s="139"/>
      <c r="B39" s="188"/>
      <c r="C39" s="443" t="str">
        <f>Group_name</f>
        <v>Board &amp; Group Positions</v>
      </c>
      <c r="D39" s="444"/>
      <c r="E39" s="189">
        <v>2</v>
      </c>
      <c r="F39" s="151">
        <f>SUMIF($E9:$E35,$E39,$F9:$F35)</f>
        <v>0</v>
      </c>
      <c r="G39" s="193">
        <f>SUMIF($E10:$E35,$E39,$G10:$G35)</f>
        <v>0</v>
      </c>
      <c r="H39" s="152">
        <f>SUMIF($E10:$E35,$E39,$H10:$H35)</f>
        <v>0</v>
      </c>
      <c r="I39" s="152">
        <f>SUMIF($E10:$E35,$E39,$I10:$I35)</f>
        <v>0</v>
      </c>
      <c r="J39" s="152">
        <f>SUM(G39:I39)</f>
        <v>0</v>
      </c>
      <c r="K39" s="259"/>
      <c r="L39" s="193">
        <f>SUMIF($E10:$E35,$E39,$L10:$L35)</f>
        <v>0</v>
      </c>
      <c r="M39" s="152">
        <f>SUMIF($E11:$E37,$E39,$M11:$M37)</f>
        <v>0</v>
      </c>
      <c r="N39" s="152">
        <f>SUM(L39:M39)</f>
        <v>0</v>
      </c>
      <c r="O39"/>
      <c r="P39"/>
      <c r="Q39"/>
      <c r="R39"/>
      <c r="S39"/>
      <c r="T39"/>
      <c r="U39"/>
      <c r="V39"/>
      <c r="W39"/>
      <c r="X39"/>
      <c r="Y39"/>
      <c r="Z39" s="344"/>
      <c r="AA39" s="338">
        <f>ROUND(AdjGroupSalary*CECGroup,-2)</f>
        <v>0</v>
      </c>
      <c r="AB39" s="338">
        <f>ROUND(AdjGroupVB*CECGroup,-2)</f>
        <v>0</v>
      </c>
      <c r="AC39" s="338">
        <f>SUM(AA39:AB39)</f>
        <v>0</v>
      </c>
      <c r="AD39" s="329"/>
      <c r="AE39" s="147"/>
      <c r="AF39" s="147"/>
      <c r="AG39" s="147"/>
      <c r="AH39" s="147"/>
      <c r="AI39" s="147"/>
      <c r="AJ39" s="147"/>
      <c r="AK39" s="147"/>
      <c r="AL39" s="147"/>
      <c r="AM39" s="147"/>
      <c r="AN39" s="147"/>
      <c r="AO39" s="147"/>
      <c r="AP39" s="147"/>
      <c r="AQ39" s="147"/>
      <c r="AR39" s="147"/>
      <c r="AS39" s="147"/>
      <c r="AT39" s="147"/>
      <c r="AU39" s="147"/>
      <c r="AV39" s="147"/>
      <c r="AW39" s="147"/>
      <c r="AX39" s="147"/>
      <c r="AY39" s="147"/>
      <c r="AZ39" s="147"/>
      <c r="BA39" s="147"/>
      <c r="BB39" s="147"/>
      <c r="BC39" s="147"/>
      <c r="BD39" s="147"/>
      <c r="BE39" s="147"/>
      <c r="BF39" s="147"/>
      <c r="BG39" s="147"/>
      <c r="BH39" s="147"/>
      <c r="BI39" s="147"/>
      <c r="BJ39" s="147"/>
      <c r="BK39" s="147"/>
      <c r="BL39" s="147"/>
      <c r="BM39" s="147"/>
      <c r="BN39" s="147"/>
      <c r="BO39" s="147"/>
      <c r="BP39" s="147"/>
      <c r="BQ39" s="147"/>
      <c r="BR39" s="147"/>
      <c r="BS39" s="147"/>
      <c r="BT39" s="147"/>
      <c r="BU39" s="147"/>
      <c r="BV39" s="147"/>
      <c r="BW39" s="147"/>
      <c r="BX39" s="147"/>
      <c r="BY39" s="147"/>
      <c r="BZ39" s="147"/>
      <c r="CA39" s="147"/>
      <c r="CB39" s="147"/>
      <c r="CC39" s="147"/>
      <c r="CD39" s="147"/>
      <c r="CE39" s="147"/>
      <c r="CF39" s="147"/>
      <c r="CG39" s="147"/>
      <c r="CH39" s="147"/>
      <c r="CI39" s="147"/>
      <c r="CJ39" s="147"/>
      <c r="CK39" s="147"/>
      <c r="CL39" s="147"/>
      <c r="CM39" s="147"/>
      <c r="CN39" s="147"/>
      <c r="CO39" s="147"/>
      <c r="CP39" s="147"/>
    </row>
    <row r="40" spans="1:94" s="153" customFormat="1" ht="15" x14ac:dyDescent="0.25">
      <c r="A40" s="139"/>
      <c r="B40" s="188"/>
      <c r="C40" s="154" t="str">
        <f>Elect_name</f>
        <v>Elected Officials &amp; Full Time Commissioners</v>
      </c>
      <c r="D40" s="194"/>
      <c r="E40" s="189">
        <v>3</v>
      </c>
      <c r="F40" s="151">
        <f>SUMIF($E9:$E35,$E40,$F9:$F35)</f>
        <v>0</v>
      </c>
      <c r="G40" s="193">
        <f>SUMIF($E10:$E35,$E40,$G10:$G35)</f>
        <v>0</v>
      </c>
      <c r="H40" s="152">
        <f>SUMIF($E10:$E35,$E40,$H10:$H35)</f>
        <v>0</v>
      </c>
      <c r="I40" s="152">
        <f>SUMIF($E10:$E35,$E40,$I10:$I35)</f>
        <v>0</v>
      </c>
      <c r="J40" s="152">
        <f>SUM(G40:I40)</f>
        <v>0</v>
      </c>
      <c r="K40" s="259"/>
      <c r="L40" s="193">
        <f>SUMIF($E10:$E35,$E40,$L10:$L35)</f>
        <v>0</v>
      </c>
      <c r="M40" s="152">
        <f>SUMIF($E10:$E35,$E40,$M10:$M35)</f>
        <v>0</v>
      </c>
      <c r="N40" s="152">
        <f>SUM(L40:M40)</f>
        <v>0</v>
      </c>
      <c r="O40"/>
      <c r="P40"/>
      <c r="Q40"/>
      <c r="R40"/>
      <c r="S40"/>
      <c r="T40"/>
      <c r="U40"/>
      <c r="V40"/>
      <c r="W40"/>
      <c r="X40"/>
      <c r="Y40"/>
      <c r="Z40" s="344"/>
      <c r="AA40" s="337"/>
      <c r="AB40" s="337"/>
      <c r="AC40" s="337"/>
      <c r="AD40" s="329"/>
      <c r="AE40" s="147"/>
      <c r="AF40" s="147"/>
      <c r="AG40" s="147"/>
      <c r="AH40" s="147"/>
      <c r="AI40" s="147"/>
      <c r="AJ40" s="147"/>
      <c r="AK40" s="147"/>
      <c r="AL40" s="147"/>
      <c r="AM40" s="147"/>
      <c r="AN40" s="147"/>
      <c r="AO40" s="147"/>
      <c r="AP40" s="147"/>
      <c r="AQ40" s="147"/>
      <c r="AR40" s="147"/>
      <c r="AS40" s="147"/>
      <c r="AT40" s="147"/>
      <c r="AU40" s="147"/>
      <c r="AV40" s="147"/>
      <c r="AW40" s="147"/>
      <c r="AX40" s="147"/>
      <c r="AY40" s="147"/>
      <c r="AZ40" s="147"/>
      <c r="BA40" s="147"/>
      <c r="BB40" s="147"/>
      <c r="BC40" s="147"/>
      <c r="BD40" s="147"/>
      <c r="BE40" s="147"/>
      <c r="BF40" s="147"/>
      <c r="BG40" s="147"/>
      <c r="BH40" s="147"/>
      <c r="BI40" s="147"/>
      <c r="BJ40" s="147"/>
      <c r="BK40" s="147"/>
      <c r="BL40" s="147"/>
      <c r="BM40" s="147"/>
      <c r="BN40" s="147"/>
      <c r="BO40" s="147"/>
      <c r="BP40" s="147"/>
      <c r="BQ40" s="147"/>
      <c r="BR40" s="147"/>
      <c r="BS40" s="147"/>
      <c r="BT40" s="147"/>
      <c r="BU40" s="147"/>
      <c r="BV40" s="147"/>
      <c r="BW40" s="147"/>
      <c r="BX40" s="147"/>
      <c r="BY40" s="147"/>
      <c r="BZ40" s="147"/>
      <c r="CA40" s="147"/>
      <c r="CB40" s="147"/>
      <c r="CC40" s="147"/>
      <c r="CD40" s="147"/>
      <c r="CE40" s="147"/>
      <c r="CF40" s="147"/>
      <c r="CG40" s="147"/>
      <c r="CH40" s="147"/>
      <c r="CI40" s="147"/>
      <c r="CJ40" s="147"/>
      <c r="CK40" s="147"/>
      <c r="CL40" s="147"/>
      <c r="CM40" s="147"/>
      <c r="CN40" s="147"/>
      <c r="CO40" s="147"/>
      <c r="CP40" s="147"/>
    </row>
    <row r="41" spans="1:94" s="153" customFormat="1" ht="15" x14ac:dyDescent="0.25">
      <c r="A41" s="139"/>
      <c r="B41" s="188"/>
      <c r="C41" s="443" t="s">
        <v>38</v>
      </c>
      <c r="D41" s="444"/>
      <c r="E41" s="189"/>
      <c r="F41" s="161">
        <f>SUM(F38:F40)</f>
        <v>0</v>
      </c>
      <c r="G41" s="195">
        <f>SUM($G$38:$G$40)</f>
        <v>0</v>
      </c>
      <c r="H41" s="162">
        <f>SUM($H$38:$H$40)</f>
        <v>0</v>
      </c>
      <c r="I41" s="162">
        <f>SUM($I$38:$I$40)</f>
        <v>0</v>
      </c>
      <c r="J41" s="162">
        <f>SUM($J$38:$J$40)</f>
        <v>0</v>
      </c>
      <c r="K41" s="259"/>
      <c r="L41" s="195">
        <f>SUM($L$38:$L$40)</f>
        <v>0</v>
      </c>
      <c r="M41" s="162">
        <f>SUM($M$38:$M$40)</f>
        <v>0</v>
      </c>
      <c r="N41" s="162">
        <f>SUM(L41:M41)</f>
        <v>0</v>
      </c>
      <c r="O41"/>
      <c r="P41"/>
      <c r="Q41"/>
      <c r="R41"/>
      <c r="S41"/>
      <c r="T41"/>
      <c r="U41"/>
      <c r="V41"/>
      <c r="W41"/>
      <c r="X41"/>
      <c r="Y41"/>
      <c r="Z41" s="344"/>
      <c r="AA41" s="337" t="s">
        <v>94</v>
      </c>
      <c r="AB41" s="333" t="s">
        <v>95</v>
      </c>
      <c r="AC41" s="333" t="s">
        <v>106</v>
      </c>
      <c r="AD41" s="329"/>
      <c r="AE41" s="147"/>
      <c r="AF41" s="147"/>
      <c r="AG41" s="147"/>
      <c r="AH41" s="147"/>
      <c r="AI41" s="147"/>
      <c r="AJ41" s="147"/>
      <c r="AK41" s="147"/>
      <c r="AL41" s="147"/>
      <c r="AM41" s="147"/>
      <c r="AN41" s="147"/>
      <c r="AO41" s="147"/>
      <c r="AP41" s="147"/>
      <c r="AQ41" s="147"/>
      <c r="AR41" s="147"/>
      <c r="AS41" s="147"/>
      <c r="AT41" s="147"/>
      <c r="AU41" s="147"/>
      <c r="AV41" s="147"/>
      <c r="AW41" s="147"/>
      <c r="AX41" s="147"/>
      <c r="AY41" s="147"/>
      <c r="AZ41" s="147"/>
      <c r="BA41" s="147"/>
      <c r="BB41" s="147"/>
      <c r="BC41" s="147"/>
      <c r="BD41" s="147"/>
      <c r="BE41" s="147"/>
      <c r="BF41" s="147"/>
      <c r="BG41" s="147"/>
      <c r="BH41" s="147"/>
      <c r="BI41" s="147"/>
      <c r="BJ41" s="147"/>
      <c r="BK41" s="147"/>
      <c r="BL41" s="147"/>
      <c r="BM41" s="147"/>
      <c r="BN41" s="147"/>
      <c r="BO41" s="147"/>
      <c r="BP41" s="147"/>
      <c r="BQ41" s="147"/>
      <c r="BR41" s="147"/>
      <c r="BS41" s="147"/>
      <c r="BT41" s="147"/>
      <c r="BU41" s="147"/>
      <c r="BV41" s="147"/>
      <c r="BW41" s="147"/>
      <c r="BX41" s="147"/>
      <c r="BY41" s="147"/>
      <c r="BZ41" s="147"/>
      <c r="CA41" s="147"/>
      <c r="CB41" s="147"/>
      <c r="CC41" s="147"/>
      <c r="CD41" s="147"/>
      <c r="CE41" s="147"/>
      <c r="CF41" s="147"/>
      <c r="CG41" s="147"/>
      <c r="CH41" s="147"/>
      <c r="CI41" s="147"/>
      <c r="CJ41" s="147"/>
      <c r="CK41" s="147"/>
      <c r="CL41" s="147"/>
      <c r="CM41" s="147"/>
      <c r="CN41" s="147"/>
      <c r="CO41" s="147"/>
      <c r="CP41" s="147"/>
    </row>
    <row r="42" spans="1:94" s="153" customFormat="1" ht="4.5" customHeight="1" x14ac:dyDescent="0.25">
      <c r="A42" s="139"/>
      <c r="B42" s="188"/>
      <c r="C42" s="445"/>
      <c r="D42" s="446"/>
      <c r="E42" s="196"/>
      <c r="F42" s="197"/>
      <c r="G42" s="198"/>
      <c r="H42" s="199"/>
      <c r="I42" s="199"/>
      <c r="J42" s="324"/>
      <c r="K42" s="200"/>
      <c r="L42" s="323"/>
      <c r="M42" s="323"/>
      <c r="N42" s="201"/>
      <c r="O42"/>
      <c r="P42"/>
      <c r="Q42"/>
      <c r="R42"/>
      <c r="S42"/>
      <c r="T42"/>
      <c r="U42"/>
      <c r="V42"/>
      <c r="W42"/>
      <c r="X42"/>
      <c r="Y42"/>
      <c r="Z42" s="344"/>
      <c r="AA42" s="337"/>
      <c r="AB42" s="337"/>
      <c r="AC42" s="337"/>
      <c r="AD42" s="329"/>
      <c r="AE42" s="147"/>
      <c r="AF42" s="147"/>
      <c r="AG42" s="147"/>
      <c r="AH42" s="147"/>
      <c r="AI42" s="147"/>
      <c r="AJ42" s="147"/>
      <c r="AK42" s="147"/>
      <c r="AL42" s="147"/>
      <c r="AM42" s="147"/>
      <c r="AN42" s="147"/>
      <c r="AO42" s="147"/>
      <c r="AP42" s="147"/>
      <c r="AQ42" s="147"/>
      <c r="AR42" s="147"/>
      <c r="AS42" s="147"/>
      <c r="AT42" s="147"/>
      <c r="AU42" s="147"/>
      <c r="AV42" s="147"/>
      <c r="AW42" s="147"/>
      <c r="AX42" s="147"/>
      <c r="AY42" s="147"/>
      <c r="AZ42" s="147"/>
      <c r="BA42" s="147"/>
      <c r="BB42" s="147"/>
      <c r="BC42" s="147"/>
      <c r="BD42" s="147"/>
      <c r="BE42" s="147"/>
      <c r="BF42" s="147"/>
      <c r="BG42" s="147"/>
      <c r="BH42" s="147"/>
      <c r="BI42" s="147"/>
      <c r="BJ42" s="147"/>
      <c r="BK42" s="147"/>
      <c r="BL42" s="147"/>
      <c r="BM42" s="147"/>
      <c r="BN42" s="147"/>
      <c r="BO42" s="147"/>
      <c r="BP42" s="147"/>
      <c r="BQ42" s="147"/>
      <c r="BR42" s="147"/>
      <c r="BS42" s="147"/>
      <c r="BT42" s="147"/>
      <c r="BU42" s="147"/>
      <c r="BV42" s="147"/>
      <c r="BW42" s="147"/>
      <c r="BX42" s="147"/>
      <c r="BY42" s="147"/>
      <c r="BZ42" s="147"/>
      <c r="CA42" s="147"/>
      <c r="CB42" s="147"/>
      <c r="CC42" s="147"/>
      <c r="CD42" s="147"/>
      <c r="CE42" s="147"/>
      <c r="CF42" s="147"/>
      <c r="CG42" s="147"/>
      <c r="CH42" s="147"/>
      <c r="CI42" s="147"/>
      <c r="CJ42" s="147"/>
      <c r="CK42" s="147"/>
      <c r="CL42" s="147"/>
      <c r="CM42" s="147"/>
      <c r="CN42" s="147"/>
      <c r="CO42" s="147"/>
      <c r="CP42" s="147"/>
    </row>
    <row r="43" spans="1:94" s="153" customFormat="1" ht="15.75" customHeight="1" x14ac:dyDescent="0.25">
      <c r="A43" s="139"/>
      <c r="B43" s="202"/>
      <c r="C43" s="447" t="s">
        <v>39</v>
      </c>
      <c r="D43" s="448"/>
      <c r="E43" s="203" t="s">
        <v>40</v>
      </c>
      <c r="F43" s="205">
        <f>ROUND(F51-F41,2)</f>
        <v>0</v>
      </c>
      <c r="G43" s="206">
        <f>ROUND(G51-G41,-2)</f>
        <v>0</v>
      </c>
      <c r="H43" s="159">
        <f>ROUND(H51-H41,-2)</f>
        <v>0</v>
      </c>
      <c r="I43" s="159">
        <f>ROUND(I51-I41,-2)</f>
        <v>0</v>
      </c>
      <c r="J43" s="159">
        <f>SUM(G43:I43)</f>
        <v>0</v>
      </c>
      <c r="K43" s="424" t="str">
        <f>IF(E51=0,"ERROR! Enter Original Appropriation amount in DU 3.00!","Calculated "&amp;IF(J43&gt;0,"overfunding ","underfunding ")&amp;"is "&amp;TEXT(J43/J51,"#.0%;(#.0% );0% ;")&amp;" of Original Appropriation")</f>
        <v>ERROR! Enter Original Appropriation amount in DU 3.00!</v>
      </c>
      <c r="L43" s="425"/>
      <c r="M43" s="425"/>
      <c r="N43" s="426"/>
      <c r="O43"/>
      <c r="P43"/>
      <c r="Q43"/>
      <c r="R43"/>
      <c r="S43"/>
      <c r="T43"/>
      <c r="U43"/>
      <c r="V43"/>
      <c r="W43"/>
      <c r="X43"/>
      <c r="Y43"/>
      <c r="Z43" s="344"/>
      <c r="AA43" s="451" t="s">
        <v>108</v>
      </c>
      <c r="AB43" s="452"/>
      <c r="AC43" s="452"/>
      <c r="AD43" s="329"/>
      <c r="AE43" s="147"/>
      <c r="AF43" s="147"/>
      <c r="AG43" s="147"/>
      <c r="AH43" s="147"/>
      <c r="AI43" s="147"/>
      <c r="AJ43" s="147"/>
      <c r="AK43" s="147"/>
      <c r="AL43" s="147"/>
      <c r="AM43" s="147"/>
      <c r="AN43" s="147"/>
      <c r="AO43" s="147"/>
      <c r="AP43" s="147"/>
      <c r="AQ43" s="147"/>
      <c r="AR43" s="147"/>
      <c r="AS43" s="147"/>
      <c r="AT43" s="147"/>
      <c r="AU43" s="147"/>
      <c r="AV43" s="147"/>
      <c r="AW43" s="147"/>
      <c r="AX43" s="147"/>
      <c r="AY43" s="147"/>
      <c r="AZ43" s="147"/>
      <c r="BA43" s="147"/>
      <c r="BB43" s="147"/>
      <c r="BC43" s="147"/>
      <c r="BD43" s="147"/>
      <c r="BE43" s="147"/>
      <c r="BF43" s="147"/>
      <c r="BG43" s="147"/>
      <c r="BH43" s="147"/>
      <c r="BI43" s="147"/>
      <c r="BJ43" s="147"/>
      <c r="BK43" s="147"/>
      <c r="BL43" s="147"/>
      <c r="BM43" s="147"/>
      <c r="BN43" s="147"/>
      <c r="BO43" s="147"/>
      <c r="BP43" s="147"/>
      <c r="BQ43" s="147"/>
      <c r="BR43" s="147"/>
      <c r="BS43" s="147"/>
      <c r="BT43" s="147"/>
      <c r="BU43" s="147"/>
      <c r="BV43" s="147"/>
      <c r="BW43" s="147"/>
      <c r="BX43" s="147"/>
      <c r="BY43" s="147"/>
      <c r="BZ43" s="147"/>
      <c r="CA43" s="147"/>
      <c r="CB43" s="147"/>
      <c r="CC43" s="147"/>
      <c r="CD43" s="147"/>
      <c r="CE43" s="147"/>
      <c r="CF43" s="147"/>
      <c r="CG43" s="147"/>
      <c r="CH43" s="147"/>
      <c r="CI43" s="147"/>
      <c r="CJ43" s="147"/>
      <c r="CK43" s="147"/>
      <c r="CL43" s="147"/>
      <c r="CM43" s="147"/>
      <c r="CN43" s="147"/>
      <c r="CO43" s="147"/>
      <c r="CP43" s="147"/>
    </row>
    <row r="44" spans="1:94" s="153" customFormat="1" ht="15.75" customHeight="1" x14ac:dyDescent="0.25">
      <c r="A44" s="139"/>
      <c r="B44" s="202"/>
      <c r="C44" s="449"/>
      <c r="D44" s="450"/>
      <c r="E44" s="204" t="s">
        <v>41</v>
      </c>
      <c r="F44" s="205">
        <f>ROUND(F60-F41,2)</f>
        <v>0</v>
      </c>
      <c r="G44" s="206">
        <f>ROUND(G60-G41,-2)</f>
        <v>0</v>
      </c>
      <c r="H44" s="159">
        <f>ROUND(H60-H41,-2)</f>
        <v>0</v>
      </c>
      <c r="I44" s="159">
        <f>ROUND(I60-I41,-2)</f>
        <v>0</v>
      </c>
      <c r="J44" s="159">
        <f>SUM(G44:I44)</f>
        <v>0</v>
      </c>
      <c r="K44" s="424" t="str">
        <f>IF(E51=0,"ERROR! Enter Original Appropriation amount in DU 3.00!","Calculated "&amp;IF(J44&gt;0,"overfunding ","underfunding ")&amp;"is "&amp;TEXT(J44/J60,"#.0%;(#.0% );0% ;")&amp;" of Estimated Expenditures")</f>
        <v>ERROR! Enter Original Appropriation amount in DU 3.00!</v>
      </c>
      <c r="L44" s="425"/>
      <c r="M44" s="425"/>
      <c r="N44" s="426"/>
      <c r="O44"/>
      <c r="P44"/>
      <c r="Q44"/>
      <c r="R44"/>
      <c r="S44"/>
      <c r="T44"/>
      <c r="U44"/>
      <c r="V44"/>
      <c r="W44"/>
      <c r="X44"/>
      <c r="Y44"/>
      <c r="Z44" s="344"/>
      <c r="AA44" s="338">
        <f>NEW_AdjPermSalary-NEW_PermSalaryFilled</f>
        <v>0</v>
      </c>
      <c r="AB44" s="338">
        <f>NEW_AdjPermVB-NEW_PermVBFilled</f>
        <v>0</v>
      </c>
      <c r="AC44" s="338">
        <f>SUM(AA44:AB44)</f>
        <v>0</v>
      </c>
      <c r="AD44" s="329"/>
      <c r="AE44" s="147"/>
      <c r="AF44" s="147"/>
      <c r="AG44" s="147"/>
      <c r="AH44" s="147"/>
      <c r="AI44" s="147"/>
      <c r="AJ44" s="147"/>
      <c r="AK44" s="147"/>
      <c r="AL44" s="147"/>
      <c r="AM44" s="147"/>
      <c r="AN44" s="147"/>
      <c r="AO44" s="147"/>
      <c r="AP44" s="147"/>
      <c r="AQ44" s="147"/>
      <c r="AR44" s="147"/>
      <c r="AS44" s="147"/>
      <c r="AT44" s="147"/>
      <c r="AU44" s="147"/>
      <c r="AV44" s="147"/>
      <c r="AW44" s="147"/>
      <c r="AX44" s="147"/>
      <c r="AY44" s="147"/>
      <c r="AZ44" s="147"/>
      <c r="BA44" s="147"/>
      <c r="BB44" s="147"/>
      <c r="BC44" s="147"/>
      <c r="BD44" s="147"/>
      <c r="BE44" s="147"/>
      <c r="BF44" s="147"/>
      <c r="BG44" s="147"/>
      <c r="BH44" s="147"/>
      <c r="BI44" s="147"/>
      <c r="BJ44" s="147"/>
      <c r="BK44" s="147"/>
      <c r="BL44" s="147"/>
      <c r="BM44" s="147"/>
      <c r="BN44" s="147"/>
      <c r="BO44" s="147"/>
      <c r="BP44" s="147"/>
      <c r="BQ44" s="147"/>
      <c r="BR44" s="147"/>
      <c r="BS44" s="147"/>
      <c r="BT44" s="147"/>
      <c r="BU44" s="147"/>
      <c r="BV44" s="147"/>
      <c r="BW44" s="147"/>
      <c r="BX44" s="147"/>
      <c r="BY44" s="147"/>
      <c r="BZ44" s="147"/>
      <c r="CA44" s="147"/>
      <c r="CB44" s="147"/>
      <c r="CC44" s="147"/>
      <c r="CD44" s="147"/>
      <c r="CE44" s="147"/>
      <c r="CF44" s="147"/>
      <c r="CG44" s="147"/>
      <c r="CH44" s="147"/>
      <c r="CI44" s="147"/>
      <c r="CJ44" s="147"/>
      <c r="CK44" s="147"/>
      <c r="CL44" s="147"/>
      <c r="CM44" s="147"/>
      <c r="CN44" s="147"/>
      <c r="CO44" s="147"/>
      <c r="CP44" s="147"/>
    </row>
    <row r="45" spans="1:94" s="153" customFormat="1" ht="15.75" customHeight="1" x14ac:dyDescent="0.25">
      <c r="A45" s="139"/>
      <c r="B45" s="202"/>
      <c r="C45" s="215"/>
      <c r="D45" s="215"/>
      <c r="E45" s="204" t="s">
        <v>99</v>
      </c>
      <c r="F45" s="205">
        <f>ROUND(F67-F41-F63,2)</f>
        <v>0</v>
      </c>
      <c r="G45" s="206">
        <f>ROUND(G67-G41-G63,-2)</f>
        <v>0</v>
      </c>
      <c r="H45" s="206">
        <f>ROUND(H67-H41-H63,-2)</f>
        <v>0</v>
      </c>
      <c r="I45" s="206">
        <f>ROUND(I67-I41-I63,-2)</f>
        <v>0</v>
      </c>
      <c r="J45" s="159">
        <f>SUM(G45:I45)</f>
        <v>0</v>
      </c>
      <c r="K45" s="424" t="str">
        <f>IF(J67=0,"Program has a zero base",IF(E51=0,"ERROR! Enter Original Appropriation amount in DU 3.00!","Calculated "&amp;IF(J45&gt;0,"overfunding ","underfunding ")&amp;"is "&amp;TEXT(J45/J67,"#.0%;(#.0% );0% ;")&amp;" of the Base"))</f>
        <v>Program has a zero base</v>
      </c>
      <c r="L45" s="425"/>
      <c r="M45" s="425"/>
      <c r="N45" s="426"/>
      <c r="O45"/>
      <c r="P45"/>
      <c r="Q45"/>
      <c r="R45"/>
      <c r="S45"/>
      <c r="T45"/>
      <c r="U45"/>
      <c r="V45"/>
      <c r="W45"/>
      <c r="X45"/>
      <c r="Y45"/>
      <c r="Z45" s="344"/>
      <c r="AA45" s="338">
        <f>NEW_AdjGroupSalary-NEW_GroupSalaryFilled</f>
        <v>0</v>
      </c>
      <c r="AB45" s="338">
        <f>NEW_AdjGroupVB-NEW_GroupVBFilled</f>
        <v>0</v>
      </c>
      <c r="AC45" s="338">
        <f>SUM(AA45:AB45)</f>
        <v>0</v>
      </c>
      <c r="AD45" s="329"/>
      <c r="AE45" s="147"/>
      <c r="AF45" s="147"/>
      <c r="AG45" s="147"/>
      <c r="AH45" s="147"/>
      <c r="AI45" s="147"/>
      <c r="AJ45" s="147"/>
      <c r="AK45" s="147"/>
      <c r="AL45" s="147"/>
      <c r="AM45" s="147"/>
      <c r="AN45" s="147"/>
      <c r="AO45" s="147"/>
      <c r="AP45" s="147"/>
      <c r="AQ45" s="147"/>
      <c r="AR45" s="147"/>
      <c r="AS45" s="147"/>
      <c r="AT45" s="147"/>
      <c r="AU45" s="147"/>
      <c r="AV45" s="147"/>
      <c r="AW45" s="147"/>
      <c r="AX45" s="147"/>
      <c r="AY45" s="147"/>
      <c r="AZ45" s="147"/>
      <c r="BA45" s="147"/>
      <c r="BB45" s="147"/>
      <c r="BC45" s="147"/>
      <c r="BD45" s="147"/>
      <c r="BE45" s="147"/>
      <c r="BF45" s="147"/>
      <c r="BG45" s="147"/>
      <c r="BH45" s="147"/>
      <c r="BI45" s="147"/>
      <c r="BJ45" s="147"/>
      <c r="BK45" s="147"/>
      <c r="BL45" s="147"/>
      <c r="BM45" s="147"/>
      <c r="BN45" s="147"/>
      <c r="BO45" s="147"/>
      <c r="BP45" s="147"/>
      <c r="BQ45" s="147"/>
      <c r="BR45" s="147"/>
      <c r="BS45" s="147"/>
      <c r="BT45" s="147"/>
      <c r="BU45" s="147"/>
      <c r="BV45" s="147"/>
      <c r="BW45" s="147"/>
      <c r="BX45" s="147"/>
      <c r="BY45" s="147"/>
      <c r="BZ45" s="147"/>
      <c r="CA45" s="147"/>
      <c r="CB45" s="147"/>
      <c r="CC45" s="147"/>
      <c r="CD45" s="147"/>
      <c r="CE45" s="147"/>
      <c r="CF45" s="147"/>
      <c r="CG45" s="147"/>
      <c r="CH45" s="147"/>
      <c r="CI45" s="147"/>
      <c r="CJ45" s="147"/>
      <c r="CK45" s="147"/>
      <c r="CL45" s="147"/>
      <c r="CM45" s="147"/>
      <c r="CN45" s="147"/>
      <c r="CO45" s="147"/>
      <c r="CP45" s="147"/>
    </row>
    <row r="46" spans="1:94" s="153" customFormat="1" ht="28.5" customHeight="1" x14ac:dyDescent="0.25">
      <c r="A46" s="139"/>
      <c r="B46" s="202"/>
      <c r="C46" s="215"/>
      <c r="D46" s="215"/>
      <c r="E46" s="427" t="s">
        <v>100</v>
      </c>
      <c r="F46" s="428"/>
      <c r="G46" s="428"/>
      <c r="H46" s="428"/>
      <c r="I46" s="428"/>
      <c r="J46" s="429"/>
      <c r="K46" s="433" t="str">
        <f>IF(OR(J45&lt;0,F45&lt;0),"You may not have sufficient funding or authorized FTP, and may need to make additional adjustments to finalize this form.  Please contact both your DFM and LSO analysts.","")</f>
        <v/>
      </c>
      <c r="L46" s="434"/>
      <c r="M46" s="434"/>
      <c r="N46" s="435"/>
      <c r="O46"/>
      <c r="P46"/>
      <c r="Q46"/>
      <c r="R46"/>
      <c r="S46"/>
      <c r="T46"/>
      <c r="U46"/>
      <c r="V46"/>
      <c r="W46"/>
      <c r="X46"/>
      <c r="Y46"/>
      <c r="Z46" s="344"/>
      <c r="AA46" s="337"/>
      <c r="AB46" s="337"/>
      <c r="AC46" s="337"/>
      <c r="AD46" s="329"/>
      <c r="AE46" s="147"/>
      <c r="AF46" s="147"/>
      <c r="AG46" s="147"/>
      <c r="AH46" s="147"/>
      <c r="AI46" s="147"/>
      <c r="AJ46" s="147"/>
      <c r="AK46" s="147"/>
      <c r="AL46" s="147"/>
      <c r="AM46" s="147"/>
      <c r="AN46" s="147"/>
      <c r="AO46" s="147"/>
      <c r="AP46" s="147"/>
      <c r="AQ46" s="147"/>
      <c r="AR46" s="147"/>
      <c r="AS46" s="147"/>
      <c r="AT46" s="147"/>
      <c r="AU46" s="147"/>
      <c r="AV46" s="147"/>
      <c r="AW46" s="147"/>
      <c r="AX46" s="147"/>
      <c r="AY46" s="147"/>
      <c r="AZ46" s="147"/>
      <c r="BA46" s="147"/>
      <c r="BB46" s="147"/>
      <c r="BC46" s="147"/>
      <c r="BD46" s="147"/>
      <c r="BE46" s="147"/>
      <c r="BF46" s="147"/>
      <c r="BG46" s="147"/>
      <c r="BH46" s="147"/>
      <c r="BI46" s="147"/>
      <c r="BJ46" s="147"/>
      <c r="BK46" s="147"/>
      <c r="BL46" s="147"/>
      <c r="BM46" s="147"/>
      <c r="BN46" s="147"/>
      <c r="BO46" s="147"/>
      <c r="BP46" s="147"/>
      <c r="BQ46" s="147"/>
      <c r="BR46" s="147"/>
      <c r="BS46" s="147"/>
      <c r="BT46" s="147"/>
      <c r="BU46" s="147"/>
      <c r="BV46" s="147"/>
      <c r="BW46" s="147"/>
      <c r="BX46" s="147"/>
      <c r="BY46" s="147"/>
      <c r="BZ46" s="147"/>
      <c r="CA46" s="147"/>
      <c r="CB46" s="147"/>
      <c r="CC46" s="147"/>
      <c r="CD46" s="147"/>
      <c r="CE46" s="147"/>
      <c r="CF46" s="147"/>
      <c r="CG46" s="147"/>
      <c r="CH46" s="147"/>
      <c r="CI46" s="147"/>
      <c r="CJ46" s="147"/>
      <c r="CK46" s="147"/>
      <c r="CL46" s="147"/>
      <c r="CM46" s="147"/>
      <c r="CN46" s="147"/>
      <c r="CO46" s="147"/>
      <c r="CP46" s="147"/>
    </row>
    <row r="47" spans="1:94" s="153" customFormat="1" ht="21.75" customHeight="1" x14ac:dyDescent="0.25">
      <c r="A47" s="139"/>
      <c r="B47" s="202"/>
      <c r="C47" s="215"/>
      <c r="D47" s="215"/>
      <c r="E47" s="430"/>
      <c r="F47" s="431"/>
      <c r="G47" s="431"/>
      <c r="H47" s="431"/>
      <c r="I47" s="431"/>
      <c r="J47" s="432"/>
      <c r="K47" s="436"/>
      <c r="L47" s="437"/>
      <c r="M47" s="437"/>
      <c r="N47" s="438"/>
      <c r="O47"/>
      <c r="P47"/>
      <c r="Q47"/>
      <c r="R47"/>
      <c r="S47"/>
      <c r="T47"/>
      <c r="U47"/>
      <c r="V47"/>
      <c r="W47"/>
      <c r="X47"/>
      <c r="Y47"/>
      <c r="Z47" s="344"/>
      <c r="AA47" s="337"/>
      <c r="AB47" s="337"/>
      <c r="AC47" s="337"/>
      <c r="AD47" s="329"/>
      <c r="AE47" s="147"/>
      <c r="AF47" s="147"/>
      <c r="AG47" s="147"/>
      <c r="AH47" s="147"/>
      <c r="AI47" s="147"/>
      <c r="AJ47" s="147"/>
      <c r="AK47" s="147"/>
      <c r="AL47" s="147"/>
      <c r="AM47" s="147"/>
      <c r="AN47" s="147"/>
      <c r="AO47" s="147"/>
      <c r="AP47" s="147"/>
      <c r="AQ47" s="147"/>
      <c r="AR47" s="147"/>
      <c r="AS47" s="147"/>
      <c r="AT47" s="147"/>
      <c r="AU47" s="147"/>
      <c r="AV47" s="147"/>
      <c r="AW47" s="147"/>
      <c r="AX47" s="147"/>
      <c r="AY47" s="147"/>
      <c r="AZ47" s="147"/>
      <c r="BA47" s="147"/>
      <c r="BB47" s="147"/>
      <c r="BC47" s="147"/>
      <c r="BD47" s="147"/>
      <c r="BE47" s="147"/>
      <c r="BF47" s="147"/>
      <c r="BG47" s="147"/>
      <c r="BH47" s="147"/>
      <c r="BI47" s="147"/>
      <c r="BJ47" s="147"/>
      <c r="BK47" s="147"/>
      <c r="BL47" s="147"/>
      <c r="BM47" s="147"/>
      <c r="BN47" s="147"/>
      <c r="BO47" s="147"/>
      <c r="BP47" s="147"/>
      <c r="BQ47" s="147"/>
      <c r="BR47" s="147"/>
      <c r="BS47" s="147"/>
      <c r="BT47" s="147"/>
      <c r="BU47" s="147"/>
      <c r="BV47" s="147"/>
      <c r="BW47" s="147"/>
      <c r="BX47" s="147"/>
      <c r="BY47" s="147"/>
      <c r="BZ47" s="147"/>
      <c r="CA47" s="147"/>
      <c r="CB47" s="147"/>
      <c r="CC47" s="147"/>
      <c r="CD47" s="147"/>
      <c r="CE47" s="147"/>
      <c r="CF47" s="147"/>
      <c r="CG47" s="147"/>
      <c r="CH47" s="147"/>
      <c r="CI47" s="147"/>
      <c r="CJ47" s="147"/>
      <c r="CK47" s="147"/>
      <c r="CL47" s="147"/>
      <c r="CM47" s="147"/>
      <c r="CN47" s="147"/>
      <c r="CO47" s="147"/>
      <c r="CP47" s="147"/>
    </row>
    <row r="48" spans="1:94" s="214" customFormat="1" ht="8.25" customHeight="1" x14ac:dyDescent="0.25">
      <c r="A48" s="207"/>
      <c r="B48" s="208"/>
      <c r="C48" s="136"/>
      <c r="D48" s="136"/>
      <c r="E48" s="209"/>
      <c r="F48" s="210"/>
      <c r="G48" s="211"/>
      <c r="H48" s="211"/>
      <c r="I48" s="211"/>
      <c r="J48" s="211"/>
      <c r="K48" s="211"/>
      <c r="L48" s="137"/>
      <c r="M48" s="138"/>
      <c r="N48" s="212"/>
      <c r="O48"/>
      <c r="P48"/>
      <c r="Q48"/>
      <c r="R48"/>
      <c r="S48"/>
      <c r="T48"/>
      <c r="U48"/>
      <c r="V48"/>
      <c r="W48"/>
      <c r="X48"/>
      <c r="Y48"/>
      <c r="Z48" s="344"/>
      <c r="AA48" s="339"/>
      <c r="AB48" s="339"/>
      <c r="AC48" s="339"/>
      <c r="AD48" s="330"/>
      <c r="AE48" s="213"/>
      <c r="AF48" s="213"/>
      <c r="AG48" s="213"/>
      <c r="AH48" s="213"/>
      <c r="AI48" s="213"/>
      <c r="AJ48" s="213"/>
      <c r="AK48" s="213"/>
      <c r="AL48" s="213"/>
      <c r="AM48" s="213"/>
      <c r="AN48" s="213"/>
      <c r="AO48" s="213"/>
      <c r="AP48" s="213"/>
      <c r="AQ48" s="213"/>
      <c r="AR48" s="213"/>
      <c r="AS48" s="213"/>
      <c r="AT48" s="213"/>
      <c r="AU48" s="213"/>
      <c r="AV48" s="213"/>
      <c r="AW48" s="213"/>
      <c r="AX48" s="213"/>
      <c r="AY48" s="213"/>
      <c r="AZ48" s="213"/>
      <c r="BA48" s="213"/>
      <c r="BB48" s="213"/>
      <c r="BC48" s="213"/>
      <c r="BD48" s="213"/>
      <c r="BE48" s="213"/>
      <c r="BF48" s="213"/>
      <c r="BG48" s="213"/>
      <c r="BH48" s="213"/>
      <c r="BI48" s="213"/>
      <c r="BJ48" s="213"/>
      <c r="BK48" s="213"/>
      <c r="BL48" s="213"/>
      <c r="BM48" s="213"/>
      <c r="BN48" s="213"/>
      <c r="BO48" s="213"/>
      <c r="BP48" s="213"/>
      <c r="BQ48" s="213"/>
      <c r="BR48" s="213"/>
      <c r="BS48" s="213"/>
      <c r="BT48" s="213"/>
      <c r="BU48" s="213"/>
      <c r="BV48" s="213"/>
      <c r="BW48" s="213"/>
      <c r="BX48" s="213"/>
      <c r="BY48" s="213"/>
      <c r="BZ48" s="213"/>
      <c r="CA48" s="213"/>
      <c r="CB48" s="213"/>
      <c r="CC48" s="213"/>
      <c r="CD48" s="213"/>
      <c r="CE48" s="213"/>
      <c r="CF48" s="213"/>
      <c r="CG48" s="213"/>
      <c r="CH48" s="213"/>
      <c r="CI48" s="213"/>
      <c r="CJ48" s="213"/>
      <c r="CK48" s="213"/>
      <c r="CL48" s="213"/>
      <c r="CM48" s="213"/>
      <c r="CN48" s="213"/>
      <c r="CO48" s="213"/>
      <c r="CP48" s="213"/>
    </row>
    <row r="49" spans="1:94" s="53" customFormat="1" ht="6" customHeight="1" x14ac:dyDescent="0.25">
      <c r="A49" s="63"/>
      <c r="B49" s="64"/>
      <c r="C49" s="65"/>
      <c r="D49" s="66"/>
      <c r="E49" s="67"/>
      <c r="F49" s="68"/>
      <c r="G49" s="64"/>
      <c r="H49" s="64"/>
      <c r="I49" s="64"/>
      <c r="J49" s="64"/>
      <c r="K49" s="64"/>
      <c r="L49" s="69"/>
      <c r="M49" s="69"/>
      <c r="N49" s="70"/>
      <c r="O49"/>
      <c r="P49"/>
      <c r="Q49"/>
      <c r="R49"/>
      <c r="S49"/>
      <c r="T49"/>
      <c r="U49"/>
      <c r="V49"/>
      <c r="W49"/>
      <c r="X49"/>
      <c r="Y49"/>
      <c r="Z49" s="344"/>
      <c r="AA49" s="337"/>
      <c r="AB49" s="337"/>
      <c r="AC49" s="337"/>
      <c r="AD49" s="110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1"/>
      <c r="AV49" s="41"/>
      <c r="AW49" s="41"/>
      <c r="AX49" s="41"/>
      <c r="AY49" s="41"/>
      <c r="AZ49" s="41"/>
      <c r="BA49" s="41"/>
      <c r="BB49" s="41"/>
      <c r="BC49" s="41"/>
      <c r="BD49" s="41"/>
      <c r="BE49" s="41"/>
      <c r="BF49" s="41"/>
      <c r="BG49" s="41"/>
      <c r="BH49" s="41"/>
      <c r="BI49" s="41"/>
      <c r="BJ49" s="41"/>
      <c r="BK49" s="41"/>
      <c r="BL49" s="41"/>
      <c r="BM49" s="41"/>
      <c r="BN49" s="41"/>
      <c r="BO49" s="41"/>
      <c r="BP49" s="41"/>
      <c r="BQ49" s="41"/>
      <c r="BR49" s="41"/>
      <c r="BS49" s="41"/>
      <c r="BT49" s="41"/>
      <c r="BU49" s="41"/>
      <c r="BV49" s="41"/>
      <c r="BW49" s="41"/>
      <c r="BX49" s="41"/>
      <c r="BY49" s="41"/>
      <c r="BZ49" s="41"/>
      <c r="CA49" s="41"/>
      <c r="CB49" s="41"/>
      <c r="CC49" s="41"/>
      <c r="CD49" s="41"/>
      <c r="CE49" s="41"/>
      <c r="CF49" s="41"/>
      <c r="CG49" s="41"/>
      <c r="CH49" s="41"/>
      <c r="CI49" s="41"/>
      <c r="CJ49" s="41"/>
      <c r="CK49" s="41"/>
      <c r="CL49" s="41"/>
      <c r="CM49" s="41"/>
      <c r="CN49" s="41"/>
      <c r="CO49" s="41"/>
      <c r="CP49" s="41"/>
    </row>
    <row r="50" spans="1:94" s="53" customFormat="1" ht="24.75" customHeight="1" x14ac:dyDescent="0.25">
      <c r="A50" s="257" t="s">
        <v>42</v>
      </c>
      <c r="B50" s="71"/>
      <c r="C50" s="439"/>
      <c r="D50" s="440"/>
      <c r="E50" s="72" t="s">
        <v>43</v>
      </c>
      <c r="F50" s="73" t="s">
        <v>24</v>
      </c>
      <c r="G50" s="72" t="str">
        <f>"FY "&amp;M4-2001&amp;" Salary"</f>
        <v>FY 22 Salary</v>
      </c>
      <c r="H50" s="72" t="str">
        <f>"FY "&amp;M4-2001&amp;" Health Ben"</f>
        <v>FY 22 Health Ben</v>
      </c>
      <c r="I50" s="72" t="str">
        <f>"FY "&amp;M4-2001&amp;" Var Ben"</f>
        <v>FY 22 Var Ben</v>
      </c>
      <c r="J50" s="72" t="str">
        <f>"FY "&amp;M4-1&amp;" Total"</f>
        <v>FY 2022 Total</v>
      </c>
      <c r="K50" s="307" t="str">
        <f>"FY "&amp;FiscalYear&amp;" SALARY CHG"</f>
        <v>FY 2023 SALARY CHG</v>
      </c>
      <c r="L50" s="74" t="str">
        <f>"FY "&amp;M4-2000&amp;" Chg Health Bens"</f>
        <v>FY 23 Chg Health Bens</v>
      </c>
      <c r="M50" s="74" t="str">
        <f>"FY "&amp;M4-2000&amp;" Chg Var Bens"</f>
        <v>FY 23 Chg Var Bens</v>
      </c>
      <c r="N50" s="74" t="s">
        <v>44</v>
      </c>
      <c r="O50"/>
      <c r="P50"/>
      <c r="Q50"/>
      <c r="R50"/>
      <c r="S50"/>
      <c r="T50"/>
      <c r="U50"/>
      <c r="V50"/>
      <c r="W50"/>
      <c r="X50"/>
      <c r="Y50"/>
      <c r="Z50" s="344"/>
      <c r="AA50" s="337"/>
      <c r="AB50" s="337"/>
      <c r="AC50" s="337"/>
      <c r="AD50" s="110"/>
      <c r="AE50" s="41"/>
      <c r="AF50" s="41"/>
      <c r="AG50" s="41"/>
      <c r="AH50" s="41"/>
      <c r="AI50" s="41"/>
      <c r="AJ50" s="41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U50" s="41"/>
      <c r="AV50" s="41"/>
      <c r="AW50" s="41"/>
      <c r="AX50" s="41"/>
      <c r="AY50" s="41"/>
      <c r="AZ50" s="41"/>
      <c r="BA50" s="41"/>
      <c r="BB50" s="41"/>
      <c r="BC50" s="41"/>
      <c r="BD50" s="41"/>
      <c r="BE50" s="41"/>
      <c r="BF50" s="41"/>
      <c r="BG50" s="41"/>
      <c r="BH50" s="41"/>
      <c r="BI50" s="41"/>
      <c r="BJ50" s="41"/>
      <c r="BK50" s="41"/>
      <c r="BL50" s="41"/>
      <c r="BM50" s="41"/>
      <c r="BN50" s="41"/>
      <c r="BO50" s="41"/>
      <c r="BP50" s="41"/>
      <c r="BQ50" s="41"/>
      <c r="BR50" s="41"/>
      <c r="BS50" s="41"/>
      <c r="BT50" s="41"/>
      <c r="BU50" s="41"/>
      <c r="BV50" s="41"/>
      <c r="BW50" s="41"/>
      <c r="BX50" s="41"/>
      <c r="BY50" s="41"/>
      <c r="BZ50" s="41"/>
      <c r="CA50" s="41"/>
      <c r="CB50" s="41"/>
      <c r="CC50" s="41"/>
      <c r="CD50" s="41"/>
      <c r="CE50" s="41"/>
      <c r="CF50" s="41"/>
      <c r="CG50" s="41"/>
      <c r="CH50" s="41"/>
      <c r="CI50" s="41"/>
      <c r="CJ50" s="41"/>
      <c r="CK50" s="41"/>
      <c r="CL50" s="41"/>
      <c r="CM50" s="41"/>
      <c r="CN50" s="41"/>
      <c r="CO50" s="41"/>
      <c r="CP50" s="41"/>
    </row>
    <row r="51" spans="1:94" s="53" customFormat="1" ht="15.75" customHeight="1" x14ac:dyDescent="0.25">
      <c r="A51" s="75">
        <v>3</v>
      </c>
      <c r="B51" s="76" t="s">
        <v>45</v>
      </c>
      <c r="C51" s="54" t="str">
        <f>"FY "&amp;M4-1</f>
        <v>FY 2022</v>
      </c>
      <c r="D51" s="77" t="s">
        <v>31</v>
      </c>
      <c r="E51" s="78">
        <f>OrigApprop</f>
        <v>0</v>
      </c>
      <c r="F51" s="272">
        <f>AppropFTP</f>
        <v>0</v>
      </c>
      <c r="G51" s="274">
        <f>IF(E51=0,0,(G41/$J$41)*$E$51)</f>
        <v>0</v>
      </c>
      <c r="H51" s="274">
        <f>IF(E51=0,0,(H41/$J$41)*$E$51)</f>
        <v>0</v>
      </c>
      <c r="I51" s="275">
        <f>IF(E51=0,0,(I41/$J$41)*$E$51)</f>
        <v>0</v>
      </c>
      <c r="J51" s="90">
        <f>SUM(G51:I51)</f>
        <v>0</v>
      </c>
      <c r="K51" s="263"/>
      <c r="L51" s="61"/>
      <c r="M51" s="81"/>
      <c r="N51" s="81"/>
      <c r="O51"/>
      <c r="P51"/>
      <c r="Q51"/>
      <c r="R51"/>
      <c r="S51"/>
      <c r="T51"/>
      <c r="U51"/>
      <c r="V51"/>
      <c r="W51"/>
      <c r="X51"/>
      <c r="Y51"/>
      <c r="Z51" s="344"/>
      <c r="AA51" s="346"/>
      <c r="AB51" s="337"/>
      <c r="AC51" s="337"/>
      <c r="AD51" s="110"/>
      <c r="AE51" s="41"/>
      <c r="AF51" s="41"/>
      <c r="AG51" s="41"/>
      <c r="AH51" s="41"/>
      <c r="AI51" s="41"/>
      <c r="AJ51" s="41"/>
      <c r="AK51" s="41"/>
      <c r="AL51" s="41"/>
      <c r="AM51" s="41"/>
      <c r="AN51" s="41"/>
      <c r="AO51" s="41"/>
      <c r="AP51" s="41"/>
      <c r="AQ51" s="41"/>
      <c r="AR51" s="41"/>
      <c r="AS51" s="41"/>
      <c r="AT51" s="41"/>
      <c r="AU51" s="41"/>
      <c r="AV51" s="41"/>
      <c r="AW51" s="41"/>
      <c r="AX51" s="41"/>
      <c r="AY51" s="41"/>
      <c r="AZ51" s="41"/>
      <c r="BA51" s="41"/>
      <c r="BB51" s="41"/>
      <c r="BC51" s="41"/>
      <c r="BD51" s="41"/>
      <c r="BE51" s="41"/>
      <c r="BF51" s="41"/>
      <c r="BG51" s="41"/>
      <c r="BH51" s="41"/>
      <c r="BI51" s="41"/>
      <c r="BJ51" s="41"/>
      <c r="BK51" s="41"/>
      <c r="BL51" s="41"/>
      <c r="BM51" s="41"/>
      <c r="BN51" s="41"/>
      <c r="BO51" s="41"/>
      <c r="BP51" s="41"/>
      <c r="BQ51" s="41"/>
      <c r="BR51" s="41"/>
      <c r="BS51" s="41"/>
      <c r="BT51" s="41"/>
      <c r="BU51" s="41"/>
      <c r="BV51" s="41"/>
      <c r="BW51" s="41"/>
      <c r="BX51" s="41"/>
      <c r="BY51" s="41"/>
      <c r="BZ51" s="41"/>
      <c r="CA51" s="41"/>
      <c r="CB51" s="41"/>
      <c r="CC51" s="41"/>
      <c r="CD51" s="41"/>
      <c r="CE51" s="41"/>
      <c r="CF51" s="41"/>
      <c r="CG51" s="41"/>
      <c r="CH51" s="41"/>
      <c r="CI51" s="41"/>
      <c r="CJ51" s="41"/>
      <c r="CK51" s="41"/>
      <c r="CL51" s="41"/>
      <c r="CM51" s="41"/>
      <c r="CN51" s="41"/>
      <c r="CO51" s="41"/>
      <c r="CP51" s="41"/>
    </row>
    <row r="52" spans="1:94" s="53" customFormat="1" ht="15.75" customHeight="1" x14ac:dyDescent="0.25">
      <c r="A52" s="82"/>
      <c r="B52" s="83"/>
      <c r="C52" s="84"/>
      <c r="D52" s="132" t="s">
        <v>46</v>
      </c>
      <c r="E52" s="133"/>
      <c r="F52" s="55">
        <f>F51</f>
        <v>0</v>
      </c>
      <c r="G52" s="79">
        <f>ROUND(G51,-2)</f>
        <v>0</v>
      </c>
      <c r="H52" s="79">
        <f>ROUND(H51,-2)</f>
        <v>0</v>
      </c>
      <c r="I52" s="266">
        <f>ROUND(I51,-2)</f>
        <v>0</v>
      </c>
      <c r="J52" s="80">
        <f>ROUND(J51,-2)</f>
        <v>0</v>
      </c>
      <c r="K52" s="263"/>
      <c r="L52" s="61"/>
      <c r="M52" s="81"/>
      <c r="N52" s="81"/>
      <c r="O52"/>
      <c r="P52"/>
      <c r="Q52"/>
      <c r="R52"/>
      <c r="S52"/>
      <c r="T52"/>
      <c r="U52"/>
      <c r="V52"/>
      <c r="W52"/>
      <c r="X52"/>
      <c r="Y52"/>
      <c r="Z52" s="344"/>
      <c r="AA52" s="347"/>
      <c r="AB52" s="337"/>
      <c r="AC52" s="337"/>
      <c r="AD52" s="110"/>
      <c r="AE52" s="41"/>
      <c r="AF52" s="41"/>
      <c r="AG52" s="41"/>
      <c r="AH52" s="41"/>
      <c r="AI52" s="41"/>
      <c r="AJ52" s="41"/>
      <c r="AK52" s="41"/>
      <c r="AL52" s="41"/>
      <c r="AM52" s="41"/>
      <c r="AN52" s="41"/>
      <c r="AO52" s="41"/>
      <c r="AP52" s="41"/>
      <c r="AQ52" s="41"/>
      <c r="AR52" s="41"/>
      <c r="AS52" s="41"/>
      <c r="AT52" s="41"/>
      <c r="AU52" s="41"/>
      <c r="AV52" s="41"/>
      <c r="AW52" s="41"/>
      <c r="AX52" s="41"/>
      <c r="AY52" s="41"/>
      <c r="AZ52" s="41"/>
      <c r="BA52" s="41"/>
      <c r="BB52" s="41"/>
      <c r="BC52" s="41"/>
      <c r="BD52" s="41"/>
      <c r="BE52" s="41"/>
      <c r="BF52" s="41"/>
      <c r="BG52" s="41"/>
      <c r="BH52" s="41"/>
      <c r="BI52" s="41"/>
      <c r="BJ52" s="41"/>
      <c r="BK52" s="41"/>
      <c r="BL52" s="41"/>
      <c r="BM52" s="41"/>
      <c r="BN52" s="41"/>
      <c r="BO52" s="41"/>
      <c r="BP52" s="41"/>
      <c r="BQ52" s="41"/>
      <c r="BR52" s="41"/>
      <c r="BS52" s="41"/>
      <c r="BT52" s="41"/>
      <c r="BU52" s="41"/>
      <c r="BV52" s="41"/>
      <c r="BW52" s="41"/>
      <c r="BX52" s="41"/>
      <c r="BY52" s="41"/>
      <c r="BZ52" s="41"/>
      <c r="CA52" s="41"/>
      <c r="CB52" s="41"/>
      <c r="CC52" s="41"/>
      <c r="CD52" s="41"/>
      <c r="CE52" s="41"/>
      <c r="CF52" s="41"/>
      <c r="CG52" s="41"/>
      <c r="CH52" s="41"/>
      <c r="CI52" s="41"/>
      <c r="CJ52" s="41"/>
      <c r="CK52" s="41"/>
      <c r="CL52" s="41"/>
      <c r="CM52" s="41"/>
      <c r="CN52" s="41"/>
      <c r="CO52" s="41"/>
      <c r="CP52" s="41"/>
    </row>
    <row r="53" spans="1:94" s="53" customFormat="1" ht="15" x14ac:dyDescent="0.25">
      <c r="A53" s="85"/>
      <c r="B53" s="83"/>
      <c r="C53" s="441" t="s">
        <v>47</v>
      </c>
      <c r="D53" s="442"/>
      <c r="E53" s="271"/>
      <c r="F53" s="273"/>
      <c r="G53" s="62"/>
      <c r="H53" s="62"/>
      <c r="I53" s="62"/>
      <c r="J53" s="62"/>
      <c r="K53" s="62"/>
      <c r="L53" s="61"/>
      <c r="M53" s="86"/>
      <c r="N53" s="86"/>
      <c r="O53"/>
      <c r="P53"/>
      <c r="Q53"/>
      <c r="R53"/>
      <c r="S53"/>
      <c r="T53"/>
      <c r="U53"/>
      <c r="V53"/>
      <c r="W53"/>
      <c r="X53"/>
      <c r="Y53"/>
      <c r="Z53" s="344"/>
      <c r="AA53" s="337"/>
      <c r="AB53" s="337"/>
      <c r="AC53" s="337"/>
      <c r="AD53" s="110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U53" s="41"/>
      <c r="AV53" s="41"/>
      <c r="AW53" s="41"/>
      <c r="AX53" s="41"/>
      <c r="AY53" s="41"/>
      <c r="AZ53" s="41"/>
      <c r="BA53" s="41"/>
      <c r="BB53" s="41"/>
      <c r="BC53" s="41"/>
      <c r="BD53" s="41"/>
      <c r="BE53" s="41"/>
      <c r="BF53" s="41"/>
      <c r="BG53" s="41"/>
      <c r="BH53" s="41"/>
      <c r="BI53" s="41"/>
      <c r="BJ53" s="41"/>
      <c r="BK53" s="41"/>
      <c r="BL53" s="41"/>
      <c r="BM53" s="41"/>
      <c r="BN53" s="41"/>
      <c r="BO53" s="41"/>
      <c r="BP53" s="41"/>
      <c r="BQ53" s="41"/>
      <c r="BR53" s="41"/>
      <c r="BS53" s="41"/>
      <c r="BT53" s="41"/>
      <c r="BU53" s="41"/>
      <c r="BV53" s="41"/>
      <c r="BW53" s="41"/>
      <c r="BX53" s="41"/>
      <c r="BY53" s="41"/>
      <c r="BZ53" s="41"/>
      <c r="CA53" s="41"/>
      <c r="CB53" s="41"/>
      <c r="CC53" s="41"/>
      <c r="CD53" s="41"/>
      <c r="CE53" s="41"/>
      <c r="CF53" s="41"/>
      <c r="CG53" s="41"/>
      <c r="CH53" s="41"/>
      <c r="CI53" s="41"/>
      <c r="CJ53" s="41"/>
      <c r="CK53" s="41"/>
      <c r="CL53" s="41"/>
      <c r="CM53" s="41"/>
      <c r="CN53" s="41"/>
      <c r="CO53" s="41"/>
      <c r="CP53" s="41"/>
    </row>
    <row r="54" spans="1:94" s="53" customFormat="1" ht="15.75" customHeight="1" x14ac:dyDescent="0.25">
      <c r="A54" s="85">
        <v>4.1100000000000003</v>
      </c>
      <c r="B54" s="83"/>
      <c r="C54" s="408" t="s">
        <v>48</v>
      </c>
      <c r="D54" s="409"/>
      <c r="E54" s="59"/>
      <c r="F54" s="58">
        <v>0</v>
      </c>
      <c r="G54" s="88">
        <v>0</v>
      </c>
      <c r="H54" s="88">
        <v>0</v>
      </c>
      <c r="I54" s="265">
        <v>0</v>
      </c>
      <c r="J54" s="89">
        <f>SUM(G54:I54)</f>
        <v>0</v>
      </c>
      <c r="K54" s="62"/>
      <c r="L54" s="61"/>
      <c r="M54" s="86"/>
      <c r="N54" s="86"/>
      <c r="O54"/>
      <c r="P54"/>
      <c r="Q54"/>
      <c r="R54"/>
      <c r="S54"/>
      <c r="T54"/>
      <c r="U54"/>
      <c r="V54"/>
      <c r="W54"/>
      <c r="X54"/>
      <c r="Y54"/>
      <c r="Z54" s="344"/>
      <c r="AA54" s="337"/>
      <c r="AB54" s="337"/>
      <c r="AC54" s="337"/>
      <c r="AD54" s="110"/>
      <c r="AE54" s="41"/>
      <c r="AF54" s="41"/>
      <c r="AG54" s="41"/>
      <c r="AH54" s="41"/>
      <c r="AI54" s="41"/>
      <c r="AJ54" s="41"/>
      <c r="AK54" s="41"/>
      <c r="AL54" s="41"/>
      <c r="AM54" s="41"/>
      <c r="AN54" s="41"/>
      <c r="AO54" s="41"/>
      <c r="AP54" s="41"/>
      <c r="AQ54" s="41"/>
      <c r="AR54" s="41"/>
      <c r="AS54" s="41"/>
      <c r="AT54" s="41"/>
      <c r="AU54" s="41"/>
      <c r="AV54" s="41"/>
      <c r="AW54" s="41"/>
      <c r="AX54" s="41"/>
      <c r="AY54" s="41"/>
      <c r="AZ54" s="41"/>
      <c r="BA54" s="41"/>
      <c r="BB54" s="41"/>
      <c r="BC54" s="41"/>
      <c r="BD54" s="41"/>
      <c r="BE54" s="41"/>
      <c r="BF54" s="41"/>
      <c r="BG54" s="41"/>
      <c r="BH54" s="41"/>
      <c r="BI54" s="41"/>
      <c r="BJ54" s="41"/>
      <c r="BK54" s="41"/>
      <c r="BL54" s="41"/>
      <c r="BM54" s="41"/>
      <c r="BN54" s="41"/>
      <c r="BO54" s="41"/>
      <c r="BP54" s="41"/>
      <c r="BQ54" s="41"/>
      <c r="BR54" s="41"/>
      <c r="BS54" s="41"/>
      <c r="BT54" s="41"/>
      <c r="BU54" s="41"/>
      <c r="BV54" s="41"/>
      <c r="BW54" s="41"/>
      <c r="BX54" s="41"/>
      <c r="BY54" s="41"/>
      <c r="BZ54" s="41"/>
      <c r="CA54" s="41"/>
      <c r="CB54" s="41"/>
      <c r="CC54" s="41"/>
      <c r="CD54" s="41"/>
      <c r="CE54" s="41"/>
      <c r="CF54" s="41"/>
      <c r="CG54" s="41"/>
      <c r="CH54" s="41"/>
      <c r="CI54" s="41"/>
      <c r="CJ54" s="41"/>
      <c r="CK54" s="41"/>
      <c r="CL54" s="41"/>
      <c r="CM54" s="41"/>
      <c r="CN54" s="41"/>
      <c r="CO54" s="41"/>
      <c r="CP54" s="41"/>
    </row>
    <row r="55" spans="1:94" s="53" customFormat="1" ht="15.75" customHeight="1" x14ac:dyDescent="0.25">
      <c r="A55" s="85">
        <v>4.3099999999999996</v>
      </c>
      <c r="B55" s="83"/>
      <c r="C55" s="421" t="s">
        <v>49</v>
      </c>
      <c r="D55" s="422"/>
      <c r="E55" s="59"/>
      <c r="F55" s="277">
        <v>0</v>
      </c>
      <c r="G55" s="92">
        <v>0</v>
      </c>
      <c r="H55" s="92">
        <v>0</v>
      </c>
      <c r="I55" s="264">
        <v>0</v>
      </c>
      <c r="J55" s="287">
        <f>SUM(G55:I55)</f>
        <v>0</v>
      </c>
      <c r="K55" s="62"/>
      <c r="L55" s="88"/>
      <c r="M55" s="261"/>
      <c r="N55" s="89">
        <f>SUM(L55:M55)</f>
        <v>0</v>
      </c>
      <c r="O55"/>
      <c r="P55"/>
      <c r="Q55"/>
      <c r="R55"/>
      <c r="S55"/>
      <c r="T55"/>
      <c r="U55"/>
      <c r="V55"/>
      <c r="W55"/>
      <c r="X55"/>
      <c r="Y55"/>
      <c r="Z55" s="344"/>
      <c r="AA55" s="337"/>
      <c r="AB55" s="337"/>
      <c r="AC55" s="337"/>
      <c r="AD55" s="110"/>
      <c r="AE55" s="41"/>
      <c r="AF55" s="41"/>
      <c r="AG55" s="41"/>
      <c r="AH55" s="41"/>
      <c r="AI55" s="41"/>
      <c r="AJ55" s="41"/>
      <c r="AK55" s="41"/>
      <c r="AL55" s="41"/>
      <c r="AM55" s="41"/>
      <c r="AN55" s="41"/>
      <c r="AO55" s="41"/>
      <c r="AP55" s="41"/>
      <c r="AQ55" s="41"/>
      <c r="AR55" s="41"/>
      <c r="AS55" s="41"/>
      <c r="AT55" s="41"/>
      <c r="AU55" s="41"/>
      <c r="AV55" s="41"/>
      <c r="AW55" s="41"/>
      <c r="AX55" s="41"/>
      <c r="AY55" s="41"/>
      <c r="AZ55" s="41"/>
      <c r="BA55" s="41"/>
      <c r="BB55" s="41"/>
      <c r="BC55" s="41"/>
      <c r="BD55" s="41"/>
      <c r="BE55" s="41"/>
      <c r="BF55" s="41"/>
      <c r="BG55" s="41"/>
      <c r="BH55" s="41"/>
      <c r="BI55" s="41"/>
      <c r="BJ55" s="41"/>
      <c r="BK55" s="41"/>
      <c r="BL55" s="41"/>
      <c r="BM55" s="41"/>
      <c r="BN55" s="41"/>
      <c r="BO55" s="41"/>
      <c r="BP55" s="41"/>
      <c r="BQ55" s="41"/>
      <c r="BR55" s="41"/>
      <c r="BS55" s="41"/>
      <c r="BT55" s="41"/>
      <c r="BU55" s="41"/>
      <c r="BV55" s="41"/>
      <c r="BW55" s="41"/>
      <c r="BX55" s="41"/>
      <c r="BY55" s="41"/>
      <c r="BZ55" s="41"/>
      <c r="CA55" s="41"/>
      <c r="CB55" s="41"/>
      <c r="CC55" s="41"/>
      <c r="CD55" s="41"/>
      <c r="CE55" s="41"/>
      <c r="CF55" s="41"/>
      <c r="CG55" s="41"/>
      <c r="CH55" s="41"/>
      <c r="CI55" s="41"/>
      <c r="CJ55" s="41"/>
      <c r="CK55" s="41"/>
      <c r="CL55" s="41"/>
      <c r="CM55" s="41"/>
      <c r="CN55" s="41"/>
      <c r="CO55" s="41"/>
      <c r="CP55" s="41"/>
    </row>
    <row r="56" spans="1:94" s="53" customFormat="1" ht="15.75" customHeight="1" x14ac:dyDescent="0.25">
      <c r="A56" s="75">
        <v>5</v>
      </c>
      <c r="B56" s="76"/>
      <c r="C56" s="54" t="str">
        <f>"FY "&amp;M4-1</f>
        <v>FY 2022</v>
      </c>
      <c r="D56" s="131" t="s">
        <v>50</v>
      </c>
      <c r="E56" s="135"/>
      <c r="F56" s="55">
        <f>SUM(F52:F55)</f>
        <v>0</v>
      </c>
      <c r="G56" s="80">
        <f>SUM(G52:G55)</f>
        <v>0</v>
      </c>
      <c r="H56" s="80">
        <f>SUM(H52:H55)</f>
        <v>0</v>
      </c>
      <c r="I56" s="260">
        <f>SUM(I52:I55)</f>
        <v>0</v>
      </c>
      <c r="J56" s="80">
        <f>SUM(J52:J55)</f>
        <v>0</v>
      </c>
      <c r="K56" s="263"/>
      <c r="L56" s="61"/>
      <c r="M56" s="61"/>
      <c r="N56" s="61"/>
      <c r="O56"/>
      <c r="P56"/>
      <c r="Q56"/>
      <c r="R56"/>
      <c r="S56"/>
      <c r="T56"/>
      <c r="U56"/>
      <c r="V56"/>
      <c r="W56"/>
      <c r="X56"/>
      <c r="Y56"/>
      <c r="Z56" s="344"/>
      <c r="AA56" s="337"/>
      <c r="AB56" s="337"/>
      <c r="AC56" s="337"/>
      <c r="AD56" s="110"/>
      <c r="AE56" s="41"/>
      <c r="AF56" s="41"/>
      <c r="AG56" s="41"/>
      <c r="AH56" s="41"/>
      <c r="AI56" s="41"/>
      <c r="AJ56" s="41"/>
      <c r="AK56" s="41"/>
      <c r="AL56" s="41"/>
      <c r="AM56" s="41"/>
      <c r="AN56" s="41"/>
      <c r="AO56" s="41"/>
      <c r="AP56" s="41"/>
      <c r="AQ56" s="41"/>
      <c r="AR56" s="41"/>
      <c r="AS56" s="41"/>
      <c r="AT56" s="41"/>
      <c r="AU56" s="41"/>
      <c r="AV56" s="41"/>
      <c r="AW56" s="41"/>
      <c r="AX56" s="41"/>
      <c r="AY56" s="41"/>
      <c r="AZ56" s="41"/>
      <c r="BA56" s="41"/>
      <c r="BB56" s="41"/>
      <c r="BC56" s="41"/>
      <c r="BD56" s="41"/>
      <c r="BE56" s="41"/>
      <c r="BF56" s="41"/>
      <c r="BG56" s="41"/>
      <c r="BH56" s="41"/>
      <c r="BI56" s="41"/>
      <c r="BJ56" s="41"/>
      <c r="BK56" s="41"/>
      <c r="BL56" s="41"/>
      <c r="BM56" s="41"/>
      <c r="BN56" s="41"/>
      <c r="BO56" s="41"/>
      <c r="BP56" s="41"/>
      <c r="BQ56" s="41"/>
      <c r="BR56" s="41"/>
      <c r="BS56" s="41"/>
      <c r="BT56" s="41"/>
      <c r="BU56" s="41"/>
      <c r="BV56" s="41"/>
      <c r="BW56" s="41"/>
      <c r="BX56" s="41"/>
      <c r="BY56" s="41"/>
      <c r="BZ56" s="41"/>
      <c r="CA56" s="41"/>
      <c r="CB56" s="41"/>
      <c r="CC56" s="41"/>
      <c r="CD56" s="41"/>
      <c r="CE56" s="41"/>
      <c r="CF56" s="41"/>
      <c r="CG56" s="41"/>
      <c r="CH56" s="41"/>
      <c r="CI56" s="41"/>
      <c r="CJ56" s="41"/>
      <c r="CK56" s="41"/>
      <c r="CL56" s="41"/>
      <c r="CM56" s="41"/>
      <c r="CN56" s="41"/>
      <c r="CO56" s="41"/>
      <c r="CP56" s="41"/>
    </row>
    <row r="57" spans="1:94" s="53" customFormat="1" ht="15.75" customHeight="1" x14ac:dyDescent="0.25">
      <c r="A57" s="85"/>
      <c r="B57" s="83"/>
      <c r="C57" s="419" t="s">
        <v>51</v>
      </c>
      <c r="D57" s="423"/>
      <c r="E57" s="331"/>
      <c r="F57" s="273"/>
      <c r="G57" s="62"/>
      <c r="H57" s="62"/>
      <c r="I57" s="62"/>
      <c r="J57" s="62"/>
      <c r="K57" s="62"/>
      <c r="L57" s="61"/>
      <c r="M57" s="61"/>
      <c r="N57" s="61"/>
      <c r="O57"/>
      <c r="P57"/>
      <c r="Q57"/>
      <c r="R57"/>
      <c r="S57"/>
      <c r="T57"/>
      <c r="U57"/>
      <c r="V57"/>
      <c r="W57"/>
      <c r="X57"/>
      <c r="Y57"/>
      <c r="Z57" s="344"/>
      <c r="AA57" s="337"/>
      <c r="AB57" s="337"/>
      <c r="AC57" s="337"/>
      <c r="AD57" s="110"/>
      <c r="AE57" s="41"/>
      <c r="AF57" s="41"/>
      <c r="AG57" s="41"/>
      <c r="AH57" s="41"/>
      <c r="AI57" s="41"/>
      <c r="AJ57" s="41"/>
      <c r="AK57" s="41"/>
      <c r="AL57" s="41"/>
      <c r="AM57" s="41"/>
      <c r="AN57" s="41"/>
      <c r="AO57" s="41"/>
      <c r="AP57" s="41"/>
      <c r="AQ57" s="41"/>
      <c r="AR57" s="41"/>
      <c r="AS57" s="41"/>
      <c r="AT57" s="41"/>
      <c r="AU57" s="41"/>
      <c r="AV57" s="41"/>
      <c r="AW57" s="41"/>
      <c r="AX57" s="41"/>
      <c r="AY57" s="41"/>
      <c r="AZ57" s="41"/>
      <c r="BA57" s="41"/>
      <c r="BB57" s="41"/>
      <c r="BC57" s="41"/>
      <c r="BD57" s="41"/>
      <c r="BE57" s="41"/>
      <c r="BF57" s="41"/>
      <c r="BG57" s="41"/>
      <c r="BH57" s="41"/>
      <c r="BI57" s="41"/>
      <c r="BJ57" s="41"/>
      <c r="BK57" s="41"/>
      <c r="BL57" s="41"/>
      <c r="BM57" s="41"/>
      <c r="BN57" s="41"/>
      <c r="BO57" s="41"/>
      <c r="BP57" s="41"/>
      <c r="BQ57" s="41"/>
      <c r="BR57" s="41"/>
      <c r="BS57" s="41"/>
      <c r="BT57" s="41"/>
      <c r="BU57" s="41"/>
      <c r="BV57" s="41"/>
      <c r="BW57" s="41"/>
      <c r="BX57" s="41"/>
      <c r="BY57" s="41"/>
      <c r="BZ57" s="41"/>
      <c r="CA57" s="41"/>
      <c r="CB57" s="41"/>
      <c r="CC57" s="41"/>
      <c r="CD57" s="41"/>
      <c r="CE57" s="41"/>
      <c r="CF57" s="41"/>
      <c r="CG57" s="41"/>
      <c r="CH57" s="41"/>
      <c r="CI57" s="41"/>
      <c r="CJ57" s="41"/>
      <c r="CK57" s="41"/>
      <c r="CL57" s="41"/>
      <c r="CM57" s="41"/>
      <c r="CN57" s="41"/>
      <c r="CO57" s="41"/>
      <c r="CP57" s="41"/>
    </row>
    <row r="58" spans="1:94" s="53" customFormat="1" ht="15.75" customHeight="1" x14ac:dyDescent="0.25">
      <c r="A58" s="85">
        <v>6.31</v>
      </c>
      <c r="B58" s="83"/>
      <c r="C58" s="408" t="s">
        <v>52</v>
      </c>
      <c r="D58" s="409"/>
      <c r="E58" s="102"/>
      <c r="F58" s="58">
        <v>0</v>
      </c>
      <c r="G58" s="88">
        <v>0</v>
      </c>
      <c r="H58" s="88">
        <v>0</v>
      </c>
      <c r="I58" s="265">
        <v>0</v>
      </c>
      <c r="J58" s="89">
        <f>SUM(G58:I58)</f>
        <v>0</v>
      </c>
      <c r="K58" s="62"/>
      <c r="L58" s="88"/>
      <c r="M58" s="262"/>
      <c r="N58" s="89">
        <f>SUM(L58:M58)</f>
        <v>0</v>
      </c>
      <c r="O58"/>
      <c r="P58"/>
      <c r="Q58"/>
      <c r="R58"/>
      <c r="S58"/>
      <c r="T58"/>
      <c r="U58"/>
      <c r="V58"/>
      <c r="W58"/>
      <c r="X58"/>
      <c r="Y58"/>
      <c r="Z58" s="344"/>
      <c r="AA58" s="337"/>
      <c r="AB58" s="337"/>
      <c r="AC58" s="337"/>
      <c r="AD58" s="110"/>
      <c r="AE58" s="41"/>
      <c r="AF58" s="41"/>
      <c r="AG58" s="41"/>
      <c r="AH58" s="41"/>
      <c r="AI58" s="41"/>
      <c r="AJ58" s="41"/>
      <c r="AK58" s="41"/>
      <c r="AL58" s="41"/>
      <c r="AM58" s="41"/>
      <c r="AN58" s="41"/>
      <c r="AO58" s="41"/>
      <c r="AP58" s="41"/>
      <c r="AQ58" s="41"/>
      <c r="AR58" s="41"/>
      <c r="AS58" s="41"/>
      <c r="AT58" s="41"/>
      <c r="AU58" s="41"/>
      <c r="AV58" s="41"/>
      <c r="AW58" s="41"/>
      <c r="AX58" s="41"/>
      <c r="AY58" s="41"/>
      <c r="AZ58" s="41"/>
      <c r="BA58" s="41"/>
      <c r="BB58" s="41"/>
      <c r="BC58" s="41"/>
      <c r="BD58" s="41"/>
      <c r="BE58" s="41"/>
      <c r="BF58" s="41"/>
      <c r="BG58" s="41"/>
      <c r="BH58" s="41"/>
      <c r="BI58" s="41"/>
      <c r="BJ58" s="41"/>
      <c r="BK58" s="41"/>
      <c r="BL58" s="41"/>
      <c r="BM58" s="41"/>
      <c r="BN58" s="41"/>
      <c r="BO58" s="41"/>
      <c r="BP58" s="41"/>
      <c r="BQ58" s="41"/>
      <c r="BR58" s="41"/>
      <c r="BS58" s="41"/>
      <c r="BT58" s="41"/>
      <c r="BU58" s="41"/>
      <c r="BV58" s="41"/>
      <c r="BW58" s="41"/>
      <c r="BX58" s="41"/>
      <c r="BY58" s="41"/>
      <c r="BZ58" s="41"/>
      <c r="CA58" s="41"/>
      <c r="CB58" s="41"/>
      <c r="CC58" s="41"/>
      <c r="CD58" s="41"/>
      <c r="CE58" s="41"/>
      <c r="CF58" s="41"/>
      <c r="CG58" s="41"/>
      <c r="CH58" s="41"/>
      <c r="CI58" s="41"/>
      <c r="CJ58" s="41"/>
      <c r="CK58" s="41"/>
      <c r="CL58" s="41"/>
      <c r="CM58" s="41"/>
      <c r="CN58" s="41"/>
      <c r="CO58" s="41"/>
      <c r="CP58" s="41"/>
    </row>
    <row r="59" spans="1:94" s="53" customFormat="1" ht="15.75" customHeight="1" x14ac:dyDescent="0.25">
      <c r="A59" s="85">
        <v>6.51</v>
      </c>
      <c r="B59" s="83"/>
      <c r="C59" s="421" t="s">
        <v>66</v>
      </c>
      <c r="D59" s="422"/>
      <c r="E59" s="102"/>
      <c r="F59" s="58">
        <v>0</v>
      </c>
      <c r="G59" s="88">
        <v>0</v>
      </c>
      <c r="H59" s="92">
        <v>0</v>
      </c>
      <c r="I59" s="264">
        <v>0</v>
      </c>
      <c r="J59" s="267">
        <f>SUM(G59:I59)</f>
        <v>0</v>
      </c>
      <c r="K59" s="62"/>
      <c r="L59" s="88"/>
      <c r="M59" s="261"/>
      <c r="N59" s="89">
        <f>SUM(L59:M59)</f>
        <v>0</v>
      </c>
      <c r="O59"/>
      <c r="P59"/>
      <c r="Q59"/>
      <c r="R59"/>
      <c r="S59"/>
      <c r="T59"/>
      <c r="U59"/>
      <c r="V59"/>
      <c r="W59"/>
      <c r="X59"/>
      <c r="Y59"/>
      <c r="Z59" s="344"/>
      <c r="AA59" s="337"/>
      <c r="AB59" s="337"/>
      <c r="AC59" s="337"/>
      <c r="AD59" s="110"/>
      <c r="AE59" s="41"/>
      <c r="AF59" s="41"/>
      <c r="AG59" s="41"/>
      <c r="AH59" s="41"/>
      <c r="AI59" s="41"/>
      <c r="AJ59" s="41"/>
      <c r="AK59" s="41"/>
      <c r="AL59" s="41"/>
      <c r="AM59" s="41"/>
      <c r="AN59" s="41"/>
      <c r="AO59" s="41"/>
      <c r="AP59" s="41"/>
      <c r="AQ59" s="41"/>
      <c r="AR59" s="41"/>
      <c r="AS59" s="41"/>
      <c r="AT59" s="41"/>
      <c r="AU59" s="41"/>
      <c r="AV59" s="41"/>
      <c r="AW59" s="41"/>
      <c r="AX59" s="41"/>
      <c r="AY59" s="41"/>
      <c r="AZ59" s="41"/>
      <c r="BA59" s="41"/>
      <c r="BB59" s="41"/>
      <c r="BC59" s="41"/>
      <c r="BD59" s="41"/>
      <c r="BE59" s="41"/>
      <c r="BF59" s="41"/>
      <c r="BG59" s="41"/>
      <c r="BH59" s="41"/>
      <c r="BI59" s="41"/>
      <c r="BJ59" s="41"/>
      <c r="BK59" s="41"/>
      <c r="BL59" s="41"/>
      <c r="BM59" s="41"/>
      <c r="BN59" s="41"/>
      <c r="BO59" s="41"/>
      <c r="BP59" s="41"/>
      <c r="BQ59" s="41"/>
      <c r="BR59" s="41"/>
      <c r="BS59" s="41"/>
      <c r="BT59" s="41"/>
      <c r="BU59" s="41"/>
      <c r="BV59" s="41"/>
      <c r="BW59" s="41"/>
      <c r="BX59" s="41"/>
      <c r="BY59" s="41"/>
      <c r="BZ59" s="41"/>
      <c r="CA59" s="41"/>
      <c r="CB59" s="41"/>
      <c r="CC59" s="41"/>
      <c r="CD59" s="41"/>
      <c r="CE59" s="41"/>
      <c r="CF59" s="41"/>
      <c r="CG59" s="41"/>
      <c r="CH59" s="41"/>
      <c r="CI59" s="41"/>
      <c r="CJ59" s="41"/>
      <c r="CK59" s="41"/>
      <c r="CL59" s="41"/>
      <c r="CM59" s="41"/>
      <c r="CN59" s="41"/>
      <c r="CO59" s="41"/>
      <c r="CP59" s="41"/>
    </row>
    <row r="60" spans="1:94" s="53" customFormat="1" ht="15.75" customHeight="1" x14ac:dyDescent="0.25">
      <c r="A60" s="75">
        <v>7</v>
      </c>
      <c r="B60" s="76"/>
      <c r="C60" s="54" t="str">
        <f>"FY "&amp;M4-1</f>
        <v>FY 2022</v>
      </c>
      <c r="D60" s="131" t="s">
        <v>53</v>
      </c>
      <c r="E60" s="135"/>
      <c r="F60" s="55">
        <f>SUM(F56:F59)</f>
        <v>0</v>
      </c>
      <c r="G60" s="80">
        <f>SUM(G56:G59)</f>
        <v>0</v>
      </c>
      <c r="H60" s="80">
        <f>SUM(H56:H59)</f>
        <v>0</v>
      </c>
      <c r="I60" s="260">
        <f>SUM(I56:I59)</f>
        <v>0</v>
      </c>
      <c r="J60" s="80">
        <f>SUM(J56:J59)</f>
        <v>0</v>
      </c>
      <c r="K60" s="263"/>
      <c r="L60" s="61"/>
      <c r="M60" s="61"/>
      <c r="N60" s="60"/>
      <c r="O60"/>
      <c r="P60"/>
      <c r="Q60"/>
      <c r="R60"/>
      <c r="S60"/>
      <c r="T60"/>
      <c r="U60"/>
      <c r="V60"/>
      <c r="W60"/>
      <c r="X60"/>
      <c r="Y60"/>
      <c r="Z60" s="344"/>
      <c r="AA60" s="337"/>
      <c r="AB60" s="337"/>
      <c r="AC60" s="337"/>
      <c r="AD60" s="110"/>
      <c r="AE60" s="41"/>
      <c r="AF60" s="41"/>
      <c r="AG60" s="41"/>
      <c r="AH60" s="41"/>
      <c r="AI60" s="41"/>
      <c r="AJ60" s="41"/>
      <c r="AK60" s="41"/>
      <c r="AL60" s="41"/>
      <c r="AM60" s="41"/>
      <c r="AN60" s="41"/>
      <c r="AO60" s="41"/>
      <c r="AP60" s="41"/>
      <c r="AQ60" s="41"/>
      <c r="AR60" s="41"/>
      <c r="AS60" s="41"/>
      <c r="AT60" s="41"/>
      <c r="AU60" s="41"/>
      <c r="AV60" s="41"/>
      <c r="AW60" s="41"/>
      <c r="AX60" s="41"/>
      <c r="AY60" s="41"/>
      <c r="AZ60" s="41"/>
      <c r="BA60" s="41"/>
      <c r="BB60" s="41"/>
      <c r="BC60" s="41"/>
      <c r="BD60" s="41"/>
      <c r="BE60" s="41"/>
      <c r="BF60" s="41"/>
      <c r="BG60" s="41"/>
      <c r="BH60" s="41"/>
      <c r="BI60" s="41"/>
      <c r="BJ60" s="41"/>
      <c r="BK60" s="41"/>
      <c r="BL60" s="41"/>
      <c r="BM60" s="41"/>
      <c r="BN60" s="41"/>
      <c r="BO60" s="41"/>
      <c r="BP60" s="41"/>
      <c r="BQ60" s="41"/>
      <c r="BR60" s="41"/>
      <c r="BS60" s="41"/>
      <c r="BT60" s="41"/>
      <c r="BU60" s="41"/>
      <c r="BV60" s="41"/>
      <c r="BW60" s="41"/>
      <c r="BX60" s="41"/>
      <c r="BY60" s="41"/>
      <c r="BZ60" s="41"/>
      <c r="CA60" s="41"/>
      <c r="CB60" s="41"/>
      <c r="CC60" s="41"/>
      <c r="CD60" s="41"/>
      <c r="CE60" s="41"/>
      <c r="CF60" s="41"/>
      <c r="CG60" s="41"/>
      <c r="CH60" s="41"/>
      <c r="CI60" s="41"/>
      <c r="CJ60" s="41"/>
      <c r="CK60" s="41"/>
      <c r="CL60" s="41"/>
      <c r="CM60" s="41"/>
      <c r="CN60" s="41"/>
      <c r="CO60" s="41"/>
      <c r="CP60" s="41"/>
    </row>
    <row r="61" spans="1:94" s="53" customFormat="1" ht="15.75" customHeight="1" x14ac:dyDescent="0.25">
      <c r="A61" s="85"/>
      <c r="B61" s="83"/>
      <c r="C61" s="419" t="s">
        <v>54</v>
      </c>
      <c r="D61" s="423"/>
      <c r="E61" s="331"/>
      <c r="F61" s="273"/>
      <c r="G61" s="62"/>
      <c r="H61" s="62"/>
      <c r="I61" s="62"/>
      <c r="J61" s="62"/>
      <c r="K61" s="62"/>
      <c r="L61" s="61"/>
      <c r="M61" s="61"/>
      <c r="N61" s="60"/>
      <c r="O61"/>
      <c r="P61"/>
      <c r="Q61"/>
      <c r="R61"/>
      <c r="S61"/>
      <c r="T61"/>
      <c r="U61"/>
      <c r="V61"/>
      <c r="W61"/>
      <c r="X61"/>
      <c r="Y61"/>
      <c r="Z61" s="344"/>
      <c r="AA61" s="337"/>
      <c r="AB61" s="337"/>
      <c r="AC61" s="337"/>
      <c r="AD61" s="110"/>
      <c r="AE61" s="41"/>
      <c r="AF61" s="41"/>
      <c r="AG61" s="41"/>
      <c r="AH61" s="41"/>
      <c r="AI61" s="41"/>
      <c r="AJ61" s="41"/>
      <c r="AK61" s="41"/>
      <c r="AL61" s="41"/>
      <c r="AM61" s="41"/>
      <c r="AN61" s="41"/>
      <c r="AO61" s="41"/>
      <c r="AP61" s="41"/>
      <c r="AQ61" s="41"/>
      <c r="AR61" s="41"/>
      <c r="AS61" s="41"/>
      <c r="AT61" s="41"/>
      <c r="AU61" s="41"/>
      <c r="AV61" s="41"/>
      <c r="AW61" s="41"/>
      <c r="AX61" s="41"/>
      <c r="AY61" s="41"/>
      <c r="AZ61" s="41"/>
      <c r="BA61" s="41"/>
      <c r="BB61" s="41"/>
      <c r="BC61" s="41"/>
      <c r="BD61" s="41"/>
      <c r="BE61" s="41"/>
      <c r="BF61" s="41"/>
      <c r="BG61" s="41"/>
      <c r="BH61" s="41"/>
      <c r="BI61" s="41"/>
      <c r="BJ61" s="41"/>
      <c r="BK61" s="41"/>
      <c r="BL61" s="41"/>
      <c r="BM61" s="41"/>
      <c r="BN61" s="41"/>
      <c r="BO61" s="41"/>
      <c r="BP61" s="41"/>
      <c r="BQ61" s="41"/>
      <c r="BR61" s="41"/>
      <c r="BS61" s="41"/>
      <c r="BT61" s="41"/>
      <c r="BU61" s="41"/>
      <c r="BV61" s="41"/>
      <c r="BW61" s="41"/>
      <c r="BX61" s="41"/>
      <c r="BY61" s="41"/>
      <c r="BZ61" s="41"/>
      <c r="CA61" s="41"/>
      <c r="CB61" s="41"/>
      <c r="CC61" s="41"/>
      <c r="CD61" s="41"/>
      <c r="CE61" s="41"/>
      <c r="CF61" s="41"/>
      <c r="CG61" s="41"/>
      <c r="CH61" s="41"/>
      <c r="CI61" s="41"/>
      <c r="CJ61" s="41"/>
      <c r="CK61" s="41"/>
      <c r="CL61" s="41"/>
      <c r="CM61" s="41"/>
      <c r="CN61" s="41"/>
      <c r="CO61" s="41"/>
      <c r="CP61" s="41"/>
    </row>
    <row r="62" spans="1:94" s="53" customFormat="1" ht="15.75" customHeight="1" x14ac:dyDescent="0.25">
      <c r="A62" s="85">
        <v>8.31</v>
      </c>
      <c r="B62" s="83"/>
      <c r="C62" s="408" t="s">
        <v>67</v>
      </c>
      <c r="D62" s="409"/>
      <c r="E62" s="102"/>
      <c r="F62" s="58">
        <v>0</v>
      </c>
      <c r="G62" s="88">
        <v>0</v>
      </c>
      <c r="H62" s="91">
        <v>0</v>
      </c>
      <c r="I62" s="276">
        <v>0</v>
      </c>
      <c r="J62" s="89">
        <f>SUM(G62:I62)</f>
        <v>0</v>
      </c>
      <c r="K62" s="62"/>
      <c r="L62" s="88"/>
      <c r="M62" s="261"/>
      <c r="N62" s="89">
        <f>SUM(L62:M62)</f>
        <v>0</v>
      </c>
      <c r="O62"/>
      <c r="P62"/>
      <c r="Q62"/>
      <c r="R62"/>
      <c r="S62"/>
      <c r="T62"/>
      <c r="U62"/>
      <c r="V62"/>
      <c r="W62"/>
      <c r="X62"/>
      <c r="Y62"/>
      <c r="Z62" s="344"/>
      <c r="AA62" s="337"/>
      <c r="AB62" s="337"/>
      <c r="AC62" s="337"/>
      <c r="AD62" s="110"/>
      <c r="AE62" s="41"/>
      <c r="AF62" s="41"/>
      <c r="AG62" s="41"/>
      <c r="AH62" s="41"/>
      <c r="AI62" s="41"/>
      <c r="AJ62" s="41"/>
      <c r="AK62" s="41"/>
      <c r="AL62" s="41"/>
      <c r="AM62" s="41"/>
      <c r="AN62" s="41"/>
      <c r="AO62" s="41"/>
      <c r="AP62" s="41"/>
      <c r="AQ62" s="41"/>
      <c r="AR62" s="41"/>
      <c r="AS62" s="41"/>
      <c r="AT62" s="41"/>
      <c r="AU62" s="41"/>
      <c r="AV62" s="41"/>
      <c r="AW62" s="41"/>
      <c r="AX62" s="41"/>
      <c r="AY62" s="41"/>
      <c r="AZ62" s="41"/>
      <c r="BA62" s="41"/>
      <c r="BB62" s="41"/>
      <c r="BC62" s="41"/>
      <c r="BD62" s="41"/>
      <c r="BE62" s="41"/>
      <c r="BF62" s="41"/>
      <c r="BG62" s="41"/>
      <c r="BH62" s="41"/>
      <c r="BI62" s="41"/>
      <c r="BJ62" s="41"/>
      <c r="BK62" s="41"/>
      <c r="BL62" s="41"/>
      <c r="BM62" s="41"/>
      <c r="BN62" s="41"/>
      <c r="BO62" s="41"/>
      <c r="BP62" s="41"/>
      <c r="BQ62" s="41"/>
      <c r="BR62" s="41"/>
      <c r="BS62" s="41"/>
      <c r="BT62" s="41"/>
      <c r="BU62" s="41"/>
      <c r="BV62" s="41"/>
      <c r="BW62" s="41"/>
      <c r="BX62" s="41"/>
      <c r="BY62" s="41"/>
      <c r="BZ62" s="41"/>
      <c r="CA62" s="41"/>
      <c r="CB62" s="41"/>
      <c r="CC62" s="41"/>
      <c r="CD62" s="41"/>
      <c r="CE62" s="41"/>
      <c r="CF62" s="41"/>
      <c r="CG62" s="41"/>
      <c r="CH62" s="41"/>
      <c r="CI62" s="41"/>
      <c r="CJ62" s="41"/>
      <c r="CK62" s="41"/>
      <c r="CL62" s="41"/>
      <c r="CM62" s="41"/>
      <c r="CN62" s="41"/>
      <c r="CO62" s="41"/>
      <c r="CP62" s="41"/>
    </row>
    <row r="63" spans="1:94" s="53" customFormat="1" ht="15.75" customHeight="1" x14ac:dyDescent="0.25">
      <c r="A63" s="85">
        <v>8.41</v>
      </c>
      <c r="B63" s="83"/>
      <c r="C63" s="408" t="s">
        <v>55</v>
      </c>
      <c r="D63" s="409"/>
      <c r="E63" s="102"/>
      <c r="F63" s="58">
        <v>0</v>
      </c>
      <c r="G63" s="89">
        <f>ROUND((OneTimePC_Total-H63)/(1+(PermVB+Retire1)),-2)</f>
        <v>0</v>
      </c>
      <c r="H63" s="89">
        <f>ROUND(IF(AND(F63&lt;0,OneTimePC_Total&lt;0),F63*Health,0),-2)</f>
        <v>0</v>
      </c>
      <c r="I63" s="310">
        <f>OneTimePC_Total-G63-H63</f>
        <v>0</v>
      </c>
      <c r="J63" s="89"/>
      <c r="K63" s="308"/>
      <c r="L63" s="88"/>
      <c r="M63" s="261"/>
      <c r="N63" s="89">
        <f>SUM(L63:M63)</f>
        <v>0</v>
      </c>
      <c r="O63"/>
      <c r="P63"/>
      <c r="Q63"/>
      <c r="R63"/>
      <c r="S63"/>
      <c r="T63"/>
      <c r="U63"/>
      <c r="V63"/>
      <c r="W63"/>
      <c r="X63"/>
      <c r="Y63"/>
      <c r="Z63" s="344"/>
      <c r="AA63" s="337"/>
      <c r="AB63" s="337"/>
      <c r="AC63" s="337"/>
      <c r="AD63" s="110"/>
      <c r="AE63" s="41"/>
      <c r="AF63" s="41"/>
      <c r="AG63" s="41"/>
      <c r="AH63" s="41"/>
      <c r="AI63" s="41"/>
      <c r="AJ63" s="41"/>
      <c r="AK63" s="41"/>
      <c r="AL63" s="41"/>
      <c r="AM63" s="41"/>
      <c r="AN63" s="41"/>
      <c r="AO63" s="41"/>
      <c r="AP63" s="41"/>
      <c r="AQ63" s="41"/>
      <c r="AR63" s="41"/>
      <c r="AS63" s="41"/>
      <c r="AT63" s="41"/>
      <c r="AU63" s="41"/>
      <c r="AV63" s="41"/>
      <c r="AW63" s="41"/>
      <c r="AX63" s="41"/>
      <c r="AY63" s="41"/>
      <c r="AZ63" s="41"/>
      <c r="BA63" s="41"/>
      <c r="BB63" s="41"/>
      <c r="BC63" s="41"/>
      <c r="BD63" s="41"/>
      <c r="BE63" s="41"/>
      <c r="BF63" s="41"/>
      <c r="BG63" s="41"/>
      <c r="BH63" s="41"/>
      <c r="BI63" s="41"/>
      <c r="BJ63" s="41"/>
      <c r="BK63" s="41"/>
      <c r="BL63" s="41"/>
      <c r="BM63" s="41"/>
      <c r="BN63" s="41"/>
      <c r="BO63" s="41"/>
      <c r="BP63" s="41"/>
      <c r="BQ63" s="41"/>
      <c r="BR63" s="41"/>
      <c r="BS63" s="41"/>
      <c r="BT63" s="41"/>
      <c r="BU63" s="41"/>
      <c r="BV63" s="41"/>
      <c r="BW63" s="41"/>
      <c r="BX63" s="41"/>
      <c r="BY63" s="41"/>
      <c r="BZ63" s="41"/>
      <c r="CA63" s="41"/>
      <c r="CB63" s="41"/>
      <c r="CC63" s="41"/>
      <c r="CD63" s="41"/>
      <c r="CE63" s="41"/>
      <c r="CF63" s="41"/>
      <c r="CG63" s="41"/>
      <c r="CH63" s="41"/>
      <c r="CI63" s="41"/>
      <c r="CJ63" s="41"/>
      <c r="CK63" s="41"/>
      <c r="CL63" s="41"/>
      <c r="CM63" s="41"/>
      <c r="CN63" s="41"/>
      <c r="CO63" s="41"/>
      <c r="CP63" s="41"/>
    </row>
    <row r="64" spans="1:94" s="53" customFormat="1" ht="15.75" customHeight="1" thickBot="1" x14ac:dyDescent="0.3">
      <c r="A64" s="93">
        <v>8.51</v>
      </c>
      <c r="B64" s="93"/>
      <c r="C64" s="413" t="s">
        <v>56</v>
      </c>
      <c r="D64" s="414"/>
      <c r="E64" s="134"/>
      <c r="F64" s="58">
        <v>0</v>
      </c>
      <c r="G64" s="88"/>
      <c r="H64" s="88">
        <v>0</v>
      </c>
      <c r="I64" s="265"/>
      <c r="J64" s="89">
        <f>SUM(G64:I64)</f>
        <v>0</v>
      </c>
      <c r="K64" s="62"/>
      <c r="L64" s="88"/>
      <c r="M64" s="261"/>
      <c r="N64" s="89">
        <f>SUM(L64:M64)</f>
        <v>0</v>
      </c>
      <c r="O64"/>
      <c r="P64"/>
      <c r="Q64"/>
      <c r="R64"/>
      <c r="S64"/>
      <c r="T64"/>
      <c r="U64"/>
      <c r="V64"/>
      <c r="W64"/>
      <c r="X64"/>
      <c r="Y64"/>
      <c r="Z64" s="344"/>
      <c r="AA64" s="337"/>
      <c r="AB64" s="337"/>
      <c r="AC64" s="337"/>
      <c r="AD64" s="110"/>
      <c r="AE64" s="41"/>
      <c r="AF64" s="41"/>
      <c r="AG64" s="41"/>
      <c r="AH64" s="41"/>
      <c r="AI64" s="41"/>
      <c r="AJ64" s="41"/>
      <c r="AK64" s="41"/>
      <c r="AL64" s="41"/>
      <c r="AM64" s="41"/>
      <c r="AN64" s="41"/>
      <c r="AO64" s="41"/>
      <c r="AP64" s="41"/>
      <c r="AQ64" s="41"/>
      <c r="AR64" s="41"/>
      <c r="AS64" s="41"/>
      <c r="AT64" s="41"/>
      <c r="AU64" s="41"/>
      <c r="AV64" s="41"/>
      <c r="AW64" s="41"/>
      <c r="AX64" s="41"/>
      <c r="AY64" s="41"/>
      <c r="AZ64" s="41"/>
      <c r="BA64" s="41"/>
      <c r="BB64" s="41"/>
      <c r="BC64" s="41"/>
      <c r="BD64" s="41"/>
      <c r="BE64" s="41"/>
      <c r="BF64" s="41"/>
      <c r="BG64" s="41"/>
      <c r="BH64" s="41"/>
      <c r="BI64" s="41"/>
      <c r="BJ64" s="41"/>
      <c r="BK64" s="41"/>
      <c r="BL64" s="41"/>
      <c r="BM64" s="41"/>
      <c r="BN64" s="41"/>
      <c r="BO64" s="41"/>
      <c r="BP64" s="41"/>
      <c r="BQ64" s="41"/>
      <c r="BR64" s="41"/>
      <c r="BS64" s="41"/>
      <c r="BT64" s="41"/>
      <c r="BU64" s="41"/>
      <c r="BV64" s="41"/>
      <c r="BW64" s="41"/>
      <c r="BX64" s="41"/>
      <c r="BY64" s="41"/>
      <c r="BZ64" s="41"/>
      <c r="CA64" s="41"/>
      <c r="CB64" s="41"/>
      <c r="CC64" s="41"/>
      <c r="CD64" s="41"/>
      <c r="CE64" s="41"/>
      <c r="CF64" s="41"/>
      <c r="CG64" s="41"/>
      <c r="CH64" s="41"/>
      <c r="CI64" s="41"/>
      <c r="CJ64" s="41"/>
      <c r="CK64" s="41"/>
      <c r="CL64" s="41"/>
      <c r="CM64" s="41"/>
      <c r="CN64" s="41"/>
      <c r="CO64" s="41"/>
      <c r="CP64" s="41"/>
    </row>
    <row r="65" spans="1:94" s="53" customFormat="1" ht="6" customHeight="1" thickTop="1" x14ac:dyDescent="0.25">
      <c r="A65" s="94"/>
      <c r="B65" s="95"/>
      <c r="C65" s="415"/>
      <c r="D65" s="416"/>
      <c r="E65" s="96"/>
      <c r="F65" s="97"/>
      <c r="G65" s="98"/>
      <c r="H65" s="98"/>
      <c r="I65" s="98"/>
      <c r="J65" s="98"/>
      <c r="K65" s="98"/>
      <c r="L65" s="98"/>
      <c r="M65" s="99"/>
      <c r="N65" s="95"/>
      <c r="O65"/>
      <c r="P65"/>
      <c r="Q65"/>
      <c r="R65"/>
      <c r="S65"/>
      <c r="T65"/>
      <c r="U65"/>
      <c r="V65"/>
      <c r="W65"/>
      <c r="X65"/>
      <c r="Y65"/>
      <c r="Z65" s="344"/>
      <c r="AA65" s="337"/>
      <c r="AB65" s="337"/>
      <c r="AC65" s="337"/>
      <c r="AD65" s="110"/>
      <c r="AE65" s="41"/>
      <c r="AF65" s="41"/>
      <c r="AG65" s="41"/>
      <c r="AH65" s="41"/>
      <c r="AI65" s="41"/>
      <c r="AJ65" s="41"/>
      <c r="AK65" s="41"/>
      <c r="AL65" s="41"/>
      <c r="AM65" s="41"/>
      <c r="AN65" s="41"/>
      <c r="AO65" s="41"/>
      <c r="AP65" s="41"/>
      <c r="AQ65" s="41"/>
      <c r="AR65" s="41"/>
      <c r="AS65" s="41"/>
      <c r="AT65" s="41"/>
      <c r="AU65" s="41"/>
      <c r="AV65" s="41"/>
      <c r="AW65" s="41"/>
      <c r="AX65" s="41"/>
      <c r="AY65" s="41"/>
      <c r="AZ65" s="41"/>
      <c r="BA65" s="41"/>
      <c r="BB65" s="41"/>
      <c r="BC65" s="41"/>
      <c r="BD65" s="41"/>
      <c r="BE65" s="41"/>
      <c r="BF65" s="41"/>
      <c r="BG65" s="41"/>
      <c r="BH65" s="41"/>
      <c r="BI65" s="41"/>
      <c r="BJ65" s="41"/>
      <c r="BK65" s="41"/>
      <c r="BL65" s="41"/>
      <c r="BM65" s="41"/>
      <c r="BN65" s="41"/>
      <c r="BO65" s="41"/>
      <c r="BP65" s="41"/>
      <c r="BQ65" s="41"/>
      <c r="BR65" s="41"/>
      <c r="BS65" s="41"/>
      <c r="BT65" s="41"/>
      <c r="BU65" s="41"/>
      <c r="BV65" s="41"/>
      <c r="BW65" s="41"/>
      <c r="BX65" s="41"/>
      <c r="BY65" s="41"/>
      <c r="BZ65" s="41"/>
      <c r="CA65" s="41"/>
      <c r="CB65" s="41"/>
      <c r="CC65" s="41"/>
      <c r="CD65" s="41"/>
      <c r="CE65" s="41"/>
      <c r="CF65" s="41"/>
      <c r="CG65" s="41"/>
      <c r="CH65" s="41"/>
      <c r="CI65" s="41"/>
      <c r="CJ65" s="41"/>
      <c r="CK65" s="41"/>
      <c r="CL65" s="41"/>
      <c r="CM65" s="41"/>
      <c r="CN65" s="41"/>
      <c r="CO65" s="41"/>
      <c r="CP65" s="41"/>
    </row>
    <row r="66" spans="1:94" s="107" customFormat="1" ht="15" x14ac:dyDescent="0.25">
      <c r="A66" s="100"/>
      <c r="B66" s="101"/>
      <c r="C66" s="417"/>
      <c r="D66" s="418"/>
      <c r="E66" s="102"/>
      <c r="F66" s="103" t="s">
        <v>24</v>
      </c>
      <c r="G66" s="104" t="str">
        <f>"FY "&amp;M4-2000&amp;" Salary"</f>
        <v>FY 23 Salary</v>
      </c>
      <c r="H66" s="104" t="str">
        <f>"FY"&amp;M4-2000&amp;" Health Ben"</f>
        <v>FY23 Health Ben</v>
      </c>
      <c r="I66" s="104" t="str">
        <f>"FY "&amp;M4-2000&amp;" Var Ben"</f>
        <v>FY 23 Var Ben</v>
      </c>
      <c r="J66" s="104" t="str">
        <f>"FY "&amp;M4&amp;" Total"</f>
        <v>FY 2023 Total</v>
      </c>
      <c r="K66" s="104"/>
      <c r="L66" s="105"/>
      <c r="M66" s="105"/>
      <c r="N66" s="101"/>
      <c r="O66"/>
      <c r="P66"/>
      <c r="Q66"/>
      <c r="R66"/>
      <c r="S66"/>
      <c r="T66"/>
      <c r="U66"/>
      <c r="V66"/>
      <c r="W66"/>
      <c r="X66"/>
      <c r="Y66"/>
      <c r="Z66" s="344"/>
      <c r="AA66" s="339"/>
      <c r="AB66" s="339"/>
      <c r="AC66" s="339"/>
      <c r="AD66" s="105"/>
      <c r="AE66" s="106"/>
      <c r="AF66" s="106"/>
      <c r="AG66" s="106"/>
      <c r="AH66" s="106"/>
      <c r="AI66" s="106"/>
      <c r="AJ66" s="106"/>
      <c r="AK66" s="106"/>
      <c r="AL66" s="106"/>
      <c r="AM66" s="106"/>
      <c r="AN66" s="106"/>
      <c r="AO66" s="106"/>
      <c r="AP66" s="106"/>
      <c r="AQ66" s="106"/>
      <c r="AR66" s="106"/>
      <c r="AS66" s="106"/>
      <c r="AT66" s="106"/>
      <c r="AU66" s="106"/>
      <c r="AV66" s="106"/>
      <c r="AW66" s="106"/>
      <c r="AX66" s="106"/>
      <c r="AY66" s="106"/>
      <c r="AZ66" s="106"/>
      <c r="BA66" s="106"/>
      <c r="BB66" s="106"/>
      <c r="BC66" s="106"/>
      <c r="BD66" s="106"/>
      <c r="BE66" s="106"/>
      <c r="BF66" s="106"/>
      <c r="BG66" s="106"/>
      <c r="BH66" s="106"/>
      <c r="BI66" s="106"/>
      <c r="BJ66" s="106"/>
      <c r="BK66" s="106"/>
      <c r="BL66" s="106"/>
      <c r="BM66" s="106"/>
      <c r="BN66" s="106"/>
      <c r="BO66" s="106"/>
      <c r="BP66" s="106"/>
      <c r="BQ66" s="106"/>
      <c r="BR66" s="106"/>
      <c r="BS66" s="106"/>
      <c r="BT66" s="106"/>
      <c r="BU66" s="106"/>
      <c r="BV66" s="106"/>
      <c r="BW66" s="106"/>
      <c r="BX66" s="106"/>
      <c r="BY66" s="106"/>
      <c r="BZ66" s="106"/>
      <c r="CA66" s="106"/>
      <c r="CB66" s="106"/>
      <c r="CC66" s="106"/>
      <c r="CD66" s="106"/>
      <c r="CE66" s="106"/>
      <c r="CF66" s="106"/>
      <c r="CG66" s="106"/>
      <c r="CH66" s="106"/>
      <c r="CI66" s="106"/>
      <c r="CJ66" s="106"/>
      <c r="CK66" s="106"/>
      <c r="CL66" s="106"/>
      <c r="CM66" s="106"/>
      <c r="CN66" s="106"/>
      <c r="CO66" s="106"/>
      <c r="CP66" s="106"/>
    </row>
    <row r="67" spans="1:94" s="53" customFormat="1" ht="15" x14ac:dyDescent="0.25">
      <c r="A67" s="82">
        <v>9</v>
      </c>
      <c r="B67" s="83"/>
      <c r="C67" s="84" t="str">
        <f>"FY "&amp;M4</f>
        <v>FY 2023</v>
      </c>
      <c r="D67" s="108" t="s">
        <v>57</v>
      </c>
      <c r="E67" s="109"/>
      <c r="F67" s="55">
        <f>SUM(F60:F64)</f>
        <v>0</v>
      </c>
      <c r="G67" s="80">
        <f>SUM(G60:G64)</f>
        <v>0</v>
      </c>
      <c r="H67" s="80">
        <f>SUM(H60:H64)</f>
        <v>0</v>
      </c>
      <c r="I67" s="80">
        <f>SUM(I60:I64)</f>
        <v>0</v>
      </c>
      <c r="J67" s="80">
        <f>SUM(J60:J64)</f>
        <v>0</v>
      </c>
      <c r="K67" s="263"/>
      <c r="L67" s="110"/>
      <c r="M67" s="110"/>
      <c r="N67" s="111"/>
      <c r="O67"/>
      <c r="P67"/>
      <c r="Q67"/>
      <c r="R67"/>
      <c r="S67"/>
      <c r="T67"/>
      <c r="U67"/>
      <c r="V67"/>
      <c r="W67"/>
      <c r="X67"/>
      <c r="Y67"/>
      <c r="Z67" s="344"/>
      <c r="AA67" s="337"/>
      <c r="AB67" s="337"/>
      <c r="AC67" s="337"/>
      <c r="AD67" s="110"/>
      <c r="AE67" s="41"/>
      <c r="AF67" s="41"/>
      <c r="AG67" s="41"/>
      <c r="AH67" s="41"/>
      <c r="AI67" s="41"/>
      <c r="AJ67" s="41"/>
      <c r="AK67" s="41"/>
      <c r="AL67" s="41"/>
      <c r="AM67" s="41"/>
      <c r="AN67" s="41"/>
      <c r="AO67" s="41"/>
      <c r="AP67" s="41"/>
      <c r="AQ67" s="41"/>
      <c r="AR67" s="41"/>
      <c r="AS67" s="41"/>
      <c r="AT67" s="41"/>
      <c r="AU67" s="41"/>
      <c r="AV67" s="41"/>
      <c r="AW67" s="41"/>
      <c r="AX67" s="41"/>
      <c r="AY67" s="41"/>
      <c r="AZ67" s="41"/>
      <c r="BA67" s="41"/>
      <c r="BB67" s="41"/>
      <c r="BC67" s="41"/>
      <c r="BD67" s="41"/>
      <c r="BE67" s="41"/>
      <c r="BF67" s="41"/>
      <c r="BG67" s="41"/>
      <c r="BH67" s="41"/>
      <c r="BI67" s="41"/>
      <c r="BJ67" s="41"/>
      <c r="BK67" s="41"/>
      <c r="BL67" s="41"/>
      <c r="BM67" s="41"/>
      <c r="BN67" s="41"/>
      <c r="BO67" s="41"/>
      <c r="BP67" s="41"/>
      <c r="BQ67" s="41"/>
      <c r="BR67" s="41"/>
      <c r="BS67" s="41"/>
      <c r="BT67" s="41"/>
      <c r="BU67" s="41"/>
      <c r="BV67" s="41"/>
      <c r="BW67" s="41"/>
      <c r="BX67" s="41"/>
      <c r="BY67" s="41"/>
      <c r="BZ67" s="41"/>
      <c r="CA67" s="41"/>
      <c r="CB67" s="41"/>
      <c r="CC67" s="41"/>
      <c r="CD67" s="41"/>
      <c r="CE67" s="41"/>
      <c r="CF67" s="41"/>
      <c r="CG67" s="41"/>
      <c r="CH67" s="41"/>
      <c r="CI67" s="41"/>
      <c r="CJ67" s="41"/>
      <c r="CK67" s="41"/>
      <c r="CL67" s="41"/>
      <c r="CM67" s="41"/>
      <c r="CN67" s="41"/>
      <c r="CO67" s="41"/>
      <c r="CP67" s="41"/>
    </row>
    <row r="68" spans="1:94" s="53" customFormat="1" ht="15.75" customHeight="1" x14ac:dyDescent="0.25">
      <c r="A68" s="85">
        <v>10.11</v>
      </c>
      <c r="B68" s="83"/>
      <c r="C68" s="419" t="s">
        <v>58</v>
      </c>
      <c r="D68" s="420"/>
      <c r="E68" s="112"/>
      <c r="F68" s="288"/>
      <c r="G68" s="287"/>
      <c r="H68" s="113">
        <f>IF(DUNine=0,0,ROUND(SUM(L41:L65),-2))</f>
        <v>0</v>
      </c>
      <c r="I68" s="113"/>
      <c r="J68" s="287">
        <f>SUM(G68:I68)</f>
        <v>0</v>
      </c>
      <c r="K68" s="291"/>
      <c r="L68" s="292"/>
      <c r="M68" s="292"/>
      <c r="N68" s="293"/>
      <c r="O68"/>
      <c r="P68"/>
      <c r="Q68"/>
      <c r="R68"/>
      <c r="S68"/>
      <c r="T68"/>
      <c r="U68"/>
      <c r="V68"/>
      <c r="W68"/>
      <c r="X68"/>
      <c r="Y68"/>
      <c r="Z68" s="344"/>
      <c r="AA68" s="337"/>
      <c r="AB68" s="337"/>
      <c r="AC68" s="337"/>
      <c r="AD68" s="110"/>
      <c r="AE68" s="41"/>
      <c r="AF68" s="41"/>
      <c r="AG68" s="41"/>
      <c r="AH68" s="41"/>
      <c r="AI68" s="41"/>
      <c r="AJ68" s="41"/>
      <c r="AK68" s="41"/>
      <c r="AL68" s="41"/>
      <c r="AM68" s="41"/>
      <c r="AN68" s="41"/>
      <c r="AO68" s="41"/>
      <c r="AP68" s="41"/>
      <c r="AQ68" s="41"/>
      <c r="AR68" s="41"/>
      <c r="AS68" s="41"/>
      <c r="AT68" s="41"/>
      <c r="AU68" s="41"/>
      <c r="AV68" s="41"/>
      <c r="AW68" s="41"/>
      <c r="AX68" s="41"/>
      <c r="AY68" s="41"/>
      <c r="AZ68" s="41"/>
      <c r="BA68" s="41"/>
      <c r="BB68" s="41"/>
      <c r="BC68" s="41"/>
      <c r="BD68" s="41"/>
      <c r="BE68" s="41"/>
      <c r="BF68" s="41"/>
      <c r="BG68" s="41"/>
      <c r="BH68" s="41"/>
      <c r="BI68" s="41"/>
      <c r="BJ68" s="41"/>
      <c r="BK68" s="41"/>
      <c r="BL68" s="41"/>
      <c r="BM68" s="41"/>
      <c r="BN68" s="41"/>
      <c r="BO68" s="41"/>
      <c r="BP68" s="41"/>
      <c r="BQ68" s="41"/>
      <c r="BR68" s="41"/>
      <c r="BS68" s="41"/>
      <c r="BT68" s="41"/>
      <c r="BU68" s="41"/>
      <c r="BV68" s="41"/>
      <c r="BW68" s="41"/>
      <c r="BX68" s="41"/>
      <c r="BY68" s="41"/>
      <c r="BZ68" s="41"/>
      <c r="CA68" s="41"/>
      <c r="CB68" s="41"/>
      <c r="CC68" s="41"/>
      <c r="CD68" s="41"/>
      <c r="CE68" s="41"/>
      <c r="CF68" s="41"/>
      <c r="CG68" s="41"/>
      <c r="CH68" s="41"/>
      <c r="CI68" s="41"/>
      <c r="CJ68" s="41"/>
      <c r="CK68" s="41"/>
      <c r="CL68" s="41"/>
      <c r="CM68" s="41"/>
      <c r="CN68" s="41"/>
      <c r="CO68" s="41"/>
      <c r="CP68" s="41"/>
    </row>
    <row r="69" spans="1:94" s="53" customFormat="1" ht="15" x14ac:dyDescent="0.25">
      <c r="A69" s="85">
        <v>10.119999999999999</v>
      </c>
      <c r="B69" s="83"/>
      <c r="C69" s="419" t="s">
        <v>59</v>
      </c>
      <c r="D69" s="420"/>
      <c r="E69" s="112"/>
      <c r="F69" s="288"/>
      <c r="G69" s="113"/>
      <c r="H69" s="113"/>
      <c r="I69" s="113">
        <f>IF(DUNine=0,0,ROUND(SUM(M41:M64),-2))</f>
        <v>0</v>
      </c>
      <c r="J69" s="287">
        <f>SUM(G69:I69)</f>
        <v>0</v>
      </c>
      <c r="K69" s="291"/>
      <c r="L69" s="292"/>
      <c r="M69" s="292"/>
      <c r="N69" s="293"/>
      <c r="O69"/>
      <c r="P69"/>
      <c r="Q69"/>
      <c r="R69"/>
      <c r="S69"/>
      <c r="T69"/>
      <c r="U69"/>
      <c r="V69"/>
      <c r="W69"/>
      <c r="X69"/>
      <c r="Y69"/>
      <c r="Z69" s="344"/>
      <c r="AA69" s="337"/>
      <c r="AB69" s="337"/>
      <c r="AC69" s="337"/>
      <c r="AD69" s="110"/>
      <c r="AE69" s="41"/>
      <c r="AF69" s="41"/>
      <c r="AG69" s="41"/>
      <c r="AH69" s="41"/>
      <c r="AI69" s="41"/>
      <c r="AJ69" s="41"/>
      <c r="AK69" s="41"/>
      <c r="AL69" s="41"/>
      <c r="AM69" s="41"/>
      <c r="AN69" s="41"/>
      <c r="AO69" s="41"/>
      <c r="AP69" s="41"/>
      <c r="AQ69" s="41"/>
      <c r="AR69" s="41"/>
      <c r="AS69" s="41"/>
      <c r="AT69" s="41"/>
      <c r="AU69" s="41"/>
      <c r="AV69" s="41"/>
      <c r="AW69" s="41"/>
      <c r="AX69" s="41"/>
      <c r="AY69" s="41"/>
      <c r="AZ69" s="41"/>
      <c r="BA69" s="41"/>
      <c r="BB69" s="41"/>
      <c r="BC69" s="41"/>
      <c r="BD69" s="41"/>
      <c r="BE69" s="41"/>
      <c r="BF69" s="41"/>
      <c r="BG69" s="41"/>
      <c r="BH69" s="41"/>
      <c r="BI69" s="41"/>
      <c r="BJ69" s="41"/>
      <c r="BK69" s="41"/>
      <c r="BL69" s="41"/>
      <c r="BM69" s="41"/>
      <c r="BN69" s="41"/>
      <c r="BO69" s="41"/>
      <c r="BP69" s="41"/>
      <c r="BQ69" s="41"/>
      <c r="BR69" s="41"/>
      <c r="BS69" s="41"/>
      <c r="BT69" s="41"/>
      <c r="BU69" s="41"/>
      <c r="BV69" s="41"/>
      <c r="BW69" s="41"/>
      <c r="BX69" s="41"/>
      <c r="BY69" s="41"/>
      <c r="BZ69" s="41"/>
      <c r="CA69" s="41"/>
      <c r="CB69" s="41"/>
      <c r="CC69" s="41"/>
      <c r="CD69" s="41"/>
      <c r="CE69" s="41"/>
      <c r="CF69" s="41"/>
      <c r="CG69" s="41"/>
      <c r="CH69" s="41"/>
      <c r="CI69" s="41"/>
      <c r="CJ69" s="41"/>
      <c r="CK69" s="41"/>
      <c r="CL69" s="41"/>
      <c r="CM69" s="41"/>
      <c r="CN69" s="41"/>
      <c r="CO69" s="41"/>
      <c r="CP69" s="41"/>
    </row>
    <row r="70" spans="1:94" s="53" customFormat="1" ht="15" x14ac:dyDescent="0.25">
      <c r="A70" s="85"/>
      <c r="B70" s="83"/>
      <c r="C70" s="406"/>
      <c r="D70" s="407"/>
      <c r="E70" s="236" t="s">
        <v>23</v>
      </c>
      <c r="F70" s="288"/>
      <c r="G70" s="113"/>
      <c r="H70" s="113"/>
      <c r="I70" s="113"/>
      <c r="J70" s="287">
        <f>SUM(G70:I70)</f>
        <v>0</v>
      </c>
      <c r="K70" s="291"/>
      <c r="L70" s="292"/>
      <c r="M70" s="294"/>
      <c r="N70" s="295"/>
      <c r="O70"/>
      <c r="P70"/>
      <c r="Q70"/>
      <c r="R70"/>
      <c r="S70"/>
      <c r="T70"/>
      <c r="U70"/>
      <c r="V70"/>
      <c r="W70"/>
      <c r="X70"/>
      <c r="Y70"/>
      <c r="Z70" s="344"/>
      <c r="AA70" s="337"/>
      <c r="AB70" s="337"/>
      <c r="AC70" s="337"/>
      <c r="AD70" s="110"/>
      <c r="AE70" s="41"/>
      <c r="AF70" s="41"/>
      <c r="AG70" s="41"/>
      <c r="AH70" s="41"/>
      <c r="AI70" s="41"/>
      <c r="AJ70" s="41"/>
      <c r="AK70" s="41"/>
      <c r="AL70" s="41"/>
      <c r="AM70" s="41"/>
      <c r="AN70" s="41"/>
      <c r="AO70" s="41"/>
      <c r="AP70" s="41"/>
      <c r="AQ70" s="41"/>
      <c r="AR70" s="41"/>
      <c r="AS70" s="41"/>
      <c r="AT70" s="41"/>
      <c r="AU70" s="41"/>
      <c r="AV70" s="41"/>
      <c r="AW70" s="41"/>
      <c r="AX70" s="41"/>
      <c r="AY70" s="41"/>
      <c r="AZ70" s="41"/>
      <c r="BA70" s="41"/>
      <c r="BB70" s="41"/>
      <c r="BC70" s="41"/>
      <c r="BD70" s="41"/>
      <c r="BE70" s="41"/>
      <c r="BF70" s="41"/>
      <c r="BG70" s="41"/>
      <c r="BH70" s="41"/>
      <c r="BI70" s="41"/>
      <c r="BJ70" s="41"/>
      <c r="BK70" s="41"/>
      <c r="BL70" s="41"/>
      <c r="BM70" s="41"/>
      <c r="BN70" s="41"/>
      <c r="BO70" s="41"/>
      <c r="BP70" s="41"/>
      <c r="BQ70" s="41"/>
      <c r="BR70" s="41"/>
      <c r="BS70" s="41"/>
      <c r="BT70" s="41"/>
      <c r="BU70" s="41"/>
      <c r="BV70" s="41"/>
      <c r="BW70" s="41"/>
      <c r="BX70" s="41"/>
      <c r="BY70" s="41"/>
      <c r="BZ70" s="41"/>
      <c r="CA70" s="41"/>
      <c r="CB70" s="41"/>
      <c r="CC70" s="41"/>
      <c r="CD70" s="41"/>
      <c r="CE70" s="41"/>
      <c r="CF70" s="41"/>
      <c r="CG70" s="41"/>
      <c r="CH70" s="41"/>
      <c r="CI70" s="41"/>
      <c r="CJ70" s="41"/>
      <c r="CK70" s="41"/>
      <c r="CL70" s="41"/>
      <c r="CM70" s="41"/>
      <c r="CN70" s="41"/>
      <c r="CO70" s="41"/>
      <c r="CP70" s="41"/>
    </row>
    <row r="71" spans="1:94" s="53" customFormat="1" ht="15.75" customHeight="1" x14ac:dyDescent="0.25">
      <c r="A71" s="85">
        <v>10.51</v>
      </c>
      <c r="B71" s="83"/>
      <c r="C71" s="408" t="s">
        <v>60</v>
      </c>
      <c r="D71" s="409"/>
      <c r="E71" s="237"/>
      <c r="F71" s="288"/>
      <c r="G71" s="92">
        <v>0</v>
      </c>
      <c r="H71" s="92">
        <v>0</v>
      </c>
      <c r="I71" s="287">
        <f>ROUND(IF(AND($G71&lt;&gt;0,$E71=1),$G71*PermVBBY+$G71*Retire1BY,IF(AND($G71&lt;&gt;0,$E71=2),$G71*GroupVBBY,IF(AND($G71&lt;&gt;0,$E71=3),$G71*ElectVBBY+$G71*Retire1BY,0))),-2)</f>
        <v>0</v>
      </c>
      <c r="J71" s="113">
        <f t="shared" ref="J71:J74" si="11">SUM(G71:I71)</f>
        <v>0</v>
      </c>
      <c r="K71" s="296"/>
      <c r="L71" s="297"/>
      <c r="M71" s="348" t="s">
        <v>112</v>
      </c>
      <c r="N71" s="356"/>
      <c r="O71" s="357"/>
      <c r="P71" s="357"/>
      <c r="Q71"/>
      <c r="R71"/>
      <c r="S71"/>
      <c r="T71"/>
      <c r="U71"/>
      <c r="V71"/>
      <c r="W71"/>
      <c r="X71"/>
      <c r="Y71"/>
      <c r="Z71" s="344"/>
      <c r="AA71" s="337"/>
      <c r="AB71" s="337"/>
      <c r="AC71" s="337"/>
      <c r="AD71" s="110"/>
      <c r="AE71" s="41"/>
      <c r="AF71" s="41"/>
      <c r="AG71" s="41"/>
      <c r="AH71" s="41"/>
      <c r="AI71" s="41"/>
      <c r="AJ71" s="41"/>
      <c r="AK71" s="41"/>
      <c r="AL71" s="41"/>
      <c r="AM71" s="41"/>
      <c r="AN71" s="41"/>
      <c r="AO71" s="41"/>
      <c r="AP71" s="41"/>
      <c r="AQ71" s="41"/>
      <c r="AR71" s="41"/>
      <c r="AS71" s="41"/>
      <c r="AT71" s="41"/>
      <c r="AU71" s="41"/>
      <c r="AV71" s="41"/>
      <c r="AW71" s="41"/>
      <c r="AX71" s="41"/>
      <c r="AY71" s="41"/>
      <c r="AZ71" s="41"/>
      <c r="BA71" s="41"/>
      <c r="BB71" s="41"/>
      <c r="BC71" s="41"/>
      <c r="BD71" s="41"/>
      <c r="BE71" s="41"/>
      <c r="BF71" s="41"/>
      <c r="BG71" s="41"/>
      <c r="BH71" s="41"/>
      <c r="BI71" s="41"/>
      <c r="BJ71" s="41"/>
      <c r="BK71" s="41"/>
      <c r="BL71" s="41"/>
      <c r="BM71" s="41"/>
      <c r="BN71" s="41"/>
      <c r="BO71" s="41"/>
      <c r="BP71" s="41"/>
      <c r="BQ71" s="41"/>
      <c r="BR71" s="41"/>
      <c r="BS71" s="41"/>
      <c r="BT71" s="41"/>
      <c r="BU71" s="41"/>
      <c r="BV71" s="41"/>
      <c r="BW71" s="41"/>
      <c r="BX71" s="41"/>
      <c r="BY71" s="41"/>
      <c r="BZ71" s="41"/>
      <c r="CA71" s="41"/>
      <c r="CB71" s="41"/>
      <c r="CC71" s="41"/>
      <c r="CD71" s="41"/>
      <c r="CE71" s="41"/>
      <c r="CF71" s="41"/>
      <c r="CG71" s="41"/>
      <c r="CH71" s="41"/>
      <c r="CI71" s="41"/>
      <c r="CJ71" s="41"/>
      <c r="CK71" s="41"/>
      <c r="CL71" s="41"/>
      <c r="CM71" s="41"/>
      <c r="CN71" s="41"/>
      <c r="CO71" s="41"/>
      <c r="CP71" s="41"/>
    </row>
    <row r="72" spans="1:94" s="53" customFormat="1" ht="15.75" customHeight="1" x14ac:dyDescent="0.25">
      <c r="A72" s="85">
        <v>10.61</v>
      </c>
      <c r="B72" s="83"/>
      <c r="C72" s="408" t="s">
        <v>101</v>
      </c>
      <c r="D72" s="410"/>
      <c r="E72" s="290">
        <f>CECPerm</f>
        <v>0.01</v>
      </c>
      <c r="F72" s="288"/>
      <c r="G72" s="355">
        <f>IF(DUNine=0,0,IF(DUNine&lt;0,0,ROUND(AdjPermSalary*CECPerm,-2)))</f>
        <v>0</v>
      </c>
      <c r="H72" s="287"/>
      <c r="I72" s="287">
        <f>ROUND(($G72*PermVBBY+$G72*Retire1BY),-2)</f>
        <v>0</v>
      </c>
      <c r="J72" s="113">
        <f>SUM(G72:I72)</f>
        <v>0</v>
      </c>
      <c r="K72" s="296"/>
      <c r="L72" s="298"/>
      <c r="M72" s="349">
        <f>IF(DUNine=0,0,IF(((#REF!-G39-G40)*E72)&lt;0,0,ROUND(((#REF!-G39-G40)*E72),-2)))</f>
        <v>0</v>
      </c>
      <c r="N72" s="358"/>
      <c r="O72" s="357">
        <f>IF(DUNine=0,0,IF(DUNine&lt;0,0,IF(SubCECBase&lt;RoundedAppropSalary,ROUND(AdjPermSalary*CECpermCalc,-2)+((SubCECBase-RoundedAppropSalary)*CECpermCalc),IF(SubCECBase&gt;RoundedAppropSalary,ROUND(AdjPermSalary*CECpermCalc,-2)+((SubCECBase-RoundedAppropSalary)*CECpermCalc),ROUND(AdjPermSalary*CECpermCalc,-2)))))</f>
        <v>0</v>
      </c>
      <c r="P72" s="357"/>
      <c r="Q72"/>
      <c r="R72"/>
      <c r="S72"/>
      <c r="T72"/>
      <c r="U72"/>
      <c r="V72"/>
      <c r="W72"/>
      <c r="X72"/>
      <c r="Y72"/>
      <c r="Z72" s="344"/>
      <c r="AA72" s="337"/>
      <c r="AB72" s="337"/>
      <c r="AC72" s="337"/>
      <c r="AD72" s="110"/>
      <c r="AE72" s="41"/>
      <c r="AF72" s="41"/>
      <c r="AG72" s="41"/>
      <c r="AH72" s="41"/>
      <c r="AI72" s="41"/>
      <c r="AJ72" s="41"/>
      <c r="AK72" s="41"/>
      <c r="AL72" s="41"/>
      <c r="AM72" s="41"/>
      <c r="AN72" s="41"/>
      <c r="AO72" s="41"/>
      <c r="AP72" s="41"/>
      <c r="AQ72" s="41"/>
      <c r="AR72" s="41"/>
      <c r="AS72" s="41"/>
      <c r="AT72" s="41"/>
      <c r="AU72" s="41"/>
      <c r="AV72" s="41"/>
      <c r="AW72" s="41"/>
      <c r="AX72" s="41"/>
      <c r="AY72" s="41"/>
      <c r="AZ72" s="41"/>
      <c r="BA72" s="41"/>
      <c r="BB72" s="41"/>
      <c r="BC72" s="41"/>
      <c r="BD72" s="41"/>
      <c r="BE72" s="41"/>
      <c r="BF72" s="41"/>
      <c r="BG72" s="41"/>
      <c r="BH72" s="41"/>
      <c r="BI72" s="41"/>
      <c r="BJ72" s="41"/>
      <c r="BK72" s="41"/>
      <c r="BL72" s="41"/>
      <c r="BM72" s="41"/>
      <c r="BN72" s="41"/>
      <c r="BO72" s="41"/>
      <c r="BP72" s="41"/>
      <c r="BQ72" s="41"/>
      <c r="BR72" s="41"/>
      <c r="BS72" s="41"/>
      <c r="BT72" s="41"/>
      <c r="BU72" s="41"/>
      <c r="BV72" s="41"/>
      <c r="BW72" s="41"/>
      <c r="BX72" s="41"/>
      <c r="BY72" s="41"/>
      <c r="BZ72" s="41"/>
      <c r="CA72" s="41"/>
      <c r="CB72" s="41"/>
      <c r="CC72" s="41"/>
      <c r="CD72" s="41"/>
      <c r="CE72" s="41"/>
      <c r="CF72" s="41"/>
      <c r="CG72" s="41"/>
      <c r="CH72" s="41"/>
      <c r="CI72" s="41"/>
      <c r="CJ72" s="41"/>
      <c r="CK72" s="41"/>
      <c r="CL72" s="41"/>
      <c r="CM72" s="41"/>
      <c r="CN72" s="41"/>
      <c r="CO72" s="41"/>
      <c r="CP72" s="41"/>
    </row>
    <row r="73" spans="1:94" s="53" customFormat="1" ht="15.6" customHeight="1" x14ac:dyDescent="0.25">
      <c r="A73" s="85">
        <v>10.62</v>
      </c>
      <c r="B73" s="83"/>
      <c r="C73" s="408" t="s">
        <v>61</v>
      </c>
      <c r="D73" s="410"/>
      <c r="E73" s="289">
        <f>CECGroup</f>
        <v>0.01</v>
      </c>
      <c r="F73" s="288"/>
      <c r="G73" s="355">
        <f>IF(DUNine=0,0,IF(DUNine&lt;0,0,ROUND(AdjGroupSalary*CECGroup,-2)))</f>
        <v>0</v>
      </c>
      <c r="H73" s="287"/>
      <c r="I73" s="287">
        <f>ROUND(($G73*GroupVBBY),-2)</f>
        <v>0</v>
      </c>
      <c r="J73" s="113">
        <f t="shared" si="11"/>
        <v>0</v>
      </c>
      <c r="K73" s="301"/>
      <c r="L73" s="302"/>
      <c r="M73" s="359"/>
      <c r="N73" s="360"/>
      <c r="O73" s="357"/>
      <c r="P73" s="357"/>
      <c r="Q73"/>
      <c r="R73"/>
      <c r="S73"/>
      <c r="T73"/>
      <c r="U73"/>
      <c r="V73"/>
      <c r="W73"/>
      <c r="X73"/>
      <c r="Y73"/>
      <c r="Z73" s="344"/>
      <c r="AA73" s="337"/>
      <c r="AB73" s="337"/>
      <c r="AC73" s="337"/>
      <c r="AD73" s="110"/>
      <c r="AE73" s="41"/>
      <c r="AF73" s="41"/>
      <c r="AG73" s="41"/>
      <c r="AH73" s="41"/>
      <c r="AI73" s="41"/>
      <c r="AJ73" s="41"/>
      <c r="AK73" s="41"/>
      <c r="AL73" s="41"/>
      <c r="AM73" s="41"/>
      <c r="AN73" s="41"/>
      <c r="AO73" s="41"/>
      <c r="AP73" s="41"/>
      <c r="AQ73" s="41"/>
      <c r="AR73" s="41"/>
      <c r="AS73" s="41"/>
      <c r="AT73" s="41"/>
      <c r="AU73" s="41"/>
      <c r="AV73" s="41"/>
      <c r="AW73" s="41"/>
      <c r="AX73" s="41"/>
      <c r="AY73" s="41"/>
      <c r="AZ73" s="41"/>
      <c r="BA73" s="41"/>
      <c r="BB73" s="41"/>
      <c r="BC73" s="41"/>
      <c r="BD73" s="41"/>
      <c r="BE73" s="41"/>
      <c r="BF73" s="41"/>
      <c r="BG73" s="41"/>
      <c r="BH73" s="41"/>
      <c r="BI73" s="41"/>
      <c r="BJ73" s="41"/>
      <c r="BK73" s="41"/>
      <c r="BL73" s="41"/>
      <c r="BM73" s="41"/>
      <c r="BN73" s="41"/>
      <c r="BO73" s="41"/>
      <c r="BP73" s="41"/>
      <c r="BQ73" s="41"/>
      <c r="BR73" s="41"/>
      <c r="BS73" s="41"/>
      <c r="BT73" s="41"/>
      <c r="BU73" s="41"/>
      <c r="BV73" s="41"/>
      <c r="BW73" s="41"/>
      <c r="BX73" s="41"/>
      <c r="BY73" s="41"/>
      <c r="BZ73" s="41"/>
      <c r="CA73" s="41"/>
      <c r="CB73" s="41"/>
      <c r="CC73" s="41"/>
      <c r="CD73" s="41"/>
      <c r="CE73" s="41"/>
      <c r="CF73" s="41"/>
      <c r="CG73" s="41"/>
      <c r="CH73" s="41"/>
      <c r="CI73" s="41"/>
      <c r="CJ73" s="41"/>
      <c r="CK73" s="41"/>
      <c r="CL73" s="41"/>
      <c r="CM73" s="41"/>
      <c r="CN73" s="41"/>
      <c r="CO73" s="41"/>
      <c r="CP73" s="41"/>
    </row>
    <row r="74" spans="1:94" s="53" customFormat="1" ht="15.6" customHeight="1" x14ac:dyDescent="0.25">
      <c r="A74" s="85">
        <v>10.63</v>
      </c>
      <c r="B74" s="83"/>
      <c r="C74" s="114" t="s">
        <v>62</v>
      </c>
      <c r="D74" s="115"/>
      <c r="E74" s="112"/>
      <c r="F74" s="288"/>
      <c r="G74" s="92">
        <v>0</v>
      </c>
      <c r="H74" s="287"/>
      <c r="I74" s="287">
        <f>ROUND(($G74*ElectVBBY+$G74*Retire1BY),-2)</f>
        <v>0</v>
      </c>
      <c r="J74" s="113">
        <f t="shared" si="11"/>
        <v>0</v>
      </c>
      <c r="K74" s="301"/>
      <c r="L74" s="302"/>
      <c r="M74" s="303"/>
      <c r="N74" s="304"/>
      <c r="O74"/>
      <c r="P74"/>
      <c r="Q74"/>
      <c r="R74"/>
      <c r="S74"/>
      <c r="T74"/>
      <c r="U74"/>
      <c r="V74"/>
      <c r="W74"/>
      <c r="X74"/>
      <c r="Y74"/>
      <c r="Z74" s="344"/>
      <c r="AA74" s="337"/>
      <c r="AB74" s="337"/>
      <c r="AC74" s="337"/>
      <c r="AD74" s="110"/>
      <c r="AE74" s="41"/>
      <c r="AF74" s="41"/>
      <c r="AG74" s="41"/>
      <c r="AH74" s="41"/>
      <c r="AI74" s="41"/>
      <c r="AJ74" s="41"/>
      <c r="AK74" s="41"/>
      <c r="AL74" s="41"/>
      <c r="AM74" s="41"/>
      <c r="AN74" s="41"/>
      <c r="AO74" s="41"/>
      <c r="AP74" s="41"/>
      <c r="AQ74" s="41"/>
      <c r="AR74" s="41"/>
      <c r="AS74" s="41"/>
      <c r="AT74" s="41"/>
      <c r="AU74" s="41"/>
      <c r="AV74" s="41"/>
      <c r="AW74" s="41"/>
      <c r="AX74" s="41"/>
      <c r="AY74" s="41"/>
      <c r="AZ74" s="41"/>
      <c r="BA74" s="41"/>
      <c r="BB74" s="41"/>
      <c r="BC74" s="41"/>
      <c r="BD74" s="41"/>
      <c r="BE74" s="41"/>
      <c r="BF74" s="41"/>
      <c r="BG74" s="41"/>
      <c r="BH74" s="41"/>
      <c r="BI74" s="41"/>
      <c r="BJ74" s="41"/>
      <c r="BK74" s="41"/>
      <c r="BL74" s="41"/>
      <c r="BM74" s="41"/>
      <c r="BN74" s="41"/>
      <c r="BO74" s="41"/>
      <c r="BP74" s="41"/>
      <c r="BQ74" s="41"/>
      <c r="BR74" s="41"/>
      <c r="BS74" s="41"/>
      <c r="BT74" s="41"/>
      <c r="BU74" s="41"/>
      <c r="BV74" s="41"/>
      <c r="BW74" s="41"/>
      <c r="BX74" s="41"/>
      <c r="BY74" s="41"/>
      <c r="BZ74" s="41"/>
      <c r="CA74" s="41"/>
      <c r="CB74" s="41"/>
      <c r="CC74" s="41"/>
      <c r="CD74" s="41"/>
      <c r="CE74" s="41"/>
      <c r="CF74" s="41"/>
      <c r="CG74" s="41"/>
      <c r="CH74" s="41"/>
      <c r="CI74" s="41"/>
      <c r="CJ74" s="41"/>
      <c r="CK74" s="41"/>
      <c r="CL74" s="41"/>
      <c r="CM74" s="41"/>
      <c r="CN74" s="41"/>
      <c r="CO74" s="41"/>
      <c r="CP74" s="41"/>
    </row>
    <row r="75" spans="1:94" s="53" customFormat="1" ht="15.75" customHeight="1" x14ac:dyDescent="0.25">
      <c r="A75" s="75">
        <v>11</v>
      </c>
      <c r="B75" s="76"/>
      <c r="C75" s="54" t="str">
        <f>"FY "&amp;M4</f>
        <v>FY 2023</v>
      </c>
      <c r="D75" s="77" t="s">
        <v>63</v>
      </c>
      <c r="E75" s="112"/>
      <c r="F75" s="55">
        <f>SUM(F67:F74)</f>
        <v>0</v>
      </c>
      <c r="G75" s="80">
        <f>SUM(G67:G74)</f>
        <v>0</v>
      </c>
      <c r="H75" s="80">
        <f>SUM(H67:H74)</f>
        <v>0</v>
      </c>
      <c r="I75" s="80">
        <f>SUM(I67:I74)</f>
        <v>0</v>
      </c>
      <c r="J75" s="80">
        <f>SUM(J67:K74)</f>
        <v>0</v>
      </c>
      <c r="K75" s="296"/>
      <c r="L75" s="299"/>
      <c r="M75" s="299"/>
      <c r="N75" s="300"/>
      <c r="O75"/>
      <c r="P75"/>
      <c r="Q75"/>
      <c r="R75"/>
      <c r="S75"/>
      <c r="T75"/>
      <c r="U75"/>
      <c r="V75"/>
      <c r="W75"/>
      <c r="X75"/>
      <c r="Y75"/>
      <c r="Z75" s="344"/>
      <c r="AA75" s="337"/>
      <c r="AB75" s="337"/>
      <c r="AC75" s="337"/>
      <c r="AD75" s="110"/>
      <c r="AE75" s="41"/>
      <c r="AF75" s="41"/>
      <c r="AG75" s="41"/>
      <c r="AH75" s="41"/>
      <c r="AI75" s="41"/>
      <c r="AJ75" s="41"/>
      <c r="AK75" s="41"/>
      <c r="AL75" s="41"/>
      <c r="AM75" s="41"/>
      <c r="AN75" s="41"/>
      <c r="AO75" s="41"/>
      <c r="AP75" s="41"/>
      <c r="AQ75" s="41"/>
      <c r="AR75" s="41"/>
      <c r="AS75" s="41"/>
      <c r="AT75" s="41"/>
      <c r="AU75" s="41"/>
      <c r="AV75" s="41"/>
      <c r="AW75" s="41"/>
      <c r="AX75" s="41"/>
      <c r="AY75" s="41"/>
      <c r="AZ75" s="41"/>
      <c r="BA75" s="41"/>
      <c r="BB75" s="41"/>
      <c r="BC75" s="41"/>
      <c r="BD75" s="41"/>
      <c r="BE75" s="41"/>
      <c r="BF75" s="41"/>
      <c r="BG75" s="41"/>
      <c r="BH75" s="41"/>
      <c r="BI75" s="41"/>
      <c r="BJ75" s="41"/>
      <c r="BK75" s="41"/>
      <c r="BL75" s="41"/>
      <c r="BM75" s="41"/>
      <c r="BN75" s="41"/>
      <c r="BO75" s="41"/>
      <c r="BP75" s="41"/>
      <c r="BQ75" s="41"/>
      <c r="BR75" s="41"/>
      <c r="BS75" s="41"/>
      <c r="BT75" s="41"/>
      <c r="BU75" s="41"/>
      <c r="BV75" s="41"/>
      <c r="BW75" s="41"/>
      <c r="BX75" s="41"/>
      <c r="BY75" s="41"/>
      <c r="BZ75" s="41"/>
      <c r="CA75" s="41"/>
      <c r="CB75" s="41"/>
      <c r="CC75" s="41"/>
      <c r="CD75" s="41"/>
      <c r="CE75" s="41"/>
      <c r="CF75" s="41"/>
      <c r="CG75" s="41"/>
      <c r="CH75" s="41"/>
      <c r="CI75" s="41"/>
      <c r="CJ75" s="41"/>
      <c r="CK75" s="41"/>
      <c r="CL75" s="41"/>
      <c r="CM75" s="41"/>
      <c r="CN75" s="41"/>
      <c r="CO75" s="41"/>
      <c r="CP75" s="41"/>
    </row>
    <row r="76" spans="1:94" s="53" customFormat="1" ht="28.5" customHeight="1" x14ac:dyDescent="0.25">
      <c r="A76" s="85"/>
      <c r="B76" s="83"/>
      <c r="C76" s="411" t="s">
        <v>64</v>
      </c>
      <c r="D76" s="412"/>
      <c r="E76" s="59"/>
      <c r="F76" s="59"/>
      <c r="G76" s="61"/>
      <c r="H76" s="61"/>
      <c r="I76" s="61"/>
      <c r="J76" s="61"/>
      <c r="K76" s="291"/>
      <c r="L76" s="292"/>
      <c r="M76" s="305"/>
      <c r="N76" s="293"/>
      <c r="O76"/>
      <c r="P76"/>
      <c r="Q76"/>
      <c r="R76"/>
      <c r="S76"/>
      <c r="T76"/>
      <c r="U76"/>
      <c r="V76"/>
      <c r="W76"/>
      <c r="X76"/>
      <c r="Y76"/>
      <c r="Z76" s="344"/>
      <c r="AA76" s="337"/>
      <c r="AB76" s="337"/>
      <c r="AC76" s="337"/>
      <c r="AD76" s="110"/>
      <c r="AE76" s="41"/>
      <c r="AF76" s="41"/>
      <c r="AG76" s="41"/>
      <c r="AH76" s="41"/>
      <c r="AI76" s="41"/>
      <c r="AJ76" s="41"/>
      <c r="AK76" s="41"/>
      <c r="AL76" s="41"/>
      <c r="AM76" s="41"/>
      <c r="AN76" s="41"/>
      <c r="AO76" s="41"/>
      <c r="AP76" s="41"/>
      <c r="AQ76" s="41"/>
      <c r="AR76" s="41"/>
      <c r="AS76" s="41"/>
      <c r="AT76" s="41"/>
      <c r="AU76" s="41"/>
      <c r="AV76" s="41"/>
      <c r="AW76" s="41"/>
      <c r="AX76" s="41"/>
      <c r="AY76" s="41"/>
      <c r="AZ76" s="41"/>
      <c r="BA76" s="41"/>
      <c r="BB76" s="41"/>
      <c r="BC76" s="41"/>
      <c r="BD76" s="41"/>
      <c r="BE76" s="41"/>
      <c r="BF76" s="41"/>
      <c r="BG76" s="41"/>
      <c r="BH76" s="41"/>
      <c r="BI76" s="41"/>
      <c r="BJ76" s="41"/>
      <c r="BK76" s="41"/>
      <c r="BL76" s="41"/>
      <c r="BM76" s="41"/>
      <c r="BN76" s="41"/>
      <c r="BO76" s="41"/>
      <c r="BP76" s="41"/>
      <c r="BQ76" s="41"/>
      <c r="BR76" s="41"/>
      <c r="BS76" s="41"/>
      <c r="BT76" s="41"/>
      <c r="BU76" s="41"/>
      <c r="BV76" s="41"/>
      <c r="BW76" s="41"/>
      <c r="BX76" s="41"/>
      <c r="BY76" s="41"/>
      <c r="BZ76" s="41"/>
      <c r="CA76" s="41"/>
      <c r="CB76" s="41"/>
      <c r="CC76" s="41"/>
      <c r="CD76" s="41"/>
      <c r="CE76" s="41"/>
      <c r="CF76" s="41"/>
      <c r="CG76" s="41"/>
      <c r="CH76" s="41"/>
      <c r="CI76" s="41"/>
      <c r="CJ76" s="41"/>
      <c r="CK76" s="41"/>
      <c r="CL76" s="41"/>
      <c r="CM76" s="41"/>
      <c r="CN76" s="41"/>
      <c r="CO76" s="41"/>
      <c r="CP76" s="41"/>
    </row>
    <row r="77" spans="1:94" s="53" customFormat="1" ht="15" x14ac:dyDescent="0.25">
      <c r="A77" s="116">
        <v>12.01</v>
      </c>
      <c r="B77" s="57"/>
      <c r="C77" s="404"/>
      <c r="D77" s="405"/>
      <c r="E77" s="87"/>
      <c r="F77" s="58"/>
      <c r="G77" s="88"/>
      <c r="H77" s="88"/>
      <c r="I77" s="88"/>
      <c r="J77" s="80">
        <f>ROUND(SUM(G77:I77),-2)</f>
        <v>0</v>
      </c>
      <c r="K77" s="296"/>
      <c r="L77" s="292"/>
      <c r="M77" s="292"/>
      <c r="N77" s="293"/>
      <c r="O77"/>
      <c r="P77"/>
      <c r="Q77"/>
      <c r="R77"/>
      <c r="S77"/>
      <c r="T77"/>
      <c r="U77"/>
      <c r="V77"/>
      <c r="W77"/>
      <c r="X77"/>
      <c r="Y77"/>
      <c r="Z77" s="344"/>
      <c r="AA77" s="337"/>
      <c r="AB77" s="337"/>
      <c r="AC77" s="337"/>
      <c r="AD77" s="110"/>
      <c r="AE77" s="41"/>
      <c r="AF77" s="41"/>
      <c r="AG77" s="41"/>
      <c r="AH77" s="41"/>
      <c r="AI77" s="41"/>
      <c r="AJ77" s="41"/>
      <c r="AK77" s="41"/>
      <c r="AL77" s="41"/>
      <c r="AM77" s="41"/>
      <c r="AN77" s="41"/>
      <c r="AO77" s="41"/>
      <c r="AP77" s="41"/>
      <c r="AQ77" s="41"/>
      <c r="AR77" s="41"/>
      <c r="AS77" s="41"/>
      <c r="AT77" s="41"/>
      <c r="AU77" s="41"/>
      <c r="AV77" s="41"/>
      <c r="AW77" s="41"/>
      <c r="AX77" s="41"/>
      <c r="AY77" s="41"/>
      <c r="AZ77" s="41"/>
      <c r="BA77" s="41"/>
      <c r="BB77" s="41"/>
      <c r="BC77" s="41"/>
      <c r="BD77" s="41"/>
      <c r="BE77" s="41"/>
      <c r="BF77" s="41"/>
      <c r="BG77" s="41"/>
      <c r="BH77" s="41"/>
      <c r="BI77" s="41"/>
      <c r="BJ77" s="41"/>
      <c r="BK77" s="41"/>
      <c r="BL77" s="41"/>
      <c r="BM77" s="41"/>
      <c r="BN77" s="41"/>
      <c r="BO77" s="41"/>
      <c r="BP77" s="41"/>
      <c r="BQ77" s="41"/>
      <c r="BR77" s="41"/>
      <c r="BS77" s="41"/>
      <c r="BT77" s="41"/>
      <c r="BU77" s="41"/>
      <c r="BV77" s="41"/>
      <c r="BW77" s="41"/>
      <c r="BX77" s="41"/>
      <c r="BY77" s="41"/>
      <c r="BZ77" s="41"/>
      <c r="CA77" s="41"/>
      <c r="CB77" s="41"/>
      <c r="CC77" s="41"/>
      <c r="CD77" s="41"/>
      <c r="CE77" s="41"/>
      <c r="CF77" s="41"/>
      <c r="CG77" s="41"/>
      <c r="CH77" s="41"/>
      <c r="CI77" s="41"/>
      <c r="CJ77" s="41"/>
      <c r="CK77" s="41"/>
      <c r="CL77" s="41"/>
      <c r="CM77" s="41"/>
      <c r="CN77" s="41"/>
      <c r="CO77" s="41"/>
      <c r="CP77" s="41"/>
    </row>
    <row r="78" spans="1:94" s="53" customFormat="1" ht="15" x14ac:dyDescent="0.25">
      <c r="A78" s="116">
        <v>12.02</v>
      </c>
      <c r="B78" s="57"/>
      <c r="C78" s="404"/>
      <c r="D78" s="405"/>
      <c r="E78" s="87"/>
      <c r="F78" s="58"/>
      <c r="G78" s="88"/>
      <c r="H78" s="88"/>
      <c r="I78" s="88"/>
      <c r="J78" s="80">
        <f>ROUND(SUM(G78:I78),-2)</f>
        <v>0</v>
      </c>
      <c r="K78" s="296"/>
      <c r="L78" s="292"/>
      <c r="M78" s="292"/>
      <c r="N78" s="293"/>
      <c r="O78"/>
      <c r="P78"/>
      <c r="Q78"/>
      <c r="R78"/>
      <c r="S78"/>
      <c r="T78"/>
      <c r="U78"/>
      <c r="V78"/>
      <c r="W78"/>
      <c r="X78"/>
      <c r="Y78"/>
      <c r="Z78" s="344"/>
      <c r="AA78" s="337"/>
      <c r="AB78" s="337"/>
      <c r="AC78" s="337"/>
      <c r="AD78" s="110"/>
      <c r="AE78" s="41"/>
      <c r="AF78" s="41"/>
      <c r="AG78" s="41"/>
      <c r="AH78" s="41"/>
      <c r="AI78" s="41"/>
      <c r="AJ78" s="41"/>
      <c r="AK78" s="41"/>
      <c r="AL78" s="41"/>
      <c r="AM78" s="41"/>
      <c r="AN78" s="41"/>
      <c r="AO78" s="41"/>
      <c r="AP78" s="41"/>
      <c r="AQ78" s="41"/>
      <c r="AR78" s="41"/>
      <c r="AS78" s="41"/>
      <c r="AT78" s="41"/>
      <c r="AU78" s="41"/>
      <c r="AV78" s="41"/>
      <c r="AW78" s="41"/>
      <c r="AX78" s="41"/>
      <c r="AY78" s="41"/>
      <c r="AZ78" s="41"/>
      <c r="BA78" s="41"/>
      <c r="BB78" s="41"/>
      <c r="BC78" s="41"/>
      <c r="BD78" s="41"/>
      <c r="BE78" s="41"/>
      <c r="BF78" s="41"/>
      <c r="BG78" s="41"/>
      <c r="BH78" s="41"/>
      <c r="BI78" s="41"/>
      <c r="BJ78" s="41"/>
      <c r="BK78" s="41"/>
      <c r="BL78" s="41"/>
      <c r="BM78" s="41"/>
      <c r="BN78" s="41"/>
      <c r="BO78" s="41"/>
      <c r="BP78" s="41"/>
      <c r="BQ78" s="41"/>
      <c r="BR78" s="41"/>
      <c r="BS78" s="41"/>
      <c r="BT78" s="41"/>
      <c r="BU78" s="41"/>
      <c r="BV78" s="41"/>
      <c r="BW78" s="41"/>
      <c r="BX78" s="41"/>
      <c r="BY78" s="41"/>
      <c r="BZ78" s="41"/>
      <c r="CA78" s="41"/>
      <c r="CB78" s="41"/>
      <c r="CC78" s="41"/>
      <c r="CD78" s="41"/>
      <c r="CE78" s="41"/>
      <c r="CF78" s="41"/>
      <c r="CG78" s="41"/>
      <c r="CH78" s="41"/>
      <c r="CI78" s="41"/>
      <c r="CJ78" s="41"/>
      <c r="CK78" s="41"/>
      <c r="CL78" s="41"/>
      <c r="CM78" s="41"/>
      <c r="CN78" s="41"/>
      <c r="CO78" s="41"/>
      <c r="CP78" s="41"/>
    </row>
    <row r="79" spans="1:94" s="53" customFormat="1" ht="15" x14ac:dyDescent="0.25">
      <c r="A79" s="116">
        <v>12.03</v>
      </c>
      <c r="B79" s="57" t="s">
        <v>45</v>
      </c>
      <c r="C79" s="404"/>
      <c r="D79" s="405"/>
      <c r="E79" s="87"/>
      <c r="F79" s="58"/>
      <c r="G79" s="88"/>
      <c r="H79" s="88"/>
      <c r="I79" s="88"/>
      <c r="J79" s="80">
        <f>ROUND(SUM(G79:I79),-2)</f>
        <v>0</v>
      </c>
      <c r="K79" s="296"/>
      <c r="L79" s="292"/>
      <c r="M79" s="292"/>
      <c r="N79" s="293"/>
      <c r="O79"/>
      <c r="P79"/>
      <c r="Q79"/>
      <c r="R79"/>
      <c r="S79"/>
      <c r="T79"/>
      <c r="U79"/>
      <c r="V79"/>
      <c r="W79"/>
      <c r="X79"/>
      <c r="Y79"/>
      <c r="Z79" s="344"/>
      <c r="AA79" s="337"/>
      <c r="AB79" s="337"/>
      <c r="AC79" s="337"/>
      <c r="AD79" s="110"/>
      <c r="AE79" s="41"/>
      <c r="AF79" s="41"/>
      <c r="AG79" s="41"/>
      <c r="AH79" s="41"/>
      <c r="AI79" s="41"/>
      <c r="AJ79" s="41"/>
      <c r="AK79" s="41"/>
      <c r="AL79" s="41"/>
      <c r="AM79" s="41"/>
      <c r="AN79" s="41"/>
      <c r="AO79" s="41"/>
      <c r="AP79" s="41"/>
      <c r="AQ79" s="41"/>
      <c r="AR79" s="41"/>
      <c r="AS79" s="41"/>
      <c r="AT79" s="41"/>
      <c r="AU79" s="41"/>
      <c r="AV79" s="41"/>
      <c r="AW79" s="41"/>
      <c r="AX79" s="41"/>
      <c r="AY79" s="41"/>
      <c r="AZ79" s="41"/>
      <c r="BA79" s="41"/>
      <c r="BB79" s="41"/>
      <c r="BC79" s="41"/>
      <c r="BD79" s="41"/>
      <c r="BE79" s="41"/>
      <c r="BF79" s="41"/>
      <c r="BG79" s="41"/>
      <c r="BH79" s="41"/>
      <c r="BI79" s="41"/>
      <c r="BJ79" s="41"/>
      <c r="BK79" s="41"/>
      <c r="BL79" s="41"/>
      <c r="BM79" s="41"/>
      <c r="BN79" s="41"/>
      <c r="BO79" s="41"/>
      <c r="BP79" s="41"/>
      <c r="BQ79" s="41"/>
      <c r="BR79" s="41"/>
      <c r="BS79" s="41"/>
      <c r="BT79" s="41"/>
      <c r="BU79" s="41"/>
      <c r="BV79" s="41"/>
      <c r="BW79" s="41"/>
      <c r="BX79" s="41"/>
      <c r="BY79" s="41"/>
      <c r="BZ79" s="41"/>
      <c r="CA79" s="41"/>
      <c r="CB79" s="41"/>
      <c r="CC79" s="41"/>
      <c r="CD79" s="41"/>
      <c r="CE79" s="41"/>
      <c r="CF79" s="41"/>
      <c r="CG79" s="41"/>
      <c r="CH79" s="41"/>
      <c r="CI79" s="41"/>
      <c r="CJ79" s="41"/>
      <c r="CK79" s="41"/>
      <c r="CL79" s="41"/>
      <c r="CM79" s="41"/>
      <c r="CN79" s="41"/>
      <c r="CO79" s="41"/>
      <c r="CP79" s="41"/>
    </row>
    <row r="80" spans="1:94" s="53" customFormat="1" ht="15.75" customHeight="1" x14ac:dyDescent="0.25">
      <c r="A80" s="117">
        <v>13</v>
      </c>
      <c r="B80" s="118"/>
      <c r="C80" s="119" t="str">
        <f>"FY "&amp;M4</f>
        <v>FY 2023</v>
      </c>
      <c r="D80" s="120" t="s">
        <v>65</v>
      </c>
      <c r="E80" s="121"/>
      <c r="F80" s="55">
        <f>SUM(F75:F79)</f>
        <v>0</v>
      </c>
      <c r="G80" s="80">
        <f>SUM(G75:G79)</f>
        <v>0</v>
      </c>
      <c r="H80" s="80">
        <f>SUM(H75:H79)</f>
        <v>0</v>
      </c>
      <c r="I80" s="80">
        <f>SUM(I75:I79)</f>
        <v>0</v>
      </c>
      <c r="J80" s="80">
        <f>SUM(J75:J79)</f>
        <v>0</v>
      </c>
      <c r="K80" s="270"/>
      <c r="L80" s="122"/>
      <c r="M80" s="122"/>
      <c r="N80" s="123"/>
      <c r="O80"/>
      <c r="P80"/>
      <c r="Q80"/>
      <c r="R80"/>
      <c r="S80"/>
      <c r="T80"/>
      <c r="U80"/>
      <c r="V80"/>
      <c r="W80"/>
      <c r="X80"/>
      <c r="Y80"/>
      <c r="Z80" s="344"/>
      <c r="AA80" s="337"/>
      <c r="AB80" s="337"/>
      <c r="AC80" s="337"/>
      <c r="AD80" s="110"/>
      <c r="AE80" s="41"/>
      <c r="AF80" s="41"/>
      <c r="AG80" s="41"/>
      <c r="AH80" s="41"/>
      <c r="AI80" s="41"/>
      <c r="AJ80" s="41"/>
      <c r="AK80" s="41"/>
      <c r="AL80" s="41"/>
      <c r="AM80" s="41"/>
      <c r="AN80" s="41"/>
      <c r="AO80" s="41"/>
      <c r="AP80" s="41"/>
      <c r="AQ80" s="41"/>
      <c r="AR80" s="41"/>
      <c r="AS80" s="41"/>
      <c r="AT80" s="41"/>
      <c r="AU80" s="41"/>
      <c r="AV80" s="41"/>
      <c r="AW80" s="41"/>
      <c r="AX80" s="41"/>
      <c r="AY80" s="41"/>
      <c r="AZ80" s="41"/>
      <c r="BA80" s="41"/>
      <c r="BB80" s="41"/>
      <c r="BC80" s="41"/>
      <c r="BD80" s="41"/>
      <c r="BE80" s="41"/>
      <c r="BF80" s="41"/>
      <c r="BG80" s="41"/>
      <c r="BH80" s="41"/>
      <c r="BI80" s="41"/>
      <c r="BJ80" s="41"/>
      <c r="BK80" s="41"/>
      <c r="BL80" s="41"/>
      <c r="BM80" s="41"/>
      <c r="BN80" s="41"/>
      <c r="BO80" s="41"/>
      <c r="BP80" s="41"/>
      <c r="BQ80" s="41"/>
      <c r="BR80" s="41"/>
      <c r="BS80" s="41"/>
      <c r="BT80" s="41"/>
      <c r="BU80" s="41"/>
      <c r="BV80" s="41"/>
      <c r="BW80" s="41"/>
      <c r="BX80" s="41"/>
      <c r="BY80" s="41"/>
      <c r="BZ80" s="41"/>
      <c r="CA80" s="41"/>
      <c r="CB80" s="41"/>
      <c r="CC80" s="41"/>
      <c r="CD80" s="41"/>
      <c r="CE80" s="41"/>
      <c r="CF80" s="41"/>
      <c r="CG80" s="41"/>
      <c r="CH80" s="41"/>
      <c r="CI80" s="41"/>
      <c r="CJ80" s="41"/>
      <c r="CK80" s="41"/>
      <c r="CL80" s="41"/>
      <c r="CM80" s="41"/>
      <c r="CN80" s="41"/>
      <c r="CO80" s="41"/>
      <c r="CP80" s="41"/>
    </row>
  </sheetData>
  <mergeCells count="51">
    <mergeCell ref="C39:D39"/>
    <mergeCell ref="C8:D8"/>
    <mergeCell ref="C9:D9"/>
    <mergeCell ref="C10:D10"/>
    <mergeCell ref="C11:D11"/>
    <mergeCell ref="C12:D12"/>
    <mergeCell ref="C13:D13"/>
    <mergeCell ref="C16:D16"/>
    <mergeCell ref="C17:D17"/>
    <mergeCell ref="C18:D18"/>
    <mergeCell ref="C38:D38"/>
    <mergeCell ref="C37:D37"/>
    <mergeCell ref="M1:N1"/>
    <mergeCell ref="M2:N2"/>
    <mergeCell ref="M3:N3"/>
    <mergeCell ref="M4:N4"/>
    <mergeCell ref="I5:L5"/>
    <mergeCell ref="C64:D64"/>
    <mergeCell ref="C57:D57"/>
    <mergeCell ref="C58:D58"/>
    <mergeCell ref="C59:D59"/>
    <mergeCell ref="K45:N45"/>
    <mergeCell ref="K46:N47"/>
    <mergeCell ref="E46:J47"/>
    <mergeCell ref="C79:D79"/>
    <mergeCell ref="C78:D78"/>
    <mergeCell ref="C66:D66"/>
    <mergeCell ref="C68:D68"/>
    <mergeCell ref="C69:D69"/>
    <mergeCell ref="C70:D70"/>
    <mergeCell ref="C77:D77"/>
    <mergeCell ref="C71:D71"/>
    <mergeCell ref="C73:D73"/>
    <mergeCell ref="C76:D76"/>
    <mergeCell ref="C72:D72"/>
    <mergeCell ref="AA8:AC8"/>
    <mergeCell ref="AA37:AC37"/>
    <mergeCell ref="AA43:AC43"/>
    <mergeCell ref="C65:D65"/>
    <mergeCell ref="C53:D53"/>
    <mergeCell ref="C61:D61"/>
    <mergeCell ref="C41:D41"/>
    <mergeCell ref="C42:D42"/>
    <mergeCell ref="C43:D44"/>
    <mergeCell ref="C54:D54"/>
    <mergeCell ref="C55:D55"/>
    <mergeCell ref="C50:D50"/>
    <mergeCell ref="K43:N43"/>
    <mergeCell ref="K44:N44"/>
    <mergeCell ref="C62:D62"/>
    <mergeCell ref="C63:D63"/>
  </mergeCells>
  <conditionalFormatting sqref="K44">
    <cfRule type="expression" dxfId="18" priority="5">
      <formula>$J$44&lt;0</formula>
    </cfRule>
  </conditionalFormatting>
  <conditionalFormatting sqref="K43">
    <cfRule type="expression" dxfId="17" priority="4">
      <formula>$J$43&lt;0</formula>
    </cfRule>
  </conditionalFormatting>
  <conditionalFormatting sqref="L16">
    <cfRule type="expression" dxfId="16" priority="3">
      <formula>$J$16&lt;0</formula>
    </cfRule>
  </conditionalFormatting>
  <conditionalFormatting sqref="K45">
    <cfRule type="expression" dxfId="15" priority="2">
      <formula>$J$44&lt;0</formula>
    </cfRule>
  </conditionalFormatting>
  <conditionalFormatting sqref="K43:N45">
    <cfRule type="containsText" dxfId="14" priority="1" operator="containsText" text="underfunding">
      <formula>NOT(ISERROR(SEARCH("underfunding",K43)))</formula>
    </cfRule>
  </conditionalFormatting>
  <printOptions horizontalCentered="1"/>
  <pageMargins left="0.5" right="0.5" top="0.65" bottom="0.65" header="0.26" footer="0.31"/>
  <pageSetup scale="63" fitToHeight="2" orientation="landscape" r:id="rId1"/>
  <headerFooter>
    <oddHeader>&amp;L&amp;"Helv,Bold"FORM B6:  WAGE &amp;&amp; SALARY RECONCILIATION</oddHeader>
    <oddFooter>&amp;LPrinted: &amp;D, &amp;T&amp;RPage &amp;P of &amp;N</oddFooter>
  </headerFooter>
  <rowBreaks count="1" manualBreakCount="1">
    <brk id="64" max="12" man="1"/>
  </rowBreaks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200-000000000000}">
          <x14:formula1>
            <xm:f>Benefits!$A$20:$A$26</xm:f>
          </x14:formula1>
          <xm:sqref>C20:C30 C32:C36</xm:sqref>
        </x14:dataValidation>
      </x14:dataValidation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2">
    <pageSetUpPr fitToPage="1"/>
  </sheetPr>
  <dimension ref="A1:L153"/>
  <sheetViews>
    <sheetView topLeftCell="A137" workbookViewId="0">
      <selection activeCell="E165" sqref="E165"/>
    </sheetView>
  </sheetViews>
  <sheetFormatPr defaultRowHeight="15" x14ac:dyDescent="0.25"/>
  <cols>
    <col min="1" max="1" width="9" customWidth="1"/>
    <col min="2" max="2" width="39.28515625" customWidth="1"/>
    <col min="3" max="3" width="13" customWidth="1"/>
    <col min="4" max="4" width="12.28515625" customWidth="1"/>
    <col min="5" max="5" width="12.140625" customWidth="1"/>
    <col min="6" max="6" width="14.5703125" customWidth="1"/>
    <col min="7" max="7" width="19.5703125" customWidth="1"/>
    <col min="8" max="8" width="13.7109375" customWidth="1"/>
    <col min="9" max="9" width="0" hidden="1" customWidth="1"/>
    <col min="10" max="10" width="18.42578125" customWidth="1"/>
    <col min="11" max="11" width="16.42578125" customWidth="1"/>
    <col min="12" max="12" width="16.140625" customWidth="1"/>
  </cols>
  <sheetData>
    <row r="1" spans="1:12" x14ac:dyDescent="0.25">
      <c r="A1" s="394" t="s">
        <v>1995</v>
      </c>
      <c r="B1" s="394"/>
      <c r="C1" s="394"/>
      <c r="D1" s="394"/>
      <c r="E1" s="394"/>
      <c r="F1" s="394"/>
      <c r="G1" s="394"/>
      <c r="H1" s="394"/>
      <c r="I1" s="394"/>
      <c r="J1" s="394"/>
      <c r="K1" s="394"/>
      <c r="L1" s="394"/>
    </row>
    <row r="2" spans="1:12" ht="39" x14ac:dyDescent="0.25">
      <c r="A2" s="472" t="s">
        <v>22</v>
      </c>
      <c r="B2" s="473"/>
      <c r="C2" s="369" t="s">
        <v>23</v>
      </c>
      <c r="D2" s="49" t="s">
        <v>24</v>
      </c>
      <c r="E2" s="50" t="str">
        <f>"FY "&amp;'TAAA|0001-00'!FiscalYear-1&amp;" SALARY"</f>
        <v>FY 2022 SALARY</v>
      </c>
      <c r="F2" s="50" t="str">
        <f>"FY "&amp;'TAAA|0001-00'!FiscalYear-1&amp;" HEALTH BENEFITS"</f>
        <v>FY 2022 HEALTH BENEFITS</v>
      </c>
      <c r="G2" s="50" t="str">
        <f>"FY "&amp;'TAAA|0001-00'!FiscalYear-1&amp;" VAR BENEFITS"</f>
        <v>FY 2022 VAR BENEFITS</v>
      </c>
      <c r="H2" s="50" t="str">
        <f>"FY "&amp;'TAAA|0001-00'!FiscalYear-1&amp;" TOTAL"</f>
        <v>FY 2022 TOTAL</v>
      </c>
      <c r="I2" s="50" t="str">
        <f>"FY "&amp;'TAAA|0001-00'!FiscalYear&amp;" SALARY CHANGE"</f>
        <v>FY 2023 SALARY CHANGE</v>
      </c>
      <c r="J2" s="50" t="str">
        <f>"FY "&amp;'TAAA|0001-00'!FiscalYear&amp;" CHG HEALTH BENEFITS"</f>
        <v>FY 2023 CHG HEALTH BENEFITS</v>
      </c>
      <c r="K2" s="50" t="str">
        <f>"FY "&amp;'TAAA|0001-00'!FiscalYear&amp;" CHG VAR BENEFITS"</f>
        <v>FY 2023 CHG VAR BENEFITS</v>
      </c>
      <c r="L2" s="50" t="s">
        <v>25</v>
      </c>
    </row>
    <row r="3" spans="1:12" x14ac:dyDescent="0.25">
      <c r="A3" s="464" t="s">
        <v>26</v>
      </c>
      <c r="B3" s="465"/>
      <c r="C3" s="141"/>
      <c r="D3" s="142"/>
      <c r="E3" s="143"/>
      <c r="F3" s="143"/>
      <c r="G3" s="143"/>
      <c r="H3" s="144"/>
      <c r="I3" s="144"/>
      <c r="J3" s="145"/>
      <c r="K3" s="146"/>
      <c r="L3" s="144"/>
    </row>
    <row r="4" spans="1:12" x14ac:dyDescent="0.25">
      <c r="A4" s="443" t="s">
        <v>27</v>
      </c>
      <c r="B4" s="466"/>
      <c r="C4" s="217">
        <v>1</v>
      </c>
      <c r="D4" s="288">
        <f>[0]!TAAA000100col_INC_FTI</f>
        <v>51.050000000000004</v>
      </c>
      <c r="E4" s="218">
        <f>[0]!TAAA000100col_FTI_SALARY_PERM</f>
        <v>3013384.3999999994</v>
      </c>
      <c r="F4" s="218">
        <f>[0]!TAAA000100col_HEALTH_PERM</f>
        <v>594732.5</v>
      </c>
      <c r="G4" s="218">
        <f>[0]!TAAA000100col_TOT_VB_PERM</f>
        <v>641320.74511600006</v>
      </c>
      <c r="H4" s="219">
        <f>SUM(E4:G4)</f>
        <v>4249437.6451159995</v>
      </c>
      <c r="I4" s="219">
        <f>[0]!TAAA000100col_1_27TH_PP</f>
        <v>0</v>
      </c>
      <c r="J4" s="218">
        <f>[0]!TAAA000100col_HEALTH_PERM_CHG</f>
        <v>0</v>
      </c>
      <c r="K4" s="218">
        <f>[0]!TAAA000100col_TOT_VB_PERM_CHG</f>
        <v>-13439.395359999997</v>
      </c>
      <c r="L4" s="218">
        <f>SUM(J4:K4)</f>
        <v>-13439.395359999997</v>
      </c>
    </row>
    <row r="5" spans="1:12" x14ac:dyDescent="0.25">
      <c r="A5" s="443" t="s">
        <v>28</v>
      </c>
      <c r="B5" s="466"/>
      <c r="C5" s="217">
        <v>2</v>
      </c>
      <c r="D5" s="288"/>
      <c r="E5" s="218">
        <f>[0]!TAAA000100col_Group_Salary</f>
        <v>104419.26000000001</v>
      </c>
      <c r="F5" s="218">
        <v>0</v>
      </c>
      <c r="G5" s="218">
        <f>[0]!TAAA000100col_Group_Ben</f>
        <v>18120.04</v>
      </c>
      <c r="H5" s="219">
        <f>SUM(E5:G5)</f>
        <v>122539.30000000002</v>
      </c>
      <c r="I5" s="268"/>
      <c r="J5" s="218"/>
      <c r="K5" s="218"/>
      <c r="L5" s="218"/>
    </row>
    <row r="6" spans="1:12" x14ac:dyDescent="0.25">
      <c r="A6" s="443" t="s">
        <v>29</v>
      </c>
      <c r="B6" s="444"/>
      <c r="C6" s="217">
        <v>3</v>
      </c>
      <c r="D6" s="288">
        <f>[0]!TAAA000100col_TOTAL_ELECT_PCN_FTI</f>
        <v>3</v>
      </c>
      <c r="E6" s="218">
        <f>[0]!TAAA000100col_FTI_SALARY_ELECT</f>
        <v>318216</v>
      </c>
      <c r="F6" s="218">
        <f>[0]!TAAA000100col_HEALTH_ELECT</f>
        <v>34950</v>
      </c>
      <c r="G6" s="218">
        <f>[0]!TAAA000100col_TOT_VB_ELECT</f>
        <v>65396.57016000001</v>
      </c>
      <c r="H6" s="219">
        <f>SUM(E6:G6)</f>
        <v>418562.57016</v>
      </c>
      <c r="I6" s="268"/>
      <c r="J6" s="218">
        <f>[0]!TAAA000100col_HEALTH_ELECT_CHG</f>
        <v>0</v>
      </c>
      <c r="K6" s="218">
        <f>[0]!TAAA000100col_TOT_VB_ELECT_CHG</f>
        <v>31.821600000000082</v>
      </c>
      <c r="L6" s="219">
        <f>SUM(J6:K6)</f>
        <v>31.821600000000082</v>
      </c>
    </row>
    <row r="7" spans="1:12" x14ac:dyDescent="0.25">
      <c r="A7" s="443" t="s">
        <v>30</v>
      </c>
      <c r="B7" s="466"/>
      <c r="C7" s="217"/>
      <c r="D7" s="220">
        <f>SUM(D4:D6)</f>
        <v>54.050000000000004</v>
      </c>
      <c r="E7" s="221">
        <f>SUM(E4:E6)</f>
        <v>3436019.6599999992</v>
      </c>
      <c r="F7" s="221">
        <f>SUM(F4:F6)</f>
        <v>629682.5</v>
      </c>
      <c r="G7" s="221">
        <f>SUM(G4:G6)</f>
        <v>724837.3552760001</v>
      </c>
      <c r="H7" s="219">
        <f>SUM(E7:G7)</f>
        <v>4790539.515275999</v>
      </c>
      <c r="I7" s="268"/>
      <c r="J7" s="219">
        <f>SUM(J4:J6)</f>
        <v>0</v>
      </c>
      <c r="K7" s="219">
        <f>SUM(K4:K6)</f>
        <v>-13407.573759999997</v>
      </c>
      <c r="L7" s="219">
        <f>SUM(L4:L6)</f>
        <v>-13407.573759999997</v>
      </c>
    </row>
    <row r="8" spans="1:12" x14ac:dyDescent="0.25">
      <c r="A8" s="364"/>
      <c r="B8" s="370"/>
      <c r="C8" s="217"/>
      <c r="D8" s="220"/>
      <c r="E8" s="219"/>
      <c r="F8" s="219"/>
      <c r="G8" s="219"/>
      <c r="H8" s="219"/>
      <c r="I8" s="268"/>
      <c r="J8" s="219"/>
      <c r="K8" s="222"/>
      <c r="L8" s="222"/>
    </row>
    <row r="9" spans="1:12" x14ac:dyDescent="0.25">
      <c r="A9" s="157" t="str">
        <f>"FY "&amp;'TAAA|0001-00'!FiscalYear-1</f>
        <v>FY 2022</v>
      </c>
      <c r="B9" s="158" t="s">
        <v>31</v>
      </c>
      <c r="C9" s="354">
        <v>5313600</v>
      </c>
      <c r="D9" s="55">
        <v>62.3</v>
      </c>
      <c r="E9" s="223">
        <f>IF('TAAA|0001-00'!OrigApprop=0,0,(E7/H7)*'TAAA|0001-00'!OrigApprop)</f>
        <v>3811185.3596356595</v>
      </c>
      <c r="F9" s="223">
        <f>IF('TAAA|0001-00'!OrigApprop=0,0,(F7/H7)*'TAAA|0001-00'!OrigApprop)</f>
        <v>698435.09720162116</v>
      </c>
      <c r="G9" s="223">
        <f>IF(E9=0,0,(G7/H7)*'TAAA|0001-00'!OrigApprop)</f>
        <v>803979.5431627197</v>
      </c>
      <c r="H9" s="223">
        <f>SUM(E9:G9)</f>
        <v>5313600</v>
      </c>
      <c r="I9" s="268"/>
      <c r="J9" s="224"/>
      <c r="K9" s="224"/>
      <c r="L9" s="224"/>
    </row>
    <row r="10" spans="1:12" x14ac:dyDescent="0.25">
      <c r="A10" s="453" t="s">
        <v>32</v>
      </c>
      <c r="B10" s="454"/>
      <c r="C10" s="160" t="s">
        <v>33</v>
      </c>
      <c r="D10" s="161">
        <f>D9-D7</f>
        <v>8.2499999999999929</v>
      </c>
      <c r="E10" s="162">
        <f>E9-E7</f>
        <v>375165.69963566028</v>
      </c>
      <c r="F10" s="162">
        <f>F9-F7</f>
        <v>68752.59720162116</v>
      </c>
      <c r="G10" s="162">
        <f>G9-G7</f>
        <v>79142.187886719592</v>
      </c>
      <c r="H10" s="162">
        <f>H9-H7</f>
        <v>523060.48472400103</v>
      </c>
      <c r="I10" s="269"/>
      <c r="J10" s="56" t="str">
        <f>IF('TAAA|0001-00'!OrigApprop=0,"ERROR! Enter Original Appropriation amount in DU 3.00!","Calculated "&amp;IF('TAAA|0001-00'!AdjustedTotal&gt;0,"overfunding ","underfunding ")&amp;"is "&amp;TEXT('TAAA|0001-00'!AdjustedTotal/'TAAA|0001-00'!AppropTotal,"#.0%;(#.0% );0% ;")&amp;" of Original Appropriation")</f>
        <v>Calculated overfunding is 9.8% of Original Appropriation</v>
      </c>
      <c r="K10" s="163"/>
      <c r="L10" s="164"/>
    </row>
    <row r="12" spans="1:12" x14ac:dyDescent="0.25">
      <c r="A12" s="394" t="s">
        <v>2001</v>
      </c>
      <c r="B12" s="394"/>
      <c r="C12" s="394"/>
      <c r="D12" s="394"/>
      <c r="E12" s="394"/>
      <c r="F12" s="394"/>
      <c r="G12" s="394"/>
      <c r="H12" s="394"/>
      <c r="I12" s="394"/>
      <c r="J12" s="394"/>
      <c r="K12" s="394"/>
      <c r="L12" s="394"/>
    </row>
    <row r="13" spans="1:12" ht="39" x14ac:dyDescent="0.25">
      <c r="A13" s="472" t="s">
        <v>22</v>
      </c>
      <c r="B13" s="473"/>
      <c r="C13" s="369" t="s">
        <v>23</v>
      </c>
      <c r="D13" s="49" t="s">
        <v>24</v>
      </c>
      <c r="E13" s="50" t="str">
        <f>"FY "&amp;'TAAA|0338-01'!FiscalYear-1&amp;" SALARY"</f>
        <v>FY 2022 SALARY</v>
      </c>
      <c r="F13" s="50" t="str">
        <f>"FY "&amp;'TAAA|0338-01'!FiscalYear-1&amp;" HEALTH BENEFITS"</f>
        <v>FY 2022 HEALTH BENEFITS</v>
      </c>
      <c r="G13" s="50" t="str">
        <f>"FY "&amp;'TAAA|0338-01'!FiscalYear-1&amp;" VAR BENEFITS"</f>
        <v>FY 2022 VAR BENEFITS</v>
      </c>
      <c r="H13" s="50" t="str">
        <f>"FY "&amp;'TAAA|0338-01'!FiscalYear-1&amp;" TOTAL"</f>
        <v>FY 2022 TOTAL</v>
      </c>
      <c r="I13" s="50" t="str">
        <f>"FY "&amp;'TAAA|0338-01'!FiscalYear&amp;" SALARY CHANGE"</f>
        <v>FY 2023 SALARY CHANGE</v>
      </c>
      <c r="J13" s="50" t="str">
        <f>"FY "&amp;'TAAA|0338-01'!FiscalYear&amp;" CHG HEALTH BENEFITS"</f>
        <v>FY 2023 CHG HEALTH BENEFITS</v>
      </c>
      <c r="K13" s="50" t="str">
        <f>"FY "&amp;'TAAA|0338-01'!FiscalYear&amp;" CHG VAR BENEFITS"</f>
        <v>FY 2023 CHG VAR BENEFITS</v>
      </c>
      <c r="L13" s="50" t="s">
        <v>25</v>
      </c>
    </row>
    <row r="14" spans="1:12" x14ac:dyDescent="0.25">
      <c r="A14" s="464" t="s">
        <v>26</v>
      </c>
      <c r="B14" s="465"/>
      <c r="C14" s="141"/>
      <c r="D14" s="142"/>
      <c r="E14" s="143"/>
      <c r="F14" s="143"/>
      <c r="G14" s="143"/>
      <c r="H14" s="144"/>
      <c r="I14" s="144"/>
      <c r="J14" s="145"/>
      <c r="K14" s="146"/>
      <c r="L14" s="144"/>
    </row>
    <row r="15" spans="1:12" x14ac:dyDescent="0.25">
      <c r="A15" s="443" t="s">
        <v>27</v>
      </c>
      <c r="B15" s="466"/>
      <c r="C15" s="217">
        <v>1</v>
      </c>
      <c r="D15" s="288">
        <f>[0]!TAAA033801col_INC_FTI</f>
        <v>1</v>
      </c>
      <c r="E15" s="218">
        <f>[0]!TAAA033801col_FTI_SALARY_PERM</f>
        <v>53643.199999999997</v>
      </c>
      <c r="F15" s="218">
        <f>[0]!TAAA033801col_HEALTH_PERM</f>
        <v>11650</v>
      </c>
      <c r="G15" s="218">
        <f>[0]!TAAA033801col_TOT_VB_PERM</f>
        <v>11451.213904</v>
      </c>
      <c r="H15" s="219">
        <f>SUM(E15:G15)</f>
        <v>76744.413904000001</v>
      </c>
      <c r="I15" s="219">
        <f>[0]!TAAA033801col_1_27TH_PP</f>
        <v>0</v>
      </c>
      <c r="J15" s="218">
        <f>[0]!TAAA033801col_HEALTH_PERM_CHG</f>
        <v>0</v>
      </c>
      <c r="K15" s="218">
        <f>[0]!TAAA033801col_TOT_VB_PERM_CHG</f>
        <v>-257.48735999999997</v>
      </c>
      <c r="L15" s="218">
        <f>SUM(J15:K15)</f>
        <v>-257.48735999999997</v>
      </c>
    </row>
    <row r="16" spans="1:12" x14ac:dyDescent="0.25">
      <c r="A16" s="443" t="s">
        <v>28</v>
      </c>
      <c r="B16" s="466"/>
      <c r="C16" s="217">
        <v>2</v>
      </c>
      <c r="D16" s="288"/>
      <c r="E16" s="218">
        <f>[0]!TAAA033801col_Group_Salary</f>
        <v>0</v>
      </c>
      <c r="F16" s="218">
        <v>0</v>
      </c>
      <c r="G16" s="218">
        <f>[0]!TAAA033801col_Group_Ben</f>
        <v>0</v>
      </c>
      <c r="H16" s="219">
        <f>SUM(E16:G16)</f>
        <v>0</v>
      </c>
      <c r="I16" s="268"/>
      <c r="J16" s="218"/>
      <c r="K16" s="218"/>
      <c r="L16" s="218"/>
    </row>
    <row r="17" spans="1:12" x14ac:dyDescent="0.25">
      <c r="A17" s="443" t="s">
        <v>29</v>
      </c>
      <c r="B17" s="444"/>
      <c r="C17" s="217">
        <v>3</v>
      </c>
      <c r="D17" s="288">
        <f>[0]!TAAA033801col_TOTAL_ELECT_PCN_FTI</f>
        <v>0</v>
      </c>
      <c r="E17" s="218">
        <f>[0]!TAAA033801col_FTI_SALARY_ELECT</f>
        <v>0</v>
      </c>
      <c r="F17" s="218">
        <f>[0]!TAAA033801col_HEALTH_ELECT</f>
        <v>0</v>
      </c>
      <c r="G17" s="218">
        <f>[0]!TAAA033801col_TOT_VB_ELECT</f>
        <v>0</v>
      </c>
      <c r="H17" s="219">
        <f>SUM(E17:G17)</f>
        <v>0</v>
      </c>
      <c r="I17" s="268"/>
      <c r="J17" s="218">
        <f>[0]!TAAA033801col_HEALTH_ELECT_CHG</f>
        <v>0</v>
      </c>
      <c r="K17" s="218">
        <f>[0]!TAAA033801col_TOT_VB_ELECT_CHG</f>
        <v>0</v>
      </c>
      <c r="L17" s="219">
        <f>SUM(J17:K17)</f>
        <v>0</v>
      </c>
    </row>
    <row r="18" spans="1:12" x14ac:dyDescent="0.25">
      <c r="A18" s="443" t="s">
        <v>30</v>
      </c>
      <c r="B18" s="466"/>
      <c r="C18" s="217"/>
      <c r="D18" s="220">
        <f>SUM(D15:D17)</f>
        <v>1</v>
      </c>
      <c r="E18" s="221">
        <f>SUM(E15:E17)</f>
        <v>53643.199999999997</v>
      </c>
      <c r="F18" s="221">
        <f>SUM(F15:F17)</f>
        <v>11650</v>
      </c>
      <c r="G18" s="221">
        <f>SUM(G15:G17)</f>
        <v>11451.213904</v>
      </c>
      <c r="H18" s="219">
        <f>SUM(E18:G18)</f>
        <v>76744.413904000001</v>
      </c>
      <c r="I18" s="268"/>
      <c r="J18" s="219">
        <f>SUM(J15:J17)</f>
        <v>0</v>
      </c>
      <c r="K18" s="219">
        <f>SUM(K15:K17)</f>
        <v>-257.48735999999997</v>
      </c>
      <c r="L18" s="219">
        <f>SUM(L15:L17)</f>
        <v>-257.48735999999997</v>
      </c>
    </row>
    <row r="19" spans="1:12" x14ac:dyDescent="0.25">
      <c r="A19" s="364"/>
      <c r="B19" s="370"/>
      <c r="C19" s="217"/>
      <c r="D19" s="220"/>
      <c r="E19" s="219"/>
      <c r="F19" s="219"/>
      <c r="G19" s="219"/>
      <c r="H19" s="219"/>
      <c r="I19" s="268"/>
      <c r="J19" s="219"/>
      <c r="K19" s="222"/>
      <c r="L19" s="222"/>
    </row>
    <row r="20" spans="1:12" x14ac:dyDescent="0.25">
      <c r="A20" s="157" t="str">
        <f>"FY "&amp;'TAAA|0338-01'!FiscalYear-1</f>
        <v>FY 2022</v>
      </c>
      <c r="B20" s="158" t="s">
        <v>31</v>
      </c>
      <c r="C20" s="354">
        <v>37800</v>
      </c>
      <c r="D20" s="55">
        <v>0</v>
      </c>
      <c r="E20" s="223">
        <f>IF('TAAA|0338-01'!OrigApprop=0,0,(E18/H18)*'TAAA|0338-01'!OrigApprop)</f>
        <v>26421.635880058671</v>
      </c>
      <c r="F20" s="223">
        <f>IF('TAAA|0338-01'!OrigApprop=0,0,(F18/H18)*'TAAA|0338-01'!OrigApprop)</f>
        <v>5738.1375086252037</v>
      </c>
      <c r="G20" s="223">
        <f>IF(E20=0,0,(G18/H18)*'TAAA|0338-01'!OrigApprop)</f>
        <v>5640.2266113161249</v>
      </c>
      <c r="H20" s="223">
        <f>SUM(E20:G20)</f>
        <v>37800</v>
      </c>
      <c r="I20" s="268"/>
      <c r="J20" s="224"/>
      <c r="K20" s="224"/>
      <c r="L20" s="224"/>
    </row>
    <row r="21" spans="1:12" x14ac:dyDescent="0.25">
      <c r="A21" s="453" t="s">
        <v>32</v>
      </c>
      <c r="B21" s="454"/>
      <c r="C21" s="160" t="s">
        <v>33</v>
      </c>
      <c r="D21" s="161">
        <f>D20-D18</f>
        <v>-1</v>
      </c>
      <c r="E21" s="162">
        <f>E20-E18</f>
        <v>-27221.564119941326</v>
      </c>
      <c r="F21" s="162">
        <f>F20-F18</f>
        <v>-5911.8624913747963</v>
      </c>
      <c r="G21" s="162">
        <f>G20-G18</f>
        <v>-5810.9872926838752</v>
      </c>
      <c r="H21" s="162">
        <f>H20-H18</f>
        <v>-38944.413904000001</v>
      </c>
      <c r="I21" s="269"/>
      <c r="J21" s="56" t="str">
        <f>IF('TAAA|0338-01'!OrigApprop=0,"ERROR! Enter Original Appropriation amount in DU 3.00!","Calculated "&amp;IF('TAAA|0338-01'!AdjustedTotal&gt;0,"overfunding ","underfunding ")&amp;"is "&amp;TEXT('TAAA|0338-01'!AdjustedTotal/'TAAA|0338-01'!AppropTotal,"#.0%;(#.0% );0% ;")&amp;" of Original Appropriation")</f>
        <v>Calculated underfunding is (103.0% ) of Original Appropriation</v>
      </c>
      <c r="K21" s="163"/>
      <c r="L21" s="164"/>
    </row>
    <row r="23" spans="1:12" x14ac:dyDescent="0.25">
      <c r="A23" s="394" t="s">
        <v>2006</v>
      </c>
      <c r="B23" s="394"/>
      <c r="C23" s="394"/>
      <c r="D23" s="394"/>
      <c r="E23" s="394"/>
      <c r="F23" s="394"/>
      <c r="G23" s="394"/>
      <c r="H23" s="394"/>
      <c r="I23" s="394"/>
      <c r="J23" s="394"/>
      <c r="K23" s="394"/>
      <c r="L23" s="394"/>
    </row>
    <row r="24" spans="1:12" ht="39" x14ac:dyDescent="0.25">
      <c r="A24" s="472" t="s">
        <v>22</v>
      </c>
      <c r="B24" s="473"/>
      <c r="C24" s="369" t="s">
        <v>23</v>
      </c>
      <c r="D24" s="49" t="s">
        <v>24</v>
      </c>
      <c r="E24" s="50" t="str">
        <f>"FY "&amp;'TAAA|0338-02'!FiscalYear-1&amp;" SALARY"</f>
        <v>FY 2022 SALARY</v>
      </c>
      <c r="F24" s="50" t="str">
        <f>"FY "&amp;'TAAA|0338-02'!FiscalYear-1&amp;" HEALTH BENEFITS"</f>
        <v>FY 2022 HEALTH BENEFITS</v>
      </c>
      <c r="G24" s="50" t="str">
        <f>"FY "&amp;'TAAA|0338-02'!FiscalYear-1&amp;" VAR BENEFITS"</f>
        <v>FY 2022 VAR BENEFITS</v>
      </c>
      <c r="H24" s="50" t="str">
        <f>"FY "&amp;'TAAA|0338-02'!FiscalYear-1&amp;" TOTAL"</f>
        <v>FY 2022 TOTAL</v>
      </c>
      <c r="I24" s="50" t="str">
        <f>"FY "&amp;'TAAA|0338-02'!FiscalYear&amp;" SALARY CHANGE"</f>
        <v>FY 2023 SALARY CHANGE</v>
      </c>
      <c r="J24" s="50" t="str">
        <f>"FY "&amp;'TAAA|0338-02'!FiscalYear&amp;" CHG HEALTH BENEFITS"</f>
        <v>FY 2023 CHG HEALTH BENEFITS</v>
      </c>
      <c r="K24" s="50" t="str">
        <f>"FY "&amp;'TAAA|0338-02'!FiscalYear&amp;" CHG VAR BENEFITS"</f>
        <v>FY 2023 CHG VAR BENEFITS</v>
      </c>
      <c r="L24" s="50" t="s">
        <v>25</v>
      </c>
    </row>
    <row r="25" spans="1:12" x14ac:dyDescent="0.25">
      <c r="A25" s="464" t="s">
        <v>26</v>
      </c>
      <c r="B25" s="465"/>
      <c r="C25" s="141"/>
      <c r="D25" s="142"/>
      <c r="E25" s="143"/>
      <c r="F25" s="143"/>
      <c r="G25" s="143"/>
      <c r="H25" s="144"/>
      <c r="I25" s="144"/>
      <c r="J25" s="145"/>
      <c r="K25" s="146"/>
      <c r="L25" s="144"/>
    </row>
    <row r="26" spans="1:12" x14ac:dyDescent="0.25">
      <c r="A26" s="443" t="s">
        <v>27</v>
      </c>
      <c r="B26" s="466"/>
      <c r="C26" s="217">
        <v>1</v>
      </c>
      <c r="D26" s="288">
        <f>[0]!TAAA033802col_INC_FTI</f>
        <v>5.4500000000000011</v>
      </c>
      <c r="E26" s="218">
        <f>[0]!TAAA033802col_FTI_SALARY_PERM</f>
        <v>345430.79999999993</v>
      </c>
      <c r="F26" s="218">
        <f>[0]!TAAA033802col_HEALTH_PERM</f>
        <v>63492.5</v>
      </c>
      <c r="G26" s="218">
        <f>[0]!TAAA033802col_TOT_VB_PERM</f>
        <v>73739.112876000028</v>
      </c>
      <c r="H26" s="219">
        <f>SUM(E26:G26)</f>
        <v>482662.41287599993</v>
      </c>
      <c r="I26" s="219">
        <f>[0]!TAAA033802col_1_27TH_PP</f>
        <v>0</v>
      </c>
      <c r="J26" s="218">
        <f>[0]!TAAA033802col_HEALTH_PERM_CHG</f>
        <v>0</v>
      </c>
      <c r="K26" s="218">
        <f>[0]!TAAA033802col_TOT_VB_PERM_CHG</f>
        <v>-1658.0678399999999</v>
      </c>
      <c r="L26" s="218">
        <f>SUM(J26:K26)</f>
        <v>-1658.0678399999999</v>
      </c>
    </row>
    <row r="27" spans="1:12" x14ac:dyDescent="0.25">
      <c r="A27" s="443" t="s">
        <v>28</v>
      </c>
      <c r="B27" s="466"/>
      <c r="C27" s="217">
        <v>2</v>
      </c>
      <c r="D27" s="288"/>
      <c r="E27" s="218">
        <f>[0]!TAAA033802col_Group_Salary</f>
        <v>0</v>
      </c>
      <c r="F27" s="218">
        <v>0</v>
      </c>
      <c r="G27" s="218">
        <f>[0]!TAAA033802col_Group_Ben</f>
        <v>0</v>
      </c>
      <c r="H27" s="219">
        <f>SUM(E27:G27)</f>
        <v>0</v>
      </c>
      <c r="I27" s="268"/>
      <c r="J27" s="218"/>
      <c r="K27" s="218"/>
      <c r="L27" s="218"/>
    </row>
    <row r="28" spans="1:12" x14ac:dyDescent="0.25">
      <c r="A28" s="443" t="s">
        <v>29</v>
      </c>
      <c r="B28" s="444"/>
      <c r="C28" s="217">
        <v>3</v>
      </c>
      <c r="D28" s="288">
        <f>[0]!TAAA033802col_TOTAL_ELECT_PCN_FTI</f>
        <v>1</v>
      </c>
      <c r="E28" s="218">
        <f>[0]!TAAA033802col_FTI_SALARY_ELECT</f>
        <v>106072</v>
      </c>
      <c r="F28" s="218">
        <f>[0]!TAAA033802col_HEALTH_ELECT</f>
        <v>11650</v>
      </c>
      <c r="G28" s="218">
        <f>[0]!TAAA033802col_TOT_VB_ELECT</f>
        <v>21798.856720000003</v>
      </c>
      <c r="H28" s="219">
        <f>SUM(E28:G28)</f>
        <v>139520.85672000001</v>
      </c>
      <c r="I28" s="268"/>
      <c r="J28" s="218">
        <f>[0]!TAAA033802col_HEALTH_ELECT_CHG</f>
        <v>0</v>
      </c>
      <c r="K28" s="218">
        <f>[0]!TAAA033802col_TOT_VB_ELECT_CHG</f>
        <v>10.607200000000027</v>
      </c>
      <c r="L28" s="219">
        <f>SUM(J28:K28)</f>
        <v>10.607200000000027</v>
      </c>
    </row>
    <row r="29" spans="1:12" x14ac:dyDescent="0.25">
      <c r="A29" s="443" t="s">
        <v>30</v>
      </c>
      <c r="B29" s="466"/>
      <c r="C29" s="217"/>
      <c r="D29" s="220">
        <f>SUM(D26:D28)</f>
        <v>6.4500000000000011</v>
      </c>
      <c r="E29" s="221">
        <f>SUM(E26:E28)</f>
        <v>451502.79999999993</v>
      </c>
      <c r="F29" s="221">
        <f>SUM(F26:F28)</f>
        <v>75142.5</v>
      </c>
      <c r="G29" s="221">
        <f>SUM(G26:G28)</f>
        <v>95537.969596000039</v>
      </c>
      <c r="H29" s="219">
        <f>SUM(E29:G29)</f>
        <v>622183.26959599997</v>
      </c>
      <c r="I29" s="268"/>
      <c r="J29" s="219">
        <f>SUM(J26:J28)</f>
        <v>0</v>
      </c>
      <c r="K29" s="219">
        <f>SUM(K26:K28)</f>
        <v>-1647.46064</v>
      </c>
      <c r="L29" s="219">
        <f>SUM(L26:L28)</f>
        <v>-1647.46064</v>
      </c>
    </row>
    <row r="30" spans="1:12" x14ac:dyDescent="0.25">
      <c r="A30" s="364"/>
      <c r="B30" s="370"/>
      <c r="C30" s="217"/>
      <c r="D30" s="220"/>
      <c r="E30" s="219"/>
      <c r="F30" s="219"/>
      <c r="G30" s="219"/>
      <c r="H30" s="219"/>
      <c r="I30" s="268"/>
      <c r="J30" s="219"/>
      <c r="K30" s="222"/>
      <c r="L30" s="222"/>
    </row>
    <row r="31" spans="1:12" x14ac:dyDescent="0.25">
      <c r="A31" s="157" t="str">
        <f>"FY "&amp;'TAAA|0338-02'!FiscalYear-1</f>
        <v>FY 2022</v>
      </c>
      <c r="B31" s="158" t="s">
        <v>31</v>
      </c>
      <c r="C31" s="354">
        <v>734100</v>
      </c>
      <c r="D31" s="55">
        <v>8.15</v>
      </c>
      <c r="E31" s="223">
        <f>IF('TAAA|0338-02'!OrigApprop=0,0,(E29/H29)*'TAAA|0338-02'!OrigApprop)</f>
        <v>532717.96539180179</v>
      </c>
      <c r="F31" s="223">
        <f>IF('TAAA|0338-02'!OrigApprop=0,0,(F29/H29)*'TAAA|0338-02'!OrigApprop)</f>
        <v>88658.940131608193</v>
      </c>
      <c r="G31" s="223">
        <f>IF(E31=0,0,(G29/H29)*'TAAA|0338-02'!OrigApprop)</f>
        <v>112723.09447659011</v>
      </c>
      <c r="H31" s="223">
        <f>SUM(E31:G31)</f>
        <v>734100</v>
      </c>
      <c r="I31" s="268"/>
      <c r="J31" s="224"/>
      <c r="K31" s="224"/>
      <c r="L31" s="224"/>
    </row>
    <row r="32" spans="1:12" x14ac:dyDescent="0.25">
      <c r="A32" s="453" t="s">
        <v>32</v>
      </c>
      <c r="B32" s="454"/>
      <c r="C32" s="160" t="s">
        <v>33</v>
      </c>
      <c r="D32" s="161">
        <f>D31-D29</f>
        <v>1.6999999999999993</v>
      </c>
      <c r="E32" s="162">
        <f>E31-E29</f>
        <v>81215.165391801856</v>
      </c>
      <c r="F32" s="162">
        <f>F31-F29</f>
        <v>13516.440131608193</v>
      </c>
      <c r="G32" s="162">
        <f>G31-G29</f>
        <v>17185.124880590069</v>
      </c>
      <c r="H32" s="162">
        <f>H31-H29</f>
        <v>111916.73040400003</v>
      </c>
      <c r="I32" s="269"/>
      <c r="J32" s="56" t="str">
        <f>IF('TAAA|0338-02'!OrigApprop=0,"ERROR! Enter Original Appropriation amount in DU 3.00!","Calculated "&amp;IF('TAAA|0338-02'!AdjustedTotal&gt;0,"overfunding ","underfunding ")&amp;"is "&amp;TEXT('TAAA|0338-02'!AdjustedTotal/'TAAA|0338-02'!AppropTotal,"#.0%;(#.0% );0% ;")&amp;" of Original Appropriation")</f>
        <v>Calculated overfunding is 15.2% of Original Appropriation</v>
      </c>
      <c r="K32" s="163"/>
      <c r="L32" s="164"/>
    </row>
    <row r="34" spans="1:12" x14ac:dyDescent="0.25">
      <c r="A34" s="394" t="s">
        <v>2010</v>
      </c>
      <c r="B34" s="394"/>
      <c r="C34" s="394"/>
      <c r="D34" s="394"/>
      <c r="E34" s="394"/>
      <c r="F34" s="394"/>
      <c r="G34" s="394"/>
      <c r="H34" s="394"/>
      <c r="I34" s="394"/>
      <c r="J34" s="394"/>
      <c r="K34" s="394"/>
      <c r="L34" s="394"/>
    </row>
    <row r="35" spans="1:12" ht="39" x14ac:dyDescent="0.25">
      <c r="A35" s="472" t="s">
        <v>22</v>
      </c>
      <c r="B35" s="473"/>
      <c r="C35" s="369" t="s">
        <v>23</v>
      </c>
      <c r="D35" s="49" t="s">
        <v>24</v>
      </c>
      <c r="E35" s="50" t="str">
        <f>"FY "&amp;'TAAB|0001-00'!FiscalYear-1&amp;" SALARY"</f>
        <v>FY 2022 SALARY</v>
      </c>
      <c r="F35" s="50" t="str">
        <f>"FY "&amp;'TAAB|0001-00'!FiscalYear-1&amp;" HEALTH BENEFITS"</f>
        <v>FY 2022 HEALTH BENEFITS</v>
      </c>
      <c r="G35" s="50" t="str">
        <f>"FY "&amp;'TAAB|0001-00'!FiscalYear-1&amp;" VAR BENEFITS"</f>
        <v>FY 2022 VAR BENEFITS</v>
      </c>
      <c r="H35" s="50" t="str">
        <f>"FY "&amp;'TAAB|0001-00'!FiscalYear-1&amp;" TOTAL"</f>
        <v>FY 2022 TOTAL</v>
      </c>
      <c r="I35" s="50" t="str">
        <f>"FY "&amp;'TAAB|0001-00'!FiscalYear&amp;" SALARY CHANGE"</f>
        <v>FY 2023 SALARY CHANGE</v>
      </c>
      <c r="J35" s="50" t="str">
        <f>"FY "&amp;'TAAB|0001-00'!FiscalYear&amp;" CHG HEALTH BENEFITS"</f>
        <v>FY 2023 CHG HEALTH BENEFITS</v>
      </c>
      <c r="K35" s="50" t="str">
        <f>"FY "&amp;'TAAB|0001-00'!FiscalYear&amp;" CHG VAR BENEFITS"</f>
        <v>FY 2023 CHG VAR BENEFITS</v>
      </c>
      <c r="L35" s="50" t="s">
        <v>25</v>
      </c>
    </row>
    <row r="36" spans="1:12" x14ac:dyDescent="0.25">
      <c r="A36" s="464" t="s">
        <v>26</v>
      </c>
      <c r="B36" s="465"/>
      <c r="C36" s="141"/>
      <c r="D36" s="142"/>
      <c r="E36" s="143"/>
      <c r="F36" s="143"/>
      <c r="G36" s="143"/>
      <c r="H36" s="144"/>
      <c r="I36" s="144"/>
      <c r="J36" s="145"/>
      <c r="K36" s="146"/>
      <c r="L36" s="144"/>
    </row>
    <row r="37" spans="1:12" x14ac:dyDescent="0.25">
      <c r="A37" s="443" t="s">
        <v>27</v>
      </c>
      <c r="B37" s="466"/>
      <c r="C37" s="217">
        <v>1</v>
      </c>
      <c r="D37" s="288">
        <f>[0]!TAAB000100col_INC_FTI</f>
        <v>99.25</v>
      </c>
      <c r="E37" s="218">
        <f>[0]!TAAB000100col_FTI_SALARY_PERM</f>
        <v>5503066.3999999985</v>
      </c>
      <c r="F37" s="218">
        <f>[0]!TAAB000100col_HEALTH_PERM</f>
        <v>1160340</v>
      </c>
      <c r="G37" s="218">
        <f>[0]!TAAB000100col_TOT_VB_PERM</f>
        <v>1174586.1609039998</v>
      </c>
      <c r="H37" s="219">
        <f>SUM(E37:G37)</f>
        <v>7837992.5609039981</v>
      </c>
      <c r="I37" s="219">
        <f>[0]!TAAB000100col_1_27TH_PP</f>
        <v>0</v>
      </c>
      <c r="J37" s="218">
        <f>[0]!TAAB000100col_HEALTH_PERM_CHG</f>
        <v>0</v>
      </c>
      <c r="K37" s="218">
        <f>[0]!TAAB000100col_TOT_VB_PERM_CHG</f>
        <v>-26414.718720000008</v>
      </c>
      <c r="L37" s="218">
        <f>SUM(J37:K37)</f>
        <v>-26414.718720000008</v>
      </c>
    </row>
    <row r="38" spans="1:12" x14ac:dyDescent="0.25">
      <c r="A38" s="443" t="s">
        <v>28</v>
      </c>
      <c r="B38" s="466"/>
      <c r="C38" s="217">
        <v>2</v>
      </c>
      <c r="D38" s="288"/>
      <c r="E38" s="218">
        <f>[0]!TAAB000100col_Group_Salary</f>
        <v>41154.9</v>
      </c>
      <c r="F38" s="218">
        <v>0</v>
      </c>
      <c r="G38" s="218">
        <f>[0]!TAAB000100col_Group_Ben</f>
        <v>3319.45</v>
      </c>
      <c r="H38" s="219">
        <f>SUM(E38:G38)</f>
        <v>44474.35</v>
      </c>
      <c r="I38" s="268"/>
      <c r="J38" s="218"/>
      <c r="K38" s="218"/>
      <c r="L38" s="218"/>
    </row>
    <row r="39" spans="1:12" x14ac:dyDescent="0.25">
      <c r="A39" s="443" t="s">
        <v>29</v>
      </c>
      <c r="B39" s="444"/>
      <c r="C39" s="217">
        <v>3</v>
      </c>
      <c r="D39" s="288">
        <f>[0]!TAAB000100col_TOTAL_ELECT_PCN_FTI</f>
        <v>0</v>
      </c>
      <c r="E39" s="218">
        <f>[0]!TAAB000100col_FTI_SALARY_ELECT</f>
        <v>0</v>
      </c>
      <c r="F39" s="218">
        <f>[0]!TAAB000100col_HEALTH_ELECT</f>
        <v>0</v>
      </c>
      <c r="G39" s="218">
        <f>[0]!TAAB000100col_TOT_VB_ELECT</f>
        <v>0</v>
      </c>
      <c r="H39" s="219">
        <f>SUM(E39:G39)</f>
        <v>0</v>
      </c>
      <c r="I39" s="268"/>
      <c r="J39" s="218">
        <f>[0]!TAAB000100col_HEALTH_ELECT_CHG</f>
        <v>0</v>
      </c>
      <c r="K39" s="218">
        <f>[0]!TAAB000100col_TOT_VB_ELECT_CHG</f>
        <v>0</v>
      </c>
      <c r="L39" s="219">
        <f>SUM(J39:K39)</f>
        <v>0</v>
      </c>
    </row>
    <row r="40" spans="1:12" x14ac:dyDescent="0.25">
      <c r="A40" s="443" t="s">
        <v>30</v>
      </c>
      <c r="B40" s="466"/>
      <c r="C40" s="217"/>
      <c r="D40" s="220">
        <f>SUM(D37:D39)</f>
        <v>99.25</v>
      </c>
      <c r="E40" s="221">
        <f>SUM(E37:E39)</f>
        <v>5544221.2999999989</v>
      </c>
      <c r="F40" s="221">
        <f>SUM(F37:F39)</f>
        <v>1160340</v>
      </c>
      <c r="G40" s="221">
        <f>SUM(G37:G39)</f>
        <v>1177905.6109039998</v>
      </c>
      <c r="H40" s="219">
        <f>SUM(E40:G40)</f>
        <v>7882466.9109039987</v>
      </c>
      <c r="I40" s="268"/>
      <c r="J40" s="219">
        <f>SUM(J37:J39)</f>
        <v>0</v>
      </c>
      <c r="K40" s="219">
        <f>SUM(K37:K39)</f>
        <v>-26414.718720000008</v>
      </c>
      <c r="L40" s="219">
        <f>SUM(L37:L39)</f>
        <v>-26414.718720000008</v>
      </c>
    </row>
    <row r="41" spans="1:12" x14ac:dyDescent="0.25">
      <c r="A41" s="364"/>
      <c r="B41" s="370"/>
      <c r="C41" s="217"/>
      <c r="D41" s="220"/>
      <c r="E41" s="219"/>
      <c r="F41" s="219"/>
      <c r="G41" s="219"/>
      <c r="H41" s="219"/>
      <c r="I41" s="268"/>
      <c r="J41" s="219"/>
      <c r="K41" s="222"/>
      <c r="L41" s="222"/>
    </row>
    <row r="42" spans="1:12" x14ac:dyDescent="0.25">
      <c r="A42" s="157" t="str">
        <f>"FY "&amp;'TAAB|0001-00'!FiscalYear-1</f>
        <v>FY 2022</v>
      </c>
      <c r="B42" s="158" t="s">
        <v>31</v>
      </c>
      <c r="C42" s="354">
        <v>8123600</v>
      </c>
      <c r="D42" s="55">
        <v>101.8</v>
      </c>
      <c r="E42" s="223">
        <f>IF('TAAB|0001-00'!OrigApprop=0,0,(E40/H40)*'TAAB|0001-00'!OrigApprop)</f>
        <v>5713824.9562933724</v>
      </c>
      <c r="F42" s="223">
        <f>IF('TAAB|0001-00'!OrigApprop=0,0,(F40/H40)*'TAAB|0001-00'!OrigApprop)</f>
        <v>1195836.0409937915</v>
      </c>
      <c r="G42" s="223">
        <f>IF(E42=0,0,(G40/H40)*'TAAB|0001-00'!OrigApprop)</f>
        <v>1213939.0027128365</v>
      </c>
      <c r="H42" s="223">
        <f>SUM(E42:G42)</f>
        <v>8123600</v>
      </c>
      <c r="I42" s="268"/>
      <c r="J42" s="224"/>
      <c r="K42" s="224"/>
      <c r="L42" s="224"/>
    </row>
    <row r="43" spans="1:12" x14ac:dyDescent="0.25">
      <c r="A43" s="453" t="s">
        <v>32</v>
      </c>
      <c r="B43" s="454"/>
      <c r="C43" s="160" t="s">
        <v>33</v>
      </c>
      <c r="D43" s="161">
        <f>D42-D40</f>
        <v>2.5499999999999972</v>
      </c>
      <c r="E43" s="162">
        <f>E42-E40</f>
        <v>169603.65629337355</v>
      </c>
      <c r="F43" s="162">
        <f>F42-F40</f>
        <v>35496.040993791539</v>
      </c>
      <c r="G43" s="162">
        <f>G42-G40</f>
        <v>36033.391808836721</v>
      </c>
      <c r="H43" s="162">
        <f>H42-H40</f>
        <v>241133.08909600135</v>
      </c>
      <c r="I43" s="269"/>
      <c r="J43" s="56" t="str">
        <f>IF('TAAB|0001-00'!OrigApprop=0,"ERROR! Enter Original Appropriation amount in DU 3.00!","Calculated "&amp;IF('TAAB|0001-00'!AdjustedTotal&gt;0,"overfunding ","underfunding ")&amp;"is "&amp;TEXT('TAAB|0001-00'!AdjustedTotal/'TAAB|0001-00'!AppropTotal,"#.0%;(#.0% );0% ;")&amp;" of Original Appropriation")</f>
        <v>Calculated overfunding is 3.0% of Original Appropriation</v>
      </c>
      <c r="K43" s="163"/>
      <c r="L43" s="164"/>
    </row>
    <row r="45" spans="1:12" x14ac:dyDescent="0.25">
      <c r="A45" s="394" t="s">
        <v>2013</v>
      </c>
      <c r="B45" s="394"/>
      <c r="C45" s="394"/>
      <c r="D45" s="394"/>
      <c r="E45" s="394"/>
      <c r="F45" s="394"/>
      <c r="G45" s="394"/>
      <c r="H45" s="394"/>
      <c r="I45" s="394"/>
      <c r="J45" s="394"/>
      <c r="K45" s="394"/>
      <c r="L45" s="394"/>
    </row>
    <row r="46" spans="1:12" ht="39" x14ac:dyDescent="0.25">
      <c r="A46" s="472" t="s">
        <v>22</v>
      </c>
      <c r="B46" s="473"/>
      <c r="C46" s="369" t="s">
        <v>23</v>
      </c>
      <c r="D46" s="49" t="s">
        <v>24</v>
      </c>
      <c r="E46" s="50" t="str">
        <f>"FY "&amp;'TAAB|0338-01'!FiscalYear-1&amp;" SALARY"</f>
        <v>FY 2022 SALARY</v>
      </c>
      <c r="F46" s="50" t="str">
        <f>"FY "&amp;'TAAB|0338-01'!FiscalYear-1&amp;" HEALTH BENEFITS"</f>
        <v>FY 2022 HEALTH BENEFITS</v>
      </c>
      <c r="G46" s="50" t="str">
        <f>"FY "&amp;'TAAB|0338-01'!FiscalYear-1&amp;" VAR BENEFITS"</f>
        <v>FY 2022 VAR BENEFITS</v>
      </c>
      <c r="H46" s="50" t="str">
        <f>"FY "&amp;'TAAB|0338-01'!FiscalYear-1&amp;" TOTAL"</f>
        <v>FY 2022 TOTAL</v>
      </c>
      <c r="I46" s="50" t="str">
        <f>"FY "&amp;'TAAB|0338-01'!FiscalYear&amp;" SALARY CHANGE"</f>
        <v>FY 2023 SALARY CHANGE</v>
      </c>
      <c r="J46" s="50" t="str">
        <f>"FY "&amp;'TAAB|0338-01'!FiscalYear&amp;" CHG HEALTH BENEFITS"</f>
        <v>FY 2023 CHG HEALTH BENEFITS</v>
      </c>
      <c r="K46" s="50" t="str">
        <f>"FY "&amp;'TAAB|0338-01'!FiscalYear&amp;" CHG VAR BENEFITS"</f>
        <v>FY 2023 CHG VAR BENEFITS</v>
      </c>
      <c r="L46" s="50" t="s">
        <v>25</v>
      </c>
    </row>
    <row r="47" spans="1:12" x14ac:dyDescent="0.25">
      <c r="A47" s="464" t="s">
        <v>26</v>
      </c>
      <c r="B47" s="465"/>
      <c r="C47" s="141"/>
      <c r="D47" s="142"/>
      <c r="E47" s="143"/>
      <c r="F47" s="143"/>
      <c r="G47" s="143"/>
      <c r="H47" s="144"/>
      <c r="I47" s="144"/>
      <c r="J47" s="145"/>
      <c r="K47" s="146"/>
      <c r="L47" s="144"/>
    </row>
    <row r="48" spans="1:12" x14ac:dyDescent="0.25">
      <c r="A48" s="443" t="s">
        <v>27</v>
      </c>
      <c r="B48" s="466"/>
      <c r="C48" s="217">
        <v>1</v>
      </c>
      <c r="D48" s="288">
        <f>[0]!TAAB033801col_INC_FTI</f>
        <v>0.15000000000000002</v>
      </c>
      <c r="E48" s="218">
        <f>[0]!TAAB033801col_FTI_SALARY_PERM</f>
        <v>9261.2000000000007</v>
      </c>
      <c r="F48" s="218">
        <f>[0]!TAAB033801col_HEALTH_PERM</f>
        <v>1747.5</v>
      </c>
      <c r="G48" s="218">
        <f>[0]!TAAB033801col_TOT_VB_PERM</f>
        <v>1976.9883640000003</v>
      </c>
      <c r="H48" s="219">
        <f>SUM(E48:G48)</f>
        <v>12985.688364000001</v>
      </c>
      <c r="I48" s="219">
        <f>[0]!TAAB033801col_1_27TH_PP</f>
        <v>0</v>
      </c>
      <c r="J48" s="218">
        <f>[0]!TAAB033801col_HEALTH_PERM_CHG</f>
        <v>0</v>
      </c>
      <c r="K48" s="218">
        <f>[0]!TAAB033801col_TOT_VB_PERM_CHG</f>
        <v>-44.453759999999996</v>
      </c>
      <c r="L48" s="218">
        <f>SUM(J48:K48)</f>
        <v>-44.453759999999996</v>
      </c>
    </row>
    <row r="49" spans="1:12" x14ac:dyDescent="0.25">
      <c r="A49" s="443" t="s">
        <v>28</v>
      </c>
      <c r="B49" s="466"/>
      <c r="C49" s="217">
        <v>2</v>
      </c>
      <c r="D49" s="288"/>
      <c r="E49" s="218">
        <f>[0]!TAAB033801col_Group_Salary</f>
        <v>0</v>
      </c>
      <c r="F49" s="218">
        <v>0</v>
      </c>
      <c r="G49" s="218">
        <f>[0]!TAAB033801col_Group_Ben</f>
        <v>0</v>
      </c>
      <c r="H49" s="219">
        <f>SUM(E49:G49)</f>
        <v>0</v>
      </c>
      <c r="I49" s="268"/>
      <c r="J49" s="218"/>
      <c r="K49" s="218"/>
      <c r="L49" s="218"/>
    </row>
    <row r="50" spans="1:12" x14ac:dyDescent="0.25">
      <c r="A50" s="443" t="s">
        <v>29</v>
      </c>
      <c r="B50" s="444"/>
      <c r="C50" s="217">
        <v>3</v>
      </c>
      <c r="D50" s="288">
        <f>[0]!TAAB033801col_TOTAL_ELECT_PCN_FTI</f>
        <v>0</v>
      </c>
      <c r="E50" s="218">
        <f>[0]!TAAB033801col_FTI_SALARY_ELECT</f>
        <v>0</v>
      </c>
      <c r="F50" s="218">
        <f>[0]!TAAB033801col_HEALTH_ELECT</f>
        <v>0</v>
      </c>
      <c r="G50" s="218">
        <f>[0]!TAAB033801col_TOT_VB_ELECT</f>
        <v>0</v>
      </c>
      <c r="H50" s="219">
        <f>SUM(E50:G50)</f>
        <v>0</v>
      </c>
      <c r="I50" s="268"/>
      <c r="J50" s="218">
        <f>[0]!TAAB033801col_HEALTH_ELECT_CHG</f>
        <v>0</v>
      </c>
      <c r="K50" s="218">
        <f>[0]!TAAB033801col_TOT_VB_ELECT_CHG</f>
        <v>0</v>
      </c>
      <c r="L50" s="219">
        <f>SUM(J50:K50)</f>
        <v>0</v>
      </c>
    </row>
    <row r="51" spans="1:12" x14ac:dyDescent="0.25">
      <c r="A51" s="443" t="s">
        <v>30</v>
      </c>
      <c r="B51" s="466"/>
      <c r="C51" s="217"/>
      <c r="D51" s="220">
        <f>SUM(D48:D50)</f>
        <v>0.15000000000000002</v>
      </c>
      <c r="E51" s="221">
        <f>SUM(E48:E50)</f>
        <v>9261.2000000000007</v>
      </c>
      <c r="F51" s="221">
        <f>SUM(F48:F50)</f>
        <v>1747.5</v>
      </c>
      <c r="G51" s="221">
        <f>SUM(G48:G50)</f>
        <v>1976.9883640000003</v>
      </c>
      <c r="H51" s="219">
        <f>SUM(E51:G51)</f>
        <v>12985.688364000001</v>
      </c>
      <c r="I51" s="268"/>
      <c r="J51" s="219">
        <f>SUM(J48:J50)</f>
        <v>0</v>
      </c>
      <c r="K51" s="219">
        <f>SUM(K48:K50)</f>
        <v>-44.453759999999996</v>
      </c>
      <c r="L51" s="219">
        <f>SUM(L48:L50)</f>
        <v>-44.453759999999996</v>
      </c>
    </row>
    <row r="52" spans="1:12" x14ac:dyDescent="0.25">
      <c r="A52" s="364"/>
      <c r="B52" s="370"/>
      <c r="C52" s="217"/>
      <c r="D52" s="220"/>
      <c r="E52" s="219"/>
      <c r="F52" s="219"/>
      <c r="G52" s="219"/>
      <c r="H52" s="219"/>
      <c r="I52" s="268"/>
      <c r="J52" s="219"/>
      <c r="K52" s="222"/>
      <c r="L52" s="222"/>
    </row>
    <row r="53" spans="1:12" x14ac:dyDescent="0.25">
      <c r="A53" s="157" t="str">
        <f>"FY "&amp;'TAAB|0338-01'!FiscalYear-1</f>
        <v>FY 2022</v>
      </c>
      <c r="B53" s="158" t="s">
        <v>31</v>
      </c>
      <c r="C53" s="354">
        <v>15800</v>
      </c>
      <c r="D53" s="55">
        <v>0.1</v>
      </c>
      <c r="E53" s="223">
        <f>IF('TAAB|0338-01'!OrigApprop=0,0,(E51/H51)*'TAAB|0338-01'!OrigApprop)</f>
        <v>11268.325243786052</v>
      </c>
      <c r="F53" s="223">
        <f>IF('TAAB|0338-01'!OrigApprop=0,0,(F51/H51)*'TAAB|0338-01'!OrigApprop)</f>
        <v>2126.2253664229393</v>
      </c>
      <c r="G53" s="223">
        <f>IF(E53=0,0,(G51/H51)*'TAAB|0338-01'!OrigApprop)</f>
        <v>2405.4493897910083</v>
      </c>
      <c r="H53" s="223">
        <f>SUM(E53:G53)</f>
        <v>15800</v>
      </c>
      <c r="I53" s="268"/>
      <c r="J53" s="224"/>
      <c r="K53" s="224"/>
      <c r="L53" s="224"/>
    </row>
    <row r="54" spans="1:12" x14ac:dyDescent="0.25">
      <c r="A54" s="453" t="s">
        <v>32</v>
      </c>
      <c r="B54" s="454"/>
      <c r="C54" s="160" t="s">
        <v>33</v>
      </c>
      <c r="D54" s="161">
        <f>D53-D51</f>
        <v>-5.0000000000000017E-2</v>
      </c>
      <c r="E54" s="162">
        <f>E53-E51</f>
        <v>2007.1252437860512</v>
      </c>
      <c r="F54" s="162">
        <f>F53-F51</f>
        <v>378.72536642293926</v>
      </c>
      <c r="G54" s="162">
        <f>G53-G51</f>
        <v>428.46102579100807</v>
      </c>
      <c r="H54" s="162">
        <f>H53-H51</f>
        <v>2814.3116359999985</v>
      </c>
      <c r="I54" s="269"/>
      <c r="J54" s="56" t="str">
        <f>IF('TAAB|0338-01'!OrigApprop=0,"ERROR! Enter Original Appropriation amount in DU 3.00!","Calculated "&amp;IF('TAAB|0338-01'!AdjustedTotal&gt;0,"overfunding ","underfunding ")&amp;"is "&amp;TEXT('TAAB|0338-01'!AdjustedTotal/'TAAB|0338-01'!AppropTotal,"#.0%;(#.0% );0% ;")&amp;" of Original Appropriation")</f>
        <v>Calculated overfunding is 17.8% of Original Appropriation</v>
      </c>
      <c r="K54" s="163"/>
      <c r="L54" s="164"/>
    </row>
    <row r="56" spans="1:12" x14ac:dyDescent="0.25">
      <c r="A56" s="394" t="s">
        <v>2015</v>
      </c>
      <c r="B56" s="394"/>
      <c r="C56" s="394"/>
      <c r="D56" s="394"/>
      <c r="E56" s="394"/>
      <c r="F56" s="394"/>
      <c r="G56" s="394"/>
      <c r="H56" s="394"/>
      <c r="I56" s="394"/>
      <c r="J56" s="394"/>
      <c r="K56" s="394"/>
      <c r="L56" s="394"/>
    </row>
    <row r="57" spans="1:12" ht="39" x14ac:dyDescent="0.25">
      <c r="A57" s="472" t="s">
        <v>22</v>
      </c>
      <c r="B57" s="473"/>
      <c r="C57" s="369" t="s">
        <v>23</v>
      </c>
      <c r="D57" s="49" t="s">
        <v>24</v>
      </c>
      <c r="E57" s="50" t="str">
        <f>"FY "&amp;'TAAB|0338-02'!FiscalYear-1&amp;" SALARY"</f>
        <v>FY 2022 SALARY</v>
      </c>
      <c r="F57" s="50" t="str">
        <f>"FY "&amp;'TAAB|0338-02'!FiscalYear-1&amp;" HEALTH BENEFITS"</f>
        <v>FY 2022 HEALTH BENEFITS</v>
      </c>
      <c r="G57" s="50" t="str">
        <f>"FY "&amp;'TAAB|0338-02'!FiscalYear-1&amp;" VAR BENEFITS"</f>
        <v>FY 2022 VAR BENEFITS</v>
      </c>
      <c r="H57" s="50" t="str">
        <f>"FY "&amp;'TAAB|0338-02'!FiscalYear-1&amp;" TOTAL"</f>
        <v>FY 2022 TOTAL</v>
      </c>
      <c r="I57" s="50" t="str">
        <f>"FY "&amp;'TAAB|0338-02'!FiscalYear&amp;" SALARY CHANGE"</f>
        <v>FY 2023 SALARY CHANGE</v>
      </c>
      <c r="J57" s="50" t="str">
        <f>"FY "&amp;'TAAB|0338-02'!FiscalYear&amp;" CHG HEALTH BENEFITS"</f>
        <v>FY 2023 CHG HEALTH BENEFITS</v>
      </c>
      <c r="K57" s="50" t="str">
        <f>"FY "&amp;'TAAB|0338-02'!FiscalYear&amp;" CHG VAR BENEFITS"</f>
        <v>FY 2023 CHG VAR BENEFITS</v>
      </c>
      <c r="L57" s="50" t="s">
        <v>25</v>
      </c>
    </row>
    <row r="58" spans="1:12" x14ac:dyDescent="0.25">
      <c r="A58" s="464" t="s">
        <v>26</v>
      </c>
      <c r="B58" s="465"/>
      <c r="C58" s="141"/>
      <c r="D58" s="142"/>
      <c r="E58" s="143"/>
      <c r="F58" s="143"/>
      <c r="G58" s="143"/>
      <c r="H58" s="144"/>
      <c r="I58" s="144"/>
      <c r="J58" s="145"/>
      <c r="K58" s="146"/>
      <c r="L58" s="144"/>
    </row>
    <row r="59" spans="1:12" x14ac:dyDescent="0.25">
      <c r="A59" s="443" t="s">
        <v>27</v>
      </c>
      <c r="B59" s="466"/>
      <c r="C59" s="217">
        <v>1</v>
      </c>
      <c r="D59" s="288">
        <f>[0]!TAAB033802col_INC_FTI</f>
        <v>22.2</v>
      </c>
      <c r="E59" s="218">
        <f>[0]!TAAB033802col_FTI_SALARY_PERM</f>
        <v>1214091.8400000001</v>
      </c>
      <c r="F59" s="218">
        <f>[0]!TAAB033802col_HEALTH_PERM</f>
        <v>258630</v>
      </c>
      <c r="G59" s="218">
        <f>[0]!TAAB033802col_TOT_VB_PERM</f>
        <v>259018.76158080006</v>
      </c>
      <c r="H59" s="219">
        <f>SUM(E59:G59)</f>
        <v>1731740.6015808</v>
      </c>
      <c r="I59" s="219">
        <f>[0]!TAAB033802col_1_27TH_PP</f>
        <v>0</v>
      </c>
      <c r="J59" s="218">
        <f>[0]!TAAB033802col_HEALTH_PERM_CHG</f>
        <v>0</v>
      </c>
      <c r="K59" s="218">
        <f>[0]!TAAB033802col_TOT_VB_PERM_CHG</f>
        <v>-5827.6408320000019</v>
      </c>
      <c r="L59" s="218">
        <f>SUM(J59:K59)</f>
        <v>-5827.6408320000019</v>
      </c>
    </row>
    <row r="60" spans="1:12" x14ac:dyDescent="0.25">
      <c r="A60" s="443" t="s">
        <v>28</v>
      </c>
      <c r="B60" s="466"/>
      <c r="C60" s="217">
        <v>2</v>
      </c>
      <c r="D60" s="288"/>
      <c r="E60" s="218">
        <f>[0]!TAAB033802col_Group_Salary</f>
        <v>0</v>
      </c>
      <c r="F60" s="218">
        <v>0</v>
      </c>
      <c r="G60" s="218">
        <f>[0]!TAAB033802col_Group_Ben</f>
        <v>0</v>
      </c>
      <c r="H60" s="219">
        <f>SUM(E60:G60)</f>
        <v>0</v>
      </c>
      <c r="I60" s="268"/>
      <c r="J60" s="218"/>
      <c r="K60" s="218"/>
      <c r="L60" s="218"/>
    </row>
    <row r="61" spans="1:12" x14ac:dyDescent="0.25">
      <c r="A61" s="443" t="s">
        <v>29</v>
      </c>
      <c r="B61" s="444"/>
      <c r="C61" s="217">
        <v>3</v>
      </c>
      <c r="D61" s="288">
        <f>[0]!TAAB033802col_TOTAL_ELECT_PCN_FTI</f>
        <v>0</v>
      </c>
      <c r="E61" s="218">
        <f>[0]!TAAB033802col_FTI_SALARY_ELECT</f>
        <v>0</v>
      </c>
      <c r="F61" s="218">
        <f>[0]!TAAB033802col_HEALTH_ELECT</f>
        <v>0</v>
      </c>
      <c r="G61" s="218">
        <f>[0]!TAAB033802col_TOT_VB_ELECT</f>
        <v>0</v>
      </c>
      <c r="H61" s="219">
        <f>SUM(E61:G61)</f>
        <v>0</v>
      </c>
      <c r="I61" s="268"/>
      <c r="J61" s="218">
        <f>[0]!TAAB033802col_HEALTH_ELECT_CHG</f>
        <v>0</v>
      </c>
      <c r="K61" s="218">
        <f>[0]!TAAB033802col_TOT_VB_ELECT_CHG</f>
        <v>0</v>
      </c>
      <c r="L61" s="219">
        <f>SUM(J61:K61)</f>
        <v>0</v>
      </c>
    </row>
    <row r="62" spans="1:12" x14ac:dyDescent="0.25">
      <c r="A62" s="443" t="s">
        <v>30</v>
      </c>
      <c r="B62" s="466"/>
      <c r="C62" s="217"/>
      <c r="D62" s="220">
        <f>SUM(D59:D61)</f>
        <v>22.2</v>
      </c>
      <c r="E62" s="221">
        <f>SUM(E59:E61)</f>
        <v>1214091.8400000001</v>
      </c>
      <c r="F62" s="221">
        <f>SUM(F59:F61)</f>
        <v>258630</v>
      </c>
      <c r="G62" s="221">
        <f>SUM(G59:G61)</f>
        <v>259018.76158080006</v>
      </c>
      <c r="H62" s="219">
        <f>SUM(E62:G62)</f>
        <v>1731740.6015808</v>
      </c>
      <c r="I62" s="268"/>
      <c r="J62" s="219">
        <f>SUM(J59:J61)</f>
        <v>0</v>
      </c>
      <c r="K62" s="219">
        <f>SUM(K59:K61)</f>
        <v>-5827.6408320000019</v>
      </c>
      <c r="L62" s="219">
        <f>SUM(L59:L61)</f>
        <v>-5827.6408320000019</v>
      </c>
    </row>
    <row r="63" spans="1:12" x14ac:dyDescent="0.25">
      <c r="A63" s="364"/>
      <c r="B63" s="370"/>
      <c r="C63" s="217"/>
      <c r="D63" s="220"/>
      <c r="E63" s="219"/>
      <c r="F63" s="219"/>
      <c r="G63" s="219"/>
      <c r="H63" s="219"/>
      <c r="I63" s="268"/>
      <c r="J63" s="219"/>
      <c r="K63" s="222"/>
      <c r="L63" s="222"/>
    </row>
    <row r="64" spans="1:12" x14ac:dyDescent="0.25">
      <c r="A64" s="157" t="str">
        <f>"FY "&amp;'TAAB|0338-02'!FiscalYear-1</f>
        <v>FY 2022</v>
      </c>
      <c r="B64" s="158" t="s">
        <v>31</v>
      </c>
      <c r="C64" s="354">
        <v>1782900</v>
      </c>
      <c r="D64" s="55">
        <v>22.4</v>
      </c>
      <c r="E64" s="223">
        <f>IF('TAAB|0338-02'!OrigApprop=0,0,(E62/H62)*'TAAB|0338-02'!OrigApprop)</f>
        <v>1249958.7637779384</v>
      </c>
      <c r="F64" s="223">
        <f>IF('TAAB|0338-02'!OrigApprop=0,0,(F62/H62)*'TAAB|0338-02'!OrigApprop)</f>
        <v>266270.49488767516</v>
      </c>
      <c r="G64" s="223">
        <f>IF(E64=0,0,(G62/H62)*'TAAB|0338-02'!OrigApprop)</f>
        <v>266670.74133438652</v>
      </c>
      <c r="H64" s="223">
        <f>SUM(E64:G64)</f>
        <v>1782900</v>
      </c>
      <c r="I64" s="268"/>
      <c r="J64" s="224"/>
      <c r="K64" s="224"/>
      <c r="L64" s="224"/>
    </row>
    <row r="65" spans="1:12" x14ac:dyDescent="0.25">
      <c r="A65" s="453" t="s">
        <v>32</v>
      </c>
      <c r="B65" s="454"/>
      <c r="C65" s="160" t="s">
        <v>33</v>
      </c>
      <c r="D65" s="161">
        <f>D64-D62</f>
        <v>0.19999999999999929</v>
      </c>
      <c r="E65" s="162">
        <f>E64-E62</f>
        <v>35866.923777938355</v>
      </c>
      <c r="F65" s="162">
        <f>F64-F62</f>
        <v>7640.4948876751587</v>
      </c>
      <c r="G65" s="162">
        <f>G64-G62</f>
        <v>7651.9797535864636</v>
      </c>
      <c r="H65" s="162">
        <f>H64-H62</f>
        <v>51159.398419199977</v>
      </c>
      <c r="I65" s="269"/>
      <c r="J65" s="56" t="str">
        <f>IF('TAAB|0338-02'!OrigApprop=0,"ERROR! Enter Original Appropriation amount in DU 3.00!","Calculated "&amp;IF('TAAB|0338-02'!AdjustedTotal&gt;0,"overfunding ","underfunding ")&amp;"is "&amp;TEXT('TAAB|0338-02'!AdjustedTotal/'TAAB|0338-02'!AppropTotal,"#.0%;(#.0% );0% ;")&amp;" of Original Appropriation")</f>
        <v>Calculated overfunding is 2.9% of Original Appropriation</v>
      </c>
      <c r="K65" s="163"/>
      <c r="L65" s="164"/>
    </row>
    <row r="67" spans="1:12" x14ac:dyDescent="0.25">
      <c r="A67" s="394" t="s">
        <v>2019</v>
      </c>
      <c r="B67" s="394"/>
      <c r="C67" s="394"/>
      <c r="D67" s="394"/>
      <c r="E67" s="394"/>
      <c r="F67" s="394"/>
      <c r="G67" s="394"/>
      <c r="H67" s="394"/>
      <c r="I67" s="394"/>
      <c r="J67" s="394"/>
      <c r="K67" s="394"/>
      <c r="L67" s="394"/>
    </row>
    <row r="68" spans="1:12" ht="39" x14ac:dyDescent="0.25">
      <c r="A68" s="472" t="s">
        <v>22</v>
      </c>
      <c r="B68" s="473"/>
      <c r="C68" s="369" t="s">
        <v>23</v>
      </c>
      <c r="D68" s="49" t="s">
        <v>24</v>
      </c>
      <c r="E68" s="50" t="str">
        <f>"FY "&amp;'TAAC|0001-00'!FiscalYear-1&amp;" SALARY"</f>
        <v>FY 2022 SALARY</v>
      </c>
      <c r="F68" s="50" t="str">
        <f>"FY "&amp;'TAAC|0001-00'!FiscalYear-1&amp;" HEALTH BENEFITS"</f>
        <v>FY 2022 HEALTH BENEFITS</v>
      </c>
      <c r="G68" s="50" t="str">
        <f>"FY "&amp;'TAAC|0001-00'!FiscalYear-1&amp;" VAR BENEFITS"</f>
        <v>FY 2022 VAR BENEFITS</v>
      </c>
      <c r="H68" s="50" t="str">
        <f>"FY "&amp;'TAAC|0001-00'!FiscalYear-1&amp;" TOTAL"</f>
        <v>FY 2022 TOTAL</v>
      </c>
      <c r="I68" s="50" t="str">
        <f>"FY "&amp;'TAAC|0001-00'!FiscalYear&amp;" SALARY CHANGE"</f>
        <v>FY 2023 SALARY CHANGE</v>
      </c>
      <c r="J68" s="50" t="str">
        <f>"FY "&amp;'TAAC|0001-00'!FiscalYear&amp;" CHG HEALTH BENEFITS"</f>
        <v>FY 2023 CHG HEALTH BENEFITS</v>
      </c>
      <c r="K68" s="50" t="str">
        <f>"FY "&amp;'TAAC|0001-00'!FiscalYear&amp;" CHG VAR BENEFITS"</f>
        <v>FY 2023 CHG VAR BENEFITS</v>
      </c>
      <c r="L68" s="50" t="s">
        <v>25</v>
      </c>
    </row>
    <row r="69" spans="1:12" x14ac:dyDescent="0.25">
      <c r="A69" s="464" t="s">
        <v>26</v>
      </c>
      <c r="B69" s="465"/>
      <c r="C69" s="141"/>
      <c r="D69" s="142"/>
      <c r="E69" s="143"/>
      <c r="F69" s="143"/>
      <c r="G69" s="143"/>
      <c r="H69" s="144"/>
      <c r="I69" s="144"/>
      <c r="J69" s="145"/>
      <c r="K69" s="146"/>
      <c r="L69" s="144"/>
    </row>
    <row r="70" spans="1:12" x14ac:dyDescent="0.25">
      <c r="A70" s="443" t="s">
        <v>27</v>
      </c>
      <c r="B70" s="466"/>
      <c r="C70" s="217">
        <v>1</v>
      </c>
      <c r="D70" s="288">
        <f>[0]!TAAC000100col_INC_FTI</f>
        <v>61.11</v>
      </c>
      <c r="E70" s="218">
        <f>[0]!TAAC000100col_FTI_SALARY_PERM</f>
        <v>2458166.8800000004</v>
      </c>
      <c r="F70" s="218">
        <f>[0]!TAAC000100col_HEALTH_PERM</f>
        <v>711931.5</v>
      </c>
      <c r="G70" s="218">
        <f>[0]!TAAC000100col_TOT_VB_PERM</f>
        <v>524578.76259359997</v>
      </c>
      <c r="H70" s="219">
        <f>SUM(E70:G70)</f>
        <v>3694677.1425936003</v>
      </c>
      <c r="I70" s="219">
        <f>[0]!TAAC000100col_1_27TH_PP</f>
        <v>0</v>
      </c>
      <c r="J70" s="218">
        <f>[0]!TAAC000100col_HEALTH_PERM_CHG</f>
        <v>0</v>
      </c>
      <c r="K70" s="218">
        <f>[0]!TAAC000100col_TOT_VB_PERM_CHG</f>
        <v>-11799.201024</v>
      </c>
      <c r="L70" s="218">
        <f>SUM(J70:K70)</f>
        <v>-11799.201024</v>
      </c>
    </row>
    <row r="71" spans="1:12" x14ac:dyDescent="0.25">
      <c r="A71" s="443" t="s">
        <v>28</v>
      </c>
      <c r="B71" s="466"/>
      <c r="C71" s="217">
        <v>2</v>
      </c>
      <c r="D71" s="288"/>
      <c r="E71" s="218">
        <f>[0]!TAAC000100col_Group_Salary</f>
        <v>526925.31000000006</v>
      </c>
      <c r="F71" s="218">
        <v>0</v>
      </c>
      <c r="G71" s="218">
        <f>[0]!TAAC000100col_Group_Ben</f>
        <v>42396.600000000006</v>
      </c>
      <c r="H71" s="219">
        <f>SUM(E71:G71)</f>
        <v>569321.91</v>
      </c>
      <c r="I71" s="268"/>
      <c r="J71" s="218"/>
      <c r="K71" s="218"/>
      <c r="L71" s="218"/>
    </row>
    <row r="72" spans="1:12" x14ac:dyDescent="0.25">
      <c r="A72" s="443" t="s">
        <v>29</v>
      </c>
      <c r="B72" s="444"/>
      <c r="C72" s="217">
        <v>3</v>
      </c>
      <c r="D72" s="288">
        <f>[0]!TAAC000100col_TOTAL_ELECT_PCN_FTI</f>
        <v>0</v>
      </c>
      <c r="E72" s="218">
        <f>[0]!TAAC000100col_FTI_SALARY_ELECT</f>
        <v>0</v>
      </c>
      <c r="F72" s="218">
        <f>[0]!TAAC000100col_HEALTH_ELECT</f>
        <v>0</v>
      </c>
      <c r="G72" s="218">
        <f>[0]!TAAC000100col_TOT_VB_ELECT</f>
        <v>0</v>
      </c>
      <c r="H72" s="219">
        <f>SUM(E72:G72)</f>
        <v>0</v>
      </c>
      <c r="I72" s="268"/>
      <c r="J72" s="218">
        <f>[0]!TAAC000100col_HEALTH_ELECT_CHG</f>
        <v>0</v>
      </c>
      <c r="K72" s="218">
        <f>[0]!TAAC000100col_TOT_VB_ELECT_CHG</f>
        <v>0</v>
      </c>
      <c r="L72" s="219">
        <f>SUM(J72:K72)</f>
        <v>0</v>
      </c>
    </row>
    <row r="73" spans="1:12" x14ac:dyDescent="0.25">
      <c r="A73" s="443" t="s">
        <v>30</v>
      </c>
      <c r="B73" s="466"/>
      <c r="C73" s="217"/>
      <c r="D73" s="220">
        <f>SUM(D70:D72)</f>
        <v>61.11</v>
      </c>
      <c r="E73" s="221">
        <f>SUM(E70:E72)</f>
        <v>2985092.1900000004</v>
      </c>
      <c r="F73" s="221">
        <f>SUM(F70:F72)</f>
        <v>711931.5</v>
      </c>
      <c r="G73" s="221">
        <f>SUM(G70:G72)</f>
        <v>566975.36259359994</v>
      </c>
      <c r="H73" s="219">
        <f>SUM(E73:G73)</f>
        <v>4263999.0525936</v>
      </c>
      <c r="I73" s="268"/>
      <c r="J73" s="219">
        <f>SUM(J70:J72)</f>
        <v>0</v>
      </c>
      <c r="K73" s="219">
        <f>SUM(K70:K72)</f>
        <v>-11799.201024</v>
      </c>
      <c r="L73" s="219">
        <f>SUM(L70:L72)</f>
        <v>-11799.201024</v>
      </c>
    </row>
    <row r="74" spans="1:12" x14ac:dyDescent="0.25">
      <c r="A74" s="364"/>
      <c r="B74" s="370"/>
      <c r="C74" s="217"/>
      <c r="D74" s="220"/>
      <c r="E74" s="219"/>
      <c r="F74" s="219"/>
      <c r="G74" s="219"/>
      <c r="H74" s="219"/>
      <c r="I74" s="268"/>
      <c r="J74" s="219"/>
      <c r="K74" s="222"/>
      <c r="L74" s="222"/>
    </row>
    <row r="75" spans="1:12" x14ac:dyDescent="0.25">
      <c r="A75" s="157" t="str">
        <f>"FY "&amp;'TAAC|0001-00'!FiscalYear-1</f>
        <v>FY 2022</v>
      </c>
      <c r="B75" s="158" t="s">
        <v>31</v>
      </c>
      <c r="C75" s="354">
        <v>3835800</v>
      </c>
      <c r="D75" s="55">
        <v>62.85</v>
      </c>
      <c r="E75" s="223">
        <f>IF('TAAC|0001-00'!OrigApprop=0,0,(E73/H73)*'TAAC|0001-00'!OrigApprop)</f>
        <v>2685323.4442998637</v>
      </c>
      <c r="F75" s="223">
        <f>IF('TAAC|0001-00'!OrigApprop=0,0,(F73/H73)*'TAAC|0001-00'!OrigApprop)</f>
        <v>640437.95836187154</v>
      </c>
      <c r="G75" s="223">
        <f>IF(E75=0,0,(G73/H73)*'TAAC|0001-00'!OrigApprop)</f>
        <v>510038.59733826504</v>
      </c>
      <c r="H75" s="223">
        <f>SUM(E75:G75)</f>
        <v>3835800</v>
      </c>
      <c r="I75" s="268"/>
      <c r="J75" s="224"/>
      <c r="K75" s="224"/>
      <c r="L75" s="224"/>
    </row>
    <row r="76" spans="1:12" x14ac:dyDescent="0.25">
      <c r="A76" s="453" t="s">
        <v>32</v>
      </c>
      <c r="B76" s="454"/>
      <c r="C76" s="160" t="s">
        <v>33</v>
      </c>
      <c r="D76" s="161">
        <f>D75-D73</f>
        <v>1.740000000000002</v>
      </c>
      <c r="E76" s="162">
        <f>E75-E73</f>
        <v>-299768.74570013676</v>
      </c>
      <c r="F76" s="162">
        <f>F75-F73</f>
        <v>-71493.541638128459</v>
      </c>
      <c r="G76" s="162">
        <f>G75-G73</f>
        <v>-56936.765255334903</v>
      </c>
      <c r="H76" s="162">
        <f>H75-H73</f>
        <v>-428199.0525936</v>
      </c>
      <c r="I76" s="269"/>
      <c r="J76" s="56" t="str">
        <f>IF('TAAC|0001-00'!OrigApprop=0,"ERROR! Enter Original Appropriation amount in DU 3.00!","Calculated "&amp;IF('TAAC|0001-00'!AdjustedTotal&gt;0,"overfunding ","underfunding ")&amp;"is "&amp;TEXT('TAAC|0001-00'!AdjustedTotal/'TAAC|0001-00'!AppropTotal,"#.0%;(#.0% );0% ;")&amp;" of Original Appropriation")</f>
        <v>Calculated underfunding is (11.2% ) of Original Appropriation</v>
      </c>
      <c r="K76" s="163"/>
      <c r="L76" s="164"/>
    </row>
    <row r="78" spans="1:12" x14ac:dyDescent="0.25">
      <c r="A78" s="394" t="s">
        <v>2022</v>
      </c>
      <c r="B78" s="394"/>
      <c r="C78" s="394"/>
      <c r="D78" s="394"/>
      <c r="E78" s="394"/>
      <c r="F78" s="394"/>
      <c r="G78" s="394"/>
      <c r="H78" s="394"/>
      <c r="I78" s="394"/>
      <c r="J78" s="394"/>
      <c r="K78" s="394"/>
      <c r="L78" s="394"/>
    </row>
    <row r="79" spans="1:12" ht="39" x14ac:dyDescent="0.25">
      <c r="A79" s="472" t="s">
        <v>22</v>
      </c>
      <c r="B79" s="473"/>
      <c r="C79" s="369" t="s">
        <v>23</v>
      </c>
      <c r="D79" s="49" t="s">
        <v>24</v>
      </c>
      <c r="E79" s="50" t="str">
        <f>"FY "&amp;'TAAC|0338-01'!FiscalYear-1&amp;" SALARY"</f>
        <v>FY 2022 SALARY</v>
      </c>
      <c r="F79" s="50" t="str">
        <f>"FY "&amp;'TAAC|0338-01'!FiscalYear-1&amp;" HEALTH BENEFITS"</f>
        <v>FY 2022 HEALTH BENEFITS</v>
      </c>
      <c r="G79" s="50" t="str">
        <f>"FY "&amp;'TAAC|0338-01'!FiscalYear-1&amp;" VAR BENEFITS"</f>
        <v>FY 2022 VAR BENEFITS</v>
      </c>
      <c r="H79" s="50" t="str">
        <f>"FY "&amp;'TAAC|0338-01'!FiscalYear-1&amp;" TOTAL"</f>
        <v>FY 2022 TOTAL</v>
      </c>
      <c r="I79" s="50" t="str">
        <f>"FY "&amp;'TAAC|0338-01'!FiscalYear&amp;" SALARY CHANGE"</f>
        <v>FY 2023 SALARY CHANGE</v>
      </c>
      <c r="J79" s="50" t="str">
        <f>"FY "&amp;'TAAC|0338-01'!FiscalYear&amp;" CHG HEALTH BENEFITS"</f>
        <v>FY 2023 CHG HEALTH BENEFITS</v>
      </c>
      <c r="K79" s="50" t="str">
        <f>"FY "&amp;'TAAC|0338-01'!FiscalYear&amp;" CHG VAR BENEFITS"</f>
        <v>FY 2023 CHG VAR BENEFITS</v>
      </c>
      <c r="L79" s="50" t="s">
        <v>25</v>
      </c>
    </row>
    <row r="80" spans="1:12" x14ac:dyDescent="0.25">
      <c r="A80" s="464" t="s">
        <v>26</v>
      </c>
      <c r="B80" s="465"/>
      <c r="C80" s="141"/>
      <c r="D80" s="142"/>
      <c r="E80" s="143"/>
      <c r="F80" s="143"/>
      <c r="G80" s="143"/>
      <c r="H80" s="144"/>
      <c r="I80" s="144"/>
      <c r="J80" s="145"/>
      <c r="K80" s="146"/>
      <c r="L80" s="144"/>
    </row>
    <row r="81" spans="1:12" x14ac:dyDescent="0.25">
      <c r="A81" s="443" t="s">
        <v>27</v>
      </c>
      <c r="B81" s="466"/>
      <c r="C81" s="217">
        <v>1</v>
      </c>
      <c r="D81" s="288">
        <f>[0]!TAAC033801col_INC_FTI</f>
        <v>0.28999999999999998</v>
      </c>
      <c r="E81" s="218">
        <f>[0]!TAAC033801col_FTI_SALARY_PERM</f>
        <v>8716.24</v>
      </c>
      <c r="F81" s="218">
        <f>[0]!TAAC033801col_HEALTH_PERM</f>
        <v>3378.4999999999995</v>
      </c>
      <c r="G81" s="218">
        <f>[0]!TAAC033801col_TOT_VB_PERM</f>
        <v>1860.6557528000001</v>
      </c>
      <c r="H81" s="219">
        <f>SUM(E81:G81)</f>
        <v>13955.395752799999</v>
      </c>
      <c r="I81" s="219">
        <f>[0]!TAAC033801col_1_27TH_PP</f>
        <v>0</v>
      </c>
      <c r="J81" s="218">
        <f>[0]!TAAC033801col_HEALTH_PERM_CHG</f>
        <v>0</v>
      </c>
      <c r="K81" s="218">
        <f>[0]!TAAC033801col_TOT_VB_PERM_CHG</f>
        <v>-41.837951999999994</v>
      </c>
      <c r="L81" s="218">
        <f>SUM(J81:K81)</f>
        <v>-41.837951999999994</v>
      </c>
    </row>
    <row r="82" spans="1:12" x14ac:dyDescent="0.25">
      <c r="A82" s="443" t="s">
        <v>28</v>
      </c>
      <c r="B82" s="466"/>
      <c r="C82" s="217">
        <v>2</v>
      </c>
      <c r="D82" s="288"/>
      <c r="E82" s="218">
        <f>[0]!TAAC033801col_Group_Salary</f>
        <v>0</v>
      </c>
      <c r="F82" s="218">
        <v>0</v>
      </c>
      <c r="G82" s="218">
        <f>[0]!TAAC033801col_Group_Ben</f>
        <v>0</v>
      </c>
      <c r="H82" s="219">
        <f>SUM(E82:G82)</f>
        <v>0</v>
      </c>
      <c r="I82" s="268"/>
      <c r="J82" s="218"/>
      <c r="K82" s="218"/>
      <c r="L82" s="218"/>
    </row>
    <row r="83" spans="1:12" x14ac:dyDescent="0.25">
      <c r="A83" s="443" t="s">
        <v>29</v>
      </c>
      <c r="B83" s="444"/>
      <c r="C83" s="217">
        <v>3</v>
      </c>
      <c r="D83" s="288">
        <f>[0]!TAAC033801col_TOTAL_ELECT_PCN_FTI</f>
        <v>0</v>
      </c>
      <c r="E83" s="218">
        <f>[0]!TAAC033801col_FTI_SALARY_ELECT</f>
        <v>0</v>
      </c>
      <c r="F83" s="218">
        <f>[0]!TAAC033801col_HEALTH_ELECT</f>
        <v>0</v>
      </c>
      <c r="G83" s="218">
        <f>[0]!TAAC033801col_TOT_VB_ELECT</f>
        <v>0</v>
      </c>
      <c r="H83" s="219">
        <f>SUM(E83:G83)</f>
        <v>0</v>
      </c>
      <c r="I83" s="268"/>
      <c r="J83" s="218">
        <f>[0]!TAAC033801col_HEALTH_ELECT_CHG</f>
        <v>0</v>
      </c>
      <c r="K83" s="218">
        <f>[0]!TAAC033801col_TOT_VB_ELECT_CHG</f>
        <v>0</v>
      </c>
      <c r="L83" s="219">
        <f>SUM(J83:K83)</f>
        <v>0</v>
      </c>
    </row>
    <row r="84" spans="1:12" x14ac:dyDescent="0.25">
      <c r="A84" s="443" t="s">
        <v>30</v>
      </c>
      <c r="B84" s="466"/>
      <c r="C84" s="217"/>
      <c r="D84" s="220">
        <f>SUM(D81:D83)</f>
        <v>0.28999999999999998</v>
      </c>
      <c r="E84" s="221">
        <f>SUM(E81:E83)</f>
        <v>8716.24</v>
      </c>
      <c r="F84" s="221">
        <f>SUM(F81:F83)</f>
        <v>3378.4999999999995</v>
      </c>
      <c r="G84" s="221">
        <f>SUM(G81:G83)</f>
        <v>1860.6557528000001</v>
      </c>
      <c r="H84" s="219">
        <f>SUM(E84:G84)</f>
        <v>13955.395752799999</v>
      </c>
      <c r="I84" s="268"/>
      <c r="J84" s="219">
        <f>SUM(J81:J83)</f>
        <v>0</v>
      </c>
      <c r="K84" s="219">
        <f>SUM(K81:K83)</f>
        <v>-41.837951999999994</v>
      </c>
      <c r="L84" s="219">
        <f>SUM(L81:L83)</f>
        <v>-41.837951999999994</v>
      </c>
    </row>
    <row r="85" spans="1:12" x14ac:dyDescent="0.25">
      <c r="A85" s="364"/>
      <c r="B85" s="370"/>
      <c r="C85" s="217"/>
      <c r="D85" s="220"/>
      <c r="E85" s="219"/>
      <c r="F85" s="219"/>
      <c r="G85" s="219"/>
      <c r="H85" s="219"/>
      <c r="I85" s="268"/>
      <c r="J85" s="219"/>
      <c r="K85" s="222"/>
      <c r="L85" s="222"/>
    </row>
    <row r="86" spans="1:12" x14ac:dyDescent="0.25">
      <c r="A86" s="157" t="str">
        <f>"FY "&amp;'TAAC|0338-01'!FiscalYear-1</f>
        <v>FY 2022</v>
      </c>
      <c r="B86" s="158" t="s">
        <v>31</v>
      </c>
      <c r="C86" s="354">
        <v>90400</v>
      </c>
      <c r="D86" s="55">
        <v>0.3</v>
      </c>
      <c r="E86" s="223">
        <f>IF('TAAC|0338-01'!OrigApprop=0,0,(E84/H84)*'TAAC|0338-01'!OrigApprop)</f>
        <v>56461.895453011908</v>
      </c>
      <c r="F86" s="223">
        <f>IF('TAAC|0338-01'!OrigApprop=0,0,(F84/H84)*'TAAC|0338-01'!OrigApprop)</f>
        <v>21885.18372463364</v>
      </c>
      <c r="G86" s="223">
        <f>IF(E86=0,0,(G84/H84)*'TAAC|0338-01'!OrigApprop)</f>
        <v>12052.920822354452</v>
      </c>
      <c r="H86" s="223">
        <f>SUM(E86:G86)</f>
        <v>90400</v>
      </c>
      <c r="I86" s="268"/>
      <c r="J86" s="224"/>
      <c r="K86" s="224"/>
      <c r="L86" s="224"/>
    </row>
    <row r="87" spans="1:12" x14ac:dyDescent="0.25">
      <c r="A87" s="453" t="s">
        <v>32</v>
      </c>
      <c r="B87" s="454"/>
      <c r="C87" s="160" t="s">
        <v>33</v>
      </c>
      <c r="D87" s="161">
        <f>D86-D84</f>
        <v>1.0000000000000009E-2</v>
      </c>
      <c r="E87" s="162">
        <f>E86-E84</f>
        <v>47745.65545301191</v>
      </c>
      <c r="F87" s="162">
        <f>F86-F84</f>
        <v>18506.68372463364</v>
      </c>
      <c r="G87" s="162">
        <f>G86-G84</f>
        <v>10192.265069554453</v>
      </c>
      <c r="H87" s="162">
        <f>H86-H84</f>
        <v>76444.604247199997</v>
      </c>
      <c r="I87" s="269"/>
      <c r="J87" s="56" t="str">
        <f>IF('TAAC|0338-01'!OrigApprop=0,"ERROR! Enter Original Appropriation amount in DU 3.00!","Calculated "&amp;IF('TAAC|0338-01'!AdjustedTotal&gt;0,"overfunding ","underfunding ")&amp;"is "&amp;TEXT('TAAC|0338-01'!AdjustedTotal/'TAAC|0338-01'!AppropTotal,"#.0%;(#.0% );0% ;")&amp;" of Original Appropriation")</f>
        <v>Calculated overfunding is 84.6% of Original Appropriation</v>
      </c>
      <c r="K87" s="163"/>
      <c r="L87" s="164"/>
    </row>
    <row r="89" spans="1:12" x14ac:dyDescent="0.25">
      <c r="A89" s="394" t="s">
        <v>2024</v>
      </c>
      <c r="B89" s="394"/>
      <c r="C89" s="394"/>
      <c r="D89" s="394"/>
      <c r="E89" s="394"/>
      <c r="F89" s="394"/>
      <c r="G89" s="394"/>
      <c r="H89" s="394"/>
      <c r="I89" s="394"/>
      <c r="J89" s="394"/>
      <c r="K89" s="394"/>
      <c r="L89" s="394"/>
    </row>
    <row r="90" spans="1:12" ht="39" x14ac:dyDescent="0.25">
      <c r="A90" s="472" t="s">
        <v>22</v>
      </c>
      <c r="B90" s="473"/>
      <c r="C90" s="369" t="s">
        <v>23</v>
      </c>
      <c r="D90" s="49" t="s">
        <v>24</v>
      </c>
      <c r="E90" s="50" t="str">
        <f>"FY "&amp;'TAAC|0338-02'!FiscalYear-1&amp;" SALARY"</f>
        <v>FY 2022 SALARY</v>
      </c>
      <c r="F90" s="50" t="str">
        <f>"FY "&amp;'TAAC|0338-02'!FiscalYear-1&amp;" HEALTH BENEFITS"</f>
        <v>FY 2022 HEALTH BENEFITS</v>
      </c>
      <c r="G90" s="50" t="str">
        <f>"FY "&amp;'TAAC|0338-02'!FiscalYear-1&amp;" VAR BENEFITS"</f>
        <v>FY 2022 VAR BENEFITS</v>
      </c>
      <c r="H90" s="50" t="str">
        <f>"FY "&amp;'TAAC|0338-02'!FiscalYear-1&amp;" TOTAL"</f>
        <v>FY 2022 TOTAL</v>
      </c>
      <c r="I90" s="50" t="str">
        <f>"FY "&amp;'TAAC|0338-02'!FiscalYear&amp;" SALARY CHANGE"</f>
        <v>FY 2023 SALARY CHANGE</v>
      </c>
      <c r="J90" s="50" t="str">
        <f>"FY "&amp;'TAAC|0338-02'!FiscalYear&amp;" CHG HEALTH BENEFITS"</f>
        <v>FY 2023 CHG HEALTH BENEFITS</v>
      </c>
      <c r="K90" s="50" t="str">
        <f>"FY "&amp;'TAAC|0338-02'!FiscalYear&amp;" CHG VAR BENEFITS"</f>
        <v>FY 2023 CHG VAR BENEFITS</v>
      </c>
      <c r="L90" s="50" t="s">
        <v>25</v>
      </c>
    </row>
    <row r="91" spans="1:12" x14ac:dyDescent="0.25">
      <c r="A91" s="464" t="s">
        <v>26</v>
      </c>
      <c r="B91" s="465"/>
      <c r="C91" s="141"/>
      <c r="D91" s="142"/>
      <c r="E91" s="143"/>
      <c r="F91" s="143"/>
      <c r="G91" s="143"/>
      <c r="H91" s="144"/>
      <c r="I91" s="144"/>
      <c r="J91" s="145"/>
      <c r="K91" s="146"/>
      <c r="L91" s="144"/>
    </row>
    <row r="92" spans="1:12" x14ac:dyDescent="0.25">
      <c r="A92" s="443" t="s">
        <v>27</v>
      </c>
      <c r="B92" s="466"/>
      <c r="C92" s="217">
        <v>1</v>
      </c>
      <c r="D92" s="288">
        <f>[0]!TAAC033802col_INC_FTI</f>
        <v>10.6</v>
      </c>
      <c r="E92" s="218">
        <f>[0]!TAAC033802col_FTI_SALARY_PERM</f>
        <v>476774.48</v>
      </c>
      <c r="F92" s="218">
        <f>[0]!TAAC033802col_HEALTH_PERM</f>
        <v>123490</v>
      </c>
      <c r="G92" s="218">
        <f>[0]!TAAC033802col_TOT_VB_PERM</f>
        <v>101666.3007256</v>
      </c>
      <c r="H92" s="219">
        <f>SUM(E92:G92)</f>
        <v>701930.78072559997</v>
      </c>
      <c r="I92" s="219">
        <f>[0]!TAAC033802col_1_27TH_PP</f>
        <v>0</v>
      </c>
      <c r="J92" s="218">
        <f>[0]!TAAC033802col_HEALTH_PERM_CHG</f>
        <v>0</v>
      </c>
      <c r="K92" s="218">
        <f>[0]!TAAC033802col_TOT_VB_PERM_CHG</f>
        <v>-2288.5175039999999</v>
      </c>
      <c r="L92" s="218">
        <f>SUM(J92:K92)</f>
        <v>-2288.5175039999999</v>
      </c>
    </row>
    <row r="93" spans="1:12" x14ac:dyDescent="0.25">
      <c r="A93" s="443" t="s">
        <v>28</v>
      </c>
      <c r="B93" s="466"/>
      <c r="C93" s="217">
        <v>2</v>
      </c>
      <c r="D93" s="288"/>
      <c r="E93" s="218">
        <f>[0]!TAAC033802col_Group_Salary</f>
        <v>0</v>
      </c>
      <c r="F93" s="218">
        <v>0</v>
      </c>
      <c r="G93" s="218">
        <f>[0]!TAAC033802col_Group_Ben</f>
        <v>0</v>
      </c>
      <c r="H93" s="219">
        <f>SUM(E93:G93)</f>
        <v>0</v>
      </c>
      <c r="I93" s="268"/>
      <c r="J93" s="218"/>
      <c r="K93" s="218"/>
      <c r="L93" s="218"/>
    </row>
    <row r="94" spans="1:12" x14ac:dyDescent="0.25">
      <c r="A94" s="443" t="s">
        <v>29</v>
      </c>
      <c r="B94" s="444"/>
      <c r="C94" s="217">
        <v>3</v>
      </c>
      <c r="D94" s="288">
        <f>[0]!TAAC033802col_TOTAL_ELECT_PCN_FTI</f>
        <v>0</v>
      </c>
      <c r="E94" s="218">
        <f>[0]!TAAC033802col_FTI_SALARY_ELECT</f>
        <v>0</v>
      </c>
      <c r="F94" s="218">
        <f>[0]!TAAC033802col_HEALTH_ELECT</f>
        <v>0</v>
      </c>
      <c r="G94" s="218">
        <f>[0]!TAAC033802col_TOT_VB_ELECT</f>
        <v>0</v>
      </c>
      <c r="H94" s="219">
        <f>SUM(E94:G94)</f>
        <v>0</v>
      </c>
      <c r="I94" s="268"/>
      <c r="J94" s="218">
        <f>[0]!TAAC033802col_HEALTH_ELECT_CHG</f>
        <v>0</v>
      </c>
      <c r="K94" s="218">
        <f>[0]!TAAC033802col_TOT_VB_ELECT_CHG</f>
        <v>0</v>
      </c>
      <c r="L94" s="219">
        <f>SUM(J94:K94)</f>
        <v>0</v>
      </c>
    </row>
    <row r="95" spans="1:12" x14ac:dyDescent="0.25">
      <c r="A95" s="443" t="s">
        <v>30</v>
      </c>
      <c r="B95" s="466"/>
      <c r="C95" s="217"/>
      <c r="D95" s="220">
        <f>SUM(D92:D94)</f>
        <v>10.6</v>
      </c>
      <c r="E95" s="221">
        <f>SUM(E92:E94)</f>
        <v>476774.48</v>
      </c>
      <c r="F95" s="221">
        <f>SUM(F92:F94)</f>
        <v>123490</v>
      </c>
      <c r="G95" s="221">
        <f>SUM(G92:G94)</f>
        <v>101666.3007256</v>
      </c>
      <c r="H95" s="219">
        <f>SUM(E95:G95)</f>
        <v>701930.78072559997</v>
      </c>
      <c r="I95" s="268"/>
      <c r="J95" s="219">
        <f>SUM(J92:J94)</f>
        <v>0</v>
      </c>
      <c r="K95" s="219">
        <f>SUM(K92:K94)</f>
        <v>-2288.5175039999999</v>
      </c>
      <c r="L95" s="219">
        <f>SUM(L92:L94)</f>
        <v>-2288.5175039999999</v>
      </c>
    </row>
    <row r="96" spans="1:12" x14ac:dyDescent="0.25">
      <c r="A96" s="364"/>
      <c r="B96" s="370"/>
      <c r="C96" s="217"/>
      <c r="D96" s="220"/>
      <c r="E96" s="219"/>
      <c r="F96" s="219"/>
      <c r="G96" s="219"/>
      <c r="H96" s="219"/>
      <c r="I96" s="268"/>
      <c r="J96" s="219"/>
      <c r="K96" s="222"/>
      <c r="L96" s="222"/>
    </row>
    <row r="97" spans="1:12" x14ac:dyDescent="0.25">
      <c r="A97" s="157" t="str">
        <f>"FY "&amp;'TAAC|0338-02'!FiscalYear-1</f>
        <v>FY 2022</v>
      </c>
      <c r="B97" s="158" t="s">
        <v>31</v>
      </c>
      <c r="C97" s="354">
        <v>621500</v>
      </c>
      <c r="D97" s="55">
        <v>10.85</v>
      </c>
      <c r="E97" s="223">
        <f>IF('TAAC|0338-02'!OrigApprop=0,0,(E95/H95)*'TAAC|0338-02'!OrigApprop)</f>
        <v>422143.24753459718</v>
      </c>
      <c r="F97" s="223">
        <f>IF('TAAC|0338-02'!OrigApprop=0,0,(F95/H95)*'TAAC|0338-02'!OrigApprop)</f>
        <v>109339.89092295252</v>
      </c>
      <c r="G97" s="223">
        <f>IF(E97=0,0,(G95/H95)*'TAAC|0338-02'!OrigApprop)</f>
        <v>90016.861542450337</v>
      </c>
      <c r="H97" s="223">
        <f>SUM(E97:G97)</f>
        <v>621500.00000000012</v>
      </c>
      <c r="I97" s="268"/>
      <c r="J97" s="224"/>
      <c r="K97" s="224"/>
      <c r="L97" s="224"/>
    </row>
    <row r="98" spans="1:12" x14ac:dyDescent="0.25">
      <c r="A98" s="453" t="s">
        <v>32</v>
      </c>
      <c r="B98" s="454"/>
      <c r="C98" s="160" t="s">
        <v>33</v>
      </c>
      <c r="D98" s="161">
        <f>D97-D95</f>
        <v>0.25</v>
      </c>
      <c r="E98" s="162">
        <f>E97-E95</f>
        <v>-54631.232465402805</v>
      </c>
      <c r="F98" s="162">
        <f>F97-F95</f>
        <v>-14150.109077047484</v>
      </c>
      <c r="G98" s="162">
        <f>G97-G95</f>
        <v>-11649.439183149661</v>
      </c>
      <c r="H98" s="162">
        <f>H97-H95</f>
        <v>-80430.780725599849</v>
      </c>
      <c r="I98" s="269"/>
      <c r="J98" s="56" t="str">
        <f>IF('TAAC|0338-02'!OrigApprop=0,"ERROR! Enter Original Appropriation amount in DU 3.00!","Calculated "&amp;IF('TAAC|0338-02'!AdjustedTotal&gt;0,"overfunding ","underfunding ")&amp;"is "&amp;TEXT('TAAC|0338-02'!AdjustedTotal/'TAAC|0338-02'!AppropTotal,"#.0%;(#.0% );0% ;")&amp;" of Original Appropriation")</f>
        <v>Calculated underfunding is (12.9% ) of Original Appropriation</v>
      </c>
      <c r="K98" s="163"/>
      <c r="L98" s="164"/>
    </row>
    <row r="100" spans="1:12" x14ac:dyDescent="0.25">
      <c r="A100" s="394" t="s">
        <v>2028</v>
      </c>
      <c r="B100" s="394"/>
      <c r="C100" s="394"/>
      <c r="D100" s="394"/>
      <c r="E100" s="394"/>
      <c r="F100" s="394"/>
      <c r="G100" s="394"/>
      <c r="H100" s="394"/>
      <c r="I100" s="394"/>
      <c r="J100" s="394"/>
      <c r="K100" s="394"/>
      <c r="L100" s="394"/>
    </row>
    <row r="101" spans="1:12" ht="39" x14ac:dyDescent="0.25">
      <c r="A101" s="472" t="s">
        <v>22</v>
      </c>
      <c r="B101" s="473"/>
      <c r="C101" s="369" t="s">
        <v>23</v>
      </c>
      <c r="D101" s="49" t="s">
        <v>24</v>
      </c>
      <c r="E101" s="50" t="str">
        <f>"FY "&amp;'TAAD|0001-00'!FiscalYear-1&amp;" SALARY"</f>
        <v>FY 2022 SALARY</v>
      </c>
      <c r="F101" s="50" t="str">
        <f>"FY "&amp;'TAAD|0001-00'!FiscalYear-1&amp;" HEALTH BENEFITS"</f>
        <v>FY 2022 HEALTH BENEFITS</v>
      </c>
      <c r="G101" s="50" t="str">
        <f>"FY "&amp;'TAAD|0001-00'!FiscalYear-1&amp;" VAR BENEFITS"</f>
        <v>FY 2022 VAR BENEFITS</v>
      </c>
      <c r="H101" s="50" t="str">
        <f>"FY "&amp;'TAAD|0001-00'!FiscalYear-1&amp;" TOTAL"</f>
        <v>FY 2022 TOTAL</v>
      </c>
      <c r="I101" s="50" t="str">
        <f>"FY "&amp;'TAAD|0001-00'!FiscalYear&amp;" SALARY CHANGE"</f>
        <v>FY 2023 SALARY CHANGE</v>
      </c>
      <c r="J101" s="50" t="str">
        <f>"FY "&amp;'TAAD|0001-00'!FiscalYear&amp;" CHG HEALTH BENEFITS"</f>
        <v>FY 2023 CHG HEALTH BENEFITS</v>
      </c>
      <c r="K101" s="50" t="str">
        <f>"FY "&amp;'TAAD|0001-00'!FiscalYear&amp;" CHG VAR BENEFITS"</f>
        <v>FY 2023 CHG VAR BENEFITS</v>
      </c>
      <c r="L101" s="50" t="s">
        <v>25</v>
      </c>
    </row>
    <row r="102" spans="1:12" x14ac:dyDescent="0.25">
      <c r="A102" s="464" t="s">
        <v>26</v>
      </c>
      <c r="B102" s="465"/>
      <c r="C102" s="141"/>
      <c r="D102" s="142"/>
      <c r="E102" s="143"/>
      <c r="F102" s="143"/>
      <c r="G102" s="143"/>
      <c r="H102" s="144"/>
      <c r="I102" s="144"/>
      <c r="J102" s="145"/>
      <c r="K102" s="146"/>
      <c r="L102" s="144"/>
    </row>
    <row r="103" spans="1:12" x14ac:dyDescent="0.25">
      <c r="A103" s="443" t="s">
        <v>27</v>
      </c>
      <c r="B103" s="466"/>
      <c r="C103" s="217">
        <v>1</v>
      </c>
      <c r="D103" s="288">
        <f>[0]!TAAD000100col_INC_FTI</f>
        <v>39</v>
      </c>
      <c r="E103" s="218">
        <f>[0]!TAAD000100col_FTI_SALARY_PERM</f>
        <v>2557755.2000000002</v>
      </c>
      <c r="F103" s="218">
        <f>[0]!TAAD000100col_HEALTH_PERM</f>
        <v>454350</v>
      </c>
      <c r="G103" s="218">
        <f>[0]!TAAD000100col_TOT_VB_PERM</f>
        <v>545697.15553599992</v>
      </c>
      <c r="H103" s="219">
        <f>SUM(E103:G103)</f>
        <v>3557802.3555359999</v>
      </c>
      <c r="I103" s="219">
        <f>[0]!TAAD000100col_1_27TH_PP</f>
        <v>0</v>
      </c>
      <c r="J103" s="218">
        <f>[0]!TAAD000100col_HEALTH_PERM_CHG</f>
        <v>0</v>
      </c>
      <c r="K103" s="218">
        <f>[0]!TAAD000100col_TOT_VB_PERM_CHG</f>
        <v>-12277.224959999996</v>
      </c>
      <c r="L103" s="218">
        <f>SUM(J103:K103)</f>
        <v>-12277.224959999996</v>
      </c>
    </row>
    <row r="104" spans="1:12" x14ac:dyDescent="0.25">
      <c r="A104" s="443" t="s">
        <v>28</v>
      </c>
      <c r="B104" s="466"/>
      <c r="C104" s="217">
        <v>2</v>
      </c>
      <c r="D104" s="288"/>
      <c r="E104" s="218">
        <f>[0]!TAAD000100col_Group_Salary</f>
        <v>0</v>
      </c>
      <c r="F104" s="218">
        <v>0</v>
      </c>
      <c r="G104" s="218">
        <f>[0]!TAAD000100col_Group_Ben</f>
        <v>0</v>
      </c>
      <c r="H104" s="219">
        <f>SUM(E104:G104)</f>
        <v>0</v>
      </c>
      <c r="I104" s="268"/>
      <c r="J104" s="218"/>
      <c r="K104" s="218"/>
      <c r="L104" s="218"/>
    </row>
    <row r="105" spans="1:12" x14ac:dyDescent="0.25">
      <c r="A105" s="443" t="s">
        <v>29</v>
      </c>
      <c r="B105" s="444"/>
      <c r="C105" s="217">
        <v>3</v>
      </c>
      <c r="D105" s="288">
        <f>[0]!TAAD000100col_TOTAL_ELECT_PCN_FTI</f>
        <v>0</v>
      </c>
      <c r="E105" s="218">
        <f>[0]!TAAD000100col_FTI_SALARY_ELECT</f>
        <v>0</v>
      </c>
      <c r="F105" s="218">
        <f>[0]!TAAD000100col_HEALTH_ELECT</f>
        <v>0</v>
      </c>
      <c r="G105" s="218">
        <f>[0]!TAAD000100col_TOT_VB_ELECT</f>
        <v>0</v>
      </c>
      <c r="H105" s="219">
        <f>SUM(E105:G105)</f>
        <v>0</v>
      </c>
      <c r="I105" s="268"/>
      <c r="J105" s="218">
        <f>[0]!TAAD000100col_HEALTH_ELECT_CHG</f>
        <v>0</v>
      </c>
      <c r="K105" s="218">
        <f>[0]!TAAD000100col_TOT_VB_ELECT_CHG</f>
        <v>0</v>
      </c>
      <c r="L105" s="219">
        <f>SUM(J105:K105)</f>
        <v>0</v>
      </c>
    </row>
    <row r="106" spans="1:12" x14ac:dyDescent="0.25">
      <c r="A106" s="443" t="s">
        <v>30</v>
      </c>
      <c r="B106" s="466"/>
      <c r="C106" s="217"/>
      <c r="D106" s="220">
        <f>SUM(D103:D105)</f>
        <v>39</v>
      </c>
      <c r="E106" s="221">
        <f>SUM(E103:E105)</f>
        <v>2557755.2000000002</v>
      </c>
      <c r="F106" s="221">
        <f>SUM(F103:F105)</f>
        <v>454350</v>
      </c>
      <c r="G106" s="221">
        <f>SUM(G103:G105)</f>
        <v>545697.15553599992</v>
      </c>
      <c r="H106" s="219">
        <f>SUM(E106:G106)</f>
        <v>3557802.3555359999</v>
      </c>
      <c r="I106" s="268"/>
      <c r="J106" s="219">
        <f>SUM(J103:J105)</f>
        <v>0</v>
      </c>
      <c r="K106" s="219">
        <f>SUM(K103:K105)</f>
        <v>-12277.224959999996</v>
      </c>
      <c r="L106" s="219">
        <f>SUM(L103:L105)</f>
        <v>-12277.224959999996</v>
      </c>
    </row>
    <row r="107" spans="1:12" x14ac:dyDescent="0.25">
      <c r="A107" s="364"/>
      <c r="B107" s="370"/>
      <c r="C107" s="217"/>
      <c r="D107" s="220"/>
      <c r="E107" s="219"/>
      <c r="F107" s="219"/>
      <c r="G107" s="219"/>
      <c r="H107" s="219"/>
      <c r="I107" s="268"/>
      <c r="J107" s="219"/>
      <c r="K107" s="222"/>
      <c r="L107" s="222"/>
    </row>
    <row r="108" spans="1:12" x14ac:dyDescent="0.25">
      <c r="A108" s="157" t="str">
        <f>"FY "&amp;'TAAD|0001-00'!FiscalYear-1</f>
        <v>FY 2022</v>
      </c>
      <c r="B108" s="158" t="s">
        <v>31</v>
      </c>
      <c r="C108" s="354">
        <v>3540700</v>
      </c>
      <c r="D108" s="55">
        <v>40</v>
      </c>
      <c r="E108" s="223">
        <f>IF('TAAD|0001-00'!OrigApprop=0,0,(E106/H106)*'TAAD|0001-00'!OrigApprop)</f>
        <v>2545460.0710318643</v>
      </c>
      <c r="F108" s="223">
        <f>IF('TAAD|0001-00'!OrigApprop=0,0,(F106/H106)*'TAAD|0001-00'!OrigApprop)</f>
        <v>452165.93959942978</v>
      </c>
      <c r="G108" s="223">
        <f>IF(E108=0,0,(G106/H106)*'TAAD|0001-00'!OrigApprop)</f>
        <v>543073.98936870613</v>
      </c>
      <c r="H108" s="223">
        <f>SUM(E108:G108)</f>
        <v>3540700</v>
      </c>
      <c r="I108" s="268"/>
      <c r="J108" s="224"/>
      <c r="K108" s="224"/>
      <c r="L108" s="224"/>
    </row>
    <row r="109" spans="1:12" x14ac:dyDescent="0.25">
      <c r="A109" s="453" t="s">
        <v>32</v>
      </c>
      <c r="B109" s="454"/>
      <c r="C109" s="160" t="s">
        <v>33</v>
      </c>
      <c r="D109" s="161">
        <f>D108-D106</f>
        <v>1</v>
      </c>
      <c r="E109" s="162">
        <f>E108-E106</f>
        <v>-12295.128968135919</v>
      </c>
      <c r="F109" s="162">
        <f>F108-F106</f>
        <v>-2184.0604005702189</v>
      </c>
      <c r="G109" s="162">
        <f>G108-G106</f>
        <v>-2623.1661672937917</v>
      </c>
      <c r="H109" s="162">
        <f>H108-H106</f>
        <v>-17102.355535999872</v>
      </c>
      <c r="I109" s="269"/>
      <c r="J109" s="56" t="str">
        <f>IF('TAAD|0001-00'!OrigApprop=0,"ERROR! Enter Original Appropriation amount in DU 3.00!","Calculated "&amp;IF('TAAD|0001-00'!AdjustedTotal&gt;0,"overfunding ","underfunding ")&amp;"is "&amp;TEXT('TAAD|0001-00'!AdjustedTotal/'TAAD|0001-00'!AppropTotal,"#.0%;(#.0% );0% ;")&amp;" of Original Appropriation")</f>
        <v>Calculated underfunding is (.5% ) of Original Appropriation</v>
      </c>
      <c r="K109" s="163"/>
      <c r="L109" s="164"/>
    </row>
    <row r="111" spans="1:12" x14ac:dyDescent="0.25">
      <c r="A111" s="394" t="s">
        <v>2034</v>
      </c>
      <c r="B111" s="394"/>
      <c r="C111" s="394"/>
      <c r="D111" s="394"/>
      <c r="E111" s="394"/>
      <c r="F111" s="394"/>
      <c r="G111" s="394"/>
      <c r="H111" s="394"/>
      <c r="I111" s="394"/>
      <c r="J111" s="394"/>
      <c r="K111" s="394"/>
      <c r="L111" s="394"/>
    </row>
    <row r="112" spans="1:12" ht="39" x14ac:dyDescent="0.25">
      <c r="A112" s="472" t="s">
        <v>22</v>
      </c>
      <c r="B112" s="473"/>
      <c r="C112" s="369" t="s">
        <v>23</v>
      </c>
      <c r="D112" s="49" t="s">
        <v>24</v>
      </c>
      <c r="E112" s="50" t="str">
        <f>"FY "&amp;'TAAF|0276-00'!FiscalYear-1&amp;" SALARY"</f>
        <v>FY 2022 SALARY</v>
      </c>
      <c r="F112" s="50" t="str">
        <f>"FY "&amp;'TAAF|0276-00'!FiscalYear-1&amp;" HEALTH BENEFITS"</f>
        <v>FY 2022 HEALTH BENEFITS</v>
      </c>
      <c r="G112" s="50" t="str">
        <f>"FY "&amp;'TAAF|0276-00'!FiscalYear-1&amp;" VAR BENEFITS"</f>
        <v>FY 2022 VAR BENEFITS</v>
      </c>
      <c r="H112" s="50" t="str">
        <f>"FY "&amp;'TAAF|0276-00'!FiscalYear-1&amp;" TOTAL"</f>
        <v>FY 2022 TOTAL</v>
      </c>
      <c r="I112" s="50" t="str">
        <f>"FY "&amp;'TAAF|0276-00'!FiscalYear&amp;" SALARY CHANGE"</f>
        <v>FY 2023 SALARY CHANGE</v>
      </c>
      <c r="J112" s="50" t="str">
        <f>"FY "&amp;'TAAF|0276-00'!FiscalYear&amp;" CHG HEALTH BENEFITS"</f>
        <v>FY 2023 CHG HEALTH BENEFITS</v>
      </c>
      <c r="K112" s="50" t="str">
        <f>"FY "&amp;'TAAF|0276-00'!FiscalYear&amp;" CHG VAR BENEFITS"</f>
        <v>FY 2023 CHG VAR BENEFITS</v>
      </c>
      <c r="L112" s="50" t="s">
        <v>25</v>
      </c>
    </row>
    <row r="113" spans="1:12" x14ac:dyDescent="0.25">
      <c r="A113" s="464" t="s">
        <v>26</v>
      </c>
      <c r="B113" s="465"/>
      <c r="C113" s="141"/>
      <c r="D113" s="142"/>
      <c r="E113" s="143"/>
      <c r="F113" s="143"/>
      <c r="G113" s="143"/>
      <c r="H113" s="144"/>
      <c r="I113" s="144"/>
      <c r="J113" s="145"/>
      <c r="K113" s="146"/>
      <c r="L113" s="144"/>
    </row>
    <row r="114" spans="1:12" x14ac:dyDescent="0.25">
      <c r="A114" s="443" t="s">
        <v>27</v>
      </c>
      <c r="B114" s="466"/>
      <c r="C114" s="217">
        <v>1</v>
      </c>
      <c r="D114" s="288">
        <f>[0]!TAAF027600col_INC_FTI</f>
        <v>17.049999999999997</v>
      </c>
      <c r="E114" s="218">
        <f>[0]!TAAF027600col_FTI_SALARY_PERM</f>
        <v>1083754.8800000001</v>
      </c>
      <c r="F114" s="218">
        <f>[0]!TAAF027600col_HEALTH_PERM</f>
        <v>198632.5</v>
      </c>
      <c r="G114" s="218">
        <f>[0]!TAAF027600col_TOT_VB_PERM</f>
        <v>231349.15423360001</v>
      </c>
      <c r="H114" s="219">
        <f>SUM(E114:G114)</f>
        <v>1513736.5342336001</v>
      </c>
      <c r="I114" s="219">
        <f>[0]!TAAF027600col_1_27TH_PP</f>
        <v>0</v>
      </c>
      <c r="J114" s="218">
        <f>[0]!TAAF027600col_HEALTH_PERM_CHG</f>
        <v>0</v>
      </c>
      <c r="K114" s="218">
        <f>[0]!TAAF027600col_TOT_VB_PERM_CHG</f>
        <v>-5202.0234239999991</v>
      </c>
      <c r="L114" s="218">
        <f>SUM(J114:K114)</f>
        <v>-5202.0234239999991</v>
      </c>
    </row>
    <row r="115" spans="1:12" x14ac:dyDescent="0.25">
      <c r="A115" s="443" t="s">
        <v>28</v>
      </c>
      <c r="B115" s="466"/>
      <c r="C115" s="217">
        <v>2</v>
      </c>
      <c r="D115" s="288"/>
      <c r="E115" s="218">
        <f>[0]!TAAF027600col_Group_Salary</f>
        <v>54975.97</v>
      </c>
      <c r="F115" s="218">
        <v>0</v>
      </c>
      <c r="G115" s="218">
        <f>[0]!TAAF027600col_Group_Ben</f>
        <v>4295.71</v>
      </c>
      <c r="H115" s="219">
        <f>SUM(E115:G115)</f>
        <v>59271.68</v>
      </c>
      <c r="I115" s="268"/>
      <c r="J115" s="218"/>
      <c r="K115" s="218"/>
      <c r="L115" s="218"/>
    </row>
    <row r="116" spans="1:12" x14ac:dyDescent="0.25">
      <c r="A116" s="443" t="s">
        <v>29</v>
      </c>
      <c r="B116" s="444"/>
      <c r="C116" s="217">
        <v>3</v>
      </c>
      <c r="D116" s="288">
        <f>[0]!TAAF027600col_TOTAL_ELECT_PCN_FTI</f>
        <v>0</v>
      </c>
      <c r="E116" s="218">
        <f>[0]!TAAF027600col_FTI_SALARY_ELECT</f>
        <v>0</v>
      </c>
      <c r="F116" s="218">
        <f>[0]!TAAF027600col_HEALTH_ELECT</f>
        <v>0</v>
      </c>
      <c r="G116" s="218">
        <f>[0]!TAAF027600col_TOT_VB_ELECT</f>
        <v>0</v>
      </c>
      <c r="H116" s="219">
        <f>SUM(E116:G116)</f>
        <v>0</v>
      </c>
      <c r="I116" s="268"/>
      <c r="J116" s="218">
        <f>[0]!TAAF027600col_HEALTH_ELECT_CHG</f>
        <v>0</v>
      </c>
      <c r="K116" s="218">
        <f>[0]!TAAF027600col_TOT_VB_ELECT_CHG</f>
        <v>0</v>
      </c>
      <c r="L116" s="219">
        <f>SUM(J116:K116)</f>
        <v>0</v>
      </c>
    </row>
    <row r="117" spans="1:12" x14ac:dyDescent="0.25">
      <c r="A117" s="443" t="s">
        <v>30</v>
      </c>
      <c r="B117" s="466"/>
      <c r="C117" s="217"/>
      <c r="D117" s="220">
        <f>SUM(D114:D116)</f>
        <v>17.049999999999997</v>
      </c>
      <c r="E117" s="221">
        <f>SUM(E114:E116)</f>
        <v>1138730.8500000001</v>
      </c>
      <c r="F117" s="221">
        <f>SUM(F114:F116)</f>
        <v>198632.5</v>
      </c>
      <c r="G117" s="221">
        <f>SUM(G114:G116)</f>
        <v>235644.8642336</v>
      </c>
      <c r="H117" s="219">
        <f>SUM(E117:G117)</f>
        <v>1573008.2142336001</v>
      </c>
      <c r="I117" s="268"/>
      <c r="J117" s="219">
        <f>SUM(J114:J116)</f>
        <v>0</v>
      </c>
      <c r="K117" s="219">
        <f>SUM(K114:K116)</f>
        <v>-5202.0234239999991</v>
      </c>
      <c r="L117" s="219">
        <f>SUM(L114:L116)</f>
        <v>-5202.0234239999991</v>
      </c>
    </row>
    <row r="118" spans="1:12" x14ac:dyDescent="0.25">
      <c r="A118" s="364"/>
      <c r="B118" s="370"/>
      <c r="C118" s="217"/>
      <c r="D118" s="220"/>
      <c r="E118" s="219"/>
      <c r="F118" s="219"/>
      <c r="G118" s="219"/>
      <c r="H118" s="219"/>
      <c r="I118" s="268"/>
      <c r="J118" s="219"/>
      <c r="K118" s="222"/>
      <c r="L118" s="222"/>
    </row>
    <row r="119" spans="1:12" x14ac:dyDescent="0.25">
      <c r="A119" s="157" t="str">
        <f>"FY "&amp;'TAAF|0276-00'!FiscalYear-1</f>
        <v>FY 2022</v>
      </c>
      <c r="B119" s="158" t="s">
        <v>31</v>
      </c>
      <c r="C119" s="354">
        <v>1715300</v>
      </c>
      <c r="D119" s="55">
        <v>21.05</v>
      </c>
      <c r="E119" s="223">
        <f>IF('TAAF|0276-00'!OrigApprop=0,0,(E117/H117)*'TAAF|0276-00'!OrigApprop)</f>
        <v>1241738.6058957542</v>
      </c>
      <c r="F119" s="223">
        <f>IF('TAAF|0276-00'!OrigApprop=0,0,(F117/H117)*'TAAF|0276-00'!OrigApprop)</f>
        <v>216600.47555187281</v>
      </c>
      <c r="G119" s="223">
        <f>IF(E119=0,0,(G117/H117)*'TAAF|0276-00'!OrigApprop)</f>
        <v>256960.91855237316</v>
      </c>
      <c r="H119" s="223">
        <f>SUM(E119:G119)</f>
        <v>1715300</v>
      </c>
      <c r="I119" s="268"/>
      <c r="J119" s="224"/>
      <c r="K119" s="224"/>
      <c r="L119" s="224"/>
    </row>
    <row r="120" spans="1:12" x14ac:dyDescent="0.25">
      <c r="A120" s="453" t="s">
        <v>32</v>
      </c>
      <c r="B120" s="454"/>
      <c r="C120" s="160" t="s">
        <v>33</v>
      </c>
      <c r="D120" s="161">
        <f>D119-D117</f>
        <v>4.0000000000000036</v>
      </c>
      <c r="E120" s="162">
        <f>E119-E117</f>
        <v>103007.75589575409</v>
      </c>
      <c r="F120" s="162">
        <f>F119-F117</f>
        <v>17967.975551872805</v>
      </c>
      <c r="G120" s="162">
        <f>G119-G117</f>
        <v>21316.054318773153</v>
      </c>
      <c r="H120" s="162">
        <f>H119-H117</f>
        <v>142291.78576639993</v>
      </c>
      <c r="I120" s="269"/>
      <c r="J120" s="56" t="str">
        <f>IF('TAAF|0276-00'!OrigApprop=0,"ERROR! Enter Original Appropriation amount in DU 3.00!","Calculated "&amp;IF('TAAF|0276-00'!AdjustedTotal&gt;0,"overfunding ","underfunding ")&amp;"is "&amp;TEXT('TAAF|0276-00'!AdjustedTotal/'TAAF|0276-00'!AppropTotal,"#.0%;(#.0% );0% ;")&amp;" of Original Appropriation")</f>
        <v>Calculated overfunding is 8.3% of Original Appropriation</v>
      </c>
      <c r="K120" s="163"/>
      <c r="L120" s="164"/>
    </row>
    <row r="122" spans="1:12" x14ac:dyDescent="0.25">
      <c r="A122" s="394" t="s">
        <v>2037</v>
      </c>
      <c r="B122" s="394"/>
      <c r="C122" s="394"/>
      <c r="D122" s="394"/>
      <c r="E122" s="394"/>
      <c r="F122" s="394"/>
      <c r="G122" s="394"/>
      <c r="H122" s="394"/>
      <c r="I122" s="394"/>
      <c r="J122" s="394"/>
      <c r="K122" s="394"/>
      <c r="L122" s="394"/>
    </row>
    <row r="123" spans="1:12" ht="39" x14ac:dyDescent="0.25">
      <c r="A123" s="472" t="s">
        <v>22</v>
      </c>
      <c r="B123" s="473"/>
      <c r="C123" s="369" t="s">
        <v>23</v>
      </c>
      <c r="D123" s="49" t="s">
        <v>24</v>
      </c>
      <c r="E123" s="50" t="str">
        <f>"FY "&amp;'TAAI|0276-00'!FiscalYear-1&amp;" SALARY"</f>
        <v>FY 2022 SALARY</v>
      </c>
      <c r="F123" s="50" t="str">
        <f>"FY "&amp;'TAAI|0276-00'!FiscalYear-1&amp;" HEALTH BENEFITS"</f>
        <v>FY 2022 HEALTH BENEFITS</v>
      </c>
      <c r="G123" s="50" t="str">
        <f>"FY "&amp;'TAAI|0276-00'!FiscalYear-1&amp;" VAR BENEFITS"</f>
        <v>FY 2022 VAR BENEFITS</v>
      </c>
      <c r="H123" s="50" t="str">
        <f>"FY "&amp;'TAAI|0276-00'!FiscalYear-1&amp;" TOTAL"</f>
        <v>FY 2022 TOTAL</v>
      </c>
      <c r="I123" s="50" t="str">
        <f>"FY "&amp;'TAAI|0276-00'!FiscalYear&amp;" SALARY CHANGE"</f>
        <v>FY 2023 SALARY CHANGE</v>
      </c>
      <c r="J123" s="50" t="str">
        <f>"FY "&amp;'TAAI|0276-00'!FiscalYear&amp;" CHG HEALTH BENEFITS"</f>
        <v>FY 2023 CHG HEALTH BENEFITS</v>
      </c>
      <c r="K123" s="50" t="str">
        <f>"FY "&amp;'TAAI|0276-00'!FiscalYear&amp;" CHG VAR BENEFITS"</f>
        <v>FY 2023 CHG VAR BENEFITS</v>
      </c>
      <c r="L123" s="50" t="s">
        <v>25</v>
      </c>
    </row>
    <row r="124" spans="1:12" x14ac:dyDescent="0.25">
      <c r="A124" s="464" t="s">
        <v>26</v>
      </c>
      <c r="B124" s="465"/>
      <c r="C124" s="141"/>
      <c r="D124" s="142"/>
      <c r="E124" s="143"/>
      <c r="F124" s="143"/>
      <c r="G124" s="143"/>
      <c r="H124" s="144"/>
      <c r="I124" s="144"/>
      <c r="J124" s="145"/>
      <c r="K124" s="146"/>
      <c r="L124" s="144"/>
    </row>
    <row r="125" spans="1:12" x14ac:dyDescent="0.25">
      <c r="A125" s="443" t="s">
        <v>27</v>
      </c>
      <c r="B125" s="466"/>
      <c r="C125" s="217">
        <v>1</v>
      </c>
      <c r="D125" s="288">
        <f>[0]!TAAI027600col_INC_FTI</f>
        <v>0.5</v>
      </c>
      <c r="E125" s="218">
        <f>[0]!TAAI027600col_FTI_SALARY_PERM</f>
        <v>40466.400000000001</v>
      </c>
      <c r="F125" s="218">
        <f>[0]!TAAI027600col_HEALTH_PERM</f>
        <v>5825</v>
      </c>
      <c r="G125" s="218">
        <f>[0]!TAAI027600col_TOT_VB_PERM</f>
        <v>8638.3624080000009</v>
      </c>
      <c r="H125" s="219">
        <f>SUM(E125:G125)</f>
        <v>54929.762408000002</v>
      </c>
      <c r="I125" s="219">
        <f>[0]!TAAI027600col_1_27TH_PP</f>
        <v>0</v>
      </c>
      <c r="J125" s="218">
        <f>[0]!TAAI027600col_HEALTH_PERM_CHG</f>
        <v>0</v>
      </c>
      <c r="K125" s="218">
        <f>[0]!TAAI027600col_TOT_VB_PERM_CHG</f>
        <v>-194.23872</v>
      </c>
      <c r="L125" s="218">
        <f>SUM(J125:K125)</f>
        <v>-194.23872</v>
      </c>
    </row>
    <row r="126" spans="1:12" x14ac:dyDescent="0.25">
      <c r="A126" s="443" t="s">
        <v>28</v>
      </c>
      <c r="B126" s="466"/>
      <c r="C126" s="217">
        <v>2</v>
      </c>
      <c r="D126" s="288"/>
      <c r="E126" s="218">
        <f>[0]!TAAI027600col_Group_Salary</f>
        <v>0</v>
      </c>
      <c r="F126" s="218">
        <v>0</v>
      </c>
      <c r="G126" s="218">
        <f>[0]!TAAI027600col_Group_Ben</f>
        <v>0</v>
      </c>
      <c r="H126" s="219">
        <f>SUM(E126:G126)</f>
        <v>0</v>
      </c>
      <c r="I126" s="268"/>
      <c r="J126" s="218"/>
      <c r="K126" s="218"/>
      <c r="L126" s="218"/>
    </row>
    <row r="127" spans="1:12" x14ac:dyDescent="0.25">
      <c r="A127" s="443" t="s">
        <v>29</v>
      </c>
      <c r="B127" s="444"/>
      <c r="C127" s="217">
        <v>3</v>
      </c>
      <c r="D127" s="288">
        <f>[0]!TAAI027600col_TOTAL_ELECT_PCN_FTI</f>
        <v>0</v>
      </c>
      <c r="E127" s="218">
        <f>[0]!TAAI027600col_FTI_SALARY_ELECT</f>
        <v>0</v>
      </c>
      <c r="F127" s="218">
        <f>[0]!TAAI027600col_HEALTH_ELECT</f>
        <v>0</v>
      </c>
      <c r="G127" s="218">
        <f>[0]!TAAI027600col_TOT_VB_ELECT</f>
        <v>0</v>
      </c>
      <c r="H127" s="219">
        <f>SUM(E127:G127)</f>
        <v>0</v>
      </c>
      <c r="I127" s="268"/>
      <c r="J127" s="218">
        <f>[0]!TAAI027600col_HEALTH_ELECT_CHG</f>
        <v>0</v>
      </c>
      <c r="K127" s="218">
        <f>[0]!TAAI027600col_TOT_VB_ELECT_CHG</f>
        <v>0</v>
      </c>
      <c r="L127" s="219">
        <f>SUM(J127:K127)</f>
        <v>0</v>
      </c>
    </row>
    <row r="128" spans="1:12" x14ac:dyDescent="0.25">
      <c r="A128" s="443" t="s">
        <v>30</v>
      </c>
      <c r="B128" s="466"/>
      <c r="C128" s="217"/>
      <c r="D128" s="220">
        <f>SUM(D125:D127)</f>
        <v>0.5</v>
      </c>
      <c r="E128" s="221">
        <f>SUM(E125:E127)</f>
        <v>40466.400000000001</v>
      </c>
      <c r="F128" s="221">
        <f>SUM(F125:F127)</f>
        <v>5825</v>
      </c>
      <c r="G128" s="221">
        <f>SUM(G125:G127)</f>
        <v>8638.3624080000009</v>
      </c>
      <c r="H128" s="219">
        <f>SUM(E128:G128)</f>
        <v>54929.762408000002</v>
      </c>
      <c r="I128" s="268"/>
      <c r="J128" s="219">
        <f>SUM(J125:J127)</f>
        <v>0</v>
      </c>
      <c r="K128" s="219">
        <f>SUM(K125:K127)</f>
        <v>-194.23872</v>
      </c>
      <c r="L128" s="219">
        <f>SUM(L125:L127)</f>
        <v>-194.23872</v>
      </c>
    </row>
    <row r="129" spans="1:12" x14ac:dyDescent="0.25">
      <c r="A129" s="364"/>
      <c r="B129" s="370"/>
      <c r="C129" s="217"/>
      <c r="D129" s="220"/>
      <c r="E129" s="219"/>
      <c r="F129" s="219"/>
      <c r="G129" s="219"/>
      <c r="H129" s="219"/>
      <c r="I129" s="268"/>
      <c r="J129" s="219"/>
      <c r="K129" s="222"/>
      <c r="L129" s="222"/>
    </row>
    <row r="130" spans="1:12" x14ac:dyDescent="0.25">
      <c r="A130" s="157" t="str">
        <f>"FY "&amp;'TAAI|0276-00'!FiscalYear-1</f>
        <v>FY 2022</v>
      </c>
      <c r="B130" s="158" t="s">
        <v>31</v>
      </c>
      <c r="C130" s="354">
        <v>121100</v>
      </c>
      <c r="D130" s="55">
        <v>1.2</v>
      </c>
      <c r="E130" s="223">
        <f>IF('TAAI|0276-00'!OrigApprop=0,0,(E128/H128)*'TAAI|0276-00'!OrigApprop)</f>
        <v>89213.585225453149</v>
      </c>
      <c r="F130" s="223">
        <f>IF('TAAI|0276-00'!OrigApprop=0,0,(F128/H128)*'TAAI|0276-00'!OrigApprop)</f>
        <v>12841.990736469379</v>
      </c>
      <c r="G130" s="223">
        <f>IF(E130=0,0,(G128/H128)*'TAAI|0276-00'!OrigApprop)</f>
        <v>19044.424038077483</v>
      </c>
      <c r="H130" s="223">
        <f>SUM(E130:G130)</f>
        <v>121100.00000000001</v>
      </c>
      <c r="I130" s="268"/>
      <c r="J130" s="224"/>
      <c r="K130" s="224"/>
      <c r="L130" s="224"/>
    </row>
    <row r="131" spans="1:12" x14ac:dyDescent="0.25">
      <c r="A131" s="453" t="s">
        <v>32</v>
      </c>
      <c r="B131" s="454"/>
      <c r="C131" s="160" t="s">
        <v>33</v>
      </c>
      <c r="D131" s="161">
        <f>D130-D128</f>
        <v>0.7</v>
      </c>
      <c r="E131" s="162">
        <f>E130-E128</f>
        <v>48747.185225453148</v>
      </c>
      <c r="F131" s="162">
        <f>F130-F128</f>
        <v>7016.990736469379</v>
      </c>
      <c r="G131" s="162">
        <f>G130-G128</f>
        <v>10406.061630077482</v>
      </c>
      <c r="H131" s="162">
        <f>H130-H128</f>
        <v>66170.23759200002</v>
      </c>
      <c r="I131" s="269"/>
      <c r="J131" s="56" t="str">
        <f>IF('TAAI|0276-00'!OrigApprop=0,"ERROR! Enter Original Appropriation amount in DU 3.00!","Calculated "&amp;IF('TAAI|0276-00'!AdjustedTotal&gt;0,"overfunding ","underfunding ")&amp;"is "&amp;TEXT('TAAI|0276-00'!AdjustedTotal/'TAAI|0276-00'!AppropTotal,"#.0%;(#.0% );0% ;")&amp;" of Original Appropriation")</f>
        <v>Calculated overfunding is 54.6% of Original Appropriation</v>
      </c>
      <c r="K131" s="163"/>
      <c r="L131" s="164"/>
    </row>
    <row r="133" spans="1:12" x14ac:dyDescent="0.25">
      <c r="A133" s="394" t="s">
        <v>2041</v>
      </c>
      <c r="B133" s="394"/>
      <c r="C133" s="394"/>
      <c r="D133" s="394"/>
      <c r="E133" s="394"/>
      <c r="F133" s="394"/>
      <c r="G133" s="394"/>
      <c r="H133" s="394"/>
      <c r="I133" s="394"/>
      <c r="J133" s="394"/>
      <c r="K133" s="394"/>
      <c r="L133" s="394"/>
    </row>
    <row r="134" spans="1:12" ht="39" x14ac:dyDescent="0.25">
      <c r="A134" s="472" t="s">
        <v>22</v>
      </c>
      <c r="B134" s="473"/>
      <c r="C134" s="369" t="s">
        <v>23</v>
      </c>
      <c r="D134" s="49" t="s">
        <v>24</v>
      </c>
      <c r="E134" s="50" t="str">
        <f>"FY "&amp;'TACA|0001-00'!FiscalYear-1&amp;" SALARY"</f>
        <v>FY 2022 SALARY</v>
      </c>
      <c r="F134" s="50" t="str">
        <f>"FY "&amp;'TACA|0001-00'!FiscalYear-1&amp;" HEALTH BENEFITS"</f>
        <v>FY 2022 HEALTH BENEFITS</v>
      </c>
      <c r="G134" s="50" t="str">
        <f>"FY "&amp;'TACA|0001-00'!FiscalYear-1&amp;" VAR BENEFITS"</f>
        <v>FY 2022 VAR BENEFITS</v>
      </c>
      <c r="H134" s="50" t="str">
        <f>"FY "&amp;'TACA|0001-00'!FiscalYear-1&amp;" TOTAL"</f>
        <v>FY 2022 TOTAL</v>
      </c>
      <c r="I134" s="50" t="str">
        <f>"FY "&amp;'TACA|0001-00'!FiscalYear&amp;" SALARY CHANGE"</f>
        <v>FY 2023 SALARY CHANGE</v>
      </c>
      <c r="J134" s="50" t="str">
        <f>"FY "&amp;'TACA|0001-00'!FiscalYear&amp;" CHG HEALTH BENEFITS"</f>
        <v>FY 2023 CHG HEALTH BENEFITS</v>
      </c>
      <c r="K134" s="50" t="str">
        <f>"FY "&amp;'TACA|0001-00'!FiscalYear&amp;" CHG VAR BENEFITS"</f>
        <v>FY 2023 CHG VAR BENEFITS</v>
      </c>
      <c r="L134" s="50" t="s">
        <v>25</v>
      </c>
    </row>
    <row r="135" spans="1:12" x14ac:dyDescent="0.25">
      <c r="A135" s="464" t="s">
        <v>26</v>
      </c>
      <c r="B135" s="465"/>
      <c r="C135" s="141"/>
      <c r="D135" s="142"/>
      <c r="E135" s="143"/>
      <c r="F135" s="143"/>
      <c r="G135" s="143"/>
      <c r="H135" s="144"/>
      <c r="I135" s="144"/>
      <c r="J135" s="145"/>
      <c r="K135" s="146"/>
      <c r="L135" s="144"/>
    </row>
    <row r="136" spans="1:12" x14ac:dyDescent="0.25">
      <c r="A136" s="443" t="s">
        <v>27</v>
      </c>
      <c r="B136" s="466"/>
      <c r="C136" s="217">
        <v>1</v>
      </c>
      <c r="D136" s="288">
        <f>[0]!TACA000100col_INC_FTI</f>
        <v>85.899999999999991</v>
      </c>
      <c r="E136" s="218">
        <f>[0]!TACA000100col_FTI_SALARY_PERM</f>
        <v>4165760.5600000005</v>
      </c>
      <c r="F136" s="218">
        <f>[0]!TACA000100col_HEALTH_PERM</f>
        <v>1003647.5</v>
      </c>
      <c r="G136" s="218">
        <f>[0]!TACA000100col_TOT_VB_PERM</f>
        <v>888911.59669519984</v>
      </c>
      <c r="H136" s="219">
        <f>SUM(E136:G136)</f>
        <v>6058319.6566952001</v>
      </c>
      <c r="I136" s="219">
        <f>[0]!TACA000100col_1_27TH_PP</f>
        <v>0</v>
      </c>
      <c r="J136" s="218">
        <f>[0]!TACA000100col_HEALTH_PERM_CHG</f>
        <v>0</v>
      </c>
      <c r="K136" s="218">
        <f>[0]!TACA000100col_TOT_VB_PERM_CHG</f>
        <v>-19995.650688000005</v>
      </c>
      <c r="L136" s="218">
        <f>SUM(J136:K136)</f>
        <v>-19995.650688000005</v>
      </c>
    </row>
    <row r="137" spans="1:12" x14ac:dyDescent="0.25">
      <c r="A137" s="443" t="s">
        <v>28</v>
      </c>
      <c r="B137" s="466"/>
      <c r="C137" s="217">
        <v>2</v>
      </c>
      <c r="D137" s="288"/>
      <c r="E137" s="218">
        <f>[0]!TACA000100col_Group_Salary</f>
        <v>35703.910000000003</v>
      </c>
      <c r="F137" s="218">
        <v>0</v>
      </c>
      <c r="G137" s="218">
        <f>[0]!TACA000100col_Group_Ben</f>
        <v>2902.44</v>
      </c>
      <c r="H137" s="219">
        <f>SUM(E137:G137)</f>
        <v>38606.350000000006</v>
      </c>
      <c r="I137" s="268"/>
      <c r="J137" s="218"/>
      <c r="K137" s="218"/>
      <c r="L137" s="218"/>
    </row>
    <row r="138" spans="1:12" x14ac:dyDescent="0.25">
      <c r="A138" s="443" t="s">
        <v>29</v>
      </c>
      <c r="B138" s="444"/>
      <c r="C138" s="217">
        <v>3</v>
      </c>
      <c r="D138" s="288">
        <f>[0]!TACA000100col_TOTAL_ELECT_PCN_FTI</f>
        <v>0</v>
      </c>
      <c r="E138" s="218">
        <f>[0]!TACA000100col_FTI_SALARY_ELECT</f>
        <v>0</v>
      </c>
      <c r="F138" s="218">
        <f>[0]!TACA000100col_HEALTH_ELECT</f>
        <v>0</v>
      </c>
      <c r="G138" s="218">
        <f>[0]!TACA000100col_TOT_VB_ELECT</f>
        <v>0</v>
      </c>
      <c r="H138" s="219">
        <f>SUM(E138:G138)</f>
        <v>0</v>
      </c>
      <c r="I138" s="268"/>
      <c r="J138" s="218">
        <f>[0]!TACA000100col_HEALTH_ELECT_CHG</f>
        <v>0</v>
      </c>
      <c r="K138" s="218">
        <f>[0]!TACA000100col_TOT_VB_ELECT_CHG</f>
        <v>0</v>
      </c>
      <c r="L138" s="219">
        <f>SUM(J138:K138)</f>
        <v>0</v>
      </c>
    </row>
    <row r="139" spans="1:12" x14ac:dyDescent="0.25">
      <c r="A139" s="443" t="s">
        <v>30</v>
      </c>
      <c r="B139" s="466"/>
      <c r="C139" s="217"/>
      <c r="D139" s="220">
        <f>SUM(D136:D138)</f>
        <v>85.899999999999991</v>
      </c>
      <c r="E139" s="221">
        <f>SUM(E136:E138)</f>
        <v>4201464.4700000007</v>
      </c>
      <c r="F139" s="221">
        <f>SUM(F136:F138)</f>
        <v>1003647.5</v>
      </c>
      <c r="G139" s="221">
        <f>SUM(G136:G138)</f>
        <v>891814.03669519979</v>
      </c>
      <c r="H139" s="219">
        <f>SUM(E139:G139)</f>
        <v>6096926.0066952007</v>
      </c>
      <c r="I139" s="268"/>
      <c r="J139" s="219">
        <f>SUM(J136:J138)</f>
        <v>0</v>
      </c>
      <c r="K139" s="219">
        <f>SUM(K136:K138)</f>
        <v>-19995.650688000005</v>
      </c>
      <c r="L139" s="219">
        <f>SUM(L136:L138)</f>
        <v>-19995.650688000005</v>
      </c>
    </row>
    <row r="140" spans="1:12" x14ac:dyDescent="0.25">
      <c r="A140" s="364"/>
      <c r="B140" s="370"/>
      <c r="C140" s="217"/>
      <c r="D140" s="220"/>
      <c r="E140" s="219"/>
      <c r="F140" s="219"/>
      <c r="G140" s="219"/>
      <c r="H140" s="219"/>
      <c r="I140" s="268"/>
      <c r="J140" s="219"/>
      <c r="K140" s="222"/>
      <c r="L140" s="222"/>
    </row>
    <row r="141" spans="1:12" x14ac:dyDescent="0.25">
      <c r="A141" s="157" t="str">
        <f>"FY "&amp;'TACA|0001-00'!FiscalYear-1</f>
        <v>FY 2022</v>
      </c>
      <c r="B141" s="158" t="s">
        <v>31</v>
      </c>
      <c r="C141" s="354">
        <v>6859700</v>
      </c>
      <c r="D141" s="55">
        <v>109</v>
      </c>
      <c r="E141" s="223">
        <f>IF('TACA|0001-00'!OrigApprop=0,0,(E139/H139)*'TACA|0001-00'!OrigApprop)</f>
        <v>4727101.1314898878</v>
      </c>
      <c r="F141" s="223">
        <f>IF('TACA|0001-00'!OrigApprop=0,0,(F139/H139)*'TACA|0001-00'!OrigApprop)</f>
        <v>1129211.7943025222</v>
      </c>
      <c r="G141" s="223">
        <f>IF(E141=0,0,(G139/H139)*'TACA|0001-00'!OrigApprop)</f>
        <v>1003387.07420759</v>
      </c>
      <c r="H141" s="223">
        <f>SUM(E141:G141)</f>
        <v>6859700</v>
      </c>
      <c r="I141" s="268"/>
      <c r="J141" s="224"/>
      <c r="K141" s="224"/>
      <c r="L141" s="224"/>
    </row>
    <row r="142" spans="1:12" x14ac:dyDescent="0.25">
      <c r="A142" s="453" t="s">
        <v>32</v>
      </c>
      <c r="B142" s="454"/>
      <c r="C142" s="160" t="s">
        <v>33</v>
      </c>
      <c r="D142" s="161">
        <f>D141-D139</f>
        <v>23.100000000000009</v>
      </c>
      <c r="E142" s="162">
        <f>E141-E139</f>
        <v>525636.66148988716</v>
      </c>
      <c r="F142" s="162">
        <f>F141-F139</f>
        <v>125564.2943025222</v>
      </c>
      <c r="G142" s="162">
        <f>G141-G139</f>
        <v>111573.03751239018</v>
      </c>
      <c r="H142" s="162">
        <f>H141-H139</f>
        <v>762773.99330479931</v>
      </c>
      <c r="I142" s="269"/>
      <c r="J142" s="56" t="str">
        <f>IF('TACA|0001-00'!OrigApprop=0,"ERROR! Enter Original Appropriation amount in DU 3.00!","Calculated "&amp;IF('TACA|0001-00'!AdjustedTotal&gt;0,"overfunding ","underfunding ")&amp;"is "&amp;TEXT('TACA|0001-00'!AdjustedTotal/'TACA|0001-00'!AppropTotal,"#.0%;(#.0% );0% ;")&amp;" of Original Appropriation")</f>
        <v>Calculated overfunding is 11.1% of Original Appropriation</v>
      </c>
      <c r="K142" s="163"/>
      <c r="L142" s="164"/>
    </row>
    <row r="144" spans="1:12" x14ac:dyDescent="0.25">
      <c r="A144" s="394" t="s">
        <v>2044</v>
      </c>
      <c r="B144" s="394"/>
      <c r="C144" s="394"/>
      <c r="D144" s="394"/>
      <c r="E144" s="394"/>
      <c r="F144" s="394"/>
      <c r="G144" s="394"/>
      <c r="H144" s="394"/>
      <c r="I144" s="394"/>
      <c r="J144" s="394"/>
      <c r="K144" s="394"/>
      <c r="L144" s="394"/>
    </row>
    <row r="145" spans="1:12" ht="39" x14ac:dyDescent="0.25">
      <c r="A145" s="472" t="s">
        <v>22</v>
      </c>
      <c r="B145" s="473"/>
      <c r="C145" s="369" t="s">
        <v>23</v>
      </c>
      <c r="D145" s="49" t="s">
        <v>24</v>
      </c>
      <c r="E145" s="50" t="str">
        <f>"FY "&amp;'TACA|0338-02'!FiscalYear-1&amp;" SALARY"</f>
        <v>FY 2022 SALARY</v>
      </c>
      <c r="F145" s="50" t="str">
        <f>"FY "&amp;'TACA|0338-02'!FiscalYear-1&amp;" HEALTH BENEFITS"</f>
        <v>FY 2022 HEALTH BENEFITS</v>
      </c>
      <c r="G145" s="50" t="str">
        <f>"FY "&amp;'TACA|0338-02'!FiscalYear-1&amp;" VAR BENEFITS"</f>
        <v>FY 2022 VAR BENEFITS</v>
      </c>
      <c r="H145" s="50" t="str">
        <f>"FY "&amp;'TACA|0338-02'!FiscalYear-1&amp;" TOTAL"</f>
        <v>FY 2022 TOTAL</v>
      </c>
      <c r="I145" s="50" t="str">
        <f>"FY "&amp;'TACA|0338-02'!FiscalYear&amp;" SALARY CHANGE"</f>
        <v>FY 2023 SALARY CHANGE</v>
      </c>
      <c r="J145" s="50" t="str">
        <f>"FY "&amp;'TACA|0338-02'!FiscalYear&amp;" CHG HEALTH BENEFITS"</f>
        <v>FY 2023 CHG HEALTH BENEFITS</v>
      </c>
      <c r="K145" s="50" t="str">
        <f>"FY "&amp;'TACA|0338-02'!FiscalYear&amp;" CHG VAR BENEFITS"</f>
        <v>FY 2023 CHG VAR BENEFITS</v>
      </c>
      <c r="L145" s="50" t="s">
        <v>25</v>
      </c>
    </row>
    <row r="146" spans="1:12" x14ac:dyDescent="0.25">
      <c r="A146" s="464" t="s">
        <v>26</v>
      </c>
      <c r="B146" s="465"/>
      <c r="C146" s="141"/>
      <c r="D146" s="142"/>
      <c r="E146" s="143"/>
      <c r="F146" s="143"/>
      <c r="G146" s="143"/>
      <c r="H146" s="144"/>
      <c r="I146" s="144"/>
      <c r="J146" s="145"/>
      <c r="K146" s="146"/>
      <c r="L146" s="144"/>
    </row>
    <row r="147" spans="1:12" x14ac:dyDescent="0.25">
      <c r="A147" s="443" t="s">
        <v>27</v>
      </c>
      <c r="B147" s="466"/>
      <c r="C147" s="217">
        <v>1</v>
      </c>
      <c r="D147" s="288">
        <f>[0]!TACA033802col_INC_FTI</f>
        <v>2.85</v>
      </c>
      <c r="E147" s="218">
        <f>[0]!TACA033802col_FTI_SALARY_PERM</f>
        <v>146729.44</v>
      </c>
      <c r="F147" s="218">
        <f>[0]!TACA033802col_HEALTH_PERM</f>
        <v>33202.5</v>
      </c>
      <c r="G147" s="218">
        <f>[0]!TACA033802col_TOT_VB_PERM</f>
        <v>31322.333556800007</v>
      </c>
      <c r="H147" s="219">
        <f>SUM(E147:G147)</f>
        <v>211254.27355680001</v>
      </c>
      <c r="I147" s="219">
        <f>[0]!TACA033802col_1_27TH_PP</f>
        <v>0</v>
      </c>
      <c r="J147" s="218">
        <f>[0]!TACA033802col_HEALTH_PERM_CHG</f>
        <v>0</v>
      </c>
      <c r="K147" s="218">
        <f>[0]!TACA033802col_TOT_VB_PERM_CHG</f>
        <v>-704.30131199999983</v>
      </c>
      <c r="L147" s="218">
        <f>SUM(J147:K147)</f>
        <v>-704.30131199999983</v>
      </c>
    </row>
    <row r="148" spans="1:12" x14ac:dyDescent="0.25">
      <c r="A148" s="443" t="s">
        <v>28</v>
      </c>
      <c r="B148" s="466"/>
      <c r="C148" s="217">
        <v>2</v>
      </c>
      <c r="D148" s="288"/>
      <c r="E148" s="218">
        <f>[0]!TACA033802col_Group_Salary</f>
        <v>0</v>
      </c>
      <c r="F148" s="218">
        <v>0</v>
      </c>
      <c r="G148" s="218">
        <f>[0]!TACA033802col_Group_Ben</f>
        <v>0</v>
      </c>
      <c r="H148" s="219">
        <f>SUM(E148:G148)</f>
        <v>0</v>
      </c>
      <c r="I148" s="268"/>
      <c r="J148" s="218"/>
      <c r="K148" s="218"/>
      <c r="L148" s="218"/>
    </row>
    <row r="149" spans="1:12" x14ac:dyDescent="0.25">
      <c r="A149" s="443" t="s">
        <v>29</v>
      </c>
      <c r="B149" s="444"/>
      <c r="C149" s="217">
        <v>3</v>
      </c>
      <c r="D149" s="288">
        <f>[0]!TACA033802col_TOTAL_ELECT_PCN_FTI</f>
        <v>0</v>
      </c>
      <c r="E149" s="218">
        <f>[0]!TACA033802col_FTI_SALARY_ELECT</f>
        <v>0</v>
      </c>
      <c r="F149" s="218">
        <f>[0]!TACA033802col_HEALTH_ELECT</f>
        <v>0</v>
      </c>
      <c r="G149" s="218">
        <f>[0]!TACA033802col_TOT_VB_ELECT</f>
        <v>0</v>
      </c>
      <c r="H149" s="219">
        <f>SUM(E149:G149)</f>
        <v>0</v>
      </c>
      <c r="I149" s="268"/>
      <c r="J149" s="218">
        <f>[0]!TACA033802col_HEALTH_ELECT_CHG</f>
        <v>0</v>
      </c>
      <c r="K149" s="218">
        <f>[0]!TACA033802col_TOT_VB_ELECT_CHG</f>
        <v>0</v>
      </c>
      <c r="L149" s="219">
        <f>SUM(J149:K149)</f>
        <v>0</v>
      </c>
    </row>
    <row r="150" spans="1:12" x14ac:dyDescent="0.25">
      <c r="A150" s="443" t="s">
        <v>30</v>
      </c>
      <c r="B150" s="466"/>
      <c r="C150" s="217"/>
      <c r="D150" s="220">
        <f>SUM(D147:D149)</f>
        <v>2.85</v>
      </c>
      <c r="E150" s="221">
        <f>SUM(E147:E149)</f>
        <v>146729.44</v>
      </c>
      <c r="F150" s="221">
        <f>SUM(F147:F149)</f>
        <v>33202.5</v>
      </c>
      <c r="G150" s="221">
        <f>SUM(G147:G149)</f>
        <v>31322.333556800007</v>
      </c>
      <c r="H150" s="219">
        <f>SUM(E150:G150)</f>
        <v>211254.27355680001</v>
      </c>
      <c r="I150" s="268"/>
      <c r="J150" s="219">
        <f>SUM(J147:J149)</f>
        <v>0</v>
      </c>
      <c r="K150" s="219">
        <f>SUM(K147:K149)</f>
        <v>-704.30131199999983</v>
      </c>
      <c r="L150" s="219">
        <f>SUM(L147:L149)</f>
        <v>-704.30131199999983</v>
      </c>
    </row>
    <row r="151" spans="1:12" x14ac:dyDescent="0.25">
      <c r="A151" s="364"/>
      <c r="B151" s="370"/>
      <c r="C151" s="217"/>
      <c r="D151" s="220"/>
      <c r="E151" s="219"/>
      <c r="F151" s="219"/>
      <c r="G151" s="219"/>
      <c r="H151" s="219"/>
      <c r="I151" s="268"/>
      <c r="J151" s="219"/>
      <c r="K151" s="222"/>
      <c r="L151" s="222"/>
    </row>
    <row r="152" spans="1:12" x14ac:dyDescent="0.25">
      <c r="A152" s="157" t="str">
        <f>"FY "&amp;'TACA|0338-02'!FiscalYear-1</f>
        <v>FY 2022</v>
      </c>
      <c r="B152" s="158" t="s">
        <v>31</v>
      </c>
      <c r="C152" s="354">
        <v>209900</v>
      </c>
      <c r="D152" s="55">
        <v>3</v>
      </c>
      <c r="E152" s="223">
        <f>IF('TACA|0338-02'!OrigApprop=0,0,(E150/H150)*'TACA|0338-02'!OrigApprop)</f>
        <v>145788.81145199269</v>
      </c>
      <c r="F152" s="223">
        <f>IF('TACA|0338-02'!OrigApprop=0,0,(F150/H150)*'TACA|0338-02'!OrigApprop)</f>
        <v>32989.650967350433</v>
      </c>
      <c r="G152" s="223">
        <f>IF(E152=0,0,(G150/H150)*'TACA|0338-02'!OrigApprop)</f>
        <v>31121.537580656885</v>
      </c>
      <c r="H152" s="223">
        <f>SUM(E152:G152)</f>
        <v>209900</v>
      </c>
      <c r="I152" s="268"/>
      <c r="J152" s="224"/>
      <c r="K152" s="224"/>
      <c r="L152" s="224"/>
    </row>
    <row r="153" spans="1:12" x14ac:dyDescent="0.25">
      <c r="A153" s="453" t="s">
        <v>32</v>
      </c>
      <c r="B153" s="454"/>
      <c r="C153" s="160" t="s">
        <v>33</v>
      </c>
      <c r="D153" s="161">
        <f>D152-D150</f>
        <v>0.14999999999999991</v>
      </c>
      <c r="E153" s="162">
        <f>E152-E150</f>
        <v>-940.62854800731293</v>
      </c>
      <c r="F153" s="162">
        <f>F152-F150</f>
        <v>-212.84903264956665</v>
      </c>
      <c r="G153" s="162">
        <f>G152-G150</f>
        <v>-200.79597614312297</v>
      </c>
      <c r="H153" s="162">
        <f>H152-H150</f>
        <v>-1354.2735568000062</v>
      </c>
      <c r="I153" s="269"/>
      <c r="J153" s="56" t="str">
        <f>IF('TACA|0338-02'!OrigApprop=0,"ERROR! Enter Original Appropriation amount in DU 3.00!","Calculated "&amp;IF('TACA|0338-02'!AdjustedTotal&gt;0,"overfunding ","underfunding ")&amp;"is "&amp;TEXT('TACA|0338-02'!AdjustedTotal/'TACA|0338-02'!AppropTotal,"#.0%;(#.0% );0% ;")&amp;" of Original Appropriation")</f>
        <v>Calculated underfunding is (.6% ) of Original Appropriation</v>
      </c>
      <c r="K153" s="163"/>
      <c r="L153" s="164"/>
    </row>
  </sheetData>
  <mergeCells count="98">
    <mergeCell ref="A7:B7"/>
    <mergeCell ref="A2:B2"/>
    <mergeCell ref="A3:B3"/>
    <mergeCell ref="A4:B4"/>
    <mergeCell ref="A5:B5"/>
    <mergeCell ref="A6:B6"/>
    <mergeCell ref="A27:B27"/>
    <mergeCell ref="A10:B10"/>
    <mergeCell ref="A13:B13"/>
    <mergeCell ref="A14:B14"/>
    <mergeCell ref="A15:B15"/>
    <mergeCell ref="A16:B16"/>
    <mergeCell ref="A17:B17"/>
    <mergeCell ref="A18:B18"/>
    <mergeCell ref="A21:B21"/>
    <mergeCell ref="A24:B24"/>
    <mergeCell ref="A25:B25"/>
    <mergeCell ref="A26:B26"/>
    <mergeCell ref="A47:B47"/>
    <mergeCell ref="A28:B28"/>
    <mergeCell ref="A29:B29"/>
    <mergeCell ref="A32:B32"/>
    <mergeCell ref="A35:B35"/>
    <mergeCell ref="A36:B36"/>
    <mergeCell ref="A37:B37"/>
    <mergeCell ref="A38:B38"/>
    <mergeCell ref="A39:B39"/>
    <mergeCell ref="A40:B40"/>
    <mergeCell ref="A43:B43"/>
    <mergeCell ref="A46:B46"/>
    <mergeCell ref="A65:B65"/>
    <mergeCell ref="A48:B48"/>
    <mergeCell ref="A49:B49"/>
    <mergeCell ref="A50:B50"/>
    <mergeCell ref="A51:B51"/>
    <mergeCell ref="A54:B54"/>
    <mergeCell ref="A57:B57"/>
    <mergeCell ref="A58:B58"/>
    <mergeCell ref="A59:B59"/>
    <mergeCell ref="A60:B60"/>
    <mergeCell ref="A61:B61"/>
    <mergeCell ref="A62:B62"/>
    <mergeCell ref="A83:B83"/>
    <mergeCell ref="A68:B68"/>
    <mergeCell ref="A69:B69"/>
    <mergeCell ref="A70:B70"/>
    <mergeCell ref="A71:B71"/>
    <mergeCell ref="A72:B72"/>
    <mergeCell ref="A73:B73"/>
    <mergeCell ref="A76:B76"/>
    <mergeCell ref="A79:B79"/>
    <mergeCell ref="A80:B80"/>
    <mergeCell ref="A81:B81"/>
    <mergeCell ref="A82:B82"/>
    <mergeCell ref="A103:B103"/>
    <mergeCell ref="A84:B84"/>
    <mergeCell ref="A87:B87"/>
    <mergeCell ref="A90:B90"/>
    <mergeCell ref="A91:B91"/>
    <mergeCell ref="A92:B92"/>
    <mergeCell ref="A93:B93"/>
    <mergeCell ref="A94:B94"/>
    <mergeCell ref="A95:B95"/>
    <mergeCell ref="A98:B98"/>
    <mergeCell ref="A101:B101"/>
    <mergeCell ref="A102:B102"/>
    <mergeCell ref="A123:B123"/>
    <mergeCell ref="A104:B104"/>
    <mergeCell ref="A105:B105"/>
    <mergeCell ref="A106:B106"/>
    <mergeCell ref="A109:B109"/>
    <mergeCell ref="A112:B112"/>
    <mergeCell ref="A113:B113"/>
    <mergeCell ref="A114:B114"/>
    <mergeCell ref="A115:B115"/>
    <mergeCell ref="A116:B116"/>
    <mergeCell ref="A117:B117"/>
    <mergeCell ref="A120:B120"/>
    <mergeCell ref="A139:B139"/>
    <mergeCell ref="A124:B124"/>
    <mergeCell ref="A125:B125"/>
    <mergeCell ref="A126:B126"/>
    <mergeCell ref="A127:B127"/>
    <mergeCell ref="A128:B128"/>
    <mergeCell ref="A131:B131"/>
    <mergeCell ref="A134:B134"/>
    <mergeCell ref="A135:B135"/>
    <mergeCell ref="A136:B136"/>
    <mergeCell ref="A137:B137"/>
    <mergeCell ref="A138:B138"/>
    <mergeCell ref="A150:B150"/>
    <mergeCell ref="A153:B153"/>
    <mergeCell ref="A142:B142"/>
    <mergeCell ref="A145:B145"/>
    <mergeCell ref="A146:B146"/>
    <mergeCell ref="A147:B147"/>
    <mergeCell ref="A148:B148"/>
    <mergeCell ref="A149:B149"/>
  </mergeCells>
  <conditionalFormatting sqref="J10">
    <cfRule type="expression" dxfId="13" priority="14">
      <formula>$J$16&lt;0</formula>
    </cfRule>
  </conditionalFormatting>
  <conditionalFormatting sqref="J21">
    <cfRule type="expression" dxfId="12" priority="13">
      <formula>$J$16&lt;0</formula>
    </cfRule>
  </conditionalFormatting>
  <conditionalFormatting sqref="J32">
    <cfRule type="expression" dxfId="11" priority="12">
      <formula>$J$16&lt;0</formula>
    </cfRule>
  </conditionalFormatting>
  <conditionalFormatting sqref="J43">
    <cfRule type="expression" dxfId="10" priority="11">
      <formula>$J$16&lt;0</formula>
    </cfRule>
  </conditionalFormatting>
  <conditionalFormatting sqref="J54">
    <cfRule type="expression" dxfId="9" priority="10">
      <formula>$J$16&lt;0</formula>
    </cfRule>
  </conditionalFormatting>
  <conditionalFormatting sqref="J65">
    <cfRule type="expression" dxfId="8" priority="9">
      <formula>$J$16&lt;0</formula>
    </cfRule>
  </conditionalFormatting>
  <conditionalFormatting sqref="J76">
    <cfRule type="expression" dxfId="7" priority="8">
      <formula>$J$16&lt;0</formula>
    </cfRule>
  </conditionalFormatting>
  <conditionalFormatting sqref="J87">
    <cfRule type="expression" dxfId="6" priority="7">
      <formula>$J$16&lt;0</formula>
    </cfRule>
  </conditionalFormatting>
  <conditionalFormatting sqref="J98">
    <cfRule type="expression" dxfId="5" priority="6">
      <formula>$J$16&lt;0</formula>
    </cfRule>
  </conditionalFormatting>
  <conditionalFormatting sqref="J109">
    <cfRule type="expression" dxfId="4" priority="5">
      <formula>$J$16&lt;0</formula>
    </cfRule>
  </conditionalFormatting>
  <conditionalFormatting sqref="J120">
    <cfRule type="expression" dxfId="3" priority="4">
      <formula>$J$16&lt;0</formula>
    </cfRule>
  </conditionalFormatting>
  <conditionalFormatting sqref="J131">
    <cfRule type="expression" dxfId="2" priority="3">
      <formula>$J$16&lt;0</formula>
    </cfRule>
  </conditionalFormatting>
  <conditionalFormatting sqref="J142">
    <cfRule type="expression" dxfId="1" priority="2">
      <formula>$J$16&lt;0</formula>
    </cfRule>
  </conditionalFormatting>
  <conditionalFormatting sqref="J153">
    <cfRule type="expression" dxfId="0" priority="1">
      <formula>$J$16&lt;0</formula>
    </cfRule>
  </conditionalFormatting>
  <pageMargins left="0.7" right="0.7" top="0.75" bottom="0.75" header="0.3" footer="0.3"/>
  <pageSetup scale="19" orientation="landscape" r:id="rId1"/>
  <headerFooter>
    <oddHeader>&amp;L&amp;"Arial"&amp;14 Department of Revenue and Taxation&amp;R&amp;"Arial"&amp;10 Agency 352</oddHeader>
    <oddFooter>&amp;L&amp;"Arial"&amp;10 B6:Summary by Program, by Fund&amp;R&amp;"Arial"&amp;10 FY 2022 Request</oddFooter>
  </headerFooter>
  <legacy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3">
    <pageSetUpPr fitToPage="1"/>
  </sheetPr>
  <dimension ref="A2:M26"/>
  <sheetViews>
    <sheetView workbookViewId="0">
      <selection activeCell="E8" sqref="E8:M26"/>
    </sheetView>
  </sheetViews>
  <sheetFormatPr defaultRowHeight="15" x14ac:dyDescent="0.25"/>
  <cols>
    <col min="1" max="1" width="2.7109375" customWidth="1"/>
    <col min="2" max="2" width="9.5703125" bestFit="1" customWidth="1"/>
    <col min="3" max="3" width="7.7109375" bestFit="1" customWidth="1"/>
    <col min="4" max="4" width="5.7109375" customWidth="1"/>
    <col min="5" max="5" width="7.7109375" bestFit="1" customWidth="1"/>
    <col min="6" max="6" width="14.42578125" bestFit="1" customWidth="1"/>
    <col min="7" max="7" width="14" bestFit="1" customWidth="1"/>
    <col min="8" max="8" width="14.42578125" bestFit="1" customWidth="1"/>
    <col min="9" max="9" width="15.42578125" bestFit="1" customWidth="1"/>
    <col min="10" max="10" width="17" bestFit="1" customWidth="1"/>
    <col min="11" max="11" width="14.42578125" bestFit="1" customWidth="1"/>
    <col min="12" max="12" width="15.42578125" bestFit="1" customWidth="1"/>
    <col min="13" max="13" width="17" bestFit="1" customWidth="1"/>
  </cols>
  <sheetData>
    <row r="2" spans="1:13" ht="21" x14ac:dyDescent="0.35">
      <c r="A2" s="251" t="s">
        <v>97</v>
      </c>
      <c r="B2" s="251"/>
      <c r="C2" s="251"/>
    </row>
    <row r="4" spans="1:13" ht="21" x14ac:dyDescent="0.35">
      <c r="A4" s="252"/>
      <c r="B4" s="252"/>
      <c r="C4" s="252"/>
    </row>
    <row r="5" spans="1:13" ht="15.75" customHeight="1" x14ac:dyDescent="0.25">
      <c r="E5" s="255" t="s">
        <v>83</v>
      </c>
      <c r="F5" s="474" t="s">
        <v>2048</v>
      </c>
      <c r="G5" s="474"/>
      <c r="H5" s="475" t="s">
        <v>2046</v>
      </c>
      <c r="I5" s="474" t="s">
        <v>2049</v>
      </c>
      <c r="J5" s="474"/>
      <c r="K5" s="475" t="s">
        <v>2047</v>
      </c>
      <c r="L5" s="474" t="s">
        <v>2050</v>
      </c>
      <c r="M5" s="474"/>
    </row>
    <row r="6" spans="1:13" ht="15.75" x14ac:dyDescent="0.25">
      <c r="E6" s="249"/>
      <c r="F6" s="253" t="s">
        <v>94</v>
      </c>
      <c r="G6" s="254" t="s">
        <v>96</v>
      </c>
      <c r="H6" s="476"/>
      <c r="I6" s="253" t="s">
        <v>98</v>
      </c>
      <c r="J6" s="254" t="s">
        <v>95</v>
      </c>
      <c r="K6" s="476"/>
      <c r="L6" s="278" t="s">
        <v>98</v>
      </c>
      <c r="M6" s="254" t="s">
        <v>95</v>
      </c>
    </row>
    <row r="7" spans="1:13" x14ac:dyDescent="0.25">
      <c r="A7" s="391" t="s">
        <v>2051</v>
      </c>
      <c r="D7" s="250"/>
    </row>
    <row r="8" spans="1:13" x14ac:dyDescent="0.25">
      <c r="C8" t="s">
        <v>1993</v>
      </c>
      <c r="D8" s="250"/>
      <c r="E8" s="401">
        <f>Data!AS595</f>
        <v>339.31000000000006</v>
      </c>
      <c r="F8" s="401">
        <f>Data!AT595</f>
        <v>17037626.780000001</v>
      </c>
      <c r="G8" s="401">
        <f>Data!AU595</f>
        <v>7498098.0999999987</v>
      </c>
      <c r="H8" s="401">
        <f>Data!AV595</f>
        <v>18016349.440000001</v>
      </c>
      <c r="I8" s="401">
        <f>Data!AW595</f>
        <v>3959951.5</v>
      </c>
      <c r="J8" s="401">
        <f>Data!AX595</f>
        <v>3840490.9910048046</v>
      </c>
      <c r="K8" s="401">
        <f>Data!AY595</f>
        <v>18016349.440000001</v>
      </c>
      <c r="L8" s="401">
        <f>Data!AZ595</f>
        <v>3959951.5</v>
      </c>
      <c r="M8" s="401">
        <f>Data!BA595</f>
        <v>3756596.6218527993</v>
      </c>
    </row>
    <row r="9" spans="1:13" x14ac:dyDescent="0.25">
      <c r="B9" t="s">
        <v>2052</v>
      </c>
      <c r="D9" s="250"/>
      <c r="E9" s="402">
        <f>Data!AS596</f>
        <v>339.31000000000006</v>
      </c>
      <c r="F9" s="402">
        <f>Data!AT596</f>
        <v>17037626.780000001</v>
      </c>
      <c r="G9" s="402">
        <f>Data!AU596</f>
        <v>7498098.0999999987</v>
      </c>
      <c r="H9" s="402">
        <f>Data!AV596</f>
        <v>18016349.440000001</v>
      </c>
      <c r="I9" s="402">
        <f>Data!AW596</f>
        <v>3959951.5</v>
      </c>
      <c r="J9" s="402">
        <f>Data!AX596</f>
        <v>3840490.9910048046</v>
      </c>
      <c r="K9" s="402">
        <f>Data!AY596</f>
        <v>18016349.440000001</v>
      </c>
      <c r="L9" s="402">
        <f>Data!AZ596</f>
        <v>3959951.5</v>
      </c>
      <c r="M9" s="402">
        <f>Data!BA596</f>
        <v>3756596.6218527993</v>
      </c>
    </row>
    <row r="10" spans="1:13" x14ac:dyDescent="0.25">
      <c r="C10" t="s">
        <v>2032</v>
      </c>
      <c r="D10" s="250"/>
      <c r="E10" s="401">
        <f>Data!AS597</f>
        <v>17.55</v>
      </c>
      <c r="F10" s="401">
        <f>Data!AT597</f>
        <v>1164872.5200000003</v>
      </c>
      <c r="G10" s="401">
        <f>Data!AU597</f>
        <v>454901.12999999995</v>
      </c>
      <c r="H10" s="401">
        <f>Data!AV597</f>
        <v>1124221.2800000003</v>
      </c>
      <c r="I10" s="401">
        <f>Data!AW597</f>
        <v>204457.5</v>
      </c>
      <c r="J10" s="401">
        <f>Data!AX597</f>
        <v>239987.5166416</v>
      </c>
      <c r="K10" s="401">
        <f>Data!AY597</f>
        <v>1124221.2800000003</v>
      </c>
      <c r="L10" s="401">
        <f>Data!AZ597</f>
        <v>204457.5</v>
      </c>
      <c r="M10" s="401">
        <f>Data!BA597</f>
        <v>234591.25449760002</v>
      </c>
    </row>
    <row r="11" spans="1:13" x14ac:dyDescent="0.25">
      <c r="B11" t="s">
        <v>2053</v>
      </c>
      <c r="D11" s="250"/>
      <c r="E11" s="402">
        <f>Data!AS598</f>
        <v>17.55</v>
      </c>
      <c r="F11" s="402">
        <f>Data!AT598</f>
        <v>1164872.5200000003</v>
      </c>
      <c r="G11" s="402">
        <f>Data!AU598</f>
        <v>454901.12999999995</v>
      </c>
      <c r="H11" s="402">
        <f>Data!AV598</f>
        <v>1124221.2800000003</v>
      </c>
      <c r="I11" s="402">
        <f>Data!AW598</f>
        <v>204457.5</v>
      </c>
      <c r="J11" s="402">
        <f>Data!AX598</f>
        <v>239987.5166416</v>
      </c>
      <c r="K11" s="402">
        <f>Data!AY598</f>
        <v>1124221.2800000003</v>
      </c>
      <c r="L11" s="402">
        <f>Data!AZ598</f>
        <v>204457.5</v>
      </c>
      <c r="M11" s="402">
        <f>Data!BA598</f>
        <v>234591.25449760002</v>
      </c>
    </row>
    <row r="12" spans="1:13" x14ac:dyDescent="0.25">
      <c r="C12" t="s">
        <v>1999</v>
      </c>
      <c r="D12" s="250"/>
      <c r="E12" s="401">
        <f>Data!AS599</f>
        <v>1.4400000000000002</v>
      </c>
      <c r="F12" s="401">
        <f>Data!AT599</f>
        <v>68612.290000000008</v>
      </c>
      <c r="G12" s="401">
        <f>Data!AU599</f>
        <v>30815.379999999997</v>
      </c>
      <c r="H12" s="401">
        <f>Data!AV599</f>
        <v>71620.639999999999</v>
      </c>
      <c r="I12" s="401">
        <f>Data!AW599</f>
        <v>16776</v>
      </c>
      <c r="J12" s="401">
        <f>Data!AX599</f>
        <v>15288.8580208</v>
      </c>
      <c r="K12" s="401">
        <f>Data!AY599</f>
        <v>71620.639999999999</v>
      </c>
      <c r="L12" s="401">
        <f>Data!AZ599</f>
        <v>16776</v>
      </c>
      <c r="M12" s="401">
        <f>Data!BA599</f>
        <v>14945.078948800001</v>
      </c>
    </row>
    <row r="13" spans="1:13" x14ac:dyDescent="0.25">
      <c r="C13" t="s">
        <v>2004</v>
      </c>
      <c r="D13" s="250"/>
      <c r="E13" s="401">
        <f>Data!AS600</f>
        <v>42.099999999999994</v>
      </c>
      <c r="F13" s="401">
        <f>Data!AT600</f>
        <v>2164275.88</v>
      </c>
      <c r="G13" s="401">
        <f>Data!AU600</f>
        <v>922201.28</v>
      </c>
      <c r="H13" s="401">
        <f>Data!AV600</f>
        <v>2289098.5599999996</v>
      </c>
      <c r="I13" s="401">
        <f>Data!AW600</f>
        <v>490465</v>
      </c>
      <c r="J13" s="401">
        <f>Data!AX600</f>
        <v>487545.36545919982</v>
      </c>
      <c r="K13" s="401">
        <f>Data!AY600</f>
        <v>2289098.5599999996</v>
      </c>
      <c r="L13" s="401">
        <f>Data!AZ600</f>
        <v>490465</v>
      </c>
      <c r="M13" s="401">
        <f>Data!BA600</f>
        <v>477077.44517120003</v>
      </c>
    </row>
    <row r="14" spans="1:13" x14ac:dyDescent="0.25">
      <c r="B14" t="s">
        <v>2054</v>
      </c>
      <c r="E14" s="402">
        <f>Data!AS601</f>
        <v>43.539999999999992</v>
      </c>
      <c r="F14" s="402">
        <f>Data!AT601</f>
        <v>2232888.17</v>
      </c>
      <c r="G14" s="402">
        <f>Data!AU601</f>
        <v>953016.66</v>
      </c>
      <c r="H14" s="402">
        <f>Data!AV601</f>
        <v>2360719.1999999997</v>
      </c>
      <c r="I14" s="402">
        <f>Data!AW601</f>
        <v>507241</v>
      </c>
      <c r="J14" s="402">
        <f>Data!AX601</f>
        <v>502834.22347999981</v>
      </c>
      <c r="K14" s="402">
        <f>Data!AY601</f>
        <v>2360719.1999999997</v>
      </c>
      <c r="L14" s="402">
        <f>Data!AZ601</f>
        <v>507241</v>
      </c>
      <c r="M14" s="402">
        <f>Data!BA601</f>
        <v>492022.52412000002</v>
      </c>
    </row>
    <row r="15" spans="1:13" x14ac:dyDescent="0.25">
      <c r="E15" s="401">
        <f>Data!AS602</f>
        <v>0</v>
      </c>
      <c r="F15" s="401">
        <f>Data!AT602</f>
        <v>0</v>
      </c>
      <c r="G15" s="401">
        <f>Data!AU602</f>
        <v>0</v>
      </c>
      <c r="H15" s="401">
        <f>Data!AV602</f>
        <v>0</v>
      </c>
      <c r="I15" s="401">
        <f>Data!AW602</f>
        <v>0</v>
      </c>
      <c r="J15" s="401">
        <f>Data!AX602</f>
        <v>0</v>
      </c>
      <c r="K15" s="401">
        <f>Data!AY602</f>
        <v>0</v>
      </c>
      <c r="L15" s="401">
        <f>Data!AZ602</f>
        <v>0</v>
      </c>
      <c r="M15" s="401">
        <f>Data!BA602</f>
        <v>0</v>
      </c>
    </row>
    <row r="16" spans="1:13" x14ac:dyDescent="0.25">
      <c r="A16" s="395" t="s">
        <v>2055</v>
      </c>
      <c r="E16" s="403">
        <f>Data!AS603</f>
        <v>400.40000000000009</v>
      </c>
      <c r="F16" s="403">
        <f>Data!AT603</f>
        <v>20435387.469999999</v>
      </c>
      <c r="G16" s="403">
        <f>Data!AU603</f>
        <v>8906015.8899999987</v>
      </c>
      <c r="H16" s="403">
        <f>Data!AV603</f>
        <v>21501289.920000002</v>
      </c>
      <c r="I16" s="403">
        <f>Data!AW603</f>
        <v>4671650</v>
      </c>
      <c r="J16" s="403">
        <f>Data!AX603</f>
        <v>4583312.7311264044</v>
      </c>
      <c r="K16" s="403">
        <f>Data!AY603</f>
        <v>21501289.920000002</v>
      </c>
      <c r="L16" s="403">
        <f>Data!AZ603</f>
        <v>4671650</v>
      </c>
      <c r="M16" s="403">
        <f>Data!BA603</f>
        <v>4483210.4004703993</v>
      </c>
    </row>
    <row r="17" spans="1:13" x14ac:dyDescent="0.25">
      <c r="E17" s="401">
        <f>Data!AS604</f>
        <v>0</v>
      </c>
      <c r="F17" s="401">
        <f>Data!AT604</f>
        <v>0</v>
      </c>
      <c r="G17" s="401">
        <f>Data!AU604</f>
        <v>0</v>
      </c>
      <c r="H17" s="401">
        <f>Data!AV604</f>
        <v>0</v>
      </c>
      <c r="I17" s="401">
        <f>Data!AW604</f>
        <v>0</v>
      </c>
      <c r="J17" s="401">
        <f>Data!AX604</f>
        <v>0</v>
      </c>
      <c r="K17" s="401">
        <f>Data!AY604</f>
        <v>0</v>
      </c>
      <c r="L17" s="401">
        <f>Data!AZ604</f>
        <v>0</v>
      </c>
      <c r="M17" s="401">
        <f>Data!BA604</f>
        <v>0</v>
      </c>
    </row>
    <row r="18" spans="1:13" x14ac:dyDescent="0.25">
      <c r="A18" s="391" t="s">
        <v>2056</v>
      </c>
      <c r="E18" s="401">
        <f>Data!AS605</f>
        <v>0</v>
      </c>
      <c r="F18" s="401">
        <f>Data!AT605</f>
        <v>0</v>
      </c>
      <c r="G18" s="401">
        <f>Data!AU605</f>
        <v>0</v>
      </c>
      <c r="H18" s="401">
        <f>Data!AV605</f>
        <v>0</v>
      </c>
      <c r="I18" s="401">
        <f>Data!AW605</f>
        <v>0</v>
      </c>
      <c r="J18" s="401">
        <f>Data!AX605</f>
        <v>0</v>
      </c>
      <c r="K18" s="401">
        <f>Data!AY605</f>
        <v>0</v>
      </c>
      <c r="L18" s="401">
        <f>Data!AZ605</f>
        <v>0</v>
      </c>
      <c r="M18" s="401">
        <f>Data!BA605</f>
        <v>0</v>
      </c>
    </row>
    <row r="19" spans="1:13" x14ac:dyDescent="0.25">
      <c r="C19" t="s">
        <v>1993</v>
      </c>
      <c r="E19" s="401">
        <f>Data!AS606</f>
        <v>0</v>
      </c>
      <c r="F19" s="401">
        <f>Data!AT606</f>
        <v>708203.38</v>
      </c>
      <c r="G19" s="401">
        <f>Data!AU606</f>
        <v>66738.53</v>
      </c>
      <c r="H19" s="401">
        <f>Data!AV606</f>
        <v>708203.38</v>
      </c>
      <c r="I19" s="401">
        <f>Data!AW606</f>
        <v>0</v>
      </c>
      <c r="J19" s="401">
        <f>Data!AX606</f>
        <v>66738.53</v>
      </c>
      <c r="K19" s="401">
        <f>Data!AY606</f>
        <v>708203.38</v>
      </c>
      <c r="L19" s="401">
        <f>Data!AZ606</f>
        <v>0</v>
      </c>
      <c r="M19" s="401">
        <f>Data!BA606</f>
        <v>66738.53</v>
      </c>
    </row>
    <row r="20" spans="1:13" x14ac:dyDescent="0.25">
      <c r="B20" t="s">
        <v>2052</v>
      </c>
      <c r="E20" s="402">
        <f>Data!AS607</f>
        <v>0</v>
      </c>
      <c r="F20" s="402">
        <f>Data!AT607</f>
        <v>708203.38</v>
      </c>
      <c r="G20" s="402">
        <f>Data!AU607</f>
        <v>66738.53</v>
      </c>
      <c r="H20" s="402">
        <f>Data!AV607</f>
        <v>708203.38</v>
      </c>
      <c r="I20" s="402">
        <f>Data!AW607</f>
        <v>0</v>
      </c>
      <c r="J20" s="402">
        <f>Data!AX607</f>
        <v>66738.53</v>
      </c>
      <c r="K20" s="402">
        <f>Data!AY607</f>
        <v>708203.38</v>
      </c>
      <c r="L20" s="402">
        <f>Data!AZ607</f>
        <v>0</v>
      </c>
      <c r="M20" s="402">
        <f>Data!BA607</f>
        <v>66738.53</v>
      </c>
    </row>
    <row r="21" spans="1:13" x14ac:dyDescent="0.25">
      <c r="C21" t="s">
        <v>2032</v>
      </c>
      <c r="E21" s="401">
        <f>Data!AS608</f>
        <v>0</v>
      </c>
      <c r="F21" s="401">
        <f>Data!AT608</f>
        <v>54975.97</v>
      </c>
      <c r="G21" s="401">
        <f>Data!AU608</f>
        <v>4295.71</v>
      </c>
      <c r="H21" s="401">
        <f>Data!AV608</f>
        <v>54975.97</v>
      </c>
      <c r="I21" s="401">
        <f>Data!AW608</f>
        <v>0</v>
      </c>
      <c r="J21" s="401">
        <f>Data!AX608</f>
        <v>4295.71</v>
      </c>
      <c r="K21" s="401">
        <f>Data!AY608</f>
        <v>54975.97</v>
      </c>
      <c r="L21" s="401">
        <f>Data!AZ608</f>
        <v>0</v>
      </c>
      <c r="M21" s="401">
        <f>Data!BA608</f>
        <v>4295.71</v>
      </c>
    </row>
    <row r="22" spans="1:13" x14ac:dyDescent="0.25">
      <c r="B22" t="s">
        <v>2053</v>
      </c>
      <c r="E22" s="402">
        <f>Data!AS609</f>
        <v>0</v>
      </c>
      <c r="F22" s="402">
        <f>Data!AT609</f>
        <v>54975.97</v>
      </c>
      <c r="G22" s="402">
        <f>Data!AU609</f>
        <v>4295.71</v>
      </c>
      <c r="H22" s="402">
        <f>Data!AV609</f>
        <v>54975.97</v>
      </c>
      <c r="I22" s="402">
        <f>Data!AW609</f>
        <v>0</v>
      </c>
      <c r="J22" s="402">
        <f>Data!AX609</f>
        <v>4295.71</v>
      </c>
      <c r="K22" s="402">
        <f>Data!AY609</f>
        <v>54975.97</v>
      </c>
      <c r="L22" s="402">
        <f>Data!AZ609</f>
        <v>0</v>
      </c>
      <c r="M22" s="402">
        <f>Data!BA609</f>
        <v>4295.71</v>
      </c>
    </row>
    <row r="23" spans="1:13" x14ac:dyDescent="0.25">
      <c r="E23" s="401">
        <f>Data!AS610</f>
        <v>0</v>
      </c>
      <c r="F23" s="401">
        <f>Data!AT610</f>
        <v>0</v>
      </c>
      <c r="G23" s="401">
        <f>Data!AU610</f>
        <v>0</v>
      </c>
      <c r="H23" s="401">
        <f>Data!AV610</f>
        <v>0</v>
      </c>
      <c r="I23" s="401">
        <f>Data!AW610</f>
        <v>0</v>
      </c>
      <c r="J23" s="401">
        <f>Data!AX610</f>
        <v>0</v>
      </c>
      <c r="K23" s="401">
        <f>Data!AY610</f>
        <v>0</v>
      </c>
      <c r="L23" s="401">
        <f>Data!AZ610</f>
        <v>0</v>
      </c>
      <c r="M23" s="401">
        <f>Data!BA610</f>
        <v>0</v>
      </c>
    </row>
    <row r="24" spans="1:13" x14ac:dyDescent="0.25">
      <c r="A24" s="395" t="s">
        <v>2057</v>
      </c>
      <c r="E24" s="403">
        <f>Data!AS611</f>
        <v>0</v>
      </c>
      <c r="F24" s="403">
        <f>Data!AT611</f>
        <v>763179.35</v>
      </c>
      <c r="G24" s="403">
        <f>Data!AU611</f>
        <v>71034.240000000005</v>
      </c>
      <c r="H24" s="403">
        <f>Data!AV611</f>
        <v>763179.35</v>
      </c>
      <c r="I24" s="403">
        <f>Data!AW611</f>
        <v>0</v>
      </c>
      <c r="J24" s="403">
        <f>Data!AX611</f>
        <v>71034.240000000005</v>
      </c>
      <c r="K24" s="403">
        <f>Data!AY611</f>
        <v>763179.35</v>
      </c>
      <c r="L24" s="403">
        <f>Data!AZ611</f>
        <v>0</v>
      </c>
      <c r="M24" s="403">
        <f>Data!BA611</f>
        <v>71034.240000000005</v>
      </c>
    </row>
    <row r="25" spans="1:13" x14ac:dyDescent="0.25">
      <c r="E25" s="401">
        <f>Data!AS612</f>
        <v>0</v>
      </c>
      <c r="F25" s="401">
        <f>Data!AT612</f>
        <v>0</v>
      </c>
      <c r="G25" s="401">
        <f>Data!AU612</f>
        <v>0</v>
      </c>
      <c r="H25" s="401">
        <f>Data!AV612</f>
        <v>0</v>
      </c>
      <c r="I25" s="401">
        <f>Data!AW612</f>
        <v>0</v>
      </c>
      <c r="J25" s="401">
        <f>Data!AX612</f>
        <v>0</v>
      </c>
      <c r="K25" s="401">
        <f>Data!AY612</f>
        <v>0</v>
      </c>
      <c r="L25" s="401">
        <f>Data!AZ612</f>
        <v>0</v>
      </c>
      <c r="M25" s="401">
        <f>Data!BA612</f>
        <v>0</v>
      </c>
    </row>
    <row r="26" spans="1:13" x14ac:dyDescent="0.25">
      <c r="A26" s="396" t="s">
        <v>2058</v>
      </c>
      <c r="E26" s="399">
        <f>Data!AS613</f>
        <v>400.40000000000009</v>
      </c>
      <c r="F26" s="400">
        <f>Data!AT613</f>
        <v>21198566.82</v>
      </c>
      <c r="G26" s="400">
        <f>Data!AU613</f>
        <v>8977050.129999999</v>
      </c>
      <c r="H26" s="400">
        <f>Data!AV613</f>
        <v>22264469.270000003</v>
      </c>
      <c r="I26" s="400">
        <f>Data!AW613</f>
        <v>4671650</v>
      </c>
      <c r="J26" s="400">
        <f>Data!AX613</f>
        <v>4654346.9711264046</v>
      </c>
      <c r="K26" s="400">
        <f>Data!AY613</f>
        <v>22264469.270000003</v>
      </c>
      <c r="L26" s="400">
        <f>Data!AZ613</f>
        <v>4671650</v>
      </c>
      <c r="M26" s="400">
        <f>Data!BA613</f>
        <v>4554244.6404703995</v>
      </c>
    </row>
  </sheetData>
  <mergeCells count="5">
    <mergeCell ref="F5:G5"/>
    <mergeCell ref="I5:J5"/>
    <mergeCell ref="L5:M5"/>
    <mergeCell ref="H5:H6"/>
    <mergeCell ref="K5:K6"/>
  </mergeCells>
  <pageMargins left="0.7" right="0.7" top="0.75" bottom="0.75" header="0.3" footer="0.3"/>
  <pageSetup scale="79" orientation="landscape" horizontalDpi="1200" verticalDpi="1200" r:id="rId1"/>
  <headerFooter>
    <oddHeader>&amp;L&amp;"Arial"&amp;14 Department of Revenue and Taxation&amp;R&amp;"Arial"&amp;10 Agency 352</oddHeader>
    <oddFooter>&amp;L&amp;"Arial"&amp;10 B6:Summary by Fund&amp;R&amp;"Arial"&amp;10 FY 2022 Request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676E12-12B0-45B1-AB94-1C69DC7D28B9}">
  <sheetPr>
    <tabColor rgb="FFFFC000"/>
    <pageSetUpPr fitToPage="1"/>
  </sheetPr>
  <dimension ref="A1:CP80"/>
  <sheetViews>
    <sheetView showGridLines="0" zoomScaleNormal="100" workbookViewId="0">
      <selection activeCell="C8" sqref="C8:N16"/>
    </sheetView>
  </sheetViews>
  <sheetFormatPr defaultColWidth="9.140625" defaultRowHeight="15.75" x14ac:dyDescent="0.25"/>
  <cols>
    <col min="1" max="1" width="7.85546875" style="124" customWidth="1"/>
    <col min="2" max="2" width="7.7109375" style="125" customWidth="1"/>
    <col min="3" max="3" width="9" style="125" customWidth="1"/>
    <col min="4" max="4" width="39.28515625" style="53" customWidth="1"/>
    <col min="5" max="5" width="13" style="126" customWidth="1"/>
    <col min="6" max="6" width="12.28515625" style="127" customWidth="1"/>
    <col min="7" max="7" width="12.140625" style="127" bestFit="1" customWidth="1"/>
    <col min="8" max="8" width="14.5703125" style="127" customWidth="1"/>
    <col min="9" max="9" width="19.5703125" style="128" bestFit="1" customWidth="1"/>
    <col min="10" max="10" width="13.7109375" style="129" customWidth="1"/>
    <col min="11" max="11" width="13.7109375" style="129" hidden="1" customWidth="1"/>
    <col min="12" max="12" width="18.42578125" style="129" customWidth="1"/>
    <col min="13" max="13" width="16.42578125" style="129" customWidth="1"/>
    <col min="14" max="14" width="16.140625" style="128" customWidth="1"/>
    <col min="15" max="25" width="16.140625" customWidth="1"/>
    <col min="26" max="26" width="16.140625" style="344" customWidth="1"/>
    <col min="27" max="27" width="22.140625" style="334" bestFit="1" customWidth="1"/>
    <col min="28" max="28" width="31.140625" style="334" bestFit="1" customWidth="1"/>
    <col min="29" max="29" width="7.85546875" style="334" bestFit="1" customWidth="1"/>
    <col min="30" max="30" width="9.140625" style="110" customWidth="1"/>
    <col min="31" max="94" width="9.140625" style="17"/>
    <col min="95" max="16384" width="9.140625" style="18"/>
  </cols>
  <sheetData>
    <row r="1" spans="1:94" x14ac:dyDescent="0.25">
      <c r="A1" s="12" t="s">
        <v>13</v>
      </c>
      <c r="B1" s="13"/>
      <c r="C1" s="13"/>
      <c r="D1" s="14" t="s">
        <v>1989</v>
      </c>
      <c r="E1" s="15"/>
      <c r="F1" s="15"/>
      <c r="G1" s="15"/>
      <c r="H1" s="15"/>
      <c r="I1" s="15"/>
      <c r="J1" s="15"/>
      <c r="K1" s="15"/>
      <c r="L1" s="16" t="s">
        <v>14</v>
      </c>
      <c r="M1" s="467">
        <v>352</v>
      </c>
      <c r="N1" s="468"/>
      <c r="AA1" s="363"/>
      <c r="AB1" s="333"/>
      <c r="AC1" s="333"/>
      <c r="AD1" s="325"/>
    </row>
    <row r="2" spans="1:94" ht="20.25" x14ac:dyDescent="0.25">
      <c r="A2" s="19" t="s">
        <v>116</v>
      </c>
      <c r="B2" s="20"/>
      <c r="C2" s="20"/>
      <c r="D2" s="14" t="s">
        <v>1990</v>
      </c>
      <c r="E2" s="21"/>
      <c r="F2" s="21"/>
      <c r="G2" s="21"/>
      <c r="H2" s="21"/>
      <c r="I2" s="21"/>
      <c r="J2" s="20"/>
      <c r="K2" s="20"/>
      <c r="L2" s="22" t="s">
        <v>113</v>
      </c>
      <c r="M2" s="469" t="s">
        <v>2000</v>
      </c>
      <c r="N2" s="470"/>
      <c r="AA2" s="333"/>
      <c r="AB2" s="333"/>
      <c r="AC2" s="333"/>
      <c r="AD2" s="325"/>
    </row>
    <row r="3" spans="1:94" x14ac:dyDescent="0.25">
      <c r="A3" s="19" t="s">
        <v>117</v>
      </c>
      <c r="B3" s="20"/>
      <c r="C3" s="20"/>
      <c r="D3" s="23" t="s">
        <v>1991</v>
      </c>
      <c r="E3" s="24"/>
      <c r="F3" s="25"/>
      <c r="G3" s="25"/>
      <c r="H3" s="25"/>
      <c r="I3" s="26"/>
      <c r="J3" s="20"/>
      <c r="K3" s="20"/>
      <c r="L3" s="22" t="s">
        <v>114</v>
      </c>
      <c r="M3" s="467" t="s">
        <v>167</v>
      </c>
      <c r="N3" s="468"/>
      <c r="AA3" s="363"/>
      <c r="AB3" s="333"/>
      <c r="AC3" s="333"/>
      <c r="AD3" s="325"/>
    </row>
    <row r="4" spans="1:94" x14ac:dyDescent="0.25">
      <c r="A4" s="19"/>
      <c r="B4" s="20"/>
      <c r="C4" s="20"/>
      <c r="D4" s="27"/>
      <c r="E4" s="24"/>
      <c r="F4" s="25"/>
      <c r="G4" s="25"/>
      <c r="H4" s="25"/>
      <c r="I4" s="28"/>
      <c r="J4" s="26"/>
      <c r="K4" s="26"/>
      <c r="L4" s="22" t="s">
        <v>15</v>
      </c>
      <c r="M4" s="467">
        <v>2023</v>
      </c>
      <c r="N4" s="468"/>
      <c r="AA4" s="363"/>
      <c r="AB4" s="333"/>
      <c r="AC4" s="333"/>
      <c r="AD4" s="325"/>
    </row>
    <row r="5" spans="1:94" s="34" customFormat="1" ht="18" customHeight="1" x14ac:dyDescent="0.25">
      <c r="A5" s="19" t="s">
        <v>16</v>
      </c>
      <c r="B5" s="20"/>
      <c r="C5" s="20"/>
      <c r="D5" s="350">
        <v>44440</v>
      </c>
      <c r="E5" s="27"/>
      <c r="F5" s="30"/>
      <c r="G5" s="31"/>
      <c r="H5" s="31" t="s">
        <v>17</v>
      </c>
      <c r="I5" s="469" t="s">
        <v>1998</v>
      </c>
      <c r="J5" s="471"/>
      <c r="K5" s="471"/>
      <c r="L5" s="470"/>
      <c r="M5" s="351" t="s">
        <v>115</v>
      </c>
      <c r="N5" s="32" t="s">
        <v>1999</v>
      </c>
      <c r="O5"/>
      <c r="P5"/>
      <c r="Q5"/>
      <c r="R5"/>
      <c r="S5"/>
      <c r="T5"/>
      <c r="U5"/>
      <c r="V5"/>
      <c r="W5"/>
      <c r="X5"/>
      <c r="Y5"/>
      <c r="Z5" s="344"/>
      <c r="AA5" s="363"/>
      <c r="AB5" s="333"/>
      <c r="AC5" s="333"/>
      <c r="AD5" s="326"/>
      <c r="AE5" s="33"/>
      <c r="AF5" s="33"/>
      <c r="AG5" s="33"/>
      <c r="AH5" s="33"/>
      <c r="AI5" s="33"/>
      <c r="AJ5" s="33"/>
      <c r="AK5" s="33"/>
      <c r="AL5" s="33"/>
      <c r="AM5" s="33"/>
      <c r="AN5" s="33"/>
      <c r="AO5" s="33"/>
      <c r="AP5" s="33"/>
      <c r="AQ5" s="33"/>
      <c r="AR5" s="33"/>
      <c r="AS5" s="33"/>
      <c r="AT5" s="33"/>
      <c r="AU5" s="33"/>
      <c r="AV5" s="33"/>
      <c r="AW5" s="33"/>
      <c r="AX5" s="33"/>
      <c r="AY5" s="33"/>
      <c r="AZ5" s="33"/>
      <c r="BA5" s="33"/>
      <c r="BB5" s="33"/>
      <c r="BC5" s="33"/>
      <c r="BD5" s="33"/>
      <c r="BE5" s="33"/>
      <c r="BF5" s="33"/>
      <c r="BG5" s="33"/>
      <c r="BH5" s="33"/>
      <c r="BI5" s="33"/>
      <c r="BJ5" s="33"/>
      <c r="BK5" s="33"/>
      <c r="BL5" s="33"/>
      <c r="BM5" s="33"/>
      <c r="BN5" s="33"/>
      <c r="BO5" s="33"/>
      <c r="BP5" s="33"/>
      <c r="BQ5" s="33"/>
      <c r="BR5" s="33"/>
      <c r="BS5" s="33"/>
      <c r="BT5" s="33"/>
      <c r="BU5" s="33"/>
      <c r="BV5" s="33"/>
      <c r="BW5" s="33"/>
      <c r="BX5" s="33"/>
      <c r="BY5" s="33"/>
      <c r="BZ5" s="33"/>
      <c r="CA5" s="33"/>
      <c r="CB5" s="33"/>
      <c r="CC5" s="33"/>
      <c r="CD5" s="33"/>
      <c r="CE5" s="33"/>
      <c r="CF5" s="33"/>
      <c r="CG5" s="33"/>
      <c r="CH5" s="33"/>
      <c r="CI5" s="33"/>
      <c r="CJ5" s="33"/>
      <c r="CK5" s="33"/>
      <c r="CL5" s="33"/>
      <c r="CM5" s="33"/>
      <c r="CN5" s="33"/>
      <c r="CO5" s="33"/>
      <c r="CP5" s="33"/>
    </row>
    <row r="6" spans="1:94" ht="23.25" customHeight="1" x14ac:dyDescent="0.25">
      <c r="A6" s="19"/>
      <c r="B6" s="20" t="s">
        <v>18</v>
      </c>
      <c r="C6" s="20"/>
      <c r="D6" s="29"/>
      <c r="E6" s="35" t="s">
        <v>19</v>
      </c>
      <c r="F6" s="36"/>
      <c r="G6" s="25"/>
      <c r="H6" s="25"/>
      <c r="I6" s="37"/>
      <c r="J6" s="31" t="s">
        <v>84</v>
      </c>
      <c r="K6" s="31"/>
      <c r="L6" s="352"/>
      <c r="M6" s="353" t="s">
        <v>85</v>
      </c>
      <c r="N6" s="306"/>
      <c r="AA6" s="363"/>
      <c r="AB6" s="333"/>
      <c r="AC6" s="333"/>
      <c r="AD6" s="325"/>
    </row>
    <row r="7" spans="1:94" x14ac:dyDescent="0.25">
      <c r="A7" s="38"/>
      <c r="B7" s="39"/>
      <c r="C7" s="40"/>
      <c r="D7" s="41"/>
      <c r="E7" s="42"/>
      <c r="F7" s="40"/>
      <c r="G7" s="43"/>
      <c r="H7" s="44"/>
      <c r="I7" s="45"/>
      <c r="J7" s="46"/>
      <c r="K7" s="46"/>
      <c r="L7" s="46"/>
      <c r="M7" s="46"/>
      <c r="N7" s="47"/>
    </row>
    <row r="8" spans="1:94" s="52" customFormat="1" ht="40.5" customHeight="1" x14ac:dyDescent="0.25">
      <c r="A8" s="48" t="s">
        <v>20</v>
      </c>
      <c r="B8" s="369" t="s">
        <v>21</v>
      </c>
      <c r="C8" s="472" t="s">
        <v>22</v>
      </c>
      <c r="D8" s="473"/>
      <c r="E8" s="369" t="s">
        <v>23</v>
      </c>
      <c r="F8" s="49" t="s">
        <v>24</v>
      </c>
      <c r="G8" s="50" t="str">
        <f>"FY "&amp;'TAAA|0338-01'!FiscalYear-1&amp;" SALARY"</f>
        <v>FY 2022 SALARY</v>
      </c>
      <c r="H8" s="50" t="str">
        <f>"FY "&amp;'TAAA|0338-01'!FiscalYear-1&amp;" HEALTH BENEFITS"</f>
        <v>FY 2022 HEALTH BENEFITS</v>
      </c>
      <c r="I8" s="50" t="str">
        <f>"FY "&amp;'TAAA|0338-01'!FiscalYear-1&amp;" VAR BENEFITS"</f>
        <v>FY 2022 VAR BENEFITS</v>
      </c>
      <c r="J8" s="50" t="str">
        <f>"FY "&amp;'TAAA|0338-01'!FiscalYear-1&amp;" TOTAL"</f>
        <v>FY 2022 TOTAL</v>
      </c>
      <c r="K8" s="50" t="str">
        <f>"FY "&amp;'TAAA|0338-01'!FiscalYear&amp;" SALARY CHANGE"</f>
        <v>FY 2023 SALARY CHANGE</v>
      </c>
      <c r="L8" s="50" t="str">
        <f>"FY "&amp;'TAAA|0338-01'!FiscalYear&amp;" CHG HEALTH BENEFITS"</f>
        <v>FY 2023 CHG HEALTH BENEFITS</v>
      </c>
      <c r="M8" s="50" t="str">
        <f>"FY "&amp;'TAAA|0338-01'!FiscalYear&amp;" CHG VAR BENEFITS"</f>
        <v>FY 2023 CHG VAR BENEFITS</v>
      </c>
      <c r="N8" s="50" t="s">
        <v>25</v>
      </c>
      <c r="O8"/>
      <c r="P8"/>
      <c r="Q8"/>
      <c r="R8"/>
      <c r="S8"/>
      <c r="T8"/>
      <c r="U8"/>
      <c r="V8"/>
      <c r="W8"/>
      <c r="X8"/>
      <c r="Y8"/>
      <c r="Z8" s="344"/>
      <c r="AA8" s="463" t="s">
        <v>105</v>
      </c>
      <c r="AB8" s="463"/>
      <c r="AC8" s="463"/>
      <c r="AD8" s="327"/>
      <c r="AE8" s="51"/>
      <c r="AF8" s="51"/>
      <c r="AG8" s="51"/>
      <c r="AH8" s="51"/>
      <c r="AI8" s="51"/>
      <c r="AJ8" s="51"/>
      <c r="AK8" s="51"/>
      <c r="AL8" s="51"/>
      <c r="AM8" s="51"/>
      <c r="AN8" s="51"/>
      <c r="AO8" s="51"/>
      <c r="AP8" s="51"/>
      <c r="AQ8" s="51"/>
      <c r="AR8" s="51"/>
      <c r="AS8" s="51"/>
      <c r="AT8" s="51"/>
      <c r="AU8" s="51"/>
      <c r="AV8" s="51"/>
      <c r="AW8" s="51"/>
      <c r="AX8" s="51"/>
      <c r="AY8" s="51"/>
      <c r="AZ8" s="51"/>
      <c r="BA8" s="51"/>
      <c r="BB8" s="51"/>
      <c r="BC8" s="51"/>
      <c r="BD8" s="51"/>
      <c r="BE8" s="51"/>
      <c r="BF8" s="51"/>
      <c r="BG8" s="51"/>
      <c r="BH8" s="51"/>
      <c r="BI8" s="51"/>
      <c r="BJ8" s="51"/>
      <c r="BK8" s="51"/>
      <c r="BL8" s="51"/>
      <c r="BM8" s="51"/>
      <c r="BN8" s="51"/>
      <c r="BO8" s="51"/>
      <c r="BP8" s="51"/>
      <c r="BQ8" s="51"/>
      <c r="BR8" s="51"/>
      <c r="BS8" s="51"/>
      <c r="BT8" s="51"/>
      <c r="BU8" s="51"/>
      <c r="BV8" s="51"/>
      <c r="BW8" s="51"/>
      <c r="BX8" s="51"/>
      <c r="BY8" s="51"/>
      <c r="BZ8" s="51"/>
      <c r="CA8" s="51"/>
      <c r="CB8" s="51"/>
      <c r="CC8" s="51"/>
      <c r="CD8" s="51"/>
      <c r="CE8" s="51"/>
      <c r="CF8" s="51"/>
      <c r="CG8" s="51"/>
      <c r="CH8" s="51"/>
      <c r="CI8" s="51"/>
      <c r="CJ8" s="51"/>
      <c r="CK8" s="51"/>
      <c r="CL8" s="51"/>
      <c r="CM8" s="51"/>
      <c r="CN8" s="51"/>
      <c r="CO8" s="51"/>
      <c r="CP8" s="51"/>
    </row>
    <row r="9" spans="1:94" s="149" customFormat="1" x14ac:dyDescent="0.25">
      <c r="A9" s="139"/>
      <c r="B9" s="140"/>
      <c r="C9" s="464" t="s">
        <v>26</v>
      </c>
      <c r="D9" s="465"/>
      <c r="E9" s="141"/>
      <c r="F9" s="142"/>
      <c r="G9" s="143"/>
      <c r="H9" s="143"/>
      <c r="I9" s="143"/>
      <c r="J9" s="144"/>
      <c r="K9" s="144"/>
      <c r="L9" s="145"/>
      <c r="M9" s="146"/>
      <c r="N9" s="144"/>
      <c r="O9"/>
      <c r="P9"/>
      <c r="Q9"/>
      <c r="R9"/>
      <c r="S9"/>
      <c r="T9"/>
      <c r="U9"/>
      <c r="V9"/>
      <c r="W9"/>
      <c r="X9"/>
      <c r="Y9"/>
      <c r="Z9" s="344"/>
      <c r="AA9" s="363" t="s">
        <v>94</v>
      </c>
      <c r="AB9" s="333" t="s">
        <v>95</v>
      </c>
      <c r="AC9" s="333" t="s">
        <v>106</v>
      </c>
      <c r="AD9" s="328"/>
      <c r="AE9" s="148"/>
      <c r="AF9" s="148"/>
      <c r="AG9" s="148"/>
      <c r="AH9" s="148"/>
      <c r="AI9" s="148"/>
      <c r="AJ9" s="148"/>
      <c r="AK9" s="148"/>
      <c r="AL9" s="148"/>
      <c r="AM9" s="148"/>
      <c r="AN9" s="148"/>
      <c r="AO9" s="148"/>
      <c r="AP9" s="148"/>
      <c r="AQ9" s="148"/>
      <c r="AR9" s="148"/>
      <c r="AS9" s="148"/>
      <c r="AT9" s="148"/>
      <c r="AU9" s="148"/>
      <c r="AV9" s="148"/>
      <c r="AW9" s="148"/>
      <c r="AX9" s="148"/>
      <c r="AY9" s="148"/>
      <c r="AZ9" s="148"/>
      <c r="BA9" s="148"/>
      <c r="BB9" s="148"/>
      <c r="BC9" s="148"/>
      <c r="BD9" s="148"/>
      <c r="BE9" s="148"/>
      <c r="BF9" s="148"/>
      <c r="BG9" s="148"/>
      <c r="BH9" s="148"/>
      <c r="BI9" s="148"/>
      <c r="BJ9" s="148"/>
      <c r="BK9" s="148"/>
      <c r="BL9" s="148"/>
      <c r="BM9" s="148"/>
      <c r="BN9" s="148"/>
      <c r="BO9" s="148"/>
      <c r="BP9" s="148"/>
      <c r="BQ9" s="148"/>
      <c r="BR9" s="148"/>
      <c r="BS9" s="148"/>
      <c r="BT9" s="148"/>
      <c r="BU9" s="148"/>
      <c r="BV9" s="148"/>
      <c r="BW9" s="148"/>
      <c r="BX9" s="148"/>
      <c r="BY9" s="148"/>
      <c r="BZ9" s="148"/>
      <c r="CA9" s="148"/>
      <c r="CB9" s="148"/>
      <c r="CC9" s="148"/>
      <c r="CD9" s="148"/>
      <c r="CE9" s="148"/>
      <c r="CF9" s="148"/>
      <c r="CG9" s="148"/>
      <c r="CH9" s="148"/>
      <c r="CI9" s="148"/>
      <c r="CJ9" s="148"/>
      <c r="CK9" s="148"/>
      <c r="CL9" s="148"/>
      <c r="CM9" s="148"/>
      <c r="CN9" s="148"/>
      <c r="CO9" s="148"/>
      <c r="CP9" s="148"/>
    </row>
    <row r="10" spans="1:94" s="149" customFormat="1" x14ac:dyDescent="0.25">
      <c r="A10" s="139"/>
      <c r="B10" s="139"/>
      <c r="C10" s="443" t="s">
        <v>27</v>
      </c>
      <c r="D10" s="466"/>
      <c r="E10" s="217">
        <v>1</v>
      </c>
      <c r="F10" s="288">
        <f>[0]!TAAA033801col_INC_FTI</f>
        <v>1</v>
      </c>
      <c r="G10" s="218">
        <f>[0]!TAAA033801col_FTI_SALARY_PERM</f>
        <v>53643.199999999997</v>
      </c>
      <c r="H10" s="218">
        <f>[0]!TAAA033801col_HEALTH_PERM</f>
        <v>11650</v>
      </c>
      <c r="I10" s="218">
        <f>[0]!TAAA033801col_TOT_VB_PERM</f>
        <v>11451.213904</v>
      </c>
      <c r="J10" s="219">
        <f>SUM(G10:I10)</f>
        <v>76744.413904000001</v>
      </c>
      <c r="K10" s="219">
        <f>[0]!TAAA033801col_1_27TH_PP</f>
        <v>0</v>
      </c>
      <c r="L10" s="218">
        <f>[0]!TAAA033801col_HEALTH_PERM_CHG</f>
        <v>0</v>
      </c>
      <c r="M10" s="218">
        <f>[0]!TAAA033801col_TOT_VB_PERM_CHG</f>
        <v>-257.48735999999997</v>
      </c>
      <c r="N10" s="218">
        <f>SUM(L10:M10)</f>
        <v>-257.48735999999997</v>
      </c>
      <c r="O10"/>
      <c r="P10"/>
      <c r="Q10"/>
      <c r="R10"/>
      <c r="S10"/>
      <c r="T10"/>
      <c r="U10"/>
      <c r="V10"/>
      <c r="W10"/>
      <c r="X10"/>
      <c r="Y10"/>
      <c r="Z10" s="344"/>
      <c r="AA10" s="338">
        <f>ROUND(CECPerm*PermSalary,-2)</f>
        <v>500</v>
      </c>
      <c r="AB10" s="335">
        <f>ROUND(PermVarBen*CECPerm+(CECPerm*PermVarBenChg),-2)</f>
        <v>100</v>
      </c>
      <c r="AC10" s="335">
        <f>SUM(AA10:AB10)</f>
        <v>600</v>
      </c>
      <c r="AD10" s="328"/>
      <c r="AE10" s="148"/>
      <c r="AF10" s="148"/>
      <c r="AG10" s="148"/>
      <c r="AH10" s="148"/>
      <c r="AI10" s="148"/>
      <c r="AJ10" s="148"/>
      <c r="AK10" s="148"/>
      <c r="AL10" s="148"/>
      <c r="AM10" s="148"/>
      <c r="AN10" s="148"/>
      <c r="AO10" s="148"/>
      <c r="AP10" s="148"/>
      <c r="AQ10" s="148"/>
      <c r="AR10" s="148"/>
      <c r="AS10" s="148"/>
      <c r="AT10" s="148"/>
      <c r="AU10" s="148"/>
      <c r="AV10" s="148"/>
      <c r="AW10" s="148"/>
      <c r="AX10" s="148"/>
      <c r="AY10" s="148"/>
      <c r="AZ10" s="148"/>
      <c r="BA10" s="148"/>
      <c r="BB10" s="148"/>
      <c r="BC10" s="148"/>
      <c r="BD10" s="148"/>
      <c r="BE10" s="148"/>
      <c r="BF10" s="148"/>
      <c r="BG10" s="148"/>
      <c r="BH10" s="148"/>
      <c r="BI10" s="148"/>
      <c r="BJ10" s="148"/>
      <c r="BK10" s="148"/>
      <c r="BL10" s="148"/>
      <c r="BM10" s="148"/>
      <c r="BN10" s="148"/>
      <c r="BO10" s="148"/>
      <c r="BP10" s="148"/>
      <c r="BQ10" s="148"/>
      <c r="BR10" s="148"/>
      <c r="BS10" s="148"/>
      <c r="BT10" s="148"/>
      <c r="BU10" s="148"/>
      <c r="BV10" s="148"/>
      <c r="BW10" s="148"/>
      <c r="BX10" s="148"/>
      <c r="BY10" s="148"/>
      <c r="BZ10" s="148"/>
      <c r="CA10" s="148"/>
      <c r="CB10" s="148"/>
      <c r="CC10" s="148"/>
      <c r="CD10" s="148"/>
      <c r="CE10" s="148"/>
      <c r="CF10" s="148"/>
      <c r="CG10" s="148"/>
      <c r="CH10" s="148"/>
      <c r="CI10" s="148"/>
      <c r="CJ10" s="148"/>
      <c r="CK10" s="148"/>
      <c r="CL10" s="148"/>
      <c r="CM10" s="148"/>
      <c r="CN10" s="148"/>
      <c r="CO10" s="148"/>
      <c r="CP10" s="148"/>
    </row>
    <row r="11" spans="1:94" s="149" customFormat="1" x14ac:dyDescent="0.25">
      <c r="A11" s="139"/>
      <c r="B11" s="139"/>
      <c r="C11" s="443" t="s">
        <v>28</v>
      </c>
      <c r="D11" s="466"/>
      <c r="E11" s="217">
        <v>2</v>
      </c>
      <c r="F11" s="288"/>
      <c r="G11" s="218">
        <f>[0]!TAAA033801col_Group_Salary</f>
        <v>0</v>
      </c>
      <c r="H11" s="218">
        <v>0</v>
      </c>
      <c r="I11" s="218">
        <f>[0]!TAAA033801col_Group_Ben</f>
        <v>0</v>
      </c>
      <c r="J11" s="219">
        <f>SUM(G11:I11)</f>
        <v>0</v>
      </c>
      <c r="K11" s="268"/>
      <c r="L11" s="218"/>
      <c r="M11" s="218"/>
      <c r="N11" s="218"/>
      <c r="O11"/>
      <c r="P11"/>
      <c r="Q11"/>
      <c r="R11"/>
      <c r="S11"/>
      <c r="T11"/>
      <c r="U11"/>
      <c r="V11"/>
      <c r="W11"/>
      <c r="X11"/>
      <c r="Y11"/>
      <c r="Z11" s="344"/>
      <c r="AA11" s="338">
        <f>ROUND(GroupSalary*CECGroup,-2)</f>
        <v>0</v>
      </c>
      <c r="AB11" s="335">
        <f>ROUND((GroupSalary*GroupVBBY)*CECGroup,-2)</f>
        <v>0</v>
      </c>
      <c r="AC11" s="335">
        <f>SUM(AA12:AB12)</f>
        <v>0</v>
      </c>
      <c r="AD11" s="328"/>
      <c r="AE11" s="148"/>
      <c r="AF11" s="148"/>
      <c r="AG11" s="148"/>
      <c r="AH11" s="148"/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148"/>
      <c r="AV11" s="148"/>
      <c r="AW11" s="148"/>
      <c r="AX11" s="148"/>
      <c r="AY11" s="148"/>
      <c r="AZ11" s="148"/>
      <c r="BA11" s="148"/>
      <c r="BB11" s="148"/>
      <c r="BC11" s="148"/>
      <c r="BD11" s="148"/>
      <c r="BE11" s="148"/>
      <c r="BF11" s="148"/>
      <c r="BG11" s="148"/>
      <c r="BH11" s="148"/>
      <c r="BI11" s="148"/>
      <c r="BJ11" s="148"/>
      <c r="BK11" s="148"/>
      <c r="BL11" s="148"/>
      <c r="BM11" s="148"/>
      <c r="BN11" s="148"/>
      <c r="BO11" s="148"/>
      <c r="BP11" s="148"/>
      <c r="BQ11" s="148"/>
      <c r="BR11" s="148"/>
      <c r="BS11" s="148"/>
      <c r="BT11" s="148"/>
      <c r="BU11" s="148"/>
      <c r="BV11" s="148"/>
      <c r="BW11" s="148"/>
      <c r="BX11" s="148"/>
      <c r="BY11" s="148"/>
      <c r="BZ11" s="148"/>
      <c r="CA11" s="148"/>
      <c r="CB11" s="148"/>
      <c r="CC11" s="148"/>
      <c r="CD11" s="148"/>
      <c r="CE11" s="148"/>
      <c r="CF11" s="148"/>
      <c r="CG11" s="148"/>
      <c r="CH11" s="148"/>
      <c r="CI11" s="148"/>
      <c r="CJ11" s="148"/>
      <c r="CK11" s="148"/>
      <c r="CL11" s="148"/>
      <c r="CM11" s="148"/>
      <c r="CN11" s="148"/>
      <c r="CO11" s="148"/>
      <c r="CP11" s="148"/>
    </row>
    <row r="12" spans="1:94" s="149" customFormat="1" x14ac:dyDescent="0.25">
      <c r="A12" s="139"/>
      <c r="B12" s="139"/>
      <c r="C12" s="443" t="s">
        <v>29</v>
      </c>
      <c r="D12" s="444"/>
      <c r="E12" s="217">
        <v>3</v>
      </c>
      <c r="F12" s="288">
        <f>[0]!TAAA033801col_TOTAL_ELECT_PCN_FTI</f>
        <v>0</v>
      </c>
      <c r="G12" s="218">
        <f>[0]!TAAA033801col_FTI_SALARY_ELECT</f>
        <v>0</v>
      </c>
      <c r="H12" s="218">
        <f>[0]!TAAA033801col_HEALTH_ELECT</f>
        <v>0</v>
      </c>
      <c r="I12" s="218">
        <f>[0]!TAAA033801col_TOT_VB_ELECT</f>
        <v>0</v>
      </c>
      <c r="J12" s="219">
        <f>SUM(G12:I12)</f>
        <v>0</v>
      </c>
      <c r="K12" s="268"/>
      <c r="L12" s="218">
        <f>[0]!TAAA033801col_HEALTH_ELECT_CHG</f>
        <v>0</v>
      </c>
      <c r="M12" s="218">
        <f>[0]!TAAA033801col_TOT_VB_ELECT_CHG</f>
        <v>0</v>
      </c>
      <c r="N12" s="219">
        <f>SUM(L12:M12)</f>
        <v>0</v>
      </c>
      <c r="O12"/>
      <c r="P12"/>
      <c r="Q12"/>
      <c r="R12"/>
      <c r="S12"/>
      <c r="T12"/>
      <c r="U12"/>
      <c r="V12"/>
      <c r="W12"/>
      <c r="X12"/>
      <c r="Y12"/>
      <c r="Z12" s="344"/>
      <c r="AA12" s="336"/>
      <c r="AB12" s="336"/>
      <c r="AC12" s="336"/>
      <c r="AD12" s="328"/>
      <c r="AE12" s="148"/>
      <c r="AF12" s="148"/>
      <c r="AG12" s="148"/>
      <c r="AH12" s="148"/>
      <c r="AI12" s="148"/>
      <c r="AJ12" s="148"/>
      <c r="AK12" s="148"/>
      <c r="AL12" s="148"/>
      <c r="AM12" s="148"/>
      <c r="AN12" s="148"/>
      <c r="AO12" s="148"/>
      <c r="AP12" s="148"/>
      <c r="AQ12" s="148"/>
      <c r="AR12" s="148"/>
      <c r="AS12" s="148"/>
      <c r="AT12" s="148"/>
      <c r="AU12" s="148"/>
      <c r="AV12" s="148"/>
      <c r="AW12" s="148"/>
      <c r="AX12" s="148"/>
      <c r="AY12" s="148"/>
      <c r="AZ12" s="148"/>
      <c r="BA12" s="148"/>
      <c r="BB12" s="148"/>
      <c r="BC12" s="148"/>
      <c r="BD12" s="148"/>
      <c r="BE12" s="148"/>
      <c r="BF12" s="148"/>
      <c r="BG12" s="148"/>
      <c r="BH12" s="148"/>
      <c r="BI12" s="148"/>
      <c r="BJ12" s="148"/>
      <c r="BK12" s="148"/>
      <c r="BL12" s="148"/>
      <c r="BM12" s="148"/>
      <c r="BN12" s="148"/>
      <c r="BO12" s="148"/>
      <c r="BP12" s="148"/>
      <c r="BQ12" s="148"/>
      <c r="BR12" s="148"/>
      <c r="BS12" s="148"/>
      <c r="BT12" s="148"/>
      <c r="BU12" s="148"/>
      <c r="BV12" s="148"/>
      <c r="BW12" s="148"/>
      <c r="BX12" s="148"/>
      <c r="BY12" s="148"/>
      <c r="BZ12" s="148"/>
      <c r="CA12" s="148"/>
      <c r="CB12" s="148"/>
      <c r="CC12" s="148"/>
      <c r="CD12" s="148"/>
      <c r="CE12" s="148"/>
      <c r="CF12" s="148"/>
      <c r="CG12" s="148"/>
      <c r="CH12" s="148"/>
      <c r="CI12" s="148"/>
      <c r="CJ12" s="148"/>
      <c r="CK12" s="148"/>
      <c r="CL12" s="148"/>
      <c r="CM12" s="148"/>
      <c r="CN12" s="148"/>
      <c r="CO12" s="148"/>
      <c r="CP12" s="148"/>
    </row>
    <row r="13" spans="1:94" s="153" customFormat="1" x14ac:dyDescent="0.25">
      <c r="A13" s="139"/>
      <c r="B13" s="139"/>
      <c r="C13" s="443" t="s">
        <v>30</v>
      </c>
      <c r="D13" s="466"/>
      <c r="E13" s="217"/>
      <c r="F13" s="220">
        <f>SUM(F10:F12)</f>
        <v>1</v>
      </c>
      <c r="G13" s="221">
        <f>SUM(G10:G12)</f>
        <v>53643.199999999997</v>
      </c>
      <c r="H13" s="221">
        <f>SUM(H10:H12)</f>
        <v>11650</v>
      </c>
      <c r="I13" s="221">
        <f>SUM(I10:I12)</f>
        <v>11451.213904</v>
      </c>
      <c r="J13" s="219">
        <f>SUM(G13:I13)</f>
        <v>76744.413904000001</v>
      </c>
      <c r="K13" s="268"/>
      <c r="L13" s="219">
        <f>SUM(L10:L12)</f>
        <v>0</v>
      </c>
      <c r="M13" s="219">
        <f>SUM(M10:M12)</f>
        <v>-257.48735999999997</v>
      </c>
      <c r="N13" s="219">
        <f>SUM(N10:N12)</f>
        <v>-257.48735999999997</v>
      </c>
      <c r="O13"/>
      <c r="P13"/>
      <c r="Q13"/>
      <c r="R13"/>
      <c r="S13"/>
      <c r="T13"/>
      <c r="U13"/>
      <c r="V13"/>
      <c r="W13"/>
      <c r="X13"/>
      <c r="Y13"/>
      <c r="Z13" s="344"/>
      <c r="AA13" s="336"/>
      <c r="AB13" s="336"/>
      <c r="AC13" s="336"/>
      <c r="AD13" s="329"/>
      <c r="AE13" s="147"/>
      <c r="AF13" s="147"/>
      <c r="AG13" s="147"/>
      <c r="AH13" s="147"/>
      <c r="AI13" s="147"/>
      <c r="AJ13" s="147"/>
      <c r="AK13" s="147"/>
      <c r="AL13" s="147"/>
      <c r="AM13" s="147"/>
      <c r="AN13" s="147"/>
      <c r="AO13" s="147"/>
      <c r="AP13" s="147"/>
      <c r="AQ13" s="147"/>
      <c r="AR13" s="147"/>
      <c r="AS13" s="147"/>
      <c r="AT13" s="147"/>
      <c r="AU13" s="147"/>
      <c r="AV13" s="147"/>
      <c r="AW13" s="147"/>
      <c r="AX13" s="147"/>
      <c r="AY13" s="147"/>
      <c r="AZ13" s="147"/>
      <c r="BA13" s="147"/>
      <c r="BB13" s="147"/>
      <c r="BC13" s="147"/>
      <c r="BD13" s="147"/>
      <c r="BE13" s="147"/>
      <c r="BF13" s="147"/>
      <c r="BG13" s="147"/>
      <c r="BH13" s="147"/>
      <c r="BI13" s="147"/>
      <c r="BJ13" s="147"/>
      <c r="BK13" s="147"/>
      <c r="BL13" s="147"/>
      <c r="BM13" s="147"/>
      <c r="BN13" s="147"/>
      <c r="BO13" s="147"/>
      <c r="BP13" s="147"/>
      <c r="BQ13" s="147"/>
      <c r="BR13" s="147"/>
      <c r="BS13" s="147"/>
      <c r="BT13" s="147"/>
      <c r="BU13" s="147"/>
      <c r="BV13" s="147"/>
      <c r="BW13" s="147"/>
      <c r="BX13" s="147"/>
      <c r="BY13" s="147"/>
      <c r="BZ13" s="147"/>
      <c r="CA13" s="147"/>
      <c r="CB13" s="147"/>
      <c r="CC13" s="147"/>
      <c r="CD13" s="147"/>
      <c r="CE13" s="147"/>
      <c r="CF13" s="147"/>
      <c r="CG13" s="147"/>
      <c r="CH13" s="147"/>
      <c r="CI13" s="147"/>
      <c r="CJ13" s="147"/>
      <c r="CK13" s="147"/>
      <c r="CL13" s="147"/>
      <c r="CM13" s="147"/>
      <c r="CN13" s="147"/>
      <c r="CO13" s="147"/>
      <c r="CP13" s="147"/>
    </row>
    <row r="14" spans="1:94" s="153" customFormat="1" ht="5.45" customHeight="1" x14ac:dyDescent="0.25">
      <c r="A14" s="139"/>
      <c r="B14" s="139"/>
      <c r="C14" s="364"/>
      <c r="D14" s="370"/>
      <c r="E14" s="217"/>
      <c r="F14" s="220"/>
      <c r="G14" s="219"/>
      <c r="H14" s="219"/>
      <c r="I14" s="219"/>
      <c r="J14" s="219"/>
      <c r="K14" s="268"/>
      <c r="L14" s="219"/>
      <c r="M14" s="222"/>
      <c r="N14" s="222"/>
      <c r="O14"/>
      <c r="P14"/>
      <c r="Q14"/>
      <c r="R14"/>
      <c r="S14"/>
      <c r="T14"/>
      <c r="U14"/>
      <c r="V14"/>
      <c r="W14"/>
      <c r="X14"/>
      <c r="Y14"/>
      <c r="Z14" s="344"/>
      <c r="AA14" s="336"/>
      <c r="AB14" s="336"/>
      <c r="AC14" s="336"/>
      <c r="AD14" s="329"/>
      <c r="AE14" s="147"/>
      <c r="AF14" s="147"/>
      <c r="AG14" s="147"/>
      <c r="AH14" s="147"/>
      <c r="AI14" s="147"/>
      <c r="AJ14" s="147"/>
      <c r="AK14" s="147"/>
      <c r="AL14" s="147"/>
      <c r="AM14" s="147"/>
      <c r="AN14" s="147"/>
      <c r="AO14" s="147"/>
      <c r="AP14" s="147"/>
      <c r="AQ14" s="147"/>
      <c r="AR14" s="147"/>
      <c r="AS14" s="147"/>
      <c r="AT14" s="147"/>
      <c r="AU14" s="147"/>
      <c r="AV14" s="147"/>
      <c r="AW14" s="147"/>
      <c r="AX14" s="147"/>
      <c r="AY14" s="147"/>
      <c r="AZ14" s="147"/>
      <c r="BA14" s="147"/>
      <c r="BB14" s="147"/>
      <c r="BC14" s="147"/>
      <c r="BD14" s="147"/>
      <c r="BE14" s="147"/>
      <c r="BF14" s="147"/>
      <c r="BG14" s="147"/>
      <c r="BH14" s="147"/>
      <c r="BI14" s="147"/>
      <c r="BJ14" s="147"/>
      <c r="BK14" s="147"/>
      <c r="BL14" s="147"/>
      <c r="BM14" s="147"/>
      <c r="BN14" s="147"/>
      <c r="BO14" s="147"/>
      <c r="BP14" s="147"/>
      <c r="BQ14" s="147"/>
      <c r="BR14" s="147"/>
      <c r="BS14" s="147"/>
      <c r="BT14" s="147"/>
      <c r="BU14" s="147"/>
      <c r="BV14" s="147"/>
      <c r="BW14" s="147"/>
      <c r="BX14" s="147"/>
      <c r="BY14" s="147"/>
      <c r="BZ14" s="147"/>
      <c r="CA14" s="147"/>
      <c r="CB14" s="147"/>
      <c r="CC14" s="147"/>
      <c r="CD14" s="147"/>
      <c r="CE14" s="147"/>
      <c r="CF14" s="147"/>
      <c r="CG14" s="147"/>
      <c r="CH14" s="147"/>
      <c r="CI14" s="147"/>
      <c r="CJ14" s="147"/>
      <c r="CK14" s="147"/>
      <c r="CL14" s="147"/>
      <c r="CM14" s="147"/>
      <c r="CN14" s="147"/>
      <c r="CO14" s="147"/>
      <c r="CP14" s="147"/>
    </row>
    <row r="15" spans="1:94" s="153" customFormat="1" ht="15.75" customHeight="1" x14ac:dyDescent="0.25">
      <c r="A15" s="139"/>
      <c r="B15" s="156"/>
      <c r="C15" s="157" t="str">
        <f>"FY "&amp;'TAAA|0338-01'!FiscalYear-1</f>
        <v>FY 2022</v>
      </c>
      <c r="D15" s="158" t="s">
        <v>31</v>
      </c>
      <c r="E15" s="354">
        <v>37800</v>
      </c>
      <c r="F15" s="55">
        <v>0</v>
      </c>
      <c r="G15" s="223">
        <f>IF(OrigApprop=0,0,(G13/$J$13)*OrigApprop)</f>
        <v>26421.635880058671</v>
      </c>
      <c r="H15" s="223">
        <f>IF(OrigApprop=0,0,(H13/$J$13)*OrigApprop)</f>
        <v>5738.1375086252037</v>
      </c>
      <c r="I15" s="223">
        <f>IF(G15=0,0,(I13/$J$13)*OrigApprop)</f>
        <v>5640.2266113161249</v>
      </c>
      <c r="J15" s="223">
        <f>SUM(G15:I15)</f>
        <v>37800</v>
      </c>
      <c r="K15" s="268"/>
      <c r="L15" s="224"/>
      <c r="M15" s="224"/>
      <c r="N15" s="224"/>
      <c r="O15"/>
      <c r="P15"/>
      <c r="Q15"/>
      <c r="R15"/>
      <c r="S15"/>
      <c r="T15"/>
      <c r="U15"/>
      <c r="V15"/>
      <c r="W15"/>
      <c r="X15"/>
      <c r="Y15"/>
      <c r="Z15" s="344"/>
      <c r="AA15" s="336"/>
      <c r="AB15" s="336"/>
      <c r="AC15" s="336"/>
      <c r="AD15" s="329"/>
      <c r="AE15" s="147"/>
      <c r="AF15" s="147"/>
      <c r="AG15" s="147"/>
      <c r="AH15" s="147"/>
      <c r="AI15" s="147"/>
      <c r="AJ15" s="147"/>
      <c r="AK15" s="147"/>
      <c r="AL15" s="147"/>
      <c r="AM15" s="147"/>
      <c r="AN15" s="147"/>
      <c r="AO15" s="147"/>
      <c r="AP15" s="147"/>
      <c r="AQ15" s="147"/>
      <c r="AR15" s="147"/>
      <c r="AS15" s="147"/>
      <c r="AT15" s="147"/>
      <c r="AU15" s="147"/>
      <c r="AV15" s="147"/>
      <c r="AW15" s="147"/>
      <c r="AX15" s="147"/>
      <c r="AY15" s="147"/>
      <c r="AZ15" s="147"/>
      <c r="BA15" s="147"/>
      <c r="BB15" s="147"/>
      <c r="BC15" s="147"/>
      <c r="BD15" s="147"/>
      <c r="BE15" s="147"/>
      <c r="BF15" s="147"/>
      <c r="BG15" s="147"/>
      <c r="BH15" s="147"/>
      <c r="BI15" s="147"/>
      <c r="BJ15" s="147"/>
      <c r="BK15" s="147"/>
      <c r="BL15" s="147"/>
      <c r="BM15" s="147"/>
      <c r="BN15" s="147"/>
      <c r="BO15" s="147"/>
      <c r="BP15" s="147"/>
      <c r="BQ15" s="147"/>
      <c r="BR15" s="147"/>
      <c r="BS15" s="147"/>
      <c r="BT15" s="147"/>
      <c r="BU15" s="147"/>
      <c r="BV15" s="147"/>
      <c r="BW15" s="147"/>
      <c r="BX15" s="147"/>
      <c r="BY15" s="147"/>
      <c r="BZ15" s="147"/>
      <c r="CA15" s="147"/>
      <c r="CB15" s="147"/>
      <c r="CC15" s="147"/>
      <c r="CD15" s="147"/>
      <c r="CE15" s="147"/>
      <c r="CF15" s="147"/>
      <c r="CG15" s="147"/>
      <c r="CH15" s="147"/>
      <c r="CI15" s="147"/>
      <c r="CJ15" s="147"/>
      <c r="CK15" s="147"/>
      <c r="CL15" s="147"/>
      <c r="CM15" s="147"/>
      <c r="CN15" s="147"/>
      <c r="CO15" s="147"/>
      <c r="CP15" s="147"/>
    </row>
    <row r="16" spans="1:94" s="153" customFormat="1" ht="15.75" customHeight="1" x14ac:dyDescent="0.25">
      <c r="A16" s="139"/>
      <c r="B16" s="139"/>
      <c r="C16" s="453" t="s">
        <v>32</v>
      </c>
      <c r="D16" s="454"/>
      <c r="E16" s="160" t="s">
        <v>33</v>
      </c>
      <c r="F16" s="161">
        <f>F15-F13</f>
        <v>-1</v>
      </c>
      <c r="G16" s="162">
        <f>G15-G13</f>
        <v>-27221.564119941326</v>
      </c>
      <c r="H16" s="162">
        <f>H15-H13</f>
        <v>-5911.8624913747963</v>
      </c>
      <c r="I16" s="162">
        <f>I15-I13</f>
        <v>-5810.9872926838752</v>
      </c>
      <c r="J16" s="162">
        <f>J15-J13</f>
        <v>-38944.413904000001</v>
      </c>
      <c r="K16" s="269"/>
      <c r="L16" s="56" t="str">
        <f>IF('TAAA|0338-01'!OrigApprop=0,"ERROR! Enter Original Appropriation amount in DU 3.00!","Calculated "&amp;IF('TAAA|0338-01'!AdjustedTotal&gt;0,"overfunding ","underfunding ")&amp;"is "&amp;TEXT('TAAA|0338-01'!AdjustedTotal/'TAAA|0338-01'!AppropTotal,"#.0%;(#.0% );0% ;")&amp;" of Original Appropriation")</f>
        <v>Calculated underfunding is (103.0% ) of Original Appropriation</v>
      </c>
      <c r="M16" s="163"/>
      <c r="N16" s="164"/>
      <c r="O16"/>
      <c r="P16"/>
      <c r="Q16"/>
      <c r="R16"/>
      <c r="S16"/>
      <c r="T16"/>
      <c r="U16"/>
      <c r="V16"/>
      <c r="W16"/>
      <c r="X16"/>
      <c r="Y16"/>
      <c r="Z16" s="344"/>
      <c r="AA16" s="336"/>
      <c r="AB16" s="336"/>
      <c r="AC16" s="336"/>
      <c r="AD16" s="329"/>
      <c r="AE16" s="147"/>
      <c r="AF16" s="147"/>
      <c r="AG16" s="147"/>
      <c r="AH16" s="147"/>
      <c r="AI16" s="147"/>
      <c r="AJ16" s="147"/>
      <c r="AK16" s="147"/>
      <c r="AL16" s="147"/>
      <c r="AM16" s="147"/>
      <c r="AN16" s="147"/>
      <c r="AO16" s="147"/>
      <c r="AP16" s="147"/>
      <c r="AQ16" s="147"/>
      <c r="AR16" s="147"/>
      <c r="AS16" s="147"/>
      <c r="AT16" s="147"/>
      <c r="AU16" s="147"/>
      <c r="AV16" s="147"/>
      <c r="AW16" s="147"/>
      <c r="AX16" s="147"/>
      <c r="AY16" s="147"/>
      <c r="AZ16" s="147"/>
      <c r="BA16" s="147"/>
      <c r="BB16" s="147"/>
      <c r="BC16" s="147"/>
      <c r="BD16" s="147"/>
      <c r="BE16" s="147"/>
      <c r="BF16" s="147"/>
      <c r="BG16" s="147"/>
      <c r="BH16" s="147"/>
      <c r="BI16" s="147"/>
      <c r="BJ16" s="147"/>
      <c r="BK16" s="147"/>
      <c r="BL16" s="147"/>
      <c r="BM16" s="147"/>
      <c r="BN16" s="147"/>
      <c r="BO16" s="147"/>
      <c r="BP16" s="147"/>
      <c r="BQ16" s="147"/>
      <c r="BR16" s="147"/>
      <c r="BS16" s="147"/>
      <c r="BT16" s="147"/>
      <c r="BU16" s="147"/>
      <c r="BV16" s="147"/>
      <c r="BW16" s="147"/>
      <c r="BX16" s="147"/>
      <c r="BY16" s="147"/>
      <c r="BZ16" s="147"/>
      <c r="CA16" s="147"/>
      <c r="CB16" s="147"/>
      <c r="CC16" s="147"/>
      <c r="CD16" s="147"/>
      <c r="CE16" s="147"/>
      <c r="CF16" s="147"/>
      <c r="CG16" s="147"/>
      <c r="CH16" s="147"/>
      <c r="CI16" s="147"/>
      <c r="CJ16" s="147"/>
      <c r="CK16" s="147"/>
      <c r="CL16" s="147"/>
      <c r="CM16" s="147"/>
      <c r="CN16" s="147"/>
      <c r="CO16" s="147"/>
      <c r="CP16" s="147"/>
    </row>
    <row r="17" spans="1:94" s="153" customFormat="1" x14ac:dyDescent="0.25">
      <c r="A17" s="139"/>
      <c r="B17" s="139"/>
      <c r="C17" s="455" t="s">
        <v>34</v>
      </c>
      <c r="D17" s="456"/>
      <c r="E17" s="147"/>
      <c r="F17" s="258"/>
      <c r="G17" s="147"/>
      <c r="H17" s="166"/>
      <c r="I17" s="167"/>
      <c r="J17" s="166"/>
      <c r="K17" s="166"/>
      <c r="L17" s="166"/>
      <c r="M17" s="166"/>
      <c r="N17" s="166"/>
      <c r="O17"/>
      <c r="P17"/>
      <c r="Q17"/>
      <c r="R17"/>
      <c r="S17"/>
      <c r="T17"/>
      <c r="U17"/>
      <c r="V17"/>
      <c r="W17"/>
      <c r="X17"/>
      <c r="Y17"/>
      <c r="Z17" s="344"/>
      <c r="AA17" s="336"/>
      <c r="AB17" s="336"/>
      <c r="AC17" s="336"/>
      <c r="AD17" s="329"/>
      <c r="AE17" s="147"/>
      <c r="AF17" s="147"/>
      <c r="AG17" s="147"/>
      <c r="AH17" s="147"/>
      <c r="AI17" s="147"/>
      <c r="AJ17" s="147"/>
      <c r="AK17" s="147"/>
      <c r="AL17" s="147"/>
      <c r="AM17" s="147"/>
      <c r="AN17" s="147"/>
      <c r="AO17" s="147"/>
      <c r="AP17" s="147"/>
      <c r="AQ17" s="147"/>
      <c r="AR17" s="147"/>
      <c r="AS17" s="147"/>
      <c r="AT17" s="147"/>
      <c r="AU17" s="147"/>
      <c r="AV17" s="147"/>
      <c r="AW17" s="147"/>
      <c r="AX17" s="147"/>
      <c r="AY17" s="147"/>
      <c r="AZ17" s="147"/>
      <c r="BA17" s="147"/>
      <c r="BB17" s="147"/>
      <c r="BC17" s="147"/>
      <c r="BD17" s="147"/>
      <c r="BE17" s="147"/>
      <c r="BF17" s="147"/>
      <c r="BG17" s="147"/>
      <c r="BH17" s="147"/>
      <c r="BI17" s="147"/>
      <c r="BJ17" s="147"/>
      <c r="BK17" s="147"/>
      <c r="BL17" s="147"/>
      <c r="BM17" s="147"/>
      <c r="BN17" s="147"/>
      <c r="BO17" s="147"/>
      <c r="BP17" s="147"/>
      <c r="BQ17" s="147"/>
      <c r="BR17" s="147"/>
      <c r="BS17" s="147"/>
      <c r="BT17" s="147"/>
      <c r="BU17" s="147"/>
      <c r="BV17" s="147"/>
      <c r="BW17" s="147"/>
      <c r="BX17" s="147"/>
      <c r="BY17" s="147"/>
      <c r="BZ17" s="147"/>
      <c r="CA17" s="147"/>
      <c r="CB17" s="147"/>
      <c r="CC17" s="147"/>
      <c r="CD17" s="147"/>
      <c r="CE17" s="147"/>
      <c r="CF17" s="147"/>
      <c r="CG17" s="147"/>
      <c r="CH17" s="147"/>
      <c r="CI17" s="147"/>
      <c r="CJ17" s="147"/>
      <c r="CK17" s="147"/>
      <c r="CL17" s="147"/>
      <c r="CM17" s="147"/>
      <c r="CN17" s="147"/>
      <c r="CO17" s="147"/>
      <c r="CP17" s="147"/>
    </row>
    <row r="18" spans="1:94" s="153" customFormat="1" ht="26.25" customHeight="1" x14ac:dyDescent="0.25">
      <c r="A18" s="139"/>
      <c r="B18" s="168"/>
      <c r="C18" s="457" t="s">
        <v>35</v>
      </c>
      <c r="D18" s="458"/>
      <c r="E18" s="150"/>
      <c r="F18" s="165"/>
      <c r="G18" s="166"/>
      <c r="H18" s="169"/>
      <c r="I18" s="166"/>
      <c r="J18" s="166"/>
      <c r="K18" s="166"/>
      <c r="L18" s="166"/>
      <c r="M18" s="166"/>
      <c r="N18" s="166"/>
      <c r="O18"/>
      <c r="P18"/>
      <c r="Q18"/>
      <c r="R18"/>
      <c r="S18"/>
      <c r="T18"/>
      <c r="U18"/>
      <c r="V18"/>
      <c r="W18"/>
      <c r="X18"/>
      <c r="Y18"/>
      <c r="Z18" s="344"/>
      <c r="AA18" s="336"/>
      <c r="AB18" s="336"/>
      <c r="AC18" s="336"/>
      <c r="AD18" s="329"/>
      <c r="AE18" s="147"/>
      <c r="AF18" s="147"/>
      <c r="AG18" s="147"/>
      <c r="AH18" s="147"/>
      <c r="AI18" s="147"/>
      <c r="AJ18" s="147"/>
      <c r="AK18" s="147"/>
      <c r="AL18" s="147"/>
      <c r="AM18" s="147"/>
      <c r="AN18" s="147"/>
      <c r="AO18" s="147"/>
      <c r="AP18" s="147"/>
      <c r="AQ18" s="147"/>
      <c r="AR18" s="147"/>
      <c r="AS18" s="147"/>
      <c r="AT18" s="147"/>
      <c r="AU18" s="147"/>
      <c r="AV18" s="147"/>
      <c r="AW18" s="147"/>
      <c r="AX18" s="147"/>
      <c r="AY18" s="147"/>
      <c r="AZ18" s="147"/>
      <c r="BA18" s="147"/>
      <c r="BB18" s="147"/>
      <c r="BC18" s="147"/>
      <c r="BD18" s="147"/>
      <c r="BE18" s="147"/>
      <c r="BF18" s="147"/>
      <c r="BG18" s="147"/>
      <c r="BH18" s="147"/>
      <c r="BI18" s="147"/>
      <c r="BJ18" s="147"/>
      <c r="BK18" s="147"/>
      <c r="BL18" s="147"/>
      <c r="BM18" s="147"/>
      <c r="BN18" s="147"/>
      <c r="BO18" s="147"/>
      <c r="BP18" s="147"/>
      <c r="BQ18" s="147"/>
      <c r="BR18" s="147"/>
      <c r="BS18" s="147"/>
      <c r="BT18" s="147"/>
      <c r="BU18" s="147"/>
      <c r="BV18" s="147"/>
      <c r="BW18" s="147"/>
      <c r="BX18" s="147"/>
      <c r="BY18" s="147"/>
      <c r="BZ18" s="147"/>
      <c r="CA18" s="147"/>
      <c r="CB18" s="147"/>
      <c r="CC18" s="147"/>
      <c r="CD18" s="147"/>
      <c r="CE18" s="147"/>
      <c r="CF18" s="147"/>
      <c r="CG18" s="147"/>
      <c r="CH18" s="147"/>
      <c r="CI18" s="147"/>
      <c r="CJ18" s="147"/>
      <c r="CK18" s="147"/>
      <c r="CL18" s="147"/>
    </row>
    <row r="19" spans="1:94" s="153" customFormat="1" ht="25.5" x14ac:dyDescent="0.25">
      <c r="A19" s="238"/>
      <c r="B19" s="202"/>
      <c r="C19" s="239" t="s">
        <v>86</v>
      </c>
      <c r="D19" s="240" t="s">
        <v>87</v>
      </c>
      <c r="E19" s="241"/>
      <c r="F19" s="165"/>
      <c r="G19" s="166"/>
      <c r="H19" s="169"/>
      <c r="I19" s="170"/>
      <c r="J19" s="166"/>
      <c r="K19" s="166"/>
      <c r="L19" s="169"/>
      <c r="M19" s="166"/>
      <c r="N19" s="166"/>
      <c r="O19"/>
      <c r="P19"/>
      <c r="Q19"/>
      <c r="R19"/>
      <c r="S19"/>
      <c r="T19"/>
      <c r="U19"/>
      <c r="V19"/>
      <c r="W19"/>
      <c r="X19"/>
      <c r="Y19"/>
      <c r="Z19" s="344"/>
      <c r="AA19" s="363"/>
      <c r="AB19" s="363"/>
      <c r="AC19" s="363"/>
      <c r="AD19" s="329"/>
      <c r="AE19" s="147"/>
      <c r="AF19" s="147"/>
      <c r="AG19" s="147"/>
      <c r="AH19" s="147"/>
      <c r="AI19" s="147"/>
      <c r="AJ19" s="147"/>
      <c r="AK19" s="147"/>
      <c r="AL19" s="147"/>
      <c r="AM19" s="147"/>
      <c r="AN19" s="147"/>
      <c r="AO19" s="147"/>
      <c r="AP19" s="147"/>
      <c r="AQ19" s="147"/>
      <c r="AR19" s="147"/>
      <c r="AS19" s="147"/>
      <c r="AT19" s="147"/>
      <c r="AU19" s="147"/>
      <c r="AV19" s="147"/>
      <c r="AW19" s="147"/>
      <c r="AX19" s="147"/>
      <c r="AY19" s="147"/>
      <c r="AZ19" s="147"/>
      <c r="BA19" s="147"/>
      <c r="BB19" s="147"/>
      <c r="BC19" s="147"/>
      <c r="BD19" s="147"/>
      <c r="BE19" s="147"/>
      <c r="BF19" s="147"/>
      <c r="BG19" s="147"/>
      <c r="BH19" s="147"/>
      <c r="BI19" s="147"/>
      <c r="BJ19" s="147"/>
      <c r="BK19" s="147"/>
      <c r="BL19" s="147"/>
      <c r="BM19" s="147"/>
      <c r="BN19" s="147"/>
      <c r="BO19" s="147"/>
      <c r="BP19" s="147"/>
      <c r="BQ19" s="147"/>
      <c r="BR19" s="147"/>
      <c r="BS19" s="147"/>
      <c r="BT19" s="147"/>
      <c r="BU19" s="147"/>
      <c r="BV19" s="147"/>
      <c r="BW19" s="147"/>
      <c r="BX19" s="147"/>
      <c r="BY19" s="147"/>
      <c r="BZ19" s="147"/>
      <c r="CA19" s="147"/>
      <c r="CB19" s="147"/>
      <c r="CC19" s="147"/>
      <c r="CD19" s="147"/>
      <c r="CE19" s="147"/>
      <c r="CF19" s="147"/>
      <c r="CG19" s="147"/>
      <c r="CH19" s="147"/>
      <c r="CI19" s="147"/>
      <c r="CJ19" s="147"/>
      <c r="CK19" s="147"/>
      <c r="CL19" s="147"/>
      <c r="CM19" s="147"/>
      <c r="CN19" s="147"/>
      <c r="CO19" s="147"/>
      <c r="CP19" s="147"/>
    </row>
    <row r="20" spans="1:94" s="177" customFormat="1" ht="15" x14ac:dyDescent="0.25">
      <c r="A20" s="171"/>
      <c r="B20" s="172"/>
      <c r="C20" s="244"/>
      <c r="D20" s="242"/>
      <c r="E20" s="173"/>
      <c r="F20" s="174">
        <v>0</v>
      </c>
      <c r="G20" s="175">
        <v>0</v>
      </c>
      <c r="H20" s="176">
        <f t="shared" ref="H20:H30" si="0">IF(AND($F20&lt;&gt;0,$G20&lt;&gt;0,OR($E20=1,$E20=3)),$F20*Health,0)</f>
        <v>0</v>
      </c>
      <c r="I20" s="176">
        <f t="shared" ref="I20:I30" si="1">IF(AND($E20=1,$C20=""),$G20*PermVB+$G20*Retire1,IF($E20=1,$G20*PermVB+$G20*VLOOKUP($C20,Retirement_Rates,3,FALSE),IF($E20=2,$G20*GroupVB,IF(AND($E20=3,$C20=""),$G20*ElectVB+$G20*Retire1,IF($E20=3,$G20*ElectVB+$G20*VLOOKUP($C20,Retirement_Rates,3,FALSE),0)))))</f>
        <v>0</v>
      </c>
      <c r="J20" s="159">
        <f>IF($E20&gt;0,SUM($G20:$I20),0)</f>
        <v>0</v>
      </c>
      <c r="K20" s="166"/>
      <c r="L20" s="176">
        <f t="shared" ref="L20:L30" si="2">IF(AND($F20&lt;&gt;0,$G20&lt;&gt;0,OR($E20=1,$E20=3)),$F20*HealthCHG,0)</f>
        <v>0</v>
      </c>
      <c r="M20" s="176">
        <f>IF(AND($E20=1,$C20=""),$G20*PermVBCHG+$G20*Retire1CHG,IF($E20=1,$G20*PermVBCHG+$G20*VLOOKUP($C20,Retirement_Rates,5,FALSE),IF($E20=2,0,IF(AND($E20=3,$C20=""),$G20*ElectVBCHG+$G20*Retire1CHG,IF($E20=3,$G20*ElectVBCHG+$G20*VLOOKUP($C20,Retirement_Rates,5,FALSE),0)))))</f>
        <v>0</v>
      </c>
      <c r="N20" s="176">
        <f>SUM(L20:M20)</f>
        <v>0</v>
      </c>
      <c r="O20"/>
      <c r="P20"/>
      <c r="Q20"/>
      <c r="R20"/>
      <c r="S20"/>
      <c r="T20"/>
      <c r="U20"/>
      <c r="V20"/>
      <c r="W20"/>
      <c r="X20"/>
      <c r="Y20"/>
      <c r="Z20" s="344"/>
      <c r="AA20" s="363"/>
      <c r="AB20" s="363"/>
      <c r="AC20" s="363"/>
      <c r="AD20" s="329"/>
      <c r="AE20" s="147"/>
      <c r="AF20" s="147"/>
      <c r="AG20" s="147"/>
      <c r="AH20" s="147"/>
      <c r="AI20" s="147"/>
      <c r="AJ20" s="147"/>
      <c r="AK20" s="147"/>
      <c r="AL20" s="147"/>
      <c r="AM20" s="147"/>
      <c r="AN20" s="147"/>
      <c r="AO20" s="147"/>
      <c r="AP20" s="147"/>
      <c r="AQ20" s="147"/>
      <c r="AR20" s="147"/>
      <c r="AS20" s="147"/>
      <c r="AT20" s="147"/>
      <c r="AU20" s="147"/>
      <c r="AV20" s="147"/>
      <c r="AW20" s="147"/>
      <c r="AX20" s="147"/>
      <c r="AY20" s="147"/>
      <c r="AZ20" s="147"/>
      <c r="BA20" s="147"/>
      <c r="BB20" s="147"/>
      <c r="BC20" s="147"/>
      <c r="BD20" s="147"/>
      <c r="BE20" s="147"/>
      <c r="BF20" s="147"/>
      <c r="BG20" s="147"/>
      <c r="BH20" s="147"/>
      <c r="BI20" s="147"/>
      <c r="BJ20" s="147"/>
      <c r="BK20" s="147"/>
      <c r="BL20" s="147"/>
      <c r="BM20" s="147"/>
      <c r="BN20" s="147"/>
      <c r="BO20" s="147"/>
      <c r="BP20" s="147"/>
      <c r="BQ20" s="147"/>
      <c r="BR20" s="147"/>
      <c r="BS20" s="147"/>
      <c r="BT20" s="147"/>
      <c r="BU20" s="147"/>
      <c r="BV20" s="147"/>
      <c r="BW20" s="147"/>
      <c r="BX20" s="147"/>
      <c r="BY20" s="147"/>
      <c r="BZ20" s="147"/>
      <c r="CA20" s="147"/>
      <c r="CB20" s="147"/>
      <c r="CC20" s="147"/>
      <c r="CD20" s="147"/>
      <c r="CE20" s="147"/>
      <c r="CF20" s="147"/>
      <c r="CG20" s="147"/>
      <c r="CH20" s="147"/>
      <c r="CI20" s="147"/>
      <c r="CJ20" s="147"/>
      <c r="CK20" s="147"/>
      <c r="CL20" s="147"/>
      <c r="CM20" s="147"/>
      <c r="CN20" s="147"/>
      <c r="CO20" s="147"/>
      <c r="CP20" s="147"/>
    </row>
    <row r="21" spans="1:94" s="177" customFormat="1" ht="15" x14ac:dyDescent="0.25">
      <c r="A21" s="178"/>
      <c r="B21" s="179"/>
      <c r="C21" s="244"/>
      <c r="D21" s="242"/>
      <c r="E21" s="180"/>
      <c r="F21" s="181">
        <v>0</v>
      </c>
      <c r="G21" s="175">
        <v>0</v>
      </c>
      <c r="H21" s="176">
        <f t="shared" si="0"/>
        <v>0</v>
      </c>
      <c r="I21" s="176">
        <f t="shared" si="1"/>
        <v>0</v>
      </c>
      <c r="J21" s="159">
        <f t="shared" ref="J21:J35" si="3">IF($E21&gt;0,SUM($G21:$I21),0)</f>
        <v>0</v>
      </c>
      <c r="K21" s="166"/>
      <c r="L21" s="176">
        <f t="shared" si="2"/>
        <v>0</v>
      </c>
      <c r="M21" s="176">
        <f t="shared" ref="M21:M30" si="4">IF(AND($E21=1,$C21=""),$G21*PermVBCHG+$G21*Retire1CHG,IF($E21=1,$G21*PermVBCHG+$G21*VLOOKUP($C21,Retirement_Rates,5,FALSE),IF($E21=2,0,IF(AND($E21=3,$C21=""),$G21*ElectVBCHG+$G21*Retire1CHG,IF($E21=3,$G21*ElectVBCHG+$G21*VLOOKUP($C21,Retirement_Rates,5,FALSE),0)))))</f>
        <v>0</v>
      </c>
      <c r="N21" s="183">
        <f t="shared" ref="N21:N30" si="5">SUM(L21:M21)</f>
        <v>0</v>
      </c>
      <c r="O21"/>
      <c r="P21"/>
      <c r="Q21"/>
      <c r="R21"/>
      <c r="S21"/>
      <c r="T21"/>
      <c r="U21"/>
      <c r="V21"/>
      <c r="W21"/>
      <c r="X21"/>
      <c r="Y21"/>
      <c r="Z21" s="344"/>
      <c r="AA21" s="363"/>
      <c r="AB21" s="363"/>
      <c r="AC21" s="363"/>
      <c r="AD21" s="329"/>
      <c r="AE21" s="147"/>
      <c r="AF21" s="147"/>
      <c r="AG21" s="147"/>
      <c r="AH21" s="147"/>
      <c r="AI21" s="147"/>
      <c r="AJ21" s="147"/>
      <c r="AK21" s="147"/>
      <c r="AL21" s="147"/>
      <c r="AM21" s="147"/>
      <c r="AN21" s="147"/>
      <c r="AO21" s="147"/>
      <c r="AP21" s="147"/>
      <c r="AQ21" s="147"/>
      <c r="AR21" s="147"/>
      <c r="AS21" s="147"/>
      <c r="AT21" s="147"/>
      <c r="AU21" s="147"/>
      <c r="AV21" s="147"/>
      <c r="AW21" s="147"/>
      <c r="AX21" s="147"/>
      <c r="AY21" s="147"/>
      <c r="AZ21" s="147"/>
      <c r="BA21" s="147"/>
      <c r="BB21" s="147"/>
      <c r="BC21" s="147"/>
      <c r="BD21" s="147"/>
      <c r="BE21" s="147"/>
      <c r="BF21" s="147"/>
      <c r="BG21" s="147"/>
      <c r="BH21" s="147"/>
      <c r="BI21" s="147"/>
      <c r="BJ21" s="147"/>
      <c r="BK21" s="147"/>
      <c r="BL21" s="147"/>
      <c r="BM21" s="147"/>
      <c r="BN21" s="147"/>
      <c r="BO21" s="147"/>
      <c r="BP21" s="147"/>
      <c r="BQ21" s="147"/>
      <c r="BR21" s="147"/>
      <c r="BS21" s="147"/>
      <c r="BT21" s="147"/>
      <c r="BU21" s="147"/>
      <c r="BV21" s="147"/>
      <c r="BW21" s="147"/>
      <c r="BX21" s="147"/>
      <c r="BY21" s="147"/>
      <c r="BZ21" s="147"/>
      <c r="CA21" s="147"/>
      <c r="CB21" s="147"/>
      <c r="CC21" s="147"/>
      <c r="CD21" s="147"/>
      <c r="CE21" s="147"/>
      <c r="CF21" s="147"/>
      <c r="CG21" s="147"/>
      <c r="CH21" s="147"/>
      <c r="CI21" s="147"/>
      <c r="CJ21" s="147"/>
      <c r="CK21" s="147"/>
      <c r="CL21" s="147"/>
      <c r="CM21" s="147"/>
      <c r="CN21" s="147"/>
      <c r="CO21" s="147"/>
      <c r="CP21" s="147"/>
    </row>
    <row r="22" spans="1:94" s="177" customFormat="1" ht="15" x14ac:dyDescent="0.25">
      <c r="A22" s="178"/>
      <c r="B22" s="179"/>
      <c r="C22" s="244"/>
      <c r="D22" s="242"/>
      <c r="E22" s="180"/>
      <c r="F22" s="181">
        <v>0</v>
      </c>
      <c r="G22" s="175">
        <v>0</v>
      </c>
      <c r="H22" s="176">
        <f t="shared" si="0"/>
        <v>0</v>
      </c>
      <c r="I22" s="176">
        <f t="shared" si="1"/>
        <v>0</v>
      </c>
      <c r="J22" s="159">
        <f t="shared" si="3"/>
        <v>0</v>
      </c>
      <c r="K22" s="166"/>
      <c r="L22" s="176">
        <f t="shared" si="2"/>
        <v>0</v>
      </c>
      <c r="M22" s="176">
        <f t="shared" si="4"/>
        <v>0</v>
      </c>
      <c r="N22" s="183">
        <f t="shared" si="5"/>
        <v>0</v>
      </c>
      <c r="O22"/>
      <c r="P22"/>
      <c r="Q22"/>
      <c r="R22"/>
      <c r="S22"/>
      <c r="T22"/>
      <c r="U22"/>
      <c r="V22"/>
      <c r="W22"/>
      <c r="X22"/>
      <c r="Y22"/>
      <c r="Z22" s="344"/>
      <c r="AA22" s="363"/>
      <c r="AB22" s="363"/>
      <c r="AC22" s="363"/>
      <c r="AD22" s="329"/>
      <c r="AE22" s="147"/>
      <c r="AF22" s="147"/>
      <c r="AG22" s="147"/>
      <c r="AH22" s="147"/>
      <c r="AI22" s="147"/>
      <c r="AJ22" s="147"/>
      <c r="AK22" s="147"/>
      <c r="AL22" s="147"/>
      <c r="AM22" s="147"/>
      <c r="AN22" s="147"/>
      <c r="AO22" s="147"/>
      <c r="AP22" s="147"/>
      <c r="AQ22" s="147"/>
      <c r="AR22" s="147"/>
      <c r="AS22" s="147"/>
      <c r="AT22" s="147"/>
      <c r="AU22" s="147"/>
      <c r="AV22" s="147"/>
      <c r="AW22" s="147"/>
      <c r="AX22" s="147"/>
      <c r="AY22" s="147"/>
      <c r="AZ22" s="147"/>
      <c r="BA22" s="147"/>
      <c r="BB22" s="147"/>
      <c r="BC22" s="147"/>
      <c r="BD22" s="147"/>
      <c r="BE22" s="147"/>
      <c r="BF22" s="147"/>
      <c r="BG22" s="147"/>
      <c r="BH22" s="147"/>
      <c r="BI22" s="147"/>
      <c r="BJ22" s="147"/>
      <c r="BK22" s="147"/>
      <c r="BL22" s="147"/>
      <c r="BM22" s="147"/>
      <c r="BN22" s="147"/>
      <c r="BO22" s="147"/>
      <c r="BP22" s="147"/>
      <c r="BQ22" s="147"/>
      <c r="BR22" s="147"/>
      <c r="BS22" s="147"/>
      <c r="BT22" s="147"/>
      <c r="BU22" s="147"/>
      <c r="BV22" s="147"/>
      <c r="BW22" s="147"/>
      <c r="BX22" s="147"/>
      <c r="BY22" s="147"/>
      <c r="BZ22" s="147"/>
      <c r="CA22" s="147"/>
      <c r="CB22" s="147"/>
      <c r="CC22" s="147"/>
      <c r="CD22" s="147"/>
      <c r="CE22" s="147"/>
      <c r="CF22" s="147"/>
      <c r="CG22" s="147"/>
      <c r="CH22" s="147"/>
      <c r="CI22" s="147"/>
      <c r="CJ22" s="147"/>
      <c r="CK22" s="147"/>
      <c r="CL22" s="147"/>
      <c r="CM22" s="147"/>
      <c r="CN22" s="147"/>
      <c r="CO22" s="147"/>
      <c r="CP22" s="147"/>
    </row>
    <row r="23" spans="1:94" s="177" customFormat="1" ht="15" x14ac:dyDescent="0.25">
      <c r="A23" s="178"/>
      <c r="B23" s="179"/>
      <c r="C23" s="244"/>
      <c r="D23" s="242"/>
      <c r="E23" s="180"/>
      <c r="F23" s="181">
        <v>0</v>
      </c>
      <c r="G23" s="175">
        <v>0</v>
      </c>
      <c r="H23" s="176">
        <f t="shared" si="0"/>
        <v>0</v>
      </c>
      <c r="I23" s="176">
        <f t="shared" si="1"/>
        <v>0</v>
      </c>
      <c r="J23" s="159">
        <f t="shared" si="3"/>
        <v>0</v>
      </c>
      <c r="K23" s="166"/>
      <c r="L23" s="176">
        <f t="shared" si="2"/>
        <v>0</v>
      </c>
      <c r="M23" s="176">
        <f t="shared" si="4"/>
        <v>0</v>
      </c>
      <c r="N23" s="183">
        <f t="shared" si="5"/>
        <v>0</v>
      </c>
      <c r="O23"/>
      <c r="P23"/>
      <c r="Q23"/>
      <c r="R23"/>
      <c r="S23"/>
      <c r="T23"/>
      <c r="U23"/>
      <c r="V23"/>
      <c r="W23"/>
      <c r="X23"/>
      <c r="Y23"/>
      <c r="Z23" s="344"/>
      <c r="AA23" s="363"/>
      <c r="AB23" s="363"/>
      <c r="AC23" s="363"/>
      <c r="AD23" s="329"/>
      <c r="AE23" s="147"/>
      <c r="AF23" s="147"/>
      <c r="AG23" s="147"/>
      <c r="AH23" s="147"/>
      <c r="AI23" s="147"/>
      <c r="AJ23" s="147"/>
      <c r="AK23" s="147"/>
      <c r="AL23" s="147"/>
      <c r="AM23" s="147"/>
      <c r="AN23" s="147"/>
      <c r="AO23" s="147"/>
      <c r="AP23" s="147"/>
      <c r="AQ23" s="147"/>
      <c r="AR23" s="147"/>
      <c r="AS23" s="147"/>
      <c r="AT23" s="147"/>
      <c r="AU23" s="147"/>
      <c r="AV23" s="147"/>
      <c r="AW23" s="147"/>
      <c r="AX23" s="147"/>
      <c r="AY23" s="147"/>
      <c r="AZ23" s="147"/>
      <c r="BA23" s="147"/>
      <c r="BB23" s="147"/>
      <c r="BC23" s="147"/>
      <c r="BD23" s="147"/>
      <c r="BE23" s="147"/>
      <c r="BF23" s="147"/>
      <c r="BG23" s="147"/>
      <c r="BH23" s="147"/>
      <c r="BI23" s="147"/>
      <c r="BJ23" s="147"/>
      <c r="BK23" s="147"/>
      <c r="BL23" s="147"/>
      <c r="BM23" s="147"/>
      <c r="BN23" s="147"/>
      <c r="BO23" s="147"/>
      <c r="BP23" s="147"/>
      <c r="BQ23" s="147"/>
      <c r="BR23" s="147"/>
      <c r="BS23" s="147"/>
      <c r="BT23" s="147"/>
      <c r="BU23" s="147"/>
      <c r="BV23" s="147"/>
      <c r="BW23" s="147"/>
      <c r="BX23" s="147"/>
      <c r="BY23" s="147"/>
      <c r="BZ23" s="147"/>
      <c r="CA23" s="147"/>
      <c r="CB23" s="147"/>
      <c r="CC23" s="147"/>
      <c r="CD23" s="147"/>
      <c r="CE23" s="147"/>
      <c r="CF23" s="147"/>
      <c r="CG23" s="147"/>
      <c r="CH23" s="147"/>
      <c r="CI23" s="147"/>
      <c r="CJ23" s="147"/>
      <c r="CK23" s="147"/>
      <c r="CL23" s="147"/>
      <c r="CM23" s="147"/>
      <c r="CN23" s="147"/>
      <c r="CO23" s="147"/>
      <c r="CP23" s="147"/>
    </row>
    <row r="24" spans="1:94" s="177" customFormat="1" ht="15" x14ac:dyDescent="0.25">
      <c r="A24" s="178"/>
      <c r="B24" s="179"/>
      <c r="C24" s="244"/>
      <c r="D24" s="242"/>
      <c r="E24" s="180"/>
      <c r="F24" s="181">
        <v>0</v>
      </c>
      <c r="G24" s="175">
        <v>0</v>
      </c>
      <c r="H24" s="176">
        <f t="shared" si="0"/>
        <v>0</v>
      </c>
      <c r="I24" s="176">
        <f t="shared" si="1"/>
        <v>0</v>
      </c>
      <c r="J24" s="159">
        <f t="shared" si="3"/>
        <v>0</v>
      </c>
      <c r="K24" s="166"/>
      <c r="L24" s="176">
        <f t="shared" si="2"/>
        <v>0</v>
      </c>
      <c r="M24" s="176">
        <f t="shared" si="4"/>
        <v>0</v>
      </c>
      <c r="N24" s="183">
        <f t="shared" si="5"/>
        <v>0</v>
      </c>
      <c r="O24"/>
      <c r="P24"/>
      <c r="Q24"/>
      <c r="R24"/>
      <c r="S24"/>
      <c r="T24"/>
      <c r="U24"/>
      <c r="V24"/>
      <c r="W24"/>
      <c r="X24"/>
      <c r="Y24"/>
      <c r="Z24" s="344"/>
      <c r="AA24" s="345"/>
      <c r="AB24" s="363"/>
      <c r="AC24" s="363"/>
      <c r="AD24" s="329"/>
      <c r="AE24" s="147"/>
      <c r="AF24" s="147"/>
      <c r="AG24" s="147"/>
      <c r="AH24" s="147"/>
      <c r="AI24" s="147"/>
      <c r="AJ24" s="147"/>
      <c r="AK24" s="147"/>
      <c r="AL24" s="147"/>
      <c r="AM24" s="147"/>
      <c r="AN24" s="147"/>
      <c r="AO24" s="147"/>
      <c r="AP24" s="147"/>
      <c r="AQ24" s="147"/>
      <c r="AR24" s="147"/>
      <c r="AS24" s="147"/>
      <c r="AT24" s="147"/>
      <c r="AU24" s="147"/>
      <c r="AV24" s="147"/>
      <c r="AW24" s="147"/>
      <c r="AX24" s="147"/>
      <c r="AY24" s="147"/>
      <c r="AZ24" s="147"/>
      <c r="BA24" s="147"/>
      <c r="BB24" s="147"/>
      <c r="BC24" s="147"/>
      <c r="BD24" s="147"/>
      <c r="BE24" s="147"/>
      <c r="BF24" s="147"/>
      <c r="BG24" s="147"/>
      <c r="BH24" s="147"/>
      <c r="BI24" s="147"/>
      <c r="BJ24" s="147"/>
      <c r="BK24" s="147"/>
      <c r="BL24" s="147"/>
      <c r="BM24" s="147"/>
      <c r="BN24" s="147"/>
      <c r="BO24" s="147"/>
      <c r="BP24" s="147"/>
      <c r="BQ24" s="147"/>
      <c r="BR24" s="147"/>
      <c r="BS24" s="147"/>
      <c r="BT24" s="147"/>
      <c r="BU24" s="147"/>
      <c r="BV24" s="147"/>
      <c r="BW24" s="147"/>
      <c r="BX24" s="147"/>
      <c r="BY24" s="147"/>
      <c r="BZ24" s="147"/>
      <c r="CA24" s="147"/>
      <c r="CB24" s="147"/>
      <c r="CC24" s="147"/>
      <c r="CD24" s="147"/>
      <c r="CE24" s="147"/>
      <c r="CF24" s="147"/>
      <c r="CG24" s="147"/>
      <c r="CH24" s="147"/>
      <c r="CI24" s="147"/>
      <c r="CJ24" s="147"/>
      <c r="CK24" s="147"/>
      <c r="CL24" s="147"/>
      <c r="CM24" s="147"/>
      <c r="CN24" s="147"/>
      <c r="CO24" s="147"/>
      <c r="CP24" s="147"/>
    </row>
    <row r="25" spans="1:94" s="177" customFormat="1" ht="15" x14ac:dyDescent="0.25">
      <c r="A25" s="178"/>
      <c r="B25" s="179"/>
      <c r="C25" s="244"/>
      <c r="D25" s="242"/>
      <c r="E25" s="180"/>
      <c r="F25" s="181">
        <v>0</v>
      </c>
      <c r="G25" s="182">
        <v>0</v>
      </c>
      <c r="H25" s="176">
        <f t="shared" si="0"/>
        <v>0</v>
      </c>
      <c r="I25" s="176">
        <f t="shared" si="1"/>
        <v>0</v>
      </c>
      <c r="J25" s="159">
        <f t="shared" si="3"/>
        <v>0</v>
      </c>
      <c r="K25" s="166"/>
      <c r="L25" s="176">
        <f t="shared" si="2"/>
        <v>0</v>
      </c>
      <c r="M25" s="176">
        <f t="shared" si="4"/>
        <v>0</v>
      </c>
      <c r="N25" s="183">
        <f t="shared" si="5"/>
        <v>0</v>
      </c>
      <c r="O25"/>
      <c r="P25"/>
      <c r="Q25"/>
      <c r="R25"/>
      <c r="S25"/>
      <c r="T25"/>
      <c r="U25"/>
      <c r="V25"/>
      <c r="W25"/>
      <c r="X25"/>
      <c r="Y25"/>
      <c r="Z25" s="344"/>
      <c r="AA25" s="345"/>
      <c r="AB25" s="363"/>
      <c r="AC25" s="363"/>
      <c r="AD25" s="329"/>
      <c r="AE25" s="147"/>
      <c r="AF25" s="147"/>
      <c r="AG25" s="147"/>
      <c r="AH25" s="147"/>
      <c r="AI25" s="147"/>
      <c r="AJ25" s="147"/>
      <c r="AK25" s="147"/>
      <c r="AL25" s="147"/>
      <c r="AM25" s="147"/>
      <c r="AN25" s="147"/>
      <c r="AO25" s="147"/>
      <c r="AP25" s="147"/>
      <c r="AQ25" s="147"/>
      <c r="AR25" s="147"/>
      <c r="AS25" s="147"/>
      <c r="AT25" s="147"/>
      <c r="AU25" s="147"/>
      <c r="AV25" s="147"/>
      <c r="AW25" s="147"/>
      <c r="AX25" s="147"/>
      <c r="AY25" s="147"/>
      <c r="AZ25" s="147"/>
      <c r="BA25" s="147"/>
      <c r="BB25" s="147"/>
      <c r="BC25" s="147"/>
      <c r="BD25" s="147"/>
      <c r="BE25" s="147"/>
      <c r="BF25" s="147"/>
      <c r="BG25" s="147"/>
      <c r="BH25" s="147"/>
      <c r="BI25" s="147"/>
      <c r="BJ25" s="147"/>
      <c r="BK25" s="147"/>
      <c r="BL25" s="147"/>
      <c r="BM25" s="147"/>
      <c r="BN25" s="147"/>
      <c r="BO25" s="147"/>
      <c r="BP25" s="147"/>
      <c r="BQ25" s="147"/>
      <c r="BR25" s="147"/>
      <c r="BS25" s="147"/>
      <c r="BT25" s="147"/>
      <c r="BU25" s="147"/>
      <c r="BV25" s="147"/>
      <c r="BW25" s="147"/>
      <c r="BX25" s="147"/>
      <c r="BY25" s="147"/>
      <c r="BZ25" s="147"/>
      <c r="CA25" s="147"/>
      <c r="CB25" s="147"/>
      <c r="CC25" s="147"/>
      <c r="CD25" s="147"/>
      <c r="CE25" s="147"/>
      <c r="CF25" s="147"/>
      <c r="CG25" s="147"/>
      <c r="CH25" s="147"/>
      <c r="CI25" s="147"/>
      <c r="CJ25" s="147"/>
      <c r="CK25" s="147"/>
      <c r="CL25" s="147"/>
      <c r="CM25" s="147"/>
      <c r="CN25" s="147"/>
      <c r="CO25" s="147"/>
      <c r="CP25" s="147"/>
    </row>
    <row r="26" spans="1:94" s="177" customFormat="1" ht="15" x14ac:dyDescent="0.25">
      <c r="A26" s="178"/>
      <c r="B26" s="179"/>
      <c r="C26" s="244"/>
      <c r="D26" s="242"/>
      <c r="E26" s="180"/>
      <c r="F26" s="181">
        <v>0</v>
      </c>
      <c r="G26" s="182">
        <v>0</v>
      </c>
      <c r="H26" s="176">
        <f t="shared" si="0"/>
        <v>0</v>
      </c>
      <c r="I26" s="176">
        <f t="shared" si="1"/>
        <v>0</v>
      </c>
      <c r="J26" s="159">
        <f t="shared" si="3"/>
        <v>0</v>
      </c>
      <c r="K26" s="166"/>
      <c r="L26" s="176">
        <f t="shared" si="2"/>
        <v>0</v>
      </c>
      <c r="M26" s="176">
        <f t="shared" si="4"/>
        <v>0</v>
      </c>
      <c r="N26" s="183">
        <f t="shared" si="5"/>
        <v>0</v>
      </c>
      <c r="O26"/>
      <c r="P26"/>
      <c r="Q26"/>
      <c r="R26"/>
      <c r="S26"/>
      <c r="T26"/>
      <c r="U26"/>
      <c r="V26"/>
      <c r="W26"/>
      <c r="X26"/>
      <c r="Y26"/>
      <c r="Z26" s="344"/>
      <c r="AA26" s="345"/>
      <c r="AB26" s="363"/>
      <c r="AC26" s="363"/>
      <c r="AD26" s="329"/>
      <c r="AE26" s="147"/>
      <c r="AF26" s="147"/>
      <c r="AG26" s="147"/>
      <c r="AH26" s="147"/>
      <c r="AI26" s="147"/>
      <c r="AJ26" s="147"/>
      <c r="AK26" s="147"/>
      <c r="AL26" s="147"/>
      <c r="AM26" s="147"/>
      <c r="AN26" s="147"/>
      <c r="AO26" s="147"/>
      <c r="AP26" s="147"/>
      <c r="AQ26" s="147"/>
      <c r="AR26" s="147"/>
      <c r="AS26" s="147"/>
      <c r="AT26" s="147"/>
      <c r="AU26" s="147"/>
      <c r="AV26" s="147"/>
      <c r="AW26" s="147"/>
      <c r="AX26" s="147"/>
      <c r="AY26" s="147"/>
      <c r="AZ26" s="147"/>
      <c r="BA26" s="147"/>
      <c r="BB26" s="147"/>
      <c r="BC26" s="147"/>
      <c r="BD26" s="147"/>
      <c r="BE26" s="147"/>
      <c r="BF26" s="147"/>
      <c r="BG26" s="147"/>
      <c r="BH26" s="147"/>
      <c r="BI26" s="147"/>
      <c r="BJ26" s="147"/>
      <c r="BK26" s="147"/>
      <c r="BL26" s="147"/>
      <c r="BM26" s="147"/>
      <c r="BN26" s="147"/>
      <c r="BO26" s="147"/>
      <c r="BP26" s="147"/>
      <c r="BQ26" s="147"/>
      <c r="BR26" s="147"/>
      <c r="BS26" s="147"/>
      <c r="BT26" s="147"/>
      <c r="BU26" s="147"/>
      <c r="BV26" s="147"/>
      <c r="BW26" s="147"/>
      <c r="BX26" s="147"/>
      <c r="BY26" s="147"/>
      <c r="BZ26" s="147"/>
      <c r="CA26" s="147"/>
      <c r="CB26" s="147"/>
      <c r="CC26" s="147"/>
      <c r="CD26" s="147"/>
      <c r="CE26" s="147"/>
      <c r="CF26" s="147"/>
      <c r="CG26" s="147"/>
      <c r="CH26" s="147"/>
      <c r="CI26" s="147"/>
      <c r="CJ26" s="147"/>
      <c r="CK26" s="147"/>
      <c r="CL26" s="147"/>
      <c r="CM26" s="147"/>
      <c r="CN26" s="147"/>
      <c r="CO26" s="147"/>
      <c r="CP26" s="147"/>
    </row>
    <row r="27" spans="1:94" s="177" customFormat="1" ht="15" x14ac:dyDescent="0.25">
      <c r="A27" s="178"/>
      <c r="B27" s="179"/>
      <c r="C27" s="244"/>
      <c r="D27" s="242"/>
      <c r="E27" s="180"/>
      <c r="F27" s="181">
        <v>0</v>
      </c>
      <c r="G27" s="182">
        <v>0</v>
      </c>
      <c r="H27" s="176">
        <f t="shared" si="0"/>
        <v>0</v>
      </c>
      <c r="I27" s="176">
        <f t="shared" si="1"/>
        <v>0</v>
      </c>
      <c r="J27" s="159">
        <f t="shared" si="3"/>
        <v>0</v>
      </c>
      <c r="K27" s="166"/>
      <c r="L27" s="176">
        <f t="shared" si="2"/>
        <v>0</v>
      </c>
      <c r="M27" s="176">
        <f t="shared" si="4"/>
        <v>0</v>
      </c>
      <c r="N27" s="183">
        <f t="shared" si="5"/>
        <v>0</v>
      </c>
      <c r="O27"/>
      <c r="P27"/>
      <c r="Q27"/>
      <c r="R27"/>
      <c r="S27"/>
      <c r="T27"/>
      <c r="U27"/>
      <c r="V27"/>
      <c r="W27"/>
      <c r="X27"/>
      <c r="Y27"/>
      <c r="Z27" s="344"/>
      <c r="AA27" s="363"/>
      <c r="AB27" s="363"/>
      <c r="AC27" s="363"/>
      <c r="AD27" s="329"/>
      <c r="AE27" s="147"/>
      <c r="AF27" s="147"/>
      <c r="AG27" s="147"/>
      <c r="AH27" s="147"/>
      <c r="AI27" s="147"/>
      <c r="AJ27" s="147"/>
      <c r="AK27" s="147"/>
      <c r="AL27" s="147"/>
      <c r="AM27" s="147"/>
      <c r="AN27" s="147"/>
      <c r="AO27" s="147"/>
      <c r="AP27" s="147"/>
      <c r="AQ27" s="147"/>
      <c r="AR27" s="147"/>
      <c r="AS27" s="147"/>
      <c r="AT27" s="147"/>
      <c r="AU27" s="147"/>
      <c r="AV27" s="147"/>
      <c r="AW27" s="147"/>
      <c r="AX27" s="147"/>
      <c r="AY27" s="147"/>
      <c r="AZ27" s="147"/>
      <c r="BA27" s="147"/>
      <c r="BB27" s="147"/>
      <c r="BC27" s="147"/>
      <c r="BD27" s="147"/>
      <c r="BE27" s="147"/>
      <c r="BF27" s="147"/>
      <c r="BG27" s="147"/>
      <c r="BH27" s="147"/>
      <c r="BI27" s="147"/>
      <c r="BJ27" s="147"/>
      <c r="BK27" s="147"/>
      <c r="BL27" s="147"/>
      <c r="BM27" s="147"/>
      <c r="BN27" s="147"/>
      <c r="BO27" s="147"/>
      <c r="BP27" s="147"/>
      <c r="BQ27" s="147"/>
      <c r="BR27" s="147"/>
      <c r="BS27" s="147"/>
      <c r="BT27" s="147"/>
      <c r="BU27" s="147"/>
      <c r="BV27" s="147"/>
      <c r="BW27" s="147"/>
      <c r="BX27" s="147"/>
      <c r="BY27" s="147"/>
      <c r="BZ27" s="147"/>
      <c r="CA27" s="147"/>
      <c r="CB27" s="147"/>
      <c r="CC27" s="147"/>
      <c r="CD27" s="147"/>
      <c r="CE27" s="147"/>
      <c r="CF27" s="147"/>
      <c r="CG27" s="147"/>
      <c r="CH27" s="147"/>
      <c r="CI27" s="147"/>
      <c r="CJ27" s="147"/>
      <c r="CK27" s="147"/>
      <c r="CL27" s="147"/>
      <c r="CM27" s="147"/>
      <c r="CN27" s="147"/>
      <c r="CO27" s="147"/>
      <c r="CP27" s="147"/>
    </row>
    <row r="28" spans="1:94" s="177" customFormat="1" ht="15" x14ac:dyDescent="0.25">
      <c r="A28" s="178"/>
      <c r="B28" s="179"/>
      <c r="C28" s="244"/>
      <c r="D28" s="242"/>
      <c r="E28" s="180"/>
      <c r="F28" s="181">
        <v>0</v>
      </c>
      <c r="G28" s="182">
        <v>0</v>
      </c>
      <c r="H28" s="176">
        <f t="shared" si="0"/>
        <v>0</v>
      </c>
      <c r="I28" s="176">
        <f t="shared" si="1"/>
        <v>0</v>
      </c>
      <c r="J28" s="159">
        <f t="shared" si="3"/>
        <v>0</v>
      </c>
      <c r="K28" s="166"/>
      <c r="L28" s="176">
        <f t="shared" si="2"/>
        <v>0</v>
      </c>
      <c r="M28" s="176">
        <f t="shared" si="4"/>
        <v>0</v>
      </c>
      <c r="N28" s="183">
        <f t="shared" si="5"/>
        <v>0</v>
      </c>
      <c r="O28"/>
      <c r="P28"/>
      <c r="Q28"/>
      <c r="R28"/>
      <c r="S28"/>
      <c r="T28"/>
      <c r="U28"/>
      <c r="V28"/>
      <c r="W28"/>
      <c r="X28"/>
      <c r="Y28"/>
      <c r="Z28" s="344"/>
      <c r="AA28" s="363"/>
      <c r="AB28" s="363"/>
      <c r="AC28" s="363"/>
      <c r="AD28" s="329"/>
      <c r="AE28" s="147"/>
      <c r="AF28" s="147"/>
      <c r="AG28" s="147"/>
      <c r="AH28" s="147"/>
      <c r="AI28" s="147"/>
      <c r="AJ28" s="147"/>
      <c r="AK28" s="147"/>
      <c r="AL28" s="147"/>
      <c r="AM28" s="147"/>
      <c r="AN28" s="147"/>
      <c r="AO28" s="147"/>
      <c r="AP28" s="147"/>
      <c r="AQ28" s="147"/>
      <c r="AR28" s="147"/>
      <c r="AS28" s="147"/>
      <c r="AT28" s="147"/>
      <c r="AU28" s="147"/>
      <c r="AV28" s="147"/>
      <c r="AW28" s="147"/>
      <c r="AX28" s="147"/>
      <c r="AY28" s="147"/>
      <c r="AZ28" s="147"/>
      <c r="BA28" s="147"/>
      <c r="BB28" s="147"/>
      <c r="BC28" s="147"/>
      <c r="BD28" s="147"/>
      <c r="BE28" s="147"/>
      <c r="BF28" s="147"/>
      <c r="BG28" s="147"/>
      <c r="BH28" s="147"/>
      <c r="BI28" s="147"/>
      <c r="BJ28" s="147"/>
      <c r="BK28" s="147"/>
      <c r="BL28" s="147"/>
      <c r="BM28" s="147"/>
      <c r="BN28" s="147"/>
      <c r="BO28" s="147"/>
      <c r="BP28" s="147"/>
      <c r="BQ28" s="147"/>
      <c r="BR28" s="147"/>
      <c r="BS28" s="147"/>
      <c r="BT28" s="147"/>
      <c r="BU28" s="147"/>
      <c r="BV28" s="147"/>
      <c r="BW28" s="147"/>
      <c r="BX28" s="147"/>
      <c r="BY28" s="147"/>
      <c r="BZ28" s="147"/>
      <c r="CA28" s="147"/>
      <c r="CB28" s="147"/>
      <c r="CC28" s="147"/>
      <c r="CD28" s="147"/>
      <c r="CE28" s="147"/>
      <c r="CF28" s="147"/>
      <c r="CG28" s="147"/>
      <c r="CH28" s="147"/>
      <c r="CI28" s="147"/>
      <c r="CJ28" s="147"/>
      <c r="CK28" s="147"/>
      <c r="CL28" s="147"/>
      <c r="CM28" s="147"/>
      <c r="CN28" s="147"/>
      <c r="CO28" s="147"/>
      <c r="CP28" s="147"/>
    </row>
    <row r="29" spans="1:94" s="177" customFormat="1" ht="15" x14ac:dyDescent="0.25">
      <c r="A29" s="179"/>
      <c r="B29" s="179"/>
      <c r="C29" s="171"/>
      <c r="D29" s="243"/>
      <c r="E29" s="180"/>
      <c r="F29" s="181">
        <v>0</v>
      </c>
      <c r="G29" s="182">
        <v>0</v>
      </c>
      <c r="H29" s="176">
        <f t="shared" si="0"/>
        <v>0</v>
      </c>
      <c r="I29" s="176">
        <f t="shared" si="1"/>
        <v>0</v>
      </c>
      <c r="J29" s="159">
        <f t="shared" si="3"/>
        <v>0</v>
      </c>
      <c r="K29" s="166"/>
      <c r="L29" s="176">
        <f t="shared" si="2"/>
        <v>0</v>
      </c>
      <c r="M29" s="176">
        <f t="shared" si="4"/>
        <v>0</v>
      </c>
      <c r="N29" s="183">
        <f t="shared" si="5"/>
        <v>0</v>
      </c>
      <c r="O29"/>
      <c r="P29"/>
      <c r="Q29"/>
      <c r="R29"/>
      <c r="S29"/>
      <c r="T29"/>
      <c r="U29"/>
      <c r="V29"/>
      <c r="W29"/>
      <c r="X29"/>
      <c r="Y29"/>
      <c r="Z29" s="344"/>
      <c r="AA29" s="363"/>
      <c r="AB29" s="363"/>
      <c r="AC29" s="363"/>
      <c r="AD29" s="329"/>
      <c r="AE29" s="147"/>
      <c r="AF29" s="147"/>
      <c r="AG29" s="147"/>
      <c r="AH29" s="147"/>
      <c r="AI29" s="147"/>
      <c r="AJ29" s="147"/>
      <c r="AK29" s="147"/>
      <c r="AL29" s="147"/>
      <c r="AM29" s="147"/>
      <c r="AN29" s="147"/>
      <c r="AO29" s="147"/>
      <c r="AP29" s="147"/>
      <c r="AQ29" s="147"/>
      <c r="AR29" s="147"/>
      <c r="AS29" s="147"/>
      <c r="AT29" s="147"/>
      <c r="AU29" s="147"/>
      <c r="AV29" s="147"/>
      <c r="AW29" s="147"/>
      <c r="AX29" s="147"/>
      <c r="AY29" s="147"/>
      <c r="AZ29" s="147"/>
      <c r="BA29" s="147"/>
      <c r="BB29" s="147"/>
      <c r="BC29" s="147"/>
      <c r="BD29" s="147"/>
      <c r="BE29" s="147"/>
      <c r="BF29" s="147"/>
      <c r="BG29" s="147"/>
      <c r="BH29" s="147"/>
      <c r="BI29" s="147"/>
      <c r="BJ29" s="147"/>
      <c r="BK29" s="147"/>
      <c r="BL29" s="147"/>
      <c r="BM29" s="147"/>
      <c r="BN29" s="147"/>
      <c r="BO29" s="147"/>
      <c r="BP29" s="147"/>
      <c r="BQ29" s="147"/>
      <c r="BR29" s="147"/>
      <c r="BS29" s="147"/>
      <c r="BT29" s="147"/>
      <c r="BU29" s="147"/>
      <c r="BV29" s="147"/>
      <c r="BW29" s="147"/>
      <c r="BX29" s="147"/>
      <c r="BY29" s="147"/>
      <c r="BZ29" s="147"/>
      <c r="CA29" s="147"/>
      <c r="CB29" s="147"/>
      <c r="CC29" s="147"/>
      <c r="CD29" s="147"/>
      <c r="CE29" s="147"/>
      <c r="CF29" s="147"/>
      <c r="CG29" s="147"/>
      <c r="CH29" s="147"/>
      <c r="CI29" s="147"/>
      <c r="CJ29" s="147"/>
      <c r="CK29" s="147"/>
      <c r="CL29" s="147"/>
      <c r="CM29" s="147"/>
      <c r="CN29" s="147"/>
      <c r="CO29" s="147"/>
      <c r="CP29" s="147"/>
    </row>
    <row r="30" spans="1:94" s="177" customFormat="1" ht="15" x14ac:dyDescent="0.25">
      <c r="A30" s="179"/>
      <c r="B30" s="184"/>
      <c r="C30" s="171"/>
      <c r="D30" s="243"/>
      <c r="E30" s="180"/>
      <c r="F30" s="181">
        <v>0</v>
      </c>
      <c r="G30" s="182">
        <v>0</v>
      </c>
      <c r="H30" s="176">
        <f t="shared" si="0"/>
        <v>0</v>
      </c>
      <c r="I30" s="176">
        <f t="shared" si="1"/>
        <v>0</v>
      </c>
      <c r="J30" s="159">
        <f t="shared" si="3"/>
        <v>0</v>
      </c>
      <c r="K30" s="166"/>
      <c r="L30" s="176">
        <f t="shared" si="2"/>
        <v>0</v>
      </c>
      <c r="M30" s="176">
        <f t="shared" si="4"/>
        <v>0</v>
      </c>
      <c r="N30" s="183">
        <f t="shared" si="5"/>
        <v>0</v>
      </c>
      <c r="O30"/>
      <c r="P30"/>
      <c r="Q30"/>
      <c r="R30"/>
      <c r="S30"/>
      <c r="T30"/>
      <c r="U30"/>
      <c r="V30"/>
      <c r="W30"/>
      <c r="X30"/>
      <c r="Y30"/>
      <c r="Z30" s="344"/>
      <c r="AA30" s="363"/>
      <c r="AB30" s="363"/>
      <c r="AC30" s="363"/>
      <c r="AD30" s="329"/>
      <c r="AE30" s="147"/>
      <c r="AF30" s="147"/>
      <c r="AG30" s="147"/>
      <c r="AH30" s="147"/>
      <c r="AI30" s="147"/>
      <c r="AJ30" s="147"/>
      <c r="AK30" s="147"/>
      <c r="AL30" s="147"/>
      <c r="AM30" s="147"/>
      <c r="AN30" s="147"/>
      <c r="AO30" s="147"/>
      <c r="AP30" s="147"/>
      <c r="AQ30" s="147"/>
      <c r="AR30" s="147"/>
      <c r="AS30" s="147"/>
      <c r="AT30" s="147"/>
      <c r="AU30" s="147"/>
      <c r="AV30" s="147"/>
      <c r="AW30" s="147"/>
      <c r="AX30" s="147"/>
      <c r="AY30" s="147"/>
      <c r="AZ30" s="147"/>
      <c r="BA30" s="147"/>
      <c r="BB30" s="147"/>
      <c r="BC30" s="147"/>
      <c r="BD30" s="147"/>
      <c r="BE30" s="147"/>
      <c r="BF30" s="147"/>
      <c r="BG30" s="147"/>
      <c r="BH30" s="147"/>
      <c r="BI30" s="147"/>
      <c r="BJ30" s="147"/>
      <c r="BK30" s="147"/>
      <c r="BL30" s="147"/>
      <c r="BM30" s="147"/>
      <c r="BN30" s="147"/>
      <c r="BO30" s="147"/>
      <c r="BP30" s="147"/>
      <c r="BQ30" s="147"/>
      <c r="BR30" s="147"/>
      <c r="BS30" s="147"/>
      <c r="BT30" s="147"/>
      <c r="BU30" s="147"/>
      <c r="BV30" s="147"/>
      <c r="BW30" s="147"/>
      <c r="BX30" s="147"/>
      <c r="BY30" s="147"/>
      <c r="BZ30" s="147"/>
      <c r="CA30" s="147"/>
      <c r="CB30" s="147"/>
      <c r="CC30" s="147"/>
      <c r="CD30" s="147"/>
      <c r="CE30" s="147"/>
      <c r="CF30" s="147"/>
      <c r="CG30" s="147"/>
      <c r="CH30" s="147"/>
      <c r="CI30" s="147"/>
      <c r="CJ30" s="147"/>
      <c r="CK30" s="147"/>
      <c r="CL30" s="147"/>
      <c r="CM30" s="147"/>
      <c r="CN30" s="147"/>
      <c r="CO30" s="147"/>
      <c r="CP30" s="147"/>
    </row>
    <row r="31" spans="1:94" s="153" customFormat="1" ht="15" x14ac:dyDescent="0.25">
      <c r="A31" s="139"/>
      <c r="B31" s="168"/>
      <c r="C31" s="245"/>
      <c r="D31" s="246" t="s">
        <v>36</v>
      </c>
      <c r="E31" s="150"/>
      <c r="F31" s="165"/>
      <c r="G31" s="166"/>
      <c r="H31" s="166"/>
      <c r="I31" s="166"/>
      <c r="J31" s="166"/>
      <c r="K31" s="166"/>
      <c r="L31" s="166"/>
      <c r="M31" s="166"/>
      <c r="N31" s="166"/>
      <c r="O31"/>
      <c r="P31"/>
      <c r="Q31"/>
      <c r="R31"/>
      <c r="S31"/>
      <c r="T31"/>
      <c r="U31"/>
      <c r="V31"/>
      <c r="W31"/>
      <c r="X31"/>
      <c r="Y31"/>
      <c r="Z31" s="344"/>
      <c r="AA31" s="363"/>
      <c r="AB31" s="363"/>
      <c r="AC31" s="363"/>
      <c r="AD31" s="329"/>
      <c r="AE31" s="147"/>
      <c r="AF31" s="147"/>
      <c r="AG31" s="147"/>
      <c r="AH31" s="147"/>
      <c r="AI31" s="147"/>
      <c r="AJ31" s="147"/>
      <c r="AK31" s="147"/>
      <c r="AL31" s="147"/>
      <c r="AM31" s="147"/>
      <c r="AN31" s="147"/>
      <c r="AO31" s="147"/>
      <c r="AP31" s="147"/>
      <c r="AQ31" s="147"/>
      <c r="AR31" s="147"/>
      <c r="AS31" s="147"/>
      <c r="AT31" s="147"/>
      <c r="AU31" s="147"/>
      <c r="AV31" s="147"/>
      <c r="AW31" s="147"/>
      <c r="AX31" s="147"/>
      <c r="AY31" s="147"/>
      <c r="AZ31" s="147"/>
      <c r="BA31" s="147"/>
      <c r="BB31" s="147"/>
      <c r="BC31" s="147"/>
      <c r="BD31" s="147"/>
      <c r="BE31" s="147"/>
      <c r="BF31" s="147"/>
      <c r="BG31" s="147"/>
      <c r="BH31" s="147"/>
      <c r="BI31" s="147"/>
      <c r="BJ31" s="147"/>
      <c r="BK31" s="147"/>
      <c r="BL31" s="147"/>
      <c r="BM31" s="147"/>
      <c r="BN31" s="147"/>
      <c r="BO31" s="147"/>
      <c r="BP31" s="147"/>
      <c r="BQ31" s="147"/>
      <c r="BR31" s="147"/>
      <c r="BS31" s="147"/>
      <c r="BT31" s="147"/>
      <c r="BU31" s="147"/>
      <c r="BV31" s="147"/>
      <c r="BW31" s="147"/>
      <c r="BX31" s="147"/>
      <c r="BY31" s="147"/>
      <c r="BZ31" s="147"/>
      <c r="CA31" s="147"/>
      <c r="CB31" s="147"/>
      <c r="CC31" s="147"/>
      <c r="CD31" s="147"/>
      <c r="CE31" s="147"/>
      <c r="CF31" s="147"/>
      <c r="CG31" s="147"/>
      <c r="CH31" s="147"/>
      <c r="CI31" s="147"/>
      <c r="CJ31" s="147"/>
      <c r="CK31" s="147"/>
      <c r="CL31" s="147"/>
      <c r="CM31" s="147"/>
      <c r="CN31" s="147"/>
      <c r="CO31" s="147"/>
      <c r="CP31" s="147"/>
    </row>
    <row r="32" spans="1:94" s="177" customFormat="1" ht="15" x14ac:dyDescent="0.25">
      <c r="A32" s="185"/>
      <c r="B32" s="185"/>
      <c r="C32" s="244"/>
      <c r="D32" s="242"/>
      <c r="E32" s="173"/>
      <c r="F32" s="174">
        <v>0</v>
      </c>
      <c r="G32" s="175">
        <v>0</v>
      </c>
      <c r="H32" s="176">
        <f t="shared" ref="H32:H35" si="6">IF(AND($F32&lt;&gt;0,$G32&lt;&gt;0,OR($E32=1,$E32=3)),$F32*Health,0)</f>
        <v>0</v>
      </c>
      <c r="I32" s="176">
        <f t="shared" ref="I32:I34" si="7">IF(AND($E32=1,$C32=""),$G32*PermVB+$G32*Retire1,IF($E32=1,$G32*PermVB+$G32*VLOOKUP($C32,Retirement_Rates,3,FALSE),IF($E32=2,$G32*GroupVB,IF(AND($E32=3,$C32=""),$G32*ElectVB+$G32*Retire1,IF($E32=3,$G32*ElectVB+$G32*VLOOKUP($C32,Retirement_Rates,3,FALSE),0)))))</f>
        <v>0</v>
      </c>
      <c r="J32" s="279">
        <f t="shared" si="3"/>
        <v>0</v>
      </c>
      <c r="K32" s="166"/>
      <c r="L32" s="176">
        <f t="shared" ref="L32:L35" si="8">IF(AND($F32&lt;&gt;0,$G32&lt;&gt;0,OR($E32=1,$E32=3)),$F32*HealthCHG,0)</f>
        <v>0</v>
      </c>
      <c r="M32" s="176">
        <f t="shared" ref="M32:M35" si="9">IF(AND($E32=1,$C32=""),$G32*PermVBCHG+$G32*Retire1CHG,IF($E32=1,$G32*PermVBCHG+$G32*VLOOKUP($C32,Retirement_Rates,5,FALSE),IF($E32=2,0,IF(AND($E32=3,$C32=""),$G32*ElectVBCHG+$G32*Retire1CHG,IF($E32=3,$G32*ElectVBCHG+$G32*VLOOKUP($C32,Retirement_Rates,5,FALSE),0)))))</f>
        <v>0</v>
      </c>
      <c r="N32" s="176">
        <f t="shared" ref="N32:N35" si="10">SUM(L32:M32)</f>
        <v>0</v>
      </c>
      <c r="O32"/>
      <c r="P32"/>
      <c r="Q32"/>
      <c r="R32"/>
      <c r="S32"/>
      <c r="T32"/>
      <c r="U32"/>
      <c r="V32"/>
      <c r="W32"/>
      <c r="X32"/>
      <c r="Y32"/>
      <c r="Z32" s="344"/>
      <c r="AA32" s="363"/>
      <c r="AB32" s="363"/>
      <c r="AC32" s="363"/>
      <c r="AD32" s="329"/>
      <c r="AE32" s="147"/>
      <c r="AF32" s="147"/>
      <c r="AG32" s="147"/>
      <c r="AH32" s="147"/>
      <c r="AI32" s="147"/>
      <c r="AJ32" s="147"/>
      <c r="AK32" s="147"/>
      <c r="AL32" s="147"/>
      <c r="AM32" s="147"/>
      <c r="AN32" s="147"/>
      <c r="AO32" s="147"/>
      <c r="AP32" s="147"/>
      <c r="AQ32" s="147"/>
      <c r="AR32" s="147"/>
      <c r="AS32" s="147"/>
      <c r="AT32" s="147"/>
      <c r="AU32" s="147"/>
      <c r="AV32" s="147"/>
      <c r="AW32" s="147"/>
      <c r="AX32" s="147"/>
      <c r="AY32" s="147"/>
      <c r="AZ32" s="147"/>
      <c r="BA32" s="147"/>
      <c r="BB32" s="147"/>
      <c r="BC32" s="147"/>
      <c r="BD32" s="147"/>
      <c r="BE32" s="147"/>
      <c r="BF32" s="147"/>
      <c r="BG32" s="147"/>
      <c r="BH32" s="147"/>
      <c r="BI32" s="147"/>
      <c r="BJ32" s="147"/>
      <c r="BK32" s="147"/>
      <c r="BL32" s="147"/>
      <c r="BM32" s="147"/>
      <c r="BN32" s="147"/>
      <c r="BO32" s="147"/>
      <c r="BP32" s="147"/>
      <c r="BQ32" s="147"/>
      <c r="BR32" s="147"/>
      <c r="BS32" s="147"/>
      <c r="BT32" s="147"/>
      <c r="BU32" s="147"/>
      <c r="BV32" s="147"/>
      <c r="BW32" s="147"/>
      <c r="BX32" s="147"/>
      <c r="BY32" s="147"/>
      <c r="BZ32" s="147"/>
      <c r="CA32" s="147"/>
      <c r="CB32" s="147"/>
      <c r="CC32" s="147"/>
      <c r="CD32" s="147"/>
      <c r="CE32" s="147"/>
      <c r="CF32" s="147"/>
      <c r="CG32" s="147"/>
      <c r="CH32" s="147"/>
      <c r="CI32" s="147"/>
      <c r="CJ32" s="147"/>
      <c r="CK32" s="147"/>
      <c r="CL32" s="147"/>
      <c r="CM32" s="147"/>
      <c r="CN32" s="147"/>
      <c r="CO32" s="147"/>
      <c r="CP32" s="147"/>
    </row>
    <row r="33" spans="1:94" s="177" customFormat="1" ht="15" x14ac:dyDescent="0.25">
      <c r="A33" s="186"/>
      <c r="B33" s="187"/>
      <c r="C33" s="244"/>
      <c r="D33" s="242"/>
      <c r="E33" s="180"/>
      <c r="F33" s="181">
        <v>0</v>
      </c>
      <c r="G33" s="182">
        <v>0</v>
      </c>
      <c r="H33" s="176">
        <f t="shared" si="6"/>
        <v>0</v>
      </c>
      <c r="I33" s="176">
        <f t="shared" si="7"/>
        <v>0</v>
      </c>
      <c r="J33" s="279">
        <f t="shared" si="3"/>
        <v>0</v>
      </c>
      <c r="K33" s="166"/>
      <c r="L33" s="176">
        <f t="shared" si="8"/>
        <v>0</v>
      </c>
      <c r="M33" s="176">
        <f t="shared" si="9"/>
        <v>0</v>
      </c>
      <c r="N33" s="183">
        <f t="shared" si="10"/>
        <v>0</v>
      </c>
      <c r="O33"/>
      <c r="P33"/>
      <c r="Q33"/>
      <c r="R33"/>
      <c r="S33"/>
      <c r="T33"/>
      <c r="U33"/>
      <c r="V33"/>
      <c r="W33"/>
      <c r="X33"/>
      <c r="Y33"/>
      <c r="Z33" s="344"/>
      <c r="AA33" s="363"/>
      <c r="AB33" s="363"/>
      <c r="AC33" s="363"/>
      <c r="AD33" s="329"/>
      <c r="AE33" s="147"/>
      <c r="AF33" s="147"/>
      <c r="AG33" s="147"/>
      <c r="AH33" s="147"/>
      <c r="AI33" s="147"/>
      <c r="AJ33" s="147"/>
      <c r="AK33" s="147"/>
      <c r="AL33" s="147"/>
      <c r="AM33" s="147"/>
      <c r="AN33" s="147"/>
      <c r="AO33" s="147"/>
      <c r="AP33" s="147"/>
      <c r="AQ33" s="147"/>
      <c r="AR33" s="147"/>
      <c r="AS33" s="147"/>
      <c r="AT33" s="147"/>
      <c r="AU33" s="147"/>
      <c r="AV33" s="147"/>
      <c r="AW33" s="147"/>
      <c r="AX33" s="147"/>
      <c r="AY33" s="147"/>
      <c r="AZ33" s="147"/>
      <c r="BA33" s="147"/>
      <c r="BB33" s="147"/>
      <c r="BC33" s="147"/>
      <c r="BD33" s="147"/>
      <c r="BE33" s="147"/>
      <c r="BF33" s="147"/>
      <c r="BG33" s="147"/>
      <c r="BH33" s="147"/>
      <c r="BI33" s="147"/>
      <c r="BJ33" s="147"/>
      <c r="BK33" s="147"/>
      <c r="BL33" s="147"/>
      <c r="BM33" s="147"/>
      <c r="BN33" s="147"/>
      <c r="BO33" s="147"/>
      <c r="BP33" s="147"/>
      <c r="BQ33" s="147"/>
      <c r="BR33" s="147"/>
      <c r="BS33" s="147"/>
      <c r="BT33" s="147"/>
      <c r="BU33" s="147"/>
      <c r="BV33" s="147"/>
      <c r="BW33" s="147"/>
      <c r="BX33" s="147"/>
      <c r="BY33" s="147"/>
      <c r="BZ33" s="147"/>
      <c r="CA33" s="147"/>
      <c r="CB33" s="147"/>
      <c r="CC33" s="147"/>
      <c r="CD33" s="147"/>
      <c r="CE33" s="147"/>
      <c r="CF33" s="147"/>
      <c r="CG33" s="147"/>
      <c r="CH33" s="147"/>
      <c r="CI33" s="147"/>
      <c r="CJ33" s="147"/>
      <c r="CK33" s="147"/>
      <c r="CL33" s="147"/>
      <c r="CM33" s="147"/>
      <c r="CN33" s="147"/>
      <c r="CO33" s="147"/>
      <c r="CP33" s="147"/>
    </row>
    <row r="34" spans="1:94" s="177" customFormat="1" ht="15" x14ac:dyDescent="0.25">
      <c r="A34" s="186"/>
      <c r="B34" s="187"/>
      <c r="C34" s="244"/>
      <c r="D34" s="242"/>
      <c r="E34" s="180"/>
      <c r="F34" s="181">
        <v>0</v>
      </c>
      <c r="G34" s="182">
        <v>0</v>
      </c>
      <c r="H34" s="176">
        <f t="shared" si="6"/>
        <v>0</v>
      </c>
      <c r="I34" s="176">
        <f t="shared" si="7"/>
        <v>0</v>
      </c>
      <c r="J34" s="279">
        <f t="shared" si="3"/>
        <v>0</v>
      </c>
      <c r="K34" s="280"/>
      <c r="L34" s="176">
        <f t="shared" si="8"/>
        <v>0</v>
      </c>
      <c r="M34" s="176">
        <f t="shared" si="9"/>
        <v>0</v>
      </c>
      <c r="N34" s="183">
        <f t="shared" si="10"/>
        <v>0</v>
      </c>
      <c r="O34"/>
      <c r="P34"/>
      <c r="Q34"/>
      <c r="R34"/>
      <c r="S34"/>
      <c r="T34"/>
      <c r="U34"/>
      <c r="V34"/>
      <c r="W34"/>
      <c r="X34"/>
      <c r="Y34"/>
      <c r="Z34" s="344"/>
      <c r="AA34" s="363"/>
      <c r="AB34" s="363"/>
      <c r="AC34" s="363"/>
      <c r="AD34" s="329"/>
      <c r="AE34" s="147"/>
      <c r="AF34" s="147"/>
      <c r="AG34" s="147"/>
      <c r="AH34" s="147"/>
      <c r="AI34" s="147"/>
      <c r="AJ34" s="147"/>
      <c r="AK34" s="147"/>
      <c r="AL34" s="147"/>
      <c r="AM34" s="147"/>
      <c r="AN34" s="147"/>
      <c r="AO34" s="147"/>
      <c r="AP34" s="147"/>
      <c r="AQ34" s="147"/>
      <c r="AR34" s="147"/>
      <c r="AS34" s="147"/>
      <c r="AT34" s="147"/>
      <c r="AU34" s="147"/>
      <c r="AV34" s="147"/>
      <c r="AW34" s="147"/>
      <c r="AX34" s="147"/>
      <c r="AY34" s="147"/>
      <c r="AZ34" s="147"/>
      <c r="BA34" s="147"/>
      <c r="BB34" s="147"/>
      <c r="BC34" s="147"/>
      <c r="BD34" s="147"/>
      <c r="BE34" s="147"/>
      <c r="BF34" s="147"/>
      <c r="BG34" s="147"/>
      <c r="BH34" s="147"/>
      <c r="BI34" s="147"/>
      <c r="BJ34" s="147"/>
      <c r="BK34" s="147"/>
      <c r="BL34" s="147"/>
      <c r="BM34" s="147"/>
      <c r="BN34" s="147"/>
      <c r="BO34" s="147"/>
      <c r="BP34" s="147"/>
      <c r="BQ34" s="147"/>
      <c r="BR34" s="147"/>
      <c r="BS34" s="147"/>
      <c r="BT34" s="147"/>
      <c r="BU34" s="147"/>
      <c r="BV34" s="147"/>
      <c r="BW34" s="147"/>
      <c r="BX34" s="147"/>
      <c r="BY34" s="147"/>
      <c r="BZ34" s="147"/>
      <c r="CA34" s="147"/>
      <c r="CB34" s="147"/>
      <c r="CC34" s="147"/>
      <c r="CD34" s="147"/>
      <c r="CE34" s="147"/>
      <c r="CF34" s="147"/>
      <c r="CG34" s="147"/>
      <c r="CH34" s="147"/>
      <c r="CI34" s="147"/>
      <c r="CJ34" s="147"/>
      <c r="CK34" s="147"/>
      <c r="CL34" s="147"/>
      <c r="CM34" s="147"/>
      <c r="CN34" s="147"/>
      <c r="CO34" s="147"/>
      <c r="CP34" s="147"/>
    </row>
    <row r="35" spans="1:94" s="177" customFormat="1" ht="15" x14ac:dyDescent="0.25">
      <c r="A35" s="186"/>
      <c r="B35" s="187"/>
      <c r="C35" s="244"/>
      <c r="D35" s="242"/>
      <c r="E35" s="180"/>
      <c r="F35" s="181">
        <v>0</v>
      </c>
      <c r="G35" s="182">
        <v>0</v>
      </c>
      <c r="H35" s="176">
        <f t="shared" si="6"/>
        <v>0</v>
      </c>
      <c r="I35" s="176">
        <f>IF(AND($E35=1,$C35=""),$G35*(PermVB+Retire1),IF($E35=1,$G35*PermVB+$G35*VLOOKUP($C35,Retirement_Rates,3,FALSE),IF($E35=2,$G35*GroupVB,IF(AND($E35=3,$C35=""),$G35*ElectVB+$G35*Retire1,IF($E35=3,$G35*ElectVB+$G35*VLOOKUP($C35,Retirement_Rates,3,FALSE),0)))))</f>
        <v>0</v>
      </c>
      <c r="J35" s="279">
        <f t="shared" si="3"/>
        <v>0</v>
      </c>
      <c r="K35" s="309"/>
      <c r="L35" s="176">
        <f t="shared" si="8"/>
        <v>0</v>
      </c>
      <c r="M35" s="176">
        <f t="shared" si="9"/>
        <v>0</v>
      </c>
      <c r="N35" s="183">
        <f t="shared" si="10"/>
        <v>0</v>
      </c>
      <c r="O35"/>
      <c r="P35"/>
      <c r="Q35"/>
      <c r="R35"/>
      <c r="S35"/>
      <c r="T35"/>
      <c r="U35"/>
      <c r="V35"/>
      <c r="W35"/>
      <c r="X35"/>
      <c r="Y35"/>
      <c r="Z35" s="344"/>
      <c r="AA35" s="363"/>
      <c r="AB35" s="363"/>
      <c r="AC35" s="363"/>
      <c r="AD35" s="329"/>
      <c r="AE35" s="147"/>
      <c r="AF35" s="147"/>
      <c r="AG35" s="147"/>
      <c r="AH35" s="147"/>
      <c r="AI35" s="147"/>
      <c r="AJ35" s="147"/>
      <c r="AK35" s="147"/>
      <c r="AL35" s="147"/>
      <c r="AM35" s="147"/>
      <c r="AN35" s="147"/>
      <c r="AO35" s="147"/>
      <c r="AP35" s="147"/>
      <c r="AQ35" s="147"/>
      <c r="AR35" s="147"/>
      <c r="AS35" s="147"/>
      <c r="AT35" s="147"/>
      <c r="AU35" s="147"/>
      <c r="AV35" s="147"/>
      <c r="AW35" s="147"/>
      <c r="AX35" s="147"/>
      <c r="AY35" s="147"/>
      <c r="AZ35" s="147"/>
      <c r="BA35" s="147"/>
      <c r="BB35" s="147"/>
      <c r="BC35" s="147"/>
      <c r="BD35" s="147"/>
      <c r="BE35" s="147"/>
      <c r="BF35" s="147"/>
      <c r="BG35" s="147"/>
      <c r="BH35" s="147"/>
      <c r="BI35" s="147"/>
      <c r="BJ35" s="147"/>
      <c r="BK35" s="147"/>
      <c r="BL35" s="147"/>
      <c r="BM35" s="147"/>
      <c r="BN35" s="147"/>
      <c r="BO35" s="147"/>
      <c r="BP35" s="147"/>
      <c r="BQ35" s="147"/>
      <c r="BR35" s="147"/>
      <c r="BS35" s="147"/>
      <c r="BT35" s="147"/>
      <c r="BU35" s="147"/>
      <c r="BV35" s="147"/>
      <c r="BW35" s="147"/>
      <c r="BX35" s="147"/>
      <c r="BY35" s="147"/>
      <c r="BZ35" s="147"/>
      <c r="CA35" s="147"/>
      <c r="CB35" s="147"/>
      <c r="CC35" s="147"/>
      <c r="CD35" s="147"/>
      <c r="CE35" s="147"/>
      <c r="CF35" s="147"/>
      <c r="CG35" s="147"/>
      <c r="CH35" s="147"/>
      <c r="CI35" s="147"/>
      <c r="CJ35" s="147"/>
      <c r="CK35" s="147"/>
      <c r="CL35" s="147"/>
      <c r="CM35" s="147"/>
      <c r="CN35" s="147"/>
      <c r="CO35" s="147"/>
      <c r="CP35" s="147"/>
    </row>
    <row r="36" spans="1:94" s="213" customFormat="1" ht="15" x14ac:dyDescent="0.25">
      <c r="A36" s="281"/>
      <c r="B36" s="282"/>
      <c r="C36" s="283"/>
      <c r="D36" s="284"/>
      <c r="E36" s="285"/>
      <c r="F36" s="197"/>
      <c r="G36" s="259"/>
      <c r="H36" s="259"/>
      <c r="I36" s="259"/>
      <c r="J36" s="286"/>
      <c r="K36" s="280"/>
      <c r="L36" s="321"/>
      <c r="M36" s="259"/>
      <c r="N36" s="259"/>
      <c r="O36"/>
      <c r="P36"/>
      <c r="Q36"/>
      <c r="R36"/>
      <c r="S36"/>
      <c r="T36"/>
      <c r="U36"/>
      <c r="V36"/>
      <c r="W36"/>
      <c r="X36"/>
      <c r="Y36"/>
      <c r="Z36" s="344"/>
      <c r="AA36" s="363" t="s">
        <v>94</v>
      </c>
      <c r="AB36" s="333" t="s">
        <v>95</v>
      </c>
      <c r="AC36" s="333" t="s">
        <v>106</v>
      </c>
      <c r="AD36" s="330"/>
    </row>
    <row r="37" spans="1:94" s="153" customFormat="1" ht="17.25" customHeight="1" x14ac:dyDescent="0.25">
      <c r="A37" s="139"/>
      <c r="B37" s="188"/>
      <c r="C37" s="459" t="s">
        <v>37</v>
      </c>
      <c r="D37" s="460"/>
      <c r="E37" s="150"/>
      <c r="F37" s="165"/>
      <c r="G37" s="166"/>
      <c r="H37" s="166"/>
      <c r="I37" s="166"/>
      <c r="J37" s="322"/>
      <c r="K37" s="166"/>
      <c r="L37" s="166"/>
      <c r="M37" s="166"/>
      <c r="N37" s="166"/>
      <c r="O37"/>
      <c r="P37"/>
      <c r="Q37"/>
      <c r="R37"/>
      <c r="S37"/>
      <c r="T37"/>
      <c r="U37"/>
      <c r="V37"/>
      <c r="W37"/>
      <c r="X37"/>
      <c r="Y37"/>
      <c r="Z37" s="344"/>
      <c r="AA37" s="461" t="s">
        <v>107</v>
      </c>
      <c r="AB37" s="462"/>
      <c r="AC37" s="462"/>
      <c r="AD37" s="329"/>
      <c r="AE37" s="147"/>
      <c r="AF37" s="147"/>
      <c r="AG37" s="147"/>
      <c r="AH37" s="147"/>
      <c r="AI37" s="147"/>
      <c r="AJ37" s="147"/>
      <c r="AK37" s="147"/>
      <c r="AL37" s="147"/>
      <c r="AM37" s="147"/>
      <c r="AN37" s="147"/>
      <c r="AO37" s="147"/>
      <c r="AP37" s="147"/>
      <c r="AQ37" s="147"/>
      <c r="AR37" s="147"/>
      <c r="AS37" s="147"/>
      <c r="AT37" s="147"/>
      <c r="AU37" s="147"/>
      <c r="AV37" s="147"/>
      <c r="AW37" s="147"/>
      <c r="AX37" s="147"/>
      <c r="AY37" s="147"/>
      <c r="AZ37" s="147"/>
      <c r="BA37" s="147"/>
      <c r="BB37" s="147"/>
      <c r="BC37" s="147"/>
      <c r="BD37" s="147"/>
      <c r="BE37" s="147"/>
      <c r="BF37" s="147"/>
      <c r="BG37" s="147"/>
      <c r="BH37" s="147"/>
      <c r="BI37" s="147"/>
      <c r="BJ37" s="147"/>
      <c r="BK37" s="147"/>
      <c r="BL37" s="147"/>
      <c r="BM37" s="147"/>
      <c r="BN37" s="147"/>
      <c r="BO37" s="147"/>
      <c r="BP37" s="147"/>
      <c r="BQ37" s="147"/>
      <c r="BR37" s="147"/>
      <c r="BS37" s="147"/>
      <c r="BT37" s="147"/>
      <c r="BU37" s="147"/>
      <c r="BV37" s="147"/>
      <c r="BW37" s="147"/>
      <c r="BX37" s="147"/>
      <c r="BY37" s="147"/>
      <c r="BZ37" s="147"/>
      <c r="CA37" s="147"/>
      <c r="CB37" s="147"/>
      <c r="CC37" s="147"/>
      <c r="CD37" s="147"/>
      <c r="CE37" s="147"/>
      <c r="CF37" s="147"/>
      <c r="CG37" s="147"/>
      <c r="CH37" s="147"/>
      <c r="CI37" s="147"/>
      <c r="CJ37" s="147"/>
      <c r="CK37" s="147"/>
      <c r="CL37" s="147"/>
      <c r="CM37" s="147"/>
      <c r="CN37" s="147"/>
      <c r="CO37" s="147"/>
      <c r="CP37" s="147"/>
    </row>
    <row r="38" spans="1:94" s="153" customFormat="1" ht="15" x14ac:dyDescent="0.25">
      <c r="A38" s="139"/>
      <c r="B38" s="188"/>
      <c r="C38" s="443" t="str">
        <f>perm_name</f>
        <v>Permanent Positions</v>
      </c>
      <c r="D38" s="444"/>
      <c r="E38" s="189">
        <v>1</v>
      </c>
      <c r="F38" s="190">
        <f>SUMIF($E9:$E35,$E38,$F9:$F35)</f>
        <v>1</v>
      </c>
      <c r="G38" s="191">
        <f>SUMIF($E10:$E35,$E38,$G10:$G35)</f>
        <v>53643.199999999997</v>
      </c>
      <c r="H38" s="192">
        <f>SUMIF($E10:$E35,$E38,$H10:$H35)</f>
        <v>11650</v>
      </c>
      <c r="I38" s="192">
        <f>SUMIF($E10:$E35,$E38,$I10:$I35)</f>
        <v>11451.213904</v>
      </c>
      <c r="J38" s="192">
        <f>SUM(G38:I38)</f>
        <v>76744.413904000001</v>
      </c>
      <c r="K38" s="166"/>
      <c r="L38" s="191">
        <f>SUMIF($E10:$E35,$E38,$L10:$L35)</f>
        <v>0</v>
      </c>
      <c r="M38" s="192">
        <f>SUMIF($E10:$E35,$E38,$M10:$M35)</f>
        <v>-257.48735999999997</v>
      </c>
      <c r="N38" s="192">
        <f>SUM(L38:M38)</f>
        <v>-257.48735999999997</v>
      </c>
      <c r="O38"/>
      <c r="P38"/>
      <c r="Q38"/>
      <c r="R38"/>
      <c r="S38"/>
      <c r="T38"/>
      <c r="U38"/>
      <c r="V38"/>
      <c r="W38"/>
      <c r="X38"/>
      <c r="Y38"/>
      <c r="Z38" s="344"/>
      <c r="AA38" s="338">
        <f>ROUND(AdjPermSalary*CECPerm,-2)</f>
        <v>500</v>
      </c>
      <c r="AB38" s="338">
        <f>ROUND((AdjPermVB*CECPerm+AdjPermVBBY*CECPerm),-2)</f>
        <v>100</v>
      </c>
      <c r="AC38" s="338">
        <f>SUM(AA38:AB38)</f>
        <v>600</v>
      </c>
      <c r="AD38" s="329"/>
      <c r="AE38" s="147"/>
      <c r="AF38" s="147"/>
      <c r="AG38" s="147"/>
      <c r="AH38" s="147"/>
      <c r="AI38" s="147"/>
      <c r="AJ38" s="147"/>
      <c r="AK38" s="147"/>
      <c r="AL38" s="147"/>
      <c r="AM38" s="147"/>
      <c r="AN38" s="147"/>
      <c r="AO38" s="147"/>
      <c r="AP38" s="147"/>
      <c r="AQ38" s="147"/>
      <c r="AR38" s="147"/>
      <c r="AS38" s="147"/>
      <c r="AT38" s="147"/>
      <c r="AU38" s="147"/>
      <c r="AV38" s="147"/>
      <c r="AW38" s="147"/>
      <c r="AX38" s="147"/>
      <c r="AY38" s="147"/>
      <c r="AZ38" s="147"/>
      <c r="BA38" s="147"/>
      <c r="BB38" s="147"/>
      <c r="BC38" s="147"/>
      <c r="BD38" s="147"/>
      <c r="BE38" s="147"/>
      <c r="BF38" s="147"/>
      <c r="BG38" s="147"/>
      <c r="BH38" s="147"/>
      <c r="BI38" s="147"/>
      <c r="BJ38" s="147"/>
      <c r="BK38" s="147"/>
      <c r="BL38" s="147"/>
      <c r="BM38" s="147"/>
      <c r="BN38" s="147"/>
      <c r="BO38" s="147"/>
      <c r="BP38" s="147"/>
      <c r="BQ38" s="147"/>
      <c r="BR38" s="147"/>
      <c r="BS38" s="147"/>
      <c r="BT38" s="147"/>
      <c r="BU38" s="147"/>
      <c r="BV38" s="147"/>
      <c r="BW38" s="147"/>
      <c r="BX38" s="147"/>
      <c r="BY38" s="147"/>
      <c r="BZ38" s="147"/>
      <c r="CA38" s="147"/>
      <c r="CB38" s="147"/>
      <c r="CC38" s="147"/>
      <c r="CD38" s="147"/>
      <c r="CE38" s="147"/>
      <c r="CF38" s="147"/>
      <c r="CG38" s="147"/>
      <c r="CH38" s="147"/>
      <c r="CI38" s="147"/>
      <c r="CJ38" s="147"/>
      <c r="CK38" s="147"/>
      <c r="CL38" s="147"/>
      <c r="CM38" s="147"/>
      <c r="CN38" s="147"/>
      <c r="CO38" s="147"/>
      <c r="CP38" s="147"/>
    </row>
    <row r="39" spans="1:94" s="153" customFormat="1" ht="15" x14ac:dyDescent="0.25">
      <c r="A39" s="139"/>
      <c r="B39" s="188"/>
      <c r="C39" s="443" t="str">
        <f>Group_name</f>
        <v>Board &amp; Group Positions</v>
      </c>
      <c r="D39" s="444"/>
      <c r="E39" s="189">
        <v>2</v>
      </c>
      <c r="F39" s="151">
        <f>SUMIF($E9:$E35,$E39,$F9:$F35)</f>
        <v>0</v>
      </c>
      <c r="G39" s="193">
        <f>SUMIF($E10:$E35,$E39,$G10:$G35)</f>
        <v>0</v>
      </c>
      <c r="H39" s="152">
        <f>SUMIF($E10:$E35,$E39,$H10:$H35)</f>
        <v>0</v>
      </c>
      <c r="I39" s="152">
        <f>SUMIF($E10:$E35,$E39,$I10:$I35)</f>
        <v>0</v>
      </c>
      <c r="J39" s="152">
        <f>SUM(G39:I39)</f>
        <v>0</v>
      </c>
      <c r="K39" s="259"/>
      <c r="L39" s="193">
        <f>SUMIF($E10:$E35,$E39,$L10:$L35)</f>
        <v>0</v>
      </c>
      <c r="M39" s="152">
        <f>SUMIF($E11:$E37,$E39,$M11:$M37)</f>
        <v>0</v>
      </c>
      <c r="N39" s="152">
        <f>SUM(L39:M39)</f>
        <v>0</v>
      </c>
      <c r="O39"/>
      <c r="P39"/>
      <c r="Q39"/>
      <c r="R39"/>
      <c r="S39"/>
      <c r="T39"/>
      <c r="U39"/>
      <c r="V39"/>
      <c r="W39"/>
      <c r="X39"/>
      <c r="Y39"/>
      <c r="Z39" s="344"/>
      <c r="AA39" s="338">
        <f>ROUND(AdjGroupSalary*CECGroup,-2)</f>
        <v>0</v>
      </c>
      <c r="AB39" s="338">
        <f>ROUND(AdjGroupVB*CECGroup,-2)</f>
        <v>0</v>
      </c>
      <c r="AC39" s="338">
        <f>SUM(AA39:AB39)</f>
        <v>0</v>
      </c>
      <c r="AD39" s="329"/>
      <c r="AE39" s="147"/>
      <c r="AF39" s="147"/>
      <c r="AG39" s="147"/>
      <c r="AH39" s="147"/>
      <c r="AI39" s="147"/>
      <c r="AJ39" s="147"/>
      <c r="AK39" s="147"/>
      <c r="AL39" s="147"/>
      <c r="AM39" s="147"/>
      <c r="AN39" s="147"/>
      <c r="AO39" s="147"/>
      <c r="AP39" s="147"/>
      <c r="AQ39" s="147"/>
      <c r="AR39" s="147"/>
      <c r="AS39" s="147"/>
      <c r="AT39" s="147"/>
      <c r="AU39" s="147"/>
      <c r="AV39" s="147"/>
      <c r="AW39" s="147"/>
      <c r="AX39" s="147"/>
      <c r="AY39" s="147"/>
      <c r="AZ39" s="147"/>
      <c r="BA39" s="147"/>
      <c r="BB39" s="147"/>
      <c r="BC39" s="147"/>
      <c r="BD39" s="147"/>
      <c r="BE39" s="147"/>
      <c r="BF39" s="147"/>
      <c r="BG39" s="147"/>
      <c r="BH39" s="147"/>
      <c r="BI39" s="147"/>
      <c r="BJ39" s="147"/>
      <c r="BK39" s="147"/>
      <c r="BL39" s="147"/>
      <c r="BM39" s="147"/>
      <c r="BN39" s="147"/>
      <c r="BO39" s="147"/>
      <c r="BP39" s="147"/>
      <c r="BQ39" s="147"/>
      <c r="BR39" s="147"/>
      <c r="BS39" s="147"/>
      <c r="BT39" s="147"/>
      <c r="BU39" s="147"/>
      <c r="BV39" s="147"/>
      <c r="BW39" s="147"/>
      <c r="BX39" s="147"/>
      <c r="BY39" s="147"/>
      <c r="BZ39" s="147"/>
      <c r="CA39" s="147"/>
      <c r="CB39" s="147"/>
      <c r="CC39" s="147"/>
      <c r="CD39" s="147"/>
      <c r="CE39" s="147"/>
      <c r="CF39" s="147"/>
      <c r="CG39" s="147"/>
      <c r="CH39" s="147"/>
      <c r="CI39" s="147"/>
      <c r="CJ39" s="147"/>
      <c r="CK39" s="147"/>
      <c r="CL39" s="147"/>
      <c r="CM39" s="147"/>
      <c r="CN39" s="147"/>
      <c r="CO39" s="147"/>
      <c r="CP39" s="147"/>
    </row>
    <row r="40" spans="1:94" s="153" customFormat="1" ht="15" x14ac:dyDescent="0.25">
      <c r="A40" s="139"/>
      <c r="B40" s="188"/>
      <c r="C40" s="364" t="str">
        <f>Elect_name</f>
        <v>Elected Officials &amp; Full Time Commissioners</v>
      </c>
      <c r="D40" s="365"/>
      <c r="E40" s="189">
        <v>3</v>
      </c>
      <c r="F40" s="151">
        <f>SUMIF($E9:$E35,$E40,$F9:$F35)</f>
        <v>0</v>
      </c>
      <c r="G40" s="193">
        <f>SUMIF($E10:$E35,$E40,$G10:$G35)</f>
        <v>0</v>
      </c>
      <c r="H40" s="152">
        <f>SUMIF($E10:$E35,$E40,$H10:$H35)</f>
        <v>0</v>
      </c>
      <c r="I40" s="152">
        <f>SUMIF($E10:$E35,$E40,$I10:$I35)</f>
        <v>0</v>
      </c>
      <c r="J40" s="152">
        <f>SUM(G40:I40)</f>
        <v>0</v>
      </c>
      <c r="K40" s="259"/>
      <c r="L40" s="193">
        <f>SUMIF($E10:$E35,$E40,$L10:$L35)</f>
        <v>0</v>
      </c>
      <c r="M40" s="152">
        <f>SUMIF($E10:$E35,$E40,$M10:$M35)</f>
        <v>0</v>
      </c>
      <c r="N40" s="152">
        <f>SUM(L40:M40)</f>
        <v>0</v>
      </c>
      <c r="O40"/>
      <c r="P40"/>
      <c r="Q40"/>
      <c r="R40"/>
      <c r="S40"/>
      <c r="T40"/>
      <c r="U40"/>
      <c r="V40"/>
      <c r="W40"/>
      <c r="X40"/>
      <c r="Y40"/>
      <c r="Z40" s="344"/>
      <c r="AA40" s="363"/>
      <c r="AB40" s="363"/>
      <c r="AC40" s="363"/>
      <c r="AD40" s="329"/>
      <c r="AE40" s="147"/>
      <c r="AF40" s="147"/>
      <c r="AG40" s="147"/>
      <c r="AH40" s="147"/>
      <c r="AI40" s="147"/>
      <c r="AJ40" s="147"/>
      <c r="AK40" s="147"/>
      <c r="AL40" s="147"/>
      <c r="AM40" s="147"/>
      <c r="AN40" s="147"/>
      <c r="AO40" s="147"/>
      <c r="AP40" s="147"/>
      <c r="AQ40" s="147"/>
      <c r="AR40" s="147"/>
      <c r="AS40" s="147"/>
      <c r="AT40" s="147"/>
      <c r="AU40" s="147"/>
      <c r="AV40" s="147"/>
      <c r="AW40" s="147"/>
      <c r="AX40" s="147"/>
      <c r="AY40" s="147"/>
      <c r="AZ40" s="147"/>
      <c r="BA40" s="147"/>
      <c r="BB40" s="147"/>
      <c r="BC40" s="147"/>
      <c r="BD40" s="147"/>
      <c r="BE40" s="147"/>
      <c r="BF40" s="147"/>
      <c r="BG40" s="147"/>
      <c r="BH40" s="147"/>
      <c r="BI40" s="147"/>
      <c r="BJ40" s="147"/>
      <c r="BK40" s="147"/>
      <c r="BL40" s="147"/>
      <c r="BM40" s="147"/>
      <c r="BN40" s="147"/>
      <c r="BO40" s="147"/>
      <c r="BP40" s="147"/>
      <c r="BQ40" s="147"/>
      <c r="BR40" s="147"/>
      <c r="BS40" s="147"/>
      <c r="BT40" s="147"/>
      <c r="BU40" s="147"/>
      <c r="BV40" s="147"/>
      <c r="BW40" s="147"/>
      <c r="BX40" s="147"/>
      <c r="BY40" s="147"/>
      <c r="BZ40" s="147"/>
      <c r="CA40" s="147"/>
      <c r="CB40" s="147"/>
      <c r="CC40" s="147"/>
      <c r="CD40" s="147"/>
      <c r="CE40" s="147"/>
      <c r="CF40" s="147"/>
      <c r="CG40" s="147"/>
      <c r="CH40" s="147"/>
      <c r="CI40" s="147"/>
      <c r="CJ40" s="147"/>
      <c r="CK40" s="147"/>
      <c r="CL40" s="147"/>
      <c r="CM40" s="147"/>
      <c r="CN40" s="147"/>
      <c r="CO40" s="147"/>
      <c r="CP40" s="147"/>
    </row>
    <row r="41" spans="1:94" s="153" customFormat="1" ht="15" x14ac:dyDescent="0.25">
      <c r="A41" s="139"/>
      <c r="B41" s="188"/>
      <c r="C41" s="443" t="s">
        <v>38</v>
      </c>
      <c r="D41" s="444"/>
      <c r="E41" s="189"/>
      <c r="F41" s="161">
        <f>SUM(F38:F40)</f>
        <v>1</v>
      </c>
      <c r="G41" s="195">
        <f>SUM($G$38:$G$40)</f>
        <v>53643.199999999997</v>
      </c>
      <c r="H41" s="162">
        <f>SUM($H$38:$H$40)</f>
        <v>11650</v>
      </c>
      <c r="I41" s="162">
        <f>SUM($I$38:$I$40)</f>
        <v>11451.213904</v>
      </c>
      <c r="J41" s="162">
        <f>SUM($J$38:$J$40)</f>
        <v>76744.413904000001</v>
      </c>
      <c r="K41" s="259"/>
      <c r="L41" s="195">
        <f>SUM($L$38:$L$40)</f>
        <v>0</v>
      </c>
      <c r="M41" s="162">
        <f>SUM($M$38:$M$40)</f>
        <v>-257.48735999999997</v>
      </c>
      <c r="N41" s="162">
        <f>SUM(L41:M41)</f>
        <v>-257.48735999999997</v>
      </c>
      <c r="O41"/>
      <c r="P41"/>
      <c r="Q41"/>
      <c r="R41"/>
      <c r="S41"/>
      <c r="T41"/>
      <c r="U41"/>
      <c r="V41"/>
      <c r="W41"/>
      <c r="X41"/>
      <c r="Y41"/>
      <c r="Z41" s="344"/>
      <c r="AA41" s="363" t="s">
        <v>94</v>
      </c>
      <c r="AB41" s="333" t="s">
        <v>95</v>
      </c>
      <c r="AC41" s="333" t="s">
        <v>106</v>
      </c>
      <c r="AD41" s="329"/>
      <c r="AE41" s="147"/>
      <c r="AF41" s="147"/>
      <c r="AG41" s="147"/>
      <c r="AH41" s="147"/>
      <c r="AI41" s="147"/>
      <c r="AJ41" s="147"/>
      <c r="AK41" s="147"/>
      <c r="AL41" s="147"/>
      <c r="AM41" s="147"/>
      <c r="AN41" s="147"/>
      <c r="AO41" s="147"/>
      <c r="AP41" s="147"/>
      <c r="AQ41" s="147"/>
      <c r="AR41" s="147"/>
      <c r="AS41" s="147"/>
      <c r="AT41" s="147"/>
      <c r="AU41" s="147"/>
      <c r="AV41" s="147"/>
      <c r="AW41" s="147"/>
      <c r="AX41" s="147"/>
      <c r="AY41" s="147"/>
      <c r="AZ41" s="147"/>
      <c r="BA41" s="147"/>
      <c r="BB41" s="147"/>
      <c r="BC41" s="147"/>
      <c r="BD41" s="147"/>
      <c r="BE41" s="147"/>
      <c r="BF41" s="147"/>
      <c r="BG41" s="147"/>
      <c r="BH41" s="147"/>
      <c r="BI41" s="147"/>
      <c r="BJ41" s="147"/>
      <c r="BK41" s="147"/>
      <c r="BL41" s="147"/>
      <c r="BM41" s="147"/>
      <c r="BN41" s="147"/>
      <c r="BO41" s="147"/>
      <c r="BP41" s="147"/>
      <c r="BQ41" s="147"/>
      <c r="BR41" s="147"/>
      <c r="BS41" s="147"/>
      <c r="BT41" s="147"/>
      <c r="BU41" s="147"/>
      <c r="BV41" s="147"/>
      <c r="BW41" s="147"/>
      <c r="BX41" s="147"/>
      <c r="BY41" s="147"/>
      <c r="BZ41" s="147"/>
      <c r="CA41" s="147"/>
      <c r="CB41" s="147"/>
      <c r="CC41" s="147"/>
      <c r="CD41" s="147"/>
      <c r="CE41" s="147"/>
      <c r="CF41" s="147"/>
      <c r="CG41" s="147"/>
      <c r="CH41" s="147"/>
      <c r="CI41" s="147"/>
      <c r="CJ41" s="147"/>
      <c r="CK41" s="147"/>
      <c r="CL41" s="147"/>
      <c r="CM41" s="147"/>
      <c r="CN41" s="147"/>
      <c r="CO41" s="147"/>
      <c r="CP41" s="147"/>
    </row>
    <row r="42" spans="1:94" s="153" customFormat="1" ht="4.5" customHeight="1" x14ac:dyDescent="0.25">
      <c r="A42" s="139"/>
      <c r="B42" s="188"/>
      <c r="C42" s="445"/>
      <c r="D42" s="446"/>
      <c r="E42" s="196"/>
      <c r="F42" s="197"/>
      <c r="G42" s="198"/>
      <c r="H42" s="199"/>
      <c r="I42" s="199"/>
      <c r="J42" s="324"/>
      <c r="K42" s="200"/>
      <c r="L42" s="323"/>
      <c r="M42" s="323"/>
      <c r="N42" s="201"/>
      <c r="O42"/>
      <c r="P42"/>
      <c r="Q42"/>
      <c r="R42"/>
      <c r="S42"/>
      <c r="T42"/>
      <c r="U42"/>
      <c r="V42"/>
      <c r="W42"/>
      <c r="X42"/>
      <c r="Y42"/>
      <c r="Z42" s="344"/>
      <c r="AA42" s="363"/>
      <c r="AB42" s="363"/>
      <c r="AC42" s="363"/>
      <c r="AD42" s="329"/>
      <c r="AE42" s="147"/>
      <c r="AF42" s="147"/>
      <c r="AG42" s="147"/>
      <c r="AH42" s="147"/>
      <c r="AI42" s="147"/>
      <c r="AJ42" s="147"/>
      <c r="AK42" s="147"/>
      <c r="AL42" s="147"/>
      <c r="AM42" s="147"/>
      <c r="AN42" s="147"/>
      <c r="AO42" s="147"/>
      <c r="AP42" s="147"/>
      <c r="AQ42" s="147"/>
      <c r="AR42" s="147"/>
      <c r="AS42" s="147"/>
      <c r="AT42" s="147"/>
      <c r="AU42" s="147"/>
      <c r="AV42" s="147"/>
      <c r="AW42" s="147"/>
      <c r="AX42" s="147"/>
      <c r="AY42" s="147"/>
      <c r="AZ42" s="147"/>
      <c r="BA42" s="147"/>
      <c r="BB42" s="147"/>
      <c r="BC42" s="147"/>
      <c r="BD42" s="147"/>
      <c r="BE42" s="147"/>
      <c r="BF42" s="147"/>
      <c r="BG42" s="147"/>
      <c r="BH42" s="147"/>
      <c r="BI42" s="147"/>
      <c r="BJ42" s="147"/>
      <c r="BK42" s="147"/>
      <c r="BL42" s="147"/>
      <c r="BM42" s="147"/>
      <c r="BN42" s="147"/>
      <c r="BO42" s="147"/>
      <c r="BP42" s="147"/>
      <c r="BQ42" s="147"/>
      <c r="BR42" s="147"/>
      <c r="BS42" s="147"/>
      <c r="BT42" s="147"/>
      <c r="BU42" s="147"/>
      <c r="BV42" s="147"/>
      <c r="BW42" s="147"/>
      <c r="BX42" s="147"/>
      <c r="BY42" s="147"/>
      <c r="BZ42" s="147"/>
      <c r="CA42" s="147"/>
      <c r="CB42" s="147"/>
      <c r="CC42" s="147"/>
      <c r="CD42" s="147"/>
      <c r="CE42" s="147"/>
      <c r="CF42" s="147"/>
      <c r="CG42" s="147"/>
      <c r="CH42" s="147"/>
      <c r="CI42" s="147"/>
      <c r="CJ42" s="147"/>
      <c r="CK42" s="147"/>
      <c r="CL42" s="147"/>
      <c r="CM42" s="147"/>
      <c r="CN42" s="147"/>
      <c r="CO42" s="147"/>
      <c r="CP42" s="147"/>
    </row>
    <row r="43" spans="1:94" s="153" customFormat="1" ht="15.75" customHeight="1" x14ac:dyDescent="0.25">
      <c r="A43" s="139"/>
      <c r="B43" s="202"/>
      <c r="C43" s="447" t="s">
        <v>39</v>
      </c>
      <c r="D43" s="448"/>
      <c r="E43" s="203" t="s">
        <v>40</v>
      </c>
      <c r="F43" s="205">
        <f>ROUND(F51-F41,2)</f>
        <v>-1</v>
      </c>
      <c r="G43" s="206">
        <f>ROUND(G51-G41,-2)</f>
        <v>-27200</v>
      </c>
      <c r="H43" s="159">
        <f>ROUND(H51-H41,-2)</f>
        <v>-5900</v>
      </c>
      <c r="I43" s="159">
        <f>ROUND(I51-I41,-2)</f>
        <v>-5800</v>
      </c>
      <c r="J43" s="159">
        <f>SUM(G43:I43)</f>
        <v>-38900</v>
      </c>
      <c r="K43" s="424" t="str">
        <f>IF(E51=0,"ERROR! Enter Original Appropriation amount in DU 3.00!","Calculated "&amp;IF(J43&gt;0,"overfunding ","underfunding ")&amp;"is "&amp;TEXT(J43/J51,"#.0%;(#.0% );0% ;")&amp;" of Original Appropriation")</f>
        <v>Calculated underfunding is (102.9% ) of Original Appropriation</v>
      </c>
      <c r="L43" s="425"/>
      <c r="M43" s="425"/>
      <c r="N43" s="426"/>
      <c r="O43"/>
      <c r="P43"/>
      <c r="Q43"/>
      <c r="R43"/>
      <c r="S43"/>
      <c r="T43"/>
      <c r="U43"/>
      <c r="V43"/>
      <c r="W43"/>
      <c r="X43"/>
      <c r="Y43"/>
      <c r="Z43" s="344"/>
      <c r="AA43" s="451" t="s">
        <v>108</v>
      </c>
      <c r="AB43" s="452"/>
      <c r="AC43" s="452"/>
      <c r="AD43" s="329"/>
      <c r="AE43" s="147"/>
      <c r="AF43" s="147"/>
      <c r="AG43" s="147"/>
      <c r="AH43" s="147"/>
      <c r="AI43" s="147"/>
      <c r="AJ43" s="147"/>
      <c r="AK43" s="147"/>
      <c r="AL43" s="147"/>
      <c r="AM43" s="147"/>
      <c r="AN43" s="147"/>
      <c r="AO43" s="147"/>
      <c r="AP43" s="147"/>
      <c r="AQ43" s="147"/>
      <c r="AR43" s="147"/>
      <c r="AS43" s="147"/>
      <c r="AT43" s="147"/>
      <c r="AU43" s="147"/>
      <c r="AV43" s="147"/>
      <c r="AW43" s="147"/>
      <c r="AX43" s="147"/>
      <c r="AY43" s="147"/>
      <c r="AZ43" s="147"/>
      <c r="BA43" s="147"/>
      <c r="BB43" s="147"/>
      <c r="BC43" s="147"/>
      <c r="BD43" s="147"/>
      <c r="BE43" s="147"/>
      <c r="BF43" s="147"/>
      <c r="BG43" s="147"/>
      <c r="BH43" s="147"/>
      <c r="BI43" s="147"/>
      <c r="BJ43" s="147"/>
      <c r="BK43" s="147"/>
      <c r="BL43" s="147"/>
      <c r="BM43" s="147"/>
      <c r="BN43" s="147"/>
      <c r="BO43" s="147"/>
      <c r="BP43" s="147"/>
      <c r="BQ43" s="147"/>
      <c r="BR43" s="147"/>
      <c r="BS43" s="147"/>
      <c r="BT43" s="147"/>
      <c r="BU43" s="147"/>
      <c r="BV43" s="147"/>
      <c r="BW43" s="147"/>
      <c r="BX43" s="147"/>
      <c r="BY43" s="147"/>
      <c r="BZ43" s="147"/>
      <c r="CA43" s="147"/>
      <c r="CB43" s="147"/>
      <c r="CC43" s="147"/>
      <c r="CD43" s="147"/>
      <c r="CE43" s="147"/>
      <c r="CF43" s="147"/>
      <c r="CG43" s="147"/>
      <c r="CH43" s="147"/>
      <c r="CI43" s="147"/>
      <c r="CJ43" s="147"/>
      <c r="CK43" s="147"/>
      <c r="CL43" s="147"/>
      <c r="CM43" s="147"/>
      <c r="CN43" s="147"/>
      <c r="CO43" s="147"/>
      <c r="CP43" s="147"/>
    </row>
    <row r="44" spans="1:94" s="153" customFormat="1" ht="15.75" customHeight="1" x14ac:dyDescent="0.25">
      <c r="A44" s="139"/>
      <c r="B44" s="202"/>
      <c r="C44" s="449"/>
      <c r="D44" s="450"/>
      <c r="E44" s="204" t="s">
        <v>41</v>
      </c>
      <c r="F44" s="205">
        <f>ROUND(F60-F41,2)</f>
        <v>-1</v>
      </c>
      <c r="G44" s="206">
        <f>ROUND(G60-G41,-2)</f>
        <v>-27200</v>
      </c>
      <c r="H44" s="159">
        <f>ROUND(H60-H41,-2)</f>
        <v>-6000</v>
      </c>
      <c r="I44" s="159">
        <f>ROUND(I60-I41,-2)</f>
        <v>-5900</v>
      </c>
      <c r="J44" s="159">
        <f>SUM(G44:I44)</f>
        <v>-39100</v>
      </c>
      <c r="K44" s="424" t="str">
        <f>IF(E51=0,"ERROR! Enter Original Appropriation amount in DU 3.00!","Calculated "&amp;IF(J44&gt;0,"overfunding ","underfunding ")&amp;"is "&amp;TEXT(J44/J60,"#.0%;(#.0% );0% ;")&amp;" of Estimated Expenditures")</f>
        <v>Calculated underfunding is (103.4% ) of Estimated Expenditures</v>
      </c>
      <c r="L44" s="425"/>
      <c r="M44" s="425"/>
      <c r="N44" s="426"/>
      <c r="O44"/>
      <c r="P44"/>
      <c r="Q44"/>
      <c r="R44"/>
      <c r="S44"/>
      <c r="T44"/>
      <c r="U44"/>
      <c r="V44"/>
      <c r="W44"/>
      <c r="X44"/>
      <c r="Y44"/>
      <c r="Z44" s="344"/>
      <c r="AA44" s="338">
        <f>NEW_AdjPermSalary-NEW_PermSalaryFilled</f>
        <v>0</v>
      </c>
      <c r="AB44" s="338">
        <f>NEW_AdjPermVB-NEW_PermVBFilled</f>
        <v>0</v>
      </c>
      <c r="AC44" s="338">
        <f>SUM(AA44:AB44)</f>
        <v>0</v>
      </c>
      <c r="AD44" s="329"/>
      <c r="AE44" s="147"/>
      <c r="AF44" s="147"/>
      <c r="AG44" s="147"/>
      <c r="AH44" s="147"/>
      <c r="AI44" s="147"/>
      <c r="AJ44" s="147"/>
      <c r="AK44" s="147"/>
      <c r="AL44" s="147"/>
      <c r="AM44" s="147"/>
      <c r="AN44" s="147"/>
      <c r="AO44" s="147"/>
      <c r="AP44" s="147"/>
      <c r="AQ44" s="147"/>
      <c r="AR44" s="147"/>
      <c r="AS44" s="147"/>
      <c r="AT44" s="147"/>
      <c r="AU44" s="147"/>
      <c r="AV44" s="147"/>
      <c r="AW44" s="147"/>
      <c r="AX44" s="147"/>
      <c r="AY44" s="147"/>
      <c r="AZ44" s="147"/>
      <c r="BA44" s="147"/>
      <c r="BB44" s="147"/>
      <c r="BC44" s="147"/>
      <c r="BD44" s="147"/>
      <c r="BE44" s="147"/>
      <c r="BF44" s="147"/>
      <c r="BG44" s="147"/>
      <c r="BH44" s="147"/>
      <c r="BI44" s="147"/>
      <c r="BJ44" s="147"/>
      <c r="BK44" s="147"/>
      <c r="BL44" s="147"/>
      <c r="BM44" s="147"/>
      <c r="BN44" s="147"/>
      <c r="BO44" s="147"/>
      <c r="BP44" s="147"/>
      <c r="BQ44" s="147"/>
      <c r="BR44" s="147"/>
      <c r="BS44" s="147"/>
      <c r="BT44" s="147"/>
      <c r="BU44" s="147"/>
      <c r="BV44" s="147"/>
      <c r="BW44" s="147"/>
      <c r="BX44" s="147"/>
      <c r="BY44" s="147"/>
      <c r="BZ44" s="147"/>
      <c r="CA44" s="147"/>
      <c r="CB44" s="147"/>
      <c r="CC44" s="147"/>
      <c r="CD44" s="147"/>
      <c r="CE44" s="147"/>
      <c r="CF44" s="147"/>
      <c r="CG44" s="147"/>
      <c r="CH44" s="147"/>
      <c r="CI44" s="147"/>
      <c r="CJ44" s="147"/>
      <c r="CK44" s="147"/>
      <c r="CL44" s="147"/>
      <c r="CM44" s="147"/>
      <c r="CN44" s="147"/>
      <c r="CO44" s="147"/>
      <c r="CP44" s="147"/>
    </row>
    <row r="45" spans="1:94" s="153" customFormat="1" ht="15.75" customHeight="1" x14ac:dyDescent="0.25">
      <c r="A45" s="139"/>
      <c r="B45" s="202"/>
      <c r="C45" s="215"/>
      <c r="D45" s="215"/>
      <c r="E45" s="204" t="s">
        <v>99</v>
      </c>
      <c r="F45" s="205">
        <f>ROUND(F67-F41-F63,2)</f>
        <v>-1</v>
      </c>
      <c r="G45" s="206">
        <f>ROUND(G67-G41-G63,-2)</f>
        <v>-27200</v>
      </c>
      <c r="H45" s="206">
        <f>ROUND(H67-H41-H63,-2)</f>
        <v>-6000</v>
      </c>
      <c r="I45" s="206">
        <f>ROUND(I67-I41-I63,-2)</f>
        <v>-5900</v>
      </c>
      <c r="J45" s="159">
        <f>SUM(G45:I45)</f>
        <v>-39100</v>
      </c>
      <c r="K45" s="424" t="str">
        <f>IF(J67=0,"Program has a zero base",IF(E51=0,"ERROR! Enter Original Appropriation amount in DU 3.00!","Calculated "&amp;IF(J45&gt;0,"overfunding ","underfunding ")&amp;"is "&amp;TEXT(J45/J67,"#.0%;(#.0% );0% ;")&amp;" of the Base"))</f>
        <v>Calculated underfunding is (103.4% ) of the Base</v>
      </c>
      <c r="L45" s="425"/>
      <c r="M45" s="425"/>
      <c r="N45" s="426"/>
      <c r="O45"/>
      <c r="P45"/>
      <c r="Q45"/>
      <c r="R45"/>
      <c r="S45"/>
      <c r="T45"/>
      <c r="U45"/>
      <c r="V45"/>
      <c r="W45"/>
      <c r="X45"/>
      <c r="Y45"/>
      <c r="Z45" s="344"/>
      <c r="AA45" s="338">
        <f>NEW_AdjGroupSalary-NEW_GroupSalaryFilled</f>
        <v>0</v>
      </c>
      <c r="AB45" s="338">
        <f>NEW_AdjGroupVB-NEW_GroupVBFilled</f>
        <v>0</v>
      </c>
      <c r="AC45" s="338">
        <f>SUM(AA45:AB45)</f>
        <v>0</v>
      </c>
      <c r="AD45" s="329"/>
      <c r="AE45" s="147"/>
      <c r="AF45" s="147"/>
      <c r="AG45" s="147"/>
      <c r="AH45" s="147"/>
      <c r="AI45" s="147"/>
      <c r="AJ45" s="147"/>
      <c r="AK45" s="147"/>
      <c r="AL45" s="147"/>
      <c r="AM45" s="147"/>
      <c r="AN45" s="147"/>
      <c r="AO45" s="147"/>
      <c r="AP45" s="147"/>
      <c r="AQ45" s="147"/>
      <c r="AR45" s="147"/>
      <c r="AS45" s="147"/>
      <c r="AT45" s="147"/>
      <c r="AU45" s="147"/>
      <c r="AV45" s="147"/>
      <c r="AW45" s="147"/>
      <c r="AX45" s="147"/>
      <c r="AY45" s="147"/>
      <c r="AZ45" s="147"/>
      <c r="BA45" s="147"/>
      <c r="BB45" s="147"/>
      <c r="BC45" s="147"/>
      <c r="BD45" s="147"/>
      <c r="BE45" s="147"/>
      <c r="BF45" s="147"/>
      <c r="BG45" s="147"/>
      <c r="BH45" s="147"/>
      <c r="BI45" s="147"/>
      <c r="BJ45" s="147"/>
      <c r="BK45" s="147"/>
      <c r="BL45" s="147"/>
      <c r="BM45" s="147"/>
      <c r="BN45" s="147"/>
      <c r="BO45" s="147"/>
      <c r="BP45" s="147"/>
      <c r="BQ45" s="147"/>
      <c r="BR45" s="147"/>
      <c r="BS45" s="147"/>
      <c r="BT45" s="147"/>
      <c r="BU45" s="147"/>
      <c r="BV45" s="147"/>
      <c r="BW45" s="147"/>
      <c r="BX45" s="147"/>
      <c r="BY45" s="147"/>
      <c r="BZ45" s="147"/>
      <c r="CA45" s="147"/>
      <c r="CB45" s="147"/>
      <c r="CC45" s="147"/>
      <c r="CD45" s="147"/>
      <c r="CE45" s="147"/>
      <c r="CF45" s="147"/>
      <c r="CG45" s="147"/>
      <c r="CH45" s="147"/>
      <c r="CI45" s="147"/>
      <c r="CJ45" s="147"/>
      <c r="CK45" s="147"/>
      <c r="CL45" s="147"/>
      <c r="CM45" s="147"/>
      <c r="CN45" s="147"/>
      <c r="CO45" s="147"/>
      <c r="CP45" s="147"/>
    </row>
    <row r="46" spans="1:94" s="153" customFormat="1" ht="28.5" customHeight="1" x14ac:dyDescent="0.25">
      <c r="A46" s="139"/>
      <c r="B46" s="202"/>
      <c r="C46" s="215"/>
      <c r="D46" s="215"/>
      <c r="E46" s="427" t="s">
        <v>100</v>
      </c>
      <c r="F46" s="428"/>
      <c r="G46" s="428"/>
      <c r="H46" s="428"/>
      <c r="I46" s="428"/>
      <c r="J46" s="429"/>
      <c r="K46" s="433" t="str">
        <f>IF(OR(J45&lt;0,F45&lt;0),"You may not have sufficient funding or authorized FTP, and may need to make additional adjustments to finalize this form.  Please contact both your DFM and LSO analysts.","")</f>
        <v>You may not have sufficient funding or authorized FTP, and may need to make additional adjustments to finalize this form.  Please contact both your DFM and LSO analysts.</v>
      </c>
      <c r="L46" s="434"/>
      <c r="M46" s="434"/>
      <c r="N46" s="435"/>
      <c r="O46"/>
      <c r="P46"/>
      <c r="Q46"/>
      <c r="R46"/>
      <c r="S46"/>
      <c r="T46"/>
      <c r="U46"/>
      <c r="V46"/>
      <c r="W46"/>
      <c r="X46"/>
      <c r="Y46"/>
      <c r="Z46" s="344"/>
      <c r="AA46" s="363"/>
      <c r="AB46" s="363"/>
      <c r="AC46" s="363"/>
      <c r="AD46" s="329"/>
      <c r="AE46" s="147"/>
      <c r="AF46" s="147"/>
      <c r="AG46" s="147"/>
      <c r="AH46" s="147"/>
      <c r="AI46" s="147"/>
      <c r="AJ46" s="147"/>
      <c r="AK46" s="147"/>
      <c r="AL46" s="147"/>
      <c r="AM46" s="147"/>
      <c r="AN46" s="147"/>
      <c r="AO46" s="147"/>
      <c r="AP46" s="147"/>
      <c r="AQ46" s="147"/>
      <c r="AR46" s="147"/>
      <c r="AS46" s="147"/>
      <c r="AT46" s="147"/>
      <c r="AU46" s="147"/>
      <c r="AV46" s="147"/>
      <c r="AW46" s="147"/>
      <c r="AX46" s="147"/>
      <c r="AY46" s="147"/>
      <c r="AZ46" s="147"/>
      <c r="BA46" s="147"/>
      <c r="BB46" s="147"/>
      <c r="BC46" s="147"/>
      <c r="BD46" s="147"/>
      <c r="BE46" s="147"/>
      <c r="BF46" s="147"/>
      <c r="BG46" s="147"/>
      <c r="BH46" s="147"/>
      <c r="BI46" s="147"/>
      <c r="BJ46" s="147"/>
      <c r="BK46" s="147"/>
      <c r="BL46" s="147"/>
      <c r="BM46" s="147"/>
      <c r="BN46" s="147"/>
      <c r="BO46" s="147"/>
      <c r="BP46" s="147"/>
      <c r="BQ46" s="147"/>
      <c r="BR46" s="147"/>
      <c r="BS46" s="147"/>
      <c r="BT46" s="147"/>
      <c r="BU46" s="147"/>
      <c r="BV46" s="147"/>
      <c r="BW46" s="147"/>
      <c r="BX46" s="147"/>
      <c r="BY46" s="147"/>
      <c r="BZ46" s="147"/>
      <c r="CA46" s="147"/>
      <c r="CB46" s="147"/>
      <c r="CC46" s="147"/>
      <c r="CD46" s="147"/>
      <c r="CE46" s="147"/>
      <c r="CF46" s="147"/>
      <c r="CG46" s="147"/>
      <c r="CH46" s="147"/>
      <c r="CI46" s="147"/>
      <c r="CJ46" s="147"/>
      <c r="CK46" s="147"/>
      <c r="CL46" s="147"/>
      <c r="CM46" s="147"/>
      <c r="CN46" s="147"/>
      <c r="CO46" s="147"/>
      <c r="CP46" s="147"/>
    </row>
    <row r="47" spans="1:94" s="153" customFormat="1" ht="21.75" customHeight="1" x14ac:dyDescent="0.25">
      <c r="A47" s="139"/>
      <c r="B47" s="202"/>
      <c r="C47" s="215"/>
      <c r="D47" s="215"/>
      <c r="E47" s="430"/>
      <c r="F47" s="431"/>
      <c r="G47" s="431"/>
      <c r="H47" s="431"/>
      <c r="I47" s="431"/>
      <c r="J47" s="432"/>
      <c r="K47" s="436"/>
      <c r="L47" s="437"/>
      <c r="M47" s="437"/>
      <c r="N47" s="438"/>
      <c r="O47"/>
      <c r="P47"/>
      <c r="Q47"/>
      <c r="R47"/>
      <c r="S47"/>
      <c r="T47"/>
      <c r="U47"/>
      <c r="V47"/>
      <c r="W47"/>
      <c r="X47"/>
      <c r="Y47"/>
      <c r="Z47" s="344"/>
      <c r="AA47" s="363"/>
      <c r="AB47" s="363"/>
      <c r="AC47" s="363"/>
      <c r="AD47" s="329"/>
      <c r="AE47" s="147"/>
      <c r="AF47" s="147"/>
      <c r="AG47" s="147"/>
      <c r="AH47" s="147"/>
      <c r="AI47" s="147"/>
      <c r="AJ47" s="147"/>
      <c r="AK47" s="147"/>
      <c r="AL47" s="147"/>
      <c r="AM47" s="147"/>
      <c r="AN47" s="147"/>
      <c r="AO47" s="147"/>
      <c r="AP47" s="147"/>
      <c r="AQ47" s="147"/>
      <c r="AR47" s="147"/>
      <c r="AS47" s="147"/>
      <c r="AT47" s="147"/>
      <c r="AU47" s="147"/>
      <c r="AV47" s="147"/>
      <c r="AW47" s="147"/>
      <c r="AX47" s="147"/>
      <c r="AY47" s="147"/>
      <c r="AZ47" s="147"/>
      <c r="BA47" s="147"/>
      <c r="BB47" s="147"/>
      <c r="BC47" s="147"/>
      <c r="BD47" s="147"/>
      <c r="BE47" s="147"/>
      <c r="BF47" s="147"/>
      <c r="BG47" s="147"/>
      <c r="BH47" s="147"/>
      <c r="BI47" s="147"/>
      <c r="BJ47" s="147"/>
      <c r="BK47" s="147"/>
      <c r="BL47" s="147"/>
      <c r="BM47" s="147"/>
      <c r="BN47" s="147"/>
      <c r="BO47" s="147"/>
      <c r="BP47" s="147"/>
      <c r="BQ47" s="147"/>
      <c r="BR47" s="147"/>
      <c r="BS47" s="147"/>
      <c r="BT47" s="147"/>
      <c r="BU47" s="147"/>
      <c r="BV47" s="147"/>
      <c r="BW47" s="147"/>
      <c r="BX47" s="147"/>
      <c r="BY47" s="147"/>
      <c r="BZ47" s="147"/>
      <c r="CA47" s="147"/>
      <c r="CB47" s="147"/>
      <c r="CC47" s="147"/>
      <c r="CD47" s="147"/>
      <c r="CE47" s="147"/>
      <c r="CF47" s="147"/>
      <c r="CG47" s="147"/>
      <c r="CH47" s="147"/>
      <c r="CI47" s="147"/>
      <c r="CJ47" s="147"/>
      <c r="CK47" s="147"/>
      <c r="CL47" s="147"/>
      <c r="CM47" s="147"/>
      <c r="CN47" s="147"/>
      <c r="CO47" s="147"/>
      <c r="CP47" s="147"/>
    </row>
    <row r="48" spans="1:94" s="214" customFormat="1" ht="8.25" customHeight="1" x14ac:dyDescent="0.25">
      <c r="A48" s="207"/>
      <c r="B48" s="208"/>
      <c r="C48" s="136"/>
      <c r="D48" s="136"/>
      <c r="E48" s="209"/>
      <c r="F48" s="210"/>
      <c r="G48" s="211"/>
      <c r="H48" s="211"/>
      <c r="I48" s="211"/>
      <c r="J48" s="211"/>
      <c r="K48" s="211"/>
      <c r="L48" s="137"/>
      <c r="M48" s="138"/>
      <c r="N48" s="212"/>
      <c r="O48"/>
      <c r="P48"/>
      <c r="Q48"/>
      <c r="R48"/>
      <c r="S48"/>
      <c r="T48"/>
      <c r="U48"/>
      <c r="V48"/>
      <c r="W48"/>
      <c r="X48"/>
      <c r="Y48"/>
      <c r="Z48" s="344"/>
      <c r="AA48" s="339"/>
      <c r="AB48" s="339"/>
      <c r="AC48" s="339"/>
      <c r="AD48" s="330"/>
      <c r="AE48" s="213"/>
      <c r="AF48" s="213"/>
      <c r="AG48" s="213"/>
      <c r="AH48" s="213"/>
      <c r="AI48" s="213"/>
      <c r="AJ48" s="213"/>
      <c r="AK48" s="213"/>
      <c r="AL48" s="213"/>
      <c r="AM48" s="213"/>
      <c r="AN48" s="213"/>
      <c r="AO48" s="213"/>
      <c r="AP48" s="213"/>
      <c r="AQ48" s="213"/>
      <c r="AR48" s="213"/>
      <c r="AS48" s="213"/>
      <c r="AT48" s="213"/>
      <c r="AU48" s="213"/>
      <c r="AV48" s="213"/>
      <c r="AW48" s="213"/>
      <c r="AX48" s="213"/>
      <c r="AY48" s="213"/>
      <c r="AZ48" s="213"/>
      <c r="BA48" s="213"/>
      <c r="BB48" s="213"/>
      <c r="BC48" s="213"/>
      <c r="BD48" s="213"/>
      <c r="BE48" s="213"/>
      <c r="BF48" s="213"/>
      <c r="BG48" s="213"/>
      <c r="BH48" s="213"/>
      <c r="BI48" s="213"/>
      <c r="BJ48" s="213"/>
      <c r="BK48" s="213"/>
      <c r="BL48" s="213"/>
      <c r="BM48" s="213"/>
      <c r="BN48" s="213"/>
      <c r="BO48" s="213"/>
      <c r="BP48" s="213"/>
      <c r="BQ48" s="213"/>
      <c r="BR48" s="213"/>
      <c r="BS48" s="213"/>
      <c r="BT48" s="213"/>
      <c r="BU48" s="213"/>
      <c r="BV48" s="213"/>
      <c r="BW48" s="213"/>
      <c r="BX48" s="213"/>
      <c r="BY48" s="213"/>
      <c r="BZ48" s="213"/>
      <c r="CA48" s="213"/>
      <c r="CB48" s="213"/>
      <c r="CC48" s="213"/>
      <c r="CD48" s="213"/>
      <c r="CE48" s="213"/>
      <c r="CF48" s="213"/>
      <c r="CG48" s="213"/>
      <c r="CH48" s="213"/>
      <c r="CI48" s="213"/>
      <c r="CJ48" s="213"/>
      <c r="CK48" s="213"/>
      <c r="CL48" s="213"/>
      <c r="CM48" s="213"/>
      <c r="CN48" s="213"/>
      <c r="CO48" s="213"/>
      <c r="CP48" s="213"/>
    </row>
    <row r="49" spans="1:94" s="53" customFormat="1" ht="6" customHeight="1" x14ac:dyDescent="0.25">
      <c r="A49" s="63"/>
      <c r="B49" s="64"/>
      <c r="C49" s="65"/>
      <c r="D49" s="66"/>
      <c r="E49" s="67"/>
      <c r="F49" s="68"/>
      <c r="G49" s="64"/>
      <c r="H49" s="64"/>
      <c r="I49" s="64"/>
      <c r="J49" s="64"/>
      <c r="K49" s="64"/>
      <c r="L49" s="69"/>
      <c r="M49" s="69"/>
      <c r="N49" s="70"/>
      <c r="O49"/>
      <c r="P49"/>
      <c r="Q49"/>
      <c r="R49"/>
      <c r="S49"/>
      <c r="T49"/>
      <c r="U49"/>
      <c r="V49"/>
      <c r="W49"/>
      <c r="X49"/>
      <c r="Y49"/>
      <c r="Z49" s="344"/>
      <c r="AA49" s="363"/>
      <c r="AB49" s="363"/>
      <c r="AC49" s="363"/>
      <c r="AD49" s="110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1"/>
      <c r="AV49" s="41"/>
      <c r="AW49" s="41"/>
      <c r="AX49" s="41"/>
      <c r="AY49" s="41"/>
      <c r="AZ49" s="41"/>
      <c r="BA49" s="41"/>
      <c r="BB49" s="41"/>
      <c r="BC49" s="41"/>
      <c r="BD49" s="41"/>
      <c r="BE49" s="41"/>
      <c r="BF49" s="41"/>
      <c r="BG49" s="41"/>
      <c r="BH49" s="41"/>
      <c r="BI49" s="41"/>
      <c r="BJ49" s="41"/>
      <c r="BK49" s="41"/>
      <c r="BL49" s="41"/>
      <c r="BM49" s="41"/>
      <c r="BN49" s="41"/>
      <c r="BO49" s="41"/>
      <c r="BP49" s="41"/>
      <c r="BQ49" s="41"/>
      <c r="BR49" s="41"/>
      <c r="BS49" s="41"/>
      <c r="BT49" s="41"/>
      <c r="BU49" s="41"/>
      <c r="BV49" s="41"/>
      <c r="BW49" s="41"/>
      <c r="BX49" s="41"/>
      <c r="BY49" s="41"/>
      <c r="BZ49" s="41"/>
      <c r="CA49" s="41"/>
      <c r="CB49" s="41"/>
      <c r="CC49" s="41"/>
      <c r="CD49" s="41"/>
      <c r="CE49" s="41"/>
      <c r="CF49" s="41"/>
      <c r="CG49" s="41"/>
      <c r="CH49" s="41"/>
      <c r="CI49" s="41"/>
      <c r="CJ49" s="41"/>
      <c r="CK49" s="41"/>
      <c r="CL49" s="41"/>
      <c r="CM49" s="41"/>
      <c r="CN49" s="41"/>
      <c r="CO49" s="41"/>
      <c r="CP49" s="41"/>
    </row>
    <row r="50" spans="1:94" s="53" customFormat="1" ht="24.75" customHeight="1" x14ac:dyDescent="0.25">
      <c r="A50" s="257" t="s">
        <v>42</v>
      </c>
      <c r="B50" s="71"/>
      <c r="C50" s="439"/>
      <c r="D50" s="440"/>
      <c r="E50" s="72" t="s">
        <v>43</v>
      </c>
      <c r="F50" s="73" t="s">
        <v>24</v>
      </c>
      <c r="G50" s="72" t="str">
        <f>"FY "&amp;M4-2001&amp;" Salary"</f>
        <v>FY 22 Salary</v>
      </c>
      <c r="H50" s="72" t="str">
        <f>"FY "&amp;M4-2001&amp;" Health Ben"</f>
        <v>FY 22 Health Ben</v>
      </c>
      <c r="I50" s="72" t="str">
        <f>"FY "&amp;M4-2001&amp;" Var Ben"</f>
        <v>FY 22 Var Ben</v>
      </c>
      <c r="J50" s="72" t="str">
        <f>"FY "&amp;M4-1&amp;" Total"</f>
        <v>FY 2022 Total</v>
      </c>
      <c r="K50" s="307" t="str">
        <f>"FY "&amp;FiscalYear&amp;" SALARY CHG"</f>
        <v>FY 2023 SALARY CHG</v>
      </c>
      <c r="L50" s="74" t="str">
        <f>"FY "&amp;M4-2000&amp;" Chg Health Bens"</f>
        <v>FY 23 Chg Health Bens</v>
      </c>
      <c r="M50" s="74" t="str">
        <f>"FY "&amp;M4-2000&amp;" Chg Var Bens"</f>
        <v>FY 23 Chg Var Bens</v>
      </c>
      <c r="N50" s="74" t="s">
        <v>44</v>
      </c>
      <c r="O50"/>
      <c r="P50"/>
      <c r="Q50"/>
      <c r="R50"/>
      <c r="S50"/>
      <c r="T50"/>
      <c r="U50"/>
      <c r="V50"/>
      <c r="W50"/>
      <c r="X50"/>
      <c r="Y50"/>
      <c r="Z50" s="344"/>
      <c r="AA50" s="363"/>
      <c r="AB50" s="363"/>
      <c r="AC50" s="363"/>
      <c r="AD50" s="110"/>
      <c r="AE50" s="41"/>
      <c r="AF50" s="41"/>
      <c r="AG50" s="41"/>
      <c r="AH50" s="41"/>
      <c r="AI50" s="41"/>
      <c r="AJ50" s="41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U50" s="41"/>
      <c r="AV50" s="41"/>
      <c r="AW50" s="41"/>
      <c r="AX50" s="41"/>
      <c r="AY50" s="41"/>
      <c r="AZ50" s="41"/>
      <c r="BA50" s="41"/>
      <c r="BB50" s="41"/>
      <c r="BC50" s="41"/>
      <c r="BD50" s="41"/>
      <c r="BE50" s="41"/>
      <c r="BF50" s="41"/>
      <c r="BG50" s="41"/>
      <c r="BH50" s="41"/>
      <c r="BI50" s="41"/>
      <c r="BJ50" s="41"/>
      <c r="BK50" s="41"/>
      <c r="BL50" s="41"/>
      <c r="BM50" s="41"/>
      <c r="BN50" s="41"/>
      <c r="BO50" s="41"/>
      <c r="BP50" s="41"/>
      <c r="BQ50" s="41"/>
      <c r="BR50" s="41"/>
      <c r="BS50" s="41"/>
      <c r="BT50" s="41"/>
      <c r="BU50" s="41"/>
      <c r="BV50" s="41"/>
      <c r="BW50" s="41"/>
      <c r="BX50" s="41"/>
      <c r="BY50" s="41"/>
      <c r="BZ50" s="41"/>
      <c r="CA50" s="41"/>
      <c r="CB50" s="41"/>
      <c r="CC50" s="41"/>
      <c r="CD50" s="41"/>
      <c r="CE50" s="41"/>
      <c r="CF50" s="41"/>
      <c r="CG50" s="41"/>
      <c r="CH50" s="41"/>
      <c r="CI50" s="41"/>
      <c r="CJ50" s="41"/>
      <c r="CK50" s="41"/>
      <c r="CL50" s="41"/>
      <c r="CM50" s="41"/>
      <c r="CN50" s="41"/>
      <c r="CO50" s="41"/>
      <c r="CP50" s="41"/>
    </row>
    <row r="51" spans="1:94" s="53" customFormat="1" ht="15.75" customHeight="1" x14ac:dyDescent="0.25">
      <c r="A51" s="75">
        <v>3</v>
      </c>
      <c r="B51" s="76" t="s">
        <v>45</v>
      </c>
      <c r="C51" s="54" t="str">
        <f>"FY "&amp;M4-1</f>
        <v>FY 2022</v>
      </c>
      <c r="D51" s="77" t="s">
        <v>31</v>
      </c>
      <c r="E51" s="78">
        <f>OrigApprop</f>
        <v>37800</v>
      </c>
      <c r="F51" s="272">
        <f>AppropFTP</f>
        <v>0</v>
      </c>
      <c r="G51" s="274">
        <f>IF(E51=0,0,(G41/$J$41)*$E$51)</f>
        <v>26421.635880058671</v>
      </c>
      <c r="H51" s="274">
        <f>IF(E51=0,0,(H41/$J$41)*$E$51)</f>
        <v>5738.1375086252037</v>
      </c>
      <c r="I51" s="275">
        <f>IF(E51=0,0,(I41/$J$41)*$E$51)</f>
        <v>5640.2266113161249</v>
      </c>
      <c r="J51" s="90">
        <f>SUM(G51:I51)</f>
        <v>37800</v>
      </c>
      <c r="K51" s="263"/>
      <c r="L51" s="61"/>
      <c r="M51" s="81"/>
      <c r="N51" s="81"/>
      <c r="O51"/>
      <c r="P51"/>
      <c r="Q51"/>
      <c r="R51"/>
      <c r="S51"/>
      <c r="T51"/>
      <c r="U51"/>
      <c r="V51"/>
      <c r="W51"/>
      <c r="X51"/>
      <c r="Y51"/>
      <c r="Z51" s="344"/>
      <c r="AA51" s="346"/>
      <c r="AB51" s="363"/>
      <c r="AC51" s="363"/>
      <c r="AD51" s="110"/>
      <c r="AE51" s="41"/>
      <c r="AF51" s="41"/>
      <c r="AG51" s="41"/>
      <c r="AH51" s="41"/>
      <c r="AI51" s="41"/>
      <c r="AJ51" s="41"/>
      <c r="AK51" s="41"/>
      <c r="AL51" s="41"/>
      <c r="AM51" s="41"/>
      <c r="AN51" s="41"/>
      <c r="AO51" s="41"/>
      <c r="AP51" s="41"/>
      <c r="AQ51" s="41"/>
      <c r="AR51" s="41"/>
      <c r="AS51" s="41"/>
      <c r="AT51" s="41"/>
      <c r="AU51" s="41"/>
      <c r="AV51" s="41"/>
      <c r="AW51" s="41"/>
      <c r="AX51" s="41"/>
      <c r="AY51" s="41"/>
      <c r="AZ51" s="41"/>
      <c r="BA51" s="41"/>
      <c r="BB51" s="41"/>
      <c r="BC51" s="41"/>
      <c r="BD51" s="41"/>
      <c r="BE51" s="41"/>
      <c r="BF51" s="41"/>
      <c r="BG51" s="41"/>
      <c r="BH51" s="41"/>
      <c r="BI51" s="41"/>
      <c r="BJ51" s="41"/>
      <c r="BK51" s="41"/>
      <c r="BL51" s="41"/>
      <c r="BM51" s="41"/>
      <c r="BN51" s="41"/>
      <c r="BO51" s="41"/>
      <c r="BP51" s="41"/>
      <c r="BQ51" s="41"/>
      <c r="BR51" s="41"/>
      <c r="BS51" s="41"/>
      <c r="BT51" s="41"/>
      <c r="BU51" s="41"/>
      <c r="BV51" s="41"/>
      <c r="BW51" s="41"/>
      <c r="BX51" s="41"/>
      <c r="BY51" s="41"/>
      <c r="BZ51" s="41"/>
      <c r="CA51" s="41"/>
      <c r="CB51" s="41"/>
      <c r="CC51" s="41"/>
      <c r="CD51" s="41"/>
      <c r="CE51" s="41"/>
      <c r="CF51" s="41"/>
      <c r="CG51" s="41"/>
      <c r="CH51" s="41"/>
      <c r="CI51" s="41"/>
      <c r="CJ51" s="41"/>
      <c r="CK51" s="41"/>
      <c r="CL51" s="41"/>
      <c r="CM51" s="41"/>
      <c r="CN51" s="41"/>
      <c r="CO51" s="41"/>
      <c r="CP51" s="41"/>
    </row>
    <row r="52" spans="1:94" s="53" customFormat="1" ht="15.75" customHeight="1" x14ac:dyDescent="0.25">
      <c r="A52" s="82"/>
      <c r="B52" s="83"/>
      <c r="C52" s="84"/>
      <c r="D52" s="132" t="s">
        <v>46</v>
      </c>
      <c r="E52" s="133"/>
      <c r="F52" s="55">
        <f>F51</f>
        <v>0</v>
      </c>
      <c r="G52" s="79">
        <f>ROUND(G51,-2)</f>
        <v>26400</v>
      </c>
      <c r="H52" s="79">
        <f>ROUND(H51,-2)</f>
        <v>5700</v>
      </c>
      <c r="I52" s="266">
        <f>ROUND(I51,-2)</f>
        <v>5600</v>
      </c>
      <c r="J52" s="80">
        <f>ROUND(J51,-2)</f>
        <v>37800</v>
      </c>
      <c r="K52" s="263"/>
      <c r="L52" s="61"/>
      <c r="M52" s="81"/>
      <c r="N52" s="81"/>
      <c r="O52"/>
      <c r="P52"/>
      <c r="Q52"/>
      <c r="R52"/>
      <c r="S52"/>
      <c r="T52"/>
      <c r="U52"/>
      <c r="V52"/>
      <c r="W52"/>
      <c r="X52"/>
      <c r="Y52"/>
      <c r="Z52" s="344"/>
      <c r="AA52" s="347"/>
      <c r="AB52" s="363"/>
      <c r="AC52" s="363"/>
      <c r="AD52" s="110"/>
      <c r="AE52" s="41"/>
      <c r="AF52" s="41"/>
      <c r="AG52" s="41"/>
      <c r="AH52" s="41"/>
      <c r="AI52" s="41"/>
      <c r="AJ52" s="41"/>
      <c r="AK52" s="41"/>
      <c r="AL52" s="41"/>
      <c r="AM52" s="41"/>
      <c r="AN52" s="41"/>
      <c r="AO52" s="41"/>
      <c r="AP52" s="41"/>
      <c r="AQ52" s="41"/>
      <c r="AR52" s="41"/>
      <c r="AS52" s="41"/>
      <c r="AT52" s="41"/>
      <c r="AU52" s="41"/>
      <c r="AV52" s="41"/>
      <c r="AW52" s="41"/>
      <c r="AX52" s="41"/>
      <c r="AY52" s="41"/>
      <c r="AZ52" s="41"/>
      <c r="BA52" s="41"/>
      <c r="BB52" s="41"/>
      <c r="BC52" s="41"/>
      <c r="BD52" s="41"/>
      <c r="BE52" s="41"/>
      <c r="BF52" s="41"/>
      <c r="BG52" s="41"/>
      <c r="BH52" s="41"/>
      <c r="BI52" s="41"/>
      <c r="BJ52" s="41"/>
      <c r="BK52" s="41"/>
      <c r="BL52" s="41"/>
      <c r="BM52" s="41"/>
      <c r="BN52" s="41"/>
      <c r="BO52" s="41"/>
      <c r="BP52" s="41"/>
      <c r="BQ52" s="41"/>
      <c r="BR52" s="41"/>
      <c r="BS52" s="41"/>
      <c r="BT52" s="41"/>
      <c r="BU52" s="41"/>
      <c r="BV52" s="41"/>
      <c r="BW52" s="41"/>
      <c r="BX52" s="41"/>
      <c r="BY52" s="41"/>
      <c r="BZ52" s="41"/>
      <c r="CA52" s="41"/>
      <c r="CB52" s="41"/>
      <c r="CC52" s="41"/>
      <c r="CD52" s="41"/>
      <c r="CE52" s="41"/>
      <c r="CF52" s="41"/>
      <c r="CG52" s="41"/>
      <c r="CH52" s="41"/>
      <c r="CI52" s="41"/>
      <c r="CJ52" s="41"/>
      <c r="CK52" s="41"/>
      <c r="CL52" s="41"/>
      <c r="CM52" s="41"/>
      <c r="CN52" s="41"/>
      <c r="CO52" s="41"/>
      <c r="CP52" s="41"/>
    </row>
    <row r="53" spans="1:94" s="53" customFormat="1" ht="15" x14ac:dyDescent="0.25">
      <c r="A53" s="85"/>
      <c r="B53" s="83"/>
      <c r="C53" s="441" t="s">
        <v>47</v>
      </c>
      <c r="D53" s="442"/>
      <c r="E53" s="271"/>
      <c r="F53" s="273"/>
      <c r="G53" s="62"/>
      <c r="H53" s="62"/>
      <c r="I53" s="62"/>
      <c r="J53" s="62"/>
      <c r="K53" s="62"/>
      <c r="L53" s="61"/>
      <c r="M53" s="86"/>
      <c r="N53" s="86"/>
      <c r="O53"/>
      <c r="P53"/>
      <c r="Q53"/>
      <c r="R53"/>
      <c r="S53"/>
      <c r="T53"/>
      <c r="U53"/>
      <c r="V53"/>
      <c r="W53"/>
      <c r="X53"/>
      <c r="Y53"/>
      <c r="Z53" s="344"/>
      <c r="AA53" s="363"/>
      <c r="AB53" s="363"/>
      <c r="AC53" s="363"/>
      <c r="AD53" s="110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U53" s="41"/>
      <c r="AV53" s="41"/>
      <c r="AW53" s="41"/>
      <c r="AX53" s="41"/>
      <c r="AY53" s="41"/>
      <c r="AZ53" s="41"/>
      <c r="BA53" s="41"/>
      <c r="BB53" s="41"/>
      <c r="BC53" s="41"/>
      <c r="BD53" s="41"/>
      <c r="BE53" s="41"/>
      <c r="BF53" s="41"/>
      <c r="BG53" s="41"/>
      <c r="BH53" s="41"/>
      <c r="BI53" s="41"/>
      <c r="BJ53" s="41"/>
      <c r="BK53" s="41"/>
      <c r="BL53" s="41"/>
      <c r="BM53" s="41"/>
      <c r="BN53" s="41"/>
      <c r="BO53" s="41"/>
      <c r="BP53" s="41"/>
      <c r="BQ53" s="41"/>
      <c r="BR53" s="41"/>
      <c r="BS53" s="41"/>
      <c r="BT53" s="41"/>
      <c r="BU53" s="41"/>
      <c r="BV53" s="41"/>
      <c r="BW53" s="41"/>
      <c r="BX53" s="41"/>
      <c r="BY53" s="41"/>
      <c r="BZ53" s="41"/>
      <c r="CA53" s="41"/>
      <c r="CB53" s="41"/>
      <c r="CC53" s="41"/>
      <c r="CD53" s="41"/>
      <c r="CE53" s="41"/>
      <c r="CF53" s="41"/>
      <c r="CG53" s="41"/>
      <c r="CH53" s="41"/>
      <c r="CI53" s="41"/>
      <c r="CJ53" s="41"/>
      <c r="CK53" s="41"/>
      <c r="CL53" s="41"/>
      <c r="CM53" s="41"/>
      <c r="CN53" s="41"/>
      <c r="CO53" s="41"/>
      <c r="CP53" s="41"/>
    </row>
    <row r="54" spans="1:94" s="53" customFormat="1" ht="15.75" customHeight="1" x14ac:dyDescent="0.25">
      <c r="A54" s="85">
        <v>4.1100000000000003</v>
      </c>
      <c r="B54" s="83"/>
      <c r="C54" s="408" t="s">
        <v>48</v>
      </c>
      <c r="D54" s="409"/>
      <c r="E54" s="59"/>
      <c r="F54" s="58">
        <v>0</v>
      </c>
      <c r="G54" s="88">
        <v>0</v>
      </c>
      <c r="H54" s="88">
        <v>0</v>
      </c>
      <c r="I54" s="265">
        <v>0</v>
      </c>
      <c r="J54" s="89">
        <f>SUM(G54:I54)</f>
        <v>0</v>
      </c>
      <c r="K54" s="62"/>
      <c r="L54" s="61"/>
      <c r="M54" s="86"/>
      <c r="N54" s="86"/>
      <c r="O54"/>
      <c r="P54"/>
      <c r="Q54"/>
      <c r="R54"/>
      <c r="S54"/>
      <c r="T54"/>
      <c r="U54"/>
      <c r="V54"/>
      <c r="W54"/>
      <c r="X54"/>
      <c r="Y54"/>
      <c r="Z54" s="344"/>
      <c r="AA54" s="363"/>
      <c r="AB54" s="363"/>
      <c r="AC54" s="363"/>
      <c r="AD54" s="110"/>
      <c r="AE54" s="41"/>
      <c r="AF54" s="41"/>
      <c r="AG54" s="41"/>
      <c r="AH54" s="41"/>
      <c r="AI54" s="41"/>
      <c r="AJ54" s="41"/>
      <c r="AK54" s="41"/>
      <c r="AL54" s="41"/>
      <c r="AM54" s="41"/>
      <c r="AN54" s="41"/>
      <c r="AO54" s="41"/>
      <c r="AP54" s="41"/>
      <c r="AQ54" s="41"/>
      <c r="AR54" s="41"/>
      <c r="AS54" s="41"/>
      <c r="AT54" s="41"/>
      <c r="AU54" s="41"/>
      <c r="AV54" s="41"/>
      <c r="AW54" s="41"/>
      <c r="AX54" s="41"/>
      <c r="AY54" s="41"/>
      <c r="AZ54" s="41"/>
      <c r="BA54" s="41"/>
      <c r="BB54" s="41"/>
      <c r="BC54" s="41"/>
      <c r="BD54" s="41"/>
      <c r="BE54" s="41"/>
      <c r="BF54" s="41"/>
      <c r="BG54" s="41"/>
      <c r="BH54" s="41"/>
      <c r="BI54" s="41"/>
      <c r="BJ54" s="41"/>
      <c r="BK54" s="41"/>
      <c r="BL54" s="41"/>
      <c r="BM54" s="41"/>
      <c r="BN54" s="41"/>
      <c r="BO54" s="41"/>
      <c r="BP54" s="41"/>
      <c r="BQ54" s="41"/>
      <c r="BR54" s="41"/>
      <c r="BS54" s="41"/>
      <c r="BT54" s="41"/>
      <c r="BU54" s="41"/>
      <c r="BV54" s="41"/>
      <c r="BW54" s="41"/>
      <c r="BX54" s="41"/>
      <c r="BY54" s="41"/>
      <c r="BZ54" s="41"/>
      <c r="CA54" s="41"/>
      <c r="CB54" s="41"/>
      <c r="CC54" s="41"/>
      <c r="CD54" s="41"/>
      <c r="CE54" s="41"/>
      <c r="CF54" s="41"/>
      <c r="CG54" s="41"/>
      <c r="CH54" s="41"/>
      <c r="CI54" s="41"/>
      <c r="CJ54" s="41"/>
      <c r="CK54" s="41"/>
      <c r="CL54" s="41"/>
      <c r="CM54" s="41"/>
      <c r="CN54" s="41"/>
      <c r="CO54" s="41"/>
      <c r="CP54" s="41"/>
    </row>
    <row r="55" spans="1:94" s="53" customFormat="1" ht="15.75" customHeight="1" x14ac:dyDescent="0.25">
      <c r="A55" s="85">
        <v>4.3099999999999996</v>
      </c>
      <c r="B55" s="83"/>
      <c r="C55" s="421" t="s">
        <v>49</v>
      </c>
      <c r="D55" s="422"/>
      <c r="E55" s="59"/>
      <c r="F55" s="277">
        <v>0</v>
      </c>
      <c r="G55" s="92">
        <v>0</v>
      </c>
      <c r="H55" s="92">
        <v>0</v>
      </c>
      <c r="I55" s="264">
        <v>0</v>
      </c>
      <c r="J55" s="287">
        <f>SUM(G55:I55)</f>
        <v>0</v>
      </c>
      <c r="K55" s="62"/>
      <c r="L55" s="88"/>
      <c r="M55" s="261"/>
      <c r="N55" s="89">
        <f>SUM(L55:M55)</f>
        <v>0</v>
      </c>
      <c r="O55"/>
      <c r="P55"/>
      <c r="Q55"/>
      <c r="R55"/>
      <c r="S55"/>
      <c r="T55"/>
      <c r="U55"/>
      <c r="V55"/>
      <c r="W55"/>
      <c r="X55"/>
      <c r="Y55"/>
      <c r="Z55" s="344"/>
      <c r="AA55" s="363"/>
      <c r="AB55" s="363"/>
      <c r="AC55" s="363"/>
      <c r="AD55" s="110"/>
      <c r="AE55" s="41"/>
      <c r="AF55" s="41"/>
      <c r="AG55" s="41"/>
      <c r="AH55" s="41"/>
      <c r="AI55" s="41"/>
      <c r="AJ55" s="41"/>
      <c r="AK55" s="41"/>
      <c r="AL55" s="41"/>
      <c r="AM55" s="41"/>
      <c r="AN55" s="41"/>
      <c r="AO55" s="41"/>
      <c r="AP55" s="41"/>
      <c r="AQ55" s="41"/>
      <c r="AR55" s="41"/>
      <c r="AS55" s="41"/>
      <c r="AT55" s="41"/>
      <c r="AU55" s="41"/>
      <c r="AV55" s="41"/>
      <c r="AW55" s="41"/>
      <c r="AX55" s="41"/>
      <c r="AY55" s="41"/>
      <c r="AZ55" s="41"/>
      <c r="BA55" s="41"/>
      <c r="BB55" s="41"/>
      <c r="BC55" s="41"/>
      <c r="BD55" s="41"/>
      <c r="BE55" s="41"/>
      <c r="BF55" s="41"/>
      <c r="BG55" s="41"/>
      <c r="BH55" s="41"/>
      <c r="BI55" s="41"/>
      <c r="BJ55" s="41"/>
      <c r="BK55" s="41"/>
      <c r="BL55" s="41"/>
      <c r="BM55" s="41"/>
      <c r="BN55" s="41"/>
      <c r="BO55" s="41"/>
      <c r="BP55" s="41"/>
      <c r="BQ55" s="41"/>
      <c r="BR55" s="41"/>
      <c r="BS55" s="41"/>
      <c r="BT55" s="41"/>
      <c r="BU55" s="41"/>
      <c r="BV55" s="41"/>
      <c r="BW55" s="41"/>
      <c r="BX55" s="41"/>
      <c r="BY55" s="41"/>
      <c r="BZ55" s="41"/>
      <c r="CA55" s="41"/>
      <c r="CB55" s="41"/>
      <c r="CC55" s="41"/>
      <c r="CD55" s="41"/>
      <c r="CE55" s="41"/>
      <c r="CF55" s="41"/>
      <c r="CG55" s="41"/>
      <c r="CH55" s="41"/>
      <c r="CI55" s="41"/>
      <c r="CJ55" s="41"/>
      <c r="CK55" s="41"/>
      <c r="CL55" s="41"/>
      <c r="CM55" s="41"/>
      <c r="CN55" s="41"/>
      <c r="CO55" s="41"/>
      <c r="CP55" s="41"/>
    </row>
    <row r="56" spans="1:94" s="53" customFormat="1" ht="15.75" customHeight="1" x14ac:dyDescent="0.25">
      <c r="A56" s="75">
        <v>5</v>
      </c>
      <c r="B56" s="76"/>
      <c r="C56" s="54" t="str">
        <f>"FY "&amp;M4-1</f>
        <v>FY 2022</v>
      </c>
      <c r="D56" s="131" t="s">
        <v>50</v>
      </c>
      <c r="E56" s="135"/>
      <c r="F56" s="55">
        <f>SUM(F52:F55)</f>
        <v>0</v>
      </c>
      <c r="G56" s="80">
        <f>SUM(G52:G55)</f>
        <v>26400</v>
      </c>
      <c r="H56" s="80">
        <f>SUM(H52:H55)</f>
        <v>5700</v>
      </c>
      <c r="I56" s="260">
        <f>SUM(I52:I55)</f>
        <v>5600</v>
      </c>
      <c r="J56" s="80">
        <f>SUM(J52:J55)</f>
        <v>37800</v>
      </c>
      <c r="K56" s="263"/>
      <c r="L56" s="61"/>
      <c r="M56" s="61"/>
      <c r="N56" s="61"/>
      <c r="O56"/>
      <c r="P56"/>
      <c r="Q56"/>
      <c r="R56"/>
      <c r="S56"/>
      <c r="T56"/>
      <c r="U56"/>
      <c r="V56"/>
      <c r="W56"/>
      <c r="X56"/>
      <c r="Y56"/>
      <c r="Z56" s="344"/>
      <c r="AA56" s="363"/>
      <c r="AB56" s="363"/>
      <c r="AC56" s="363"/>
      <c r="AD56" s="110"/>
      <c r="AE56" s="41"/>
      <c r="AF56" s="41"/>
      <c r="AG56" s="41"/>
      <c r="AH56" s="41"/>
      <c r="AI56" s="41"/>
      <c r="AJ56" s="41"/>
      <c r="AK56" s="41"/>
      <c r="AL56" s="41"/>
      <c r="AM56" s="41"/>
      <c r="AN56" s="41"/>
      <c r="AO56" s="41"/>
      <c r="AP56" s="41"/>
      <c r="AQ56" s="41"/>
      <c r="AR56" s="41"/>
      <c r="AS56" s="41"/>
      <c r="AT56" s="41"/>
      <c r="AU56" s="41"/>
      <c r="AV56" s="41"/>
      <c r="AW56" s="41"/>
      <c r="AX56" s="41"/>
      <c r="AY56" s="41"/>
      <c r="AZ56" s="41"/>
      <c r="BA56" s="41"/>
      <c r="BB56" s="41"/>
      <c r="BC56" s="41"/>
      <c r="BD56" s="41"/>
      <c r="BE56" s="41"/>
      <c r="BF56" s="41"/>
      <c r="BG56" s="41"/>
      <c r="BH56" s="41"/>
      <c r="BI56" s="41"/>
      <c r="BJ56" s="41"/>
      <c r="BK56" s="41"/>
      <c r="BL56" s="41"/>
      <c r="BM56" s="41"/>
      <c r="BN56" s="41"/>
      <c r="BO56" s="41"/>
      <c r="BP56" s="41"/>
      <c r="BQ56" s="41"/>
      <c r="BR56" s="41"/>
      <c r="BS56" s="41"/>
      <c r="BT56" s="41"/>
      <c r="BU56" s="41"/>
      <c r="BV56" s="41"/>
      <c r="BW56" s="41"/>
      <c r="BX56" s="41"/>
      <c r="BY56" s="41"/>
      <c r="BZ56" s="41"/>
      <c r="CA56" s="41"/>
      <c r="CB56" s="41"/>
      <c r="CC56" s="41"/>
      <c r="CD56" s="41"/>
      <c r="CE56" s="41"/>
      <c r="CF56" s="41"/>
      <c r="CG56" s="41"/>
      <c r="CH56" s="41"/>
      <c r="CI56" s="41"/>
      <c r="CJ56" s="41"/>
      <c r="CK56" s="41"/>
      <c r="CL56" s="41"/>
      <c r="CM56" s="41"/>
      <c r="CN56" s="41"/>
      <c r="CO56" s="41"/>
      <c r="CP56" s="41"/>
    </row>
    <row r="57" spans="1:94" s="53" customFormat="1" ht="15.75" customHeight="1" x14ac:dyDescent="0.25">
      <c r="A57" s="85"/>
      <c r="B57" s="83"/>
      <c r="C57" s="419" t="s">
        <v>51</v>
      </c>
      <c r="D57" s="423"/>
      <c r="E57" s="367"/>
      <c r="F57" s="273"/>
      <c r="G57" s="62"/>
      <c r="H57" s="62"/>
      <c r="I57" s="62"/>
      <c r="J57" s="62"/>
      <c r="K57" s="62"/>
      <c r="L57" s="61"/>
      <c r="M57" s="61"/>
      <c r="N57" s="61"/>
      <c r="O57"/>
      <c r="P57"/>
      <c r="Q57"/>
      <c r="R57"/>
      <c r="S57"/>
      <c r="T57"/>
      <c r="U57"/>
      <c r="V57"/>
      <c r="W57"/>
      <c r="X57"/>
      <c r="Y57"/>
      <c r="Z57" s="344"/>
      <c r="AA57" s="363"/>
      <c r="AB57" s="363"/>
      <c r="AC57" s="363"/>
      <c r="AD57" s="110"/>
      <c r="AE57" s="41"/>
      <c r="AF57" s="41"/>
      <c r="AG57" s="41"/>
      <c r="AH57" s="41"/>
      <c r="AI57" s="41"/>
      <c r="AJ57" s="41"/>
      <c r="AK57" s="41"/>
      <c r="AL57" s="41"/>
      <c r="AM57" s="41"/>
      <c r="AN57" s="41"/>
      <c r="AO57" s="41"/>
      <c r="AP57" s="41"/>
      <c r="AQ57" s="41"/>
      <c r="AR57" s="41"/>
      <c r="AS57" s="41"/>
      <c r="AT57" s="41"/>
      <c r="AU57" s="41"/>
      <c r="AV57" s="41"/>
      <c r="AW57" s="41"/>
      <c r="AX57" s="41"/>
      <c r="AY57" s="41"/>
      <c r="AZ57" s="41"/>
      <c r="BA57" s="41"/>
      <c r="BB57" s="41"/>
      <c r="BC57" s="41"/>
      <c r="BD57" s="41"/>
      <c r="BE57" s="41"/>
      <c r="BF57" s="41"/>
      <c r="BG57" s="41"/>
      <c r="BH57" s="41"/>
      <c r="BI57" s="41"/>
      <c r="BJ57" s="41"/>
      <c r="BK57" s="41"/>
      <c r="BL57" s="41"/>
      <c r="BM57" s="41"/>
      <c r="BN57" s="41"/>
      <c r="BO57" s="41"/>
      <c r="BP57" s="41"/>
      <c r="BQ57" s="41"/>
      <c r="BR57" s="41"/>
      <c r="BS57" s="41"/>
      <c r="BT57" s="41"/>
      <c r="BU57" s="41"/>
      <c r="BV57" s="41"/>
      <c r="BW57" s="41"/>
      <c r="BX57" s="41"/>
      <c r="BY57" s="41"/>
      <c r="BZ57" s="41"/>
      <c r="CA57" s="41"/>
      <c r="CB57" s="41"/>
      <c r="CC57" s="41"/>
      <c r="CD57" s="41"/>
      <c r="CE57" s="41"/>
      <c r="CF57" s="41"/>
      <c r="CG57" s="41"/>
      <c r="CH57" s="41"/>
      <c r="CI57" s="41"/>
      <c r="CJ57" s="41"/>
      <c r="CK57" s="41"/>
      <c r="CL57" s="41"/>
      <c r="CM57" s="41"/>
      <c r="CN57" s="41"/>
      <c r="CO57" s="41"/>
      <c r="CP57" s="41"/>
    </row>
    <row r="58" spans="1:94" s="53" customFormat="1" ht="15.75" customHeight="1" x14ac:dyDescent="0.25">
      <c r="A58" s="85">
        <v>6.31</v>
      </c>
      <c r="B58" s="83"/>
      <c r="C58" s="408" t="s">
        <v>52</v>
      </c>
      <c r="D58" s="409"/>
      <c r="E58" s="102"/>
      <c r="F58" s="58">
        <v>0</v>
      </c>
      <c r="G58" s="88">
        <v>0</v>
      </c>
      <c r="H58" s="88">
        <v>0</v>
      </c>
      <c r="I58" s="265">
        <v>0</v>
      </c>
      <c r="J58" s="89">
        <f>SUM(G58:I58)</f>
        <v>0</v>
      </c>
      <c r="K58" s="62"/>
      <c r="L58" s="88"/>
      <c r="M58" s="262"/>
      <c r="N58" s="89">
        <f>SUM(L58:M58)</f>
        <v>0</v>
      </c>
      <c r="O58"/>
      <c r="P58"/>
      <c r="Q58"/>
      <c r="R58"/>
      <c r="S58"/>
      <c r="T58"/>
      <c r="U58"/>
      <c r="V58"/>
      <c r="W58"/>
      <c r="X58"/>
      <c r="Y58"/>
      <c r="Z58" s="344"/>
      <c r="AA58" s="363"/>
      <c r="AB58" s="363"/>
      <c r="AC58" s="363"/>
      <c r="AD58" s="110"/>
      <c r="AE58" s="41"/>
      <c r="AF58" s="41"/>
      <c r="AG58" s="41"/>
      <c r="AH58" s="41"/>
      <c r="AI58" s="41"/>
      <c r="AJ58" s="41"/>
      <c r="AK58" s="41"/>
      <c r="AL58" s="41"/>
      <c r="AM58" s="41"/>
      <c r="AN58" s="41"/>
      <c r="AO58" s="41"/>
      <c r="AP58" s="41"/>
      <c r="AQ58" s="41"/>
      <c r="AR58" s="41"/>
      <c r="AS58" s="41"/>
      <c r="AT58" s="41"/>
      <c r="AU58" s="41"/>
      <c r="AV58" s="41"/>
      <c r="AW58" s="41"/>
      <c r="AX58" s="41"/>
      <c r="AY58" s="41"/>
      <c r="AZ58" s="41"/>
      <c r="BA58" s="41"/>
      <c r="BB58" s="41"/>
      <c r="BC58" s="41"/>
      <c r="BD58" s="41"/>
      <c r="BE58" s="41"/>
      <c r="BF58" s="41"/>
      <c r="BG58" s="41"/>
      <c r="BH58" s="41"/>
      <c r="BI58" s="41"/>
      <c r="BJ58" s="41"/>
      <c r="BK58" s="41"/>
      <c r="BL58" s="41"/>
      <c r="BM58" s="41"/>
      <c r="BN58" s="41"/>
      <c r="BO58" s="41"/>
      <c r="BP58" s="41"/>
      <c r="BQ58" s="41"/>
      <c r="BR58" s="41"/>
      <c r="BS58" s="41"/>
      <c r="BT58" s="41"/>
      <c r="BU58" s="41"/>
      <c r="BV58" s="41"/>
      <c r="BW58" s="41"/>
      <c r="BX58" s="41"/>
      <c r="BY58" s="41"/>
      <c r="BZ58" s="41"/>
      <c r="CA58" s="41"/>
      <c r="CB58" s="41"/>
      <c r="CC58" s="41"/>
      <c r="CD58" s="41"/>
      <c r="CE58" s="41"/>
      <c r="CF58" s="41"/>
      <c r="CG58" s="41"/>
      <c r="CH58" s="41"/>
      <c r="CI58" s="41"/>
      <c r="CJ58" s="41"/>
      <c r="CK58" s="41"/>
      <c r="CL58" s="41"/>
      <c r="CM58" s="41"/>
      <c r="CN58" s="41"/>
      <c r="CO58" s="41"/>
      <c r="CP58" s="41"/>
    </row>
    <row r="59" spans="1:94" s="53" customFormat="1" ht="15.75" customHeight="1" x14ac:dyDescent="0.25">
      <c r="A59" s="85">
        <v>6.51</v>
      </c>
      <c r="B59" s="83"/>
      <c r="C59" s="421" t="s">
        <v>66</v>
      </c>
      <c r="D59" s="422"/>
      <c r="E59" s="102"/>
      <c r="F59" s="58">
        <v>0</v>
      </c>
      <c r="G59" s="88">
        <v>0</v>
      </c>
      <c r="H59" s="92">
        <v>0</v>
      </c>
      <c r="I59" s="264">
        <v>0</v>
      </c>
      <c r="J59" s="267">
        <f>SUM(G59:I59)</f>
        <v>0</v>
      </c>
      <c r="K59" s="62"/>
      <c r="L59" s="88"/>
      <c r="M59" s="261"/>
      <c r="N59" s="89">
        <f>SUM(L59:M59)</f>
        <v>0</v>
      </c>
      <c r="O59"/>
      <c r="P59"/>
      <c r="Q59"/>
      <c r="R59"/>
      <c r="S59"/>
      <c r="T59"/>
      <c r="U59"/>
      <c r="V59"/>
      <c r="W59"/>
      <c r="X59"/>
      <c r="Y59"/>
      <c r="Z59" s="344"/>
      <c r="AA59" s="363"/>
      <c r="AB59" s="363"/>
      <c r="AC59" s="363"/>
      <c r="AD59" s="110"/>
      <c r="AE59" s="41"/>
      <c r="AF59" s="41"/>
      <c r="AG59" s="41"/>
      <c r="AH59" s="41"/>
      <c r="AI59" s="41"/>
      <c r="AJ59" s="41"/>
      <c r="AK59" s="41"/>
      <c r="AL59" s="41"/>
      <c r="AM59" s="41"/>
      <c r="AN59" s="41"/>
      <c r="AO59" s="41"/>
      <c r="AP59" s="41"/>
      <c r="AQ59" s="41"/>
      <c r="AR59" s="41"/>
      <c r="AS59" s="41"/>
      <c r="AT59" s="41"/>
      <c r="AU59" s="41"/>
      <c r="AV59" s="41"/>
      <c r="AW59" s="41"/>
      <c r="AX59" s="41"/>
      <c r="AY59" s="41"/>
      <c r="AZ59" s="41"/>
      <c r="BA59" s="41"/>
      <c r="BB59" s="41"/>
      <c r="BC59" s="41"/>
      <c r="BD59" s="41"/>
      <c r="BE59" s="41"/>
      <c r="BF59" s="41"/>
      <c r="BG59" s="41"/>
      <c r="BH59" s="41"/>
      <c r="BI59" s="41"/>
      <c r="BJ59" s="41"/>
      <c r="BK59" s="41"/>
      <c r="BL59" s="41"/>
      <c r="BM59" s="41"/>
      <c r="BN59" s="41"/>
      <c r="BO59" s="41"/>
      <c r="BP59" s="41"/>
      <c r="BQ59" s="41"/>
      <c r="BR59" s="41"/>
      <c r="BS59" s="41"/>
      <c r="BT59" s="41"/>
      <c r="BU59" s="41"/>
      <c r="BV59" s="41"/>
      <c r="BW59" s="41"/>
      <c r="BX59" s="41"/>
      <c r="BY59" s="41"/>
      <c r="BZ59" s="41"/>
      <c r="CA59" s="41"/>
      <c r="CB59" s="41"/>
      <c r="CC59" s="41"/>
      <c r="CD59" s="41"/>
      <c r="CE59" s="41"/>
      <c r="CF59" s="41"/>
      <c r="CG59" s="41"/>
      <c r="CH59" s="41"/>
      <c r="CI59" s="41"/>
      <c r="CJ59" s="41"/>
      <c r="CK59" s="41"/>
      <c r="CL59" s="41"/>
      <c r="CM59" s="41"/>
      <c r="CN59" s="41"/>
      <c r="CO59" s="41"/>
      <c r="CP59" s="41"/>
    </row>
    <row r="60" spans="1:94" s="53" customFormat="1" ht="15.75" customHeight="1" x14ac:dyDescent="0.25">
      <c r="A60" s="75">
        <v>7</v>
      </c>
      <c r="B60" s="76"/>
      <c r="C60" s="54" t="str">
        <f>"FY "&amp;M4-1</f>
        <v>FY 2022</v>
      </c>
      <c r="D60" s="131" t="s">
        <v>53</v>
      </c>
      <c r="E60" s="135"/>
      <c r="F60" s="55">
        <f>SUM(F56:F59)</f>
        <v>0</v>
      </c>
      <c r="G60" s="80">
        <f>SUM(G56:G59)</f>
        <v>26400</v>
      </c>
      <c r="H60" s="80">
        <f>SUM(H56:H59)</f>
        <v>5700</v>
      </c>
      <c r="I60" s="260">
        <f>SUM(I56:I59)</f>
        <v>5600</v>
      </c>
      <c r="J60" s="80">
        <f>SUM(J56:J59)</f>
        <v>37800</v>
      </c>
      <c r="K60" s="263"/>
      <c r="L60" s="61"/>
      <c r="M60" s="61"/>
      <c r="N60" s="60"/>
      <c r="O60"/>
      <c r="P60"/>
      <c r="Q60"/>
      <c r="R60"/>
      <c r="S60"/>
      <c r="T60"/>
      <c r="U60"/>
      <c r="V60"/>
      <c r="W60"/>
      <c r="X60"/>
      <c r="Y60"/>
      <c r="Z60" s="344"/>
      <c r="AA60" s="363"/>
      <c r="AB60" s="363"/>
      <c r="AC60" s="363"/>
      <c r="AD60" s="110"/>
      <c r="AE60" s="41"/>
      <c r="AF60" s="41"/>
      <c r="AG60" s="41"/>
      <c r="AH60" s="41"/>
      <c r="AI60" s="41"/>
      <c r="AJ60" s="41"/>
      <c r="AK60" s="41"/>
      <c r="AL60" s="41"/>
      <c r="AM60" s="41"/>
      <c r="AN60" s="41"/>
      <c r="AO60" s="41"/>
      <c r="AP60" s="41"/>
      <c r="AQ60" s="41"/>
      <c r="AR60" s="41"/>
      <c r="AS60" s="41"/>
      <c r="AT60" s="41"/>
      <c r="AU60" s="41"/>
      <c r="AV60" s="41"/>
      <c r="AW60" s="41"/>
      <c r="AX60" s="41"/>
      <c r="AY60" s="41"/>
      <c r="AZ60" s="41"/>
      <c r="BA60" s="41"/>
      <c r="BB60" s="41"/>
      <c r="BC60" s="41"/>
      <c r="BD60" s="41"/>
      <c r="BE60" s="41"/>
      <c r="BF60" s="41"/>
      <c r="BG60" s="41"/>
      <c r="BH60" s="41"/>
      <c r="BI60" s="41"/>
      <c r="BJ60" s="41"/>
      <c r="BK60" s="41"/>
      <c r="BL60" s="41"/>
      <c r="BM60" s="41"/>
      <c r="BN60" s="41"/>
      <c r="BO60" s="41"/>
      <c r="BP60" s="41"/>
      <c r="BQ60" s="41"/>
      <c r="BR60" s="41"/>
      <c r="BS60" s="41"/>
      <c r="BT60" s="41"/>
      <c r="BU60" s="41"/>
      <c r="BV60" s="41"/>
      <c r="BW60" s="41"/>
      <c r="BX60" s="41"/>
      <c r="BY60" s="41"/>
      <c r="BZ60" s="41"/>
      <c r="CA60" s="41"/>
      <c r="CB60" s="41"/>
      <c r="CC60" s="41"/>
      <c r="CD60" s="41"/>
      <c r="CE60" s="41"/>
      <c r="CF60" s="41"/>
      <c r="CG60" s="41"/>
      <c r="CH60" s="41"/>
      <c r="CI60" s="41"/>
      <c r="CJ60" s="41"/>
      <c r="CK60" s="41"/>
      <c r="CL60" s="41"/>
      <c r="CM60" s="41"/>
      <c r="CN60" s="41"/>
      <c r="CO60" s="41"/>
      <c r="CP60" s="41"/>
    </row>
    <row r="61" spans="1:94" s="53" customFormat="1" ht="15.75" customHeight="1" x14ac:dyDescent="0.25">
      <c r="A61" s="85"/>
      <c r="B61" s="83"/>
      <c r="C61" s="419" t="s">
        <v>54</v>
      </c>
      <c r="D61" s="423"/>
      <c r="E61" s="367"/>
      <c r="F61" s="273"/>
      <c r="G61" s="62"/>
      <c r="H61" s="62"/>
      <c r="I61" s="62"/>
      <c r="J61" s="62"/>
      <c r="K61" s="62"/>
      <c r="L61" s="61"/>
      <c r="M61" s="61"/>
      <c r="N61" s="60"/>
      <c r="O61"/>
      <c r="P61"/>
      <c r="Q61"/>
      <c r="R61"/>
      <c r="S61"/>
      <c r="T61"/>
      <c r="U61"/>
      <c r="V61"/>
      <c r="W61"/>
      <c r="X61"/>
      <c r="Y61"/>
      <c r="Z61" s="344"/>
      <c r="AA61" s="363"/>
      <c r="AB61" s="363"/>
      <c r="AC61" s="363"/>
      <c r="AD61" s="110"/>
      <c r="AE61" s="41"/>
      <c r="AF61" s="41"/>
      <c r="AG61" s="41"/>
      <c r="AH61" s="41"/>
      <c r="AI61" s="41"/>
      <c r="AJ61" s="41"/>
      <c r="AK61" s="41"/>
      <c r="AL61" s="41"/>
      <c r="AM61" s="41"/>
      <c r="AN61" s="41"/>
      <c r="AO61" s="41"/>
      <c r="AP61" s="41"/>
      <c r="AQ61" s="41"/>
      <c r="AR61" s="41"/>
      <c r="AS61" s="41"/>
      <c r="AT61" s="41"/>
      <c r="AU61" s="41"/>
      <c r="AV61" s="41"/>
      <c r="AW61" s="41"/>
      <c r="AX61" s="41"/>
      <c r="AY61" s="41"/>
      <c r="AZ61" s="41"/>
      <c r="BA61" s="41"/>
      <c r="BB61" s="41"/>
      <c r="BC61" s="41"/>
      <c r="BD61" s="41"/>
      <c r="BE61" s="41"/>
      <c r="BF61" s="41"/>
      <c r="BG61" s="41"/>
      <c r="BH61" s="41"/>
      <c r="BI61" s="41"/>
      <c r="BJ61" s="41"/>
      <c r="BK61" s="41"/>
      <c r="BL61" s="41"/>
      <c r="BM61" s="41"/>
      <c r="BN61" s="41"/>
      <c r="BO61" s="41"/>
      <c r="BP61" s="41"/>
      <c r="BQ61" s="41"/>
      <c r="BR61" s="41"/>
      <c r="BS61" s="41"/>
      <c r="BT61" s="41"/>
      <c r="BU61" s="41"/>
      <c r="BV61" s="41"/>
      <c r="BW61" s="41"/>
      <c r="BX61" s="41"/>
      <c r="BY61" s="41"/>
      <c r="BZ61" s="41"/>
      <c r="CA61" s="41"/>
      <c r="CB61" s="41"/>
      <c r="CC61" s="41"/>
      <c r="CD61" s="41"/>
      <c r="CE61" s="41"/>
      <c r="CF61" s="41"/>
      <c r="CG61" s="41"/>
      <c r="CH61" s="41"/>
      <c r="CI61" s="41"/>
      <c r="CJ61" s="41"/>
      <c r="CK61" s="41"/>
      <c r="CL61" s="41"/>
      <c r="CM61" s="41"/>
      <c r="CN61" s="41"/>
      <c r="CO61" s="41"/>
      <c r="CP61" s="41"/>
    </row>
    <row r="62" spans="1:94" s="53" customFormat="1" ht="15.75" customHeight="1" x14ac:dyDescent="0.25">
      <c r="A62" s="85">
        <v>8.31</v>
      </c>
      <c r="B62" s="83"/>
      <c r="C62" s="408" t="s">
        <v>67</v>
      </c>
      <c r="D62" s="409"/>
      <c r="E62" s="102"/>
      <c r="F62" s="58">
        <v>0</v>
      </c>
      <c r="G62" s="88">
        <v>0</v>
      </c>
      <c r="H62" s="91">
        <v>0</v>
      </c>
      <c r="I62" s="276">
        <v>0</v>
      </c>
      <c r="J62" s="89">
        <f>SUM(G62:I62)</f>
        <v>0</v>
      </c>
      <c r="K62" s="62"/>
      <c r="L62" s="88"/>
      <c r="M62" s="261"/>
      <c r="N62" s="89">
        <f>SUM(L62:M62)</f>
        <v>0</v>
      </c>
      <c r="O62"/>
      <c r="P62"/>
      <c r="Q62"/>
      <c r="R62"/>
      <c r="S62"/>
      <c r="T62"/>
      <c r="U62"/>
      <c r="V62"/>
      <c r="W62"/>
      <c r="X62"/>
      <c r="Y62"/>
      <c r="Z62" s="344"/>
      <c r="AA62" s="363"/>
      <c r="AB62" s="363"/>
      <c r="AC62" s="363"/>
      <c r="AD62" s="110"/>
      <c r="AE62" s="41"/>
      <c r="AF62" s="41"/>
      <c r="AG62" s="41"/>
      <c r="AH62" s="41"/>
      <c r="AI62" s="41"/>
      <c r="AJ62" s="41"/>
      <c r="AK62" s="41"/>
      <c r="AL62" s="41"/>
      <c r="AM62" s="41"/>
      <c r="AN62" s="41"/>
      <c r="AO62" s="41"/>
      <c r="AP62" s="41"/>
      <c r="AQ62" s="41"/>
      <c r="AR62" s="41"/>
      <c r="AS62" s="41"/>
      <c r="AT62" s="41"/>
      <c r="AU62" s="41"/>
      <c r="AV62" s="41"/>
      <c r="AW62" s="41"/>
      <c r="AX62" s="41"/>
      <c r="AY62" s="41"/>
      <c r="AZ62" s="41"/>
      <c r="BA62" s="41"/>
      <c r="BB62" s="41"/>
      <c r="BC62" s="41"/>
      <c r="BD62" s="41"/>
      <c r="BE62" s="41"/>
      <c r="BF62" s="41"/>
      <c r="BG62" s="41"/>
      <c r="BH62" s="41"/>
      <c r="BI62" s="41"/>
      <c r="BJ62" s="41"/>
      <c r="BK62" s="41"/>
      <c r="BL62" s="41"/>
      <c r="BM62" s="41"/>
      <c r="BN62" s="41"/>
      <c r="BO62" s="41"/>
      <c r="BP62" s="41"/>
      <c r="BQ62" s="41"/>
      <c r="BR62" s="41"/>
      <c r="BS62" s="41"/>
      <c r="BT62" s="41"/>
      <c r="BU62" s="41"/>
      <c r="BV62" s="41"/>
      <c r="BW62" s="41"/>
      <c r="BX62" s="41"/>
      <c r="BY62" s="41"/>
      <c r="BZ62" s="41"/>
      <c r="CA62" s="41"/>
      <c r="CB62" s="41"/>
      <c r="CC62" s="41"/>
      <c r="CD62" s="41"/>
      <c r="CE62" s="41"/>
      <c r="CF62" s="41"/>
      <c r="CG62" s="41"/>
      <c r="CH62" s="41"/>
      <c r="CI62" s="41"/>
      <c r="CJ62" s="41"/>
      <c r="CK62" s="41"/>
      <c r="CL62" s="41"/>
      <c r="CM62" s="41"/>
      <c r="CN62" s="41"/>
      <c r="CO62" s="41"/>
      <c r="CP62" s="41"/>
    </row>
    <row r="63" spans="1:94" s="53" customFormat="1" ht="15.75" customHeight="1" x14ac:dyDescent="0.25">
      <c r="A63" s="85">
        <v>8.41</v>
      </c>
      <c r="B63" s="83"/>
      <c r="C63" s="408" t="s">
        <v>55</v>
      </c>
      <c r="D63" s="409"/>
      <c r="E63" s="102"/>
      <c r="F63" s="58">
        <v>0</v>
      </c>
      <c r="G63" s="89">
        <f>ROUND((OneTimePC_Total-H63)/(1+(PermVB+Retire1)),-2)</f>
        <v>0</v>
      </c>
      <c r="H63" s="89">
        <f>ROUND(IF(AND(F63&lt;0,OneTimePC_Total&lt;0),F63*Health,0),-2)</f>
        <v>0</v>
      </c>
      <c r="I63" s="310">
        <f>OneTimePC_Total-G63-H63</f>
        <v>0</v>
      </c>
      <c r="J63" s="89">
        <v>0</v>
      </c>
      <c r="K63" s="308"/>
      <c r="L63" s="88"/>
      <c r="M63" s="261"/>
      <c r="N63" s="89">
        <f>SUM(L63:M63)</f>
        <v>0</v>
      </c>
      <c r="O63"/>
      <c r="P63"/>
      <c r="Q63"/>
      <c r="R63"/>
      <c r="S63"/>
      <c r="T63"/>
      <c r="U63"/>
      <c r="V63"/>
      <c r="W63"/>
      <c r="X63"/>
      <c r="Y63"/>
      <c r="Z63" s="344"/>
      <c r="AA63" s="363"/>
      <c r="AB63" s="363"/>
      <c r="AC63" s="363"/>
      <c r="AD63" s="110"/>
      <c r="AE63" s="41"/>
      <c r="AF63" s="41"/>
      <c r="AG63" s="41"/>
      <c r="AH63" s="41"/>
      <c r="AI63" s="41"/>
      <c r="AJ63" s="41"/>
      <c r="AK63" s="41"/>
      <c r="AL63" s="41"/>
      <c r="AM63" s="41"/>
      <c r="AN63" s="41"/>
      <c r="AO63" s="41"/>
      <c r="AP63" s="41"/>
      <c r="AQ63" s="41"/>
      <c r="AR63" s="41"/>
      <c r="AS63" s="41"/>
      <c r="AT63" s="41"/>
      <c r="AU63" s="41"/>
      <c r="AV63" s="41"/>
      <c r="AW63" s="41"/>
      <c r="AX63" s="41"/>
      <c r="AY63" s="41"/>
      <c r="AZ63" s="41"/>
      <c r="BA63" s="41"/>
      <c r="BB63" s="41"/>
      <c r="BC63" s="41"/>
      <c r="BD63" s="41"/>
      <c r="BE63" s="41"/>
      <c r="BF63" s="41"/>
      <c r="BG63" s="41"/>
      <c r="BH63" s="41"/>
      <c r="BI63" s="41"/>
      <c r="BJ63" s="41"/>
      <c r="BK63" s="41"/>
      <c r="BL63" s="41"/>
      <c r="BM63" s="41"/>
      <c r="BN63" s="41"/>
      <c r="BO63" s="41"/>
      <c r="BP63" s="41"/>
      <c r="BQ63" s="41"/>
      <c r="BR63" s="41"/>
      <c r="BS63" s="41"/>
      <c r="BT63" s="41"/>
      <c r="BU63" s="41"/>
      <c r="BV63" s="41"/>
      <c r="BW63" s="41"/>
      <c r="BX63" s="41"/>
      <c r="BY63" s="41"/>
      <c r="BZ63" s="41"/>
      <c r="CA63" s="41"/>
      <c r="CB63" s="41"/>
      <c r="CC63" s="41"/>
      <c r="CD63" s="41"/>
      <c r="CE63" s="41"/>
      <c r="CF63" s="41"/>
      <c r="CG63" s="41"/>
      <c r="CH63" s="41"/>
      <c r="CI63" s="41"/>
      <c r="CJ63" s="41"/>
      <c r="CK63" s="41"/>
      <c r="CL63" s="41"/>
      <c r="CM63" s="41"/>
      <c r="CN63" s="41"/>
      <c r="CO63" s="41"/>
      <c r="CP63" s="41"/>
    </row>
    <row r="64" spans="1:94" s="53" customFormat="1" ht="15.75" customHeight="1" thickBot="1" x14ac:dyDescent="0.3">
      <c r="A64" s="93">
        <v>8.51</v>
      </c>
      <c r="B64" s="93"/>
      <c r="C64" s="413" t="s">
        <v>56</v>
      </c>
      <c r="D64" s="414"/>
      <c r="E64" s="134"/>
      <c r="F64" s="58">
        <v>0</v>
      </c>
      <c r="G64" s="88"/>
      <c r="H64" s="88">
        <v>0</v>
      </c>
      <c r="I64" s="265"/>
      <c r="J64" s="89">
        <f>SUM(G64:I64)</f>
        <v>0</v>
      </c>
      <c r="K64" s="62"/>
      <c r="L64" s="88"/>
      <c r="M64" s="261"/>
      <c r="N64" s="89">
        <f>SUM(L64:M64)</f>
        <v>0</v>
      </c>
      <c r="O64"/>
      <c r="P64"/>
      <c r="Q64"/>
      <c r="R64"/>
      <c r="S64"/>
      <c r="T64"/>
      <c r="U64"/>
      <c r="V64"/>
      <c r="W64"/>
      <c r="X64"/>
      <c r="Y64"/>
      <c r="Z64" s="344"/>
      <c r="AA64" s="363"/>
      <c r="AB64" s="363"/>
      <c r="AC64" s="363"/>
      <c r="AD64" s="110"/>
      <c r="AE64" s="41"/>
      <c r="AF64" s="41"/>
      <c r="AG64" s="41"/>
      <c r="AH64" s="41"/>
      <c r="AI64" s="41"/>
      <c r="AJ64" s="41"/>
      <c r="AK64" s="41"/>
      <c r="AL64" s="41"/>
      <c r="AM64" s="41"/>
      <c r="AN64" s="41"/>
      <c r="AO64" s="41"/>
      <c r="AP64" s="41"/>
      <c r="AQ64" s="41"/>
      <c r="AR64" s="41"/>
      <c r="AS64" s="41"/>
      <c r="AT64" s="41"/>
      <c r="AU64" s="41"/>
      <c r="AV64" s="41"/>
      <c r="AW64" s="41"/>
      <c r="AX64" s="41"/>
      <c r="AY64" s="41"/>
      <c r="AZ64" s="41"/>
      <c r="BA64" s="41"/>
      <c r="BB64" s="41"/>
      <c r="BC64" s="41"/>
      <c r="BD64" s="41"/>
      <c r="BE64" s="41"/>
      <c r="BF64" s="41"/>
      <c r="BG64" s="41"/>
      <c r="BH64" s="41"/>
      <c r="BI64" s="41"/>
      <c r="BJ64" s="41"/>
      <c r="BK64" s="41"/>
      <c r="BL64" s="41"/>
      <c r="BM64" s="41"/>
      <c r="BN64" s="41"/>
      <c r="BO64" s="41"/>
      <c r="BP64" s="41"/>
      <c r="BQ64" s="41"/>
      <c r="BR64" s="41"/>
      <c r="BS64" s="41"/>
      <c r="BT64" s="41"/>
      <c r="BU64" s="41"/>
      <c r="BV64" s="41"/>
      <c r="BW64" s="41"/>
      <c r="BX64" s="41"/>
      <c r="BY64" s="41"/>
      <c r="BZ64" s="41"/>
      <c r="CA64" s="41"/>
      <c r="CB64" s="41"/>
      <c r="CC64" s="41"/>
      <c r="CD64" s="41"/>
      <c r="CE64" s="41"/>
      <c r="CF64" s="41"/>
      <c r="CG64" s="41"/>
      <c r="CH64" s="41"/>
      <c r="CI64" s="41"/>
      <c r="CJ64" s="41"/>
      <c r="CK64" s="41"/>
      <c r="CL64" s="41"/>
      <c r="CM64" s="41"/>
      <c r="CN64" s="41"/>
      <c r="CO64" s="41"/>
      <c r="CP64" s="41"/>
    </row>
    <row r="65" spans="1:94" s="53" customFormat="1" ht="6" customHeight="1" thickTop="1" x14ac:dyDescent="0.25">
      <c r="A65" s="94"/>
      <c r="B65" s="95"/>
      <c r="C65" s="415"/>
      <c r="D65" s="416"/>
      <c r="E65" s="96"/>
      <c r="F65" s="97"/>
      <c r="G65" s="98"/>
      <c r="H65" s="98"/>
      <c r="I65" s="98"/>
      <c r="J65" s="98"/>
      <c r="K65" s="98"/>
      <c r="L65" s="98"/>
      <c r="M65" s="99"/>
      <c r="N65" s="95"/>
      <c r="O65"/>
      <c r="P65"/>
      <c r="Q65"/>
      <c r="R65"/>
      <c r="S65"/>
      <c r="T65"/>
      <c r="U65"/>
      <c r="V65"/>
      <c r="W65"/>
      <c r="X65"/>
      <c r="Y65"/>
      <c r="Z65" s="344"/>
      <c r="AA65" s="363"/>
      <c r="AB65" s="363"/>
      <c r="AC65" s="363"/>
      <c r="AD65" s="110"/>
      <c r="AE65" s="41"/>
      <c r="AF65" s="41"/>
      <c r="AG65" s="41"/>
      <c r="AH65" s="41"/>
      <c r="AI65" s="41"/>
      <c r="AJ65" s="41"/>
      <c r="AK65" s="41"/>
      <c r="AL65" s="41"/>
      <c r="AM65" s="41"/>
      <c r="AN65" s="41"/>
      <c r="AO65" s="41"/>
      <c r="AP65" s="41"/>
      <c r="AQ65" s="41"/>
      <c r="AR65" s="41"/>
      <c r="AS65" s="41"/>
      <c r="AT65" s="41"/>
      <c r="AU65" s="41"/>
      <c r="AV65" s="41"/>
      <c r="AW65" s="41"/>
      <c r="AX65" s="41"/>
      <c r="AY65" s="41"/>
      <c r="AZ65" s="41"/>
      <c r="BA65" s="41"/>
      <c r="BB65" s="41"/>
      <c r="BC65" s="41"/>
      <c r="BD65" s="41"/>
      <c r="BE65" s="41"/>
      <c r="BF65" s="41"/>
      <c r="BG65" s="41"/>
      <c r="BH65" s="41"/>
      <c r="BI65" s="41"/>
      <c r="BJ65" s="41"/>
      <c r="BK65" s="41"/>
      <c r="BL65" s="41"/>
      <c r="BM65" s="41"/>
      <c r="BN65" s="41"/>
      <c r="BO65" s="41"/>
      <c r="BP65" s="41"/>
      <c r="BQ65" s="41"/>
      <c r="BR65" s="41"/>
      <c r="BS65" s="41"/>
      <c r="BT65" s="41"/>
      <c r="BU65" s="41"/>
      <c r="BV65" s="41"/>
      <c r="BW65" s="41"/>
      <c r="BX65" s="41"/>
      <c r="BY65" s="41"/>
      <c r="BZ65" s="41"/>
      <c r="CA65" s="41"/>
      <c r="CB65" s="41"/>
      <c r="CC65" s="41"/>
      <c r="CD65" s="41"/>
      <c r="CE65" s="41"/>
      <c r="CF65" s="41"/>
      <c r="CG65" s="41"/>
      <c r="CH65" s="41"/>
      <c r="CI65" s="41"/>
      <c r="CJ65" s="41"/>
      <c r="CK65" s="41"/>
      <c r="CL65" s="41"/>
      <c r="CM65" s="41"/>
      <c r="CN65" s="41"/>
      <c r="CO65" s="41"/>
      <c r="CP65" s="41"/>
    </row>
    <row r="66" spans="1:94" s="107" customFormat="1" ht="15" x14ac:dyDescent="0.25">
      <c r="A66" s="100"/>
      <c r="B66" s="101"/>
      <c r="C66" s="417"/>
      <c r="D66" s="418"/>
      <c r="E66" s="102"/>
      <c r="F66" s="103" t="s">
        <v>24</v>
      </c>
      <c r="G66" s="104" t="str">
        <f>"FY "&amp;M4-2000&amp;" Salary"</f>
        <v>FY 23 Salary</v>
      </c>
      <c r="H66" s="104" t="str">
        <f>"FY"&amp;M4-2000&amp;" Health Ben"</f>
        <v>FY23 Health Ben</v>
      </c>
      <c r="I66" s="104" t="str">
        <f>"FY "&amp;M4-2000&amp;" Var Ben"</f>
        <v>FY 23 Var Ben</v>
      </c>
      <c r="J66" s="104" t="str">
        <f>"FY "&amp;M4&amp;" Total"</f>
        <v>FY 2023 Total</v>
      </c>
      <c r="K66" s="104"/>
      <c r="L66" s="105"/>
      <c r="M66" s="105"/>
      <c r="N66" s="101"/>
      <c r="O66"/>
      <c r="P66"/>
      <c r="Q66"/>
      <c r="R66"/>
      <c r="S66"/>
      <c r="T66"/>
      <c r="U66"/>
      <c r="V66"/>
      <c r="W66"/>
      <c r="X66"/>
      <c r="Y66"/>
      <c r="Z66" s="344"/>
      <c r="AA66" s="339"/>
      <c r="AB66" s="339"/>
      <c r="AC66" s="339"/>
      <c r="AD66" s="105"/>
      <c r="AE66" s="106"/>
      <c r="AF66" s="106"/>
      <c r="AG66" s="106"/>
      <c r="AH66" s="106"/>
      <c r="AI66" s="106"/>
      <c r="AJ66" s="106"/>
      <c r="AK66" s="106"/>
      <c r="AL66" s="106"/>
      <c r="AM66" s="106"/>
      <c r="AN66" s="106"/>
      <c r="AO66" s="106"/>
      <c r="AP66" s="106"/>
      <c r="AQ66" s="106"/>
      <c r="AR66" s="106"/>
      <c r="AS66" s="106"/>
      <c r="AT66" s="106"/>
      <c r="AU66" s="106"/>
      <c r="AV66" s="106"/>
      <c r="AW66" s="106"/>
      <c r="AX66" s="106"/>
      <c r="AY66" s="106"/>
      <c r="AZ66" s="106"/>
      <c r="BA66" s="106"/>
      <c r="BB66" s="106"/>
      <c r="BC66" s="106"/>
      <c r="BD66" s="106"/>
      <c r="BE66" s="106"/>
      <c r="BF66" s="106"/>
      <c r="BG66" s="106"/>
      <c r="BH66" s="106"/>
      <c r="BI66" s="106"/>
      <c r="BJ66" s="106"/>
      <c r="BK66" s="106"/>
      <c r="BL66" s="106"/>
      <c r="BM66" s="106"/>
      <c r="BN66" s="106"/>
      <c r="BO66" s="106"/>
      <c r="BP66" s="106"/>
      <c r="BQ66" s="106"/>
      <c r="BR66" s="106"/>
      <c r="BS66" s="106"/>
      <c r="BT66" s="106"/>
      <c r="BU66" s="106"/>
      <c r="BV66" s="106"/>
      <c r="BW66" s="106"/>
      <c r="BX66" s="106"/>
      <c r="BY66" s="106"/>
      <c r="BZ66" s="106"/>
      <c r="CA66" s="106"/>
      <c r="CB66" s="106"/>
      <c r="CC66" s="106"/>
      <c r="CD66" s="106"/>
      <c r="CE66" s="106"/>
      <c r="CF66" s="106"/>
      <c r="CG66" s="106"/>
      <c r="CH66" s="106"/>
      <c r="CI66" s="106"/>
      <c r="CJ66" s="106"/>
      <c r="CK66" s="106"/>
      <c r="CL66" s="106"/>
      <c r="CM66" s="106"/>
      <c r="CN66" s="106"/>
      <c r="CO66" s="106"/>
      <c r="CP66" s="106"/>
    </row>
    <row r="67" spans="1:94" s="53" customFormat="1" ht="15" x14ac:dyDescent="0.25">
      <c r="A67" s="82">
        <v>9</v>
      </c>
      <c r="B67" s="83"/>
      <c r="C67" s="84" t="str">
        <f>"FY "&amp;M4</f>
        <v>FY 2023</v>
      </c>
      <c r="D67" s="108" t="s">
        <v>57</v>
      </c>
      <c r="E67" s="109"/>
      <c r="F67" s="55">
        <f>SUM(F60:F64)</f>
        <v>0</v>
      </c>
      <c r="G67" s="80">
        <f>SUM(G60:G64)</f>
        <v>26400</v>
      </c>
      <c r="H67" s="80">
        <f>SUM(H60:H64)</f>
        <v>5700</v>
      </c>
      <c r="I67" s="80">
        <f>SUM(I60:I64)</f>
        <v>5600</v>
      </c>
      <c r="J67" s="80">
        <f>SUM(J60:J64)</f>
        <v>37800</v>
      </c>
      <c r="K67" s="263"/>
      <c r="L67" s="110"/>
      <c r="M67" s="110"/>
      <c r="N67" s="111"/>
      <c r="O67"/>
      <c r="P67"/>
      <c r="Q67"/>
      <c r="R67"/>
      <c r="S67"/>
      <c r="T67"/>
      <c r="U67"/>
      <c r="V67"/>
      <c r="W67"/>
      <c r="X67"/>
      <c r="Y67"/>
      <c r="Z67" s="344"/>
      <c r="AA67" s="363"/>
      <c r="AB67" s="363"/>
      <c r="AC67" s="363"/>
      <c r="AD67" s="110"/>
      <c r="AE67" s="41"/>
      <c r="AF67" s="41"/>
      <c r="AG67" s="41"/>
      <c r="AH67" s="41"/>
      <c r="AI67" s="41"/>
      <c r="AJ67" s="41"/>
      <c r="AK67" s="41"/>
      <c r="AL67" s="41"/>
      <c r="AM67" s="41"/>
      <c r="AN67" s="41"/>
      <c r="AO67" s="41"/>
      <c r="AP67" s="41"/>
      <c r="AQ67" s="41"/>
      <c r="AR67" s="41"/>
      <c r="AS67" s="41"/>
      <c r="AT67" s="41"/>
      <c r="AU67" s="41"/>
      <c r="AV67" s="41"/>
      <c r="AW67" s="41"/>
      <c r="AX67" s="41"/>
      <c r="AY67" s="41"/>
      <c r="AZ67" s="41"/>
      <c r="BA67" s="41"/>
      <c r="BB67" s="41"/>
      <c r="BC67" s="41"/>
      <c r="BD67" s="41"/>
      <c r="BE67" s="41"/>
      <c r="BF67" s="41"/>
      <c r="BG67" s="41"/>
      <c r="BH67" s="41"/>
      <c r="BI67" s="41"/>
      <c r="BJ67" s="41"/>
      <c r="BK67" s="41"/>
      <c r="BL67" s="41"/>
      <c r="BM67" s="41"/>
      <c r="BN67" s="41"/>
      <c r="BO67" s="41"/>
      <c r="BP67" s="41"/>
      <c r="BQ67" s="41"/>
      <c r="BR67" s="41"/>
      <c r="BS67" s="41"/>
      <c r="BT67" s="41"/>
      <c r="BU67" s="41"/>
      <c r="BV67" s="41"/>
      <c r="BW67" s="41"/>
      <c r="BX67" s="41"/>
      <c r="BY67" s="41"/>
      <c r="BZ67" s="41"/>
      <c r="CA67" s="41"/>
      <c r="CB67" s="41"/>
      <c r="CC67" s="41"/>
      <c r="CD67" s="41"/>
      <c r="CE67" s="41"/>
      <c r="CF67" s="41"/>
      <c r="CG67" s="41"/>
      <c r="CH67" s="41"/>
      <c r="CI67" s="41"/>
      <c r="CJ67" s="41"/>
      <c r="CK67" s="41"/>
      <c r="CL67" s="41"/>
      <c r="CM67" s="41"/>
      <c r="CN67" s="41"/>
      <c r="CO67" s="41"/>
      <c r="CP67" s="41"/>
    </row>
    <row r="68" spans="1:94" s="53" customFormat="1" ht="15.75" customHeight="1" x14ac:dyDescent="0.25">
      <c r="A68" s="85">
        <v>10.11</v>
      </c>
      <c r="B68" s="83"/>
      <c r="C68" s="419" t="s">
        <v>58</v>
      </c>
      <c r="D68" s="420"/>
      <c r="E68" s="112"/>
      <c r="F68" s="288"/>
      <c r="G68" s="287"/>
      <c r="H68" s="113">
        <f>IF(DUNine=0,0,ROUND(SUM(L41:L65),-2))</f>
        <v>0</v>
      </c>
      <c r="I68" s="113"/>
      <c r="J68" s="287">
        <f>SUM(G68:I68)</f>
        <v>0</v>
      </c>
      <c r="K68" s="291"/>
      <c r="L68" s="292"/>
      <c r="M68" s="292"/>
      <c r="N68" s="293"/>
      <c r="O68"/>
      <c r="P68"/>
      <c r="Q68"/>
      <c r="R68"/>
      <c r="S68"/>
      <c r="T68"/>
      <c r="U68"/>
      <c r="V68"/>
      <c r="W68"/>
      <c r="X68"/>
      <c r="Y68"/>
      <c r="Z68" s="344"/>
      <c r="AA68" s="363"/>
      <c r="AB68" s="363"/>
      <c r="AC68" s="363"/>
      <c r="AD68" s="110"/>
      <c r="AE68" s="41"/>
      <c r="AF68" s="41"/>
      <c r="AG68" s="41"/>
      <c r="AH68" s="41"/>
      <c r="AI68" s="41"/>
      <c r="AJ68" s="41"/>
      <c r="AK68" s="41"/>
      <c r="AL68" s="41"/>
      <c r="AM68" s="41"/>
      <c r="AN68" s="41"/>
      <c r="AO68" s="41"/>
      <c r="AP68" s="41"/>
      <c r="AQ68" s="41"/>
      <c r="AR68" s="41"/>
      <c r="AS68" s="41"/>
      <c r="AT68" s="41"/>
      <c r="AU68" s="41"/>
      <c r="AV68" s="41"/>
      <c r="AW68" s="41"/>
      <c r="AX68" s="41"/>
      <c r="AY68" s="41"/>
      <c r="AZ68" s="41"/>
      <c r="BA68" s="41"/>
      <c r="BB68" s="41"/>
      <c r="BC68" s="41"/>
      <c r="BD68" s="41"/>
      <c r="BE68" s="41"/>
      <c r="BF68" s="41"/>
      <c r="BG68" s="41"/>
      <c r="BH68" s="41"/>
      <c r="BI68" s="41"/>
      <c r="BJ68" s="41"/>
      <c r="BK68" s="41"/>
      <c r="BL68" s="41"/>
      <c r="BM68" s="41"/>
      <c r="BN68" s="41"/>
      <c r="BO68" s="41"/>
      <c r="BP68" s="41"/>
      <c r="BQ68" s="41"/>
      <c r="BR68" s="41"/>
      <c r="BS68" s="41"/>
      <c r="BT68" s="41"/>
      <c r="BU68" s="41"/>
      <c r="BV68" s="41"/>
      <c r="BW68" s="41"/>
      <c r="BX68" s="41"/>
      <c r="BY68" s="41"/>
      <c r="BZ68" s="41"/>
      <c r="CA68" s="41"/>
      <c r="CB68" s="41"/>
      <c r="CC68" s="41"/>
      <c r="CD68" s="41"/>
      <c r="CE68" s="41"/>
      <c r="CF68" s="41"/>
      <c r="CG68" s="41"/>
      <c r="CH68" s="41"/>
      <c r="CI68" s="41"/>
      <c r="CJ68" s="41"/>
      <c r="CK68" s="41"/>
      <c r="CL68" s="41"/>
      <c r="CM68" s="41"/>
      <c r="CN68" s="41"/>
      <c r="CO68" s="41"/>
      <c r="CP68" s="41"/>
    </row>
    <row r="69" spans="1:94" s="53" customFormat="1" ht="15" x14ac:dyDescent="0.25">
      <c r="A69" s="85">
        <v>10.119999999999999</v>
      </c>
      <c r="B69" s="83"/>
      <c r="C69" s="419" t="s">
        <v>59</v>
      </c>
      <c r="D69" s="420"/>
      <c r="E69" s="112"/>
      <c r="F69" s="288"/>
      <c r="G69" s="113"/>
      <c r="H69" s="113"/>
      <c r="I69" s="113">
        <f>IF(DUNine=0,0,ROUND(SUM(M41:M64),-2))</f>
        <v>-300</v>
      </c>
      <c r="J69" s="287">
        <f>SUM(G69:I69)</f>
        <v>-300</v>
      </c>
      <c r="K69" s="291"/>
      <c r="L69" s="292"/>
      <c r="M69" s="292"/>
      <c r="N69" s="293"/>
      <c r="O69"/>
      <c r="P69"/>
      <c r="Q69"/>
      <c r="R69"/>
      <c r="S69"/>
      <c r="T69"/>
      <c r="U69"/>
      <c r="V69"/>
      <c r="W69"/>
      <c r="X69"/>
      <c r="Y69"/>
      <c r="Z69" s="344"/>
      <c r="AA69" s="363"/>
      <c r="AB69" s="363"/>
      <c r="AC69" s="363"/>
      <c r="AD69" s="110"/>
      <c r="AE69" s="41"/>
      <c r="AF69" s="41"/>
      <c r="AG69" s="41"/>
      <c r="AH69" s="41"/>
      <c r="AI69" s="41"/>
      <c r="AJ69" s="41"/>
      <c r="AK69" s="41"/>
      <c r="AL69" s="41"/>
      <c r="AM69" s="41"/>
      <c r="AN69" s="41"/>
      <c r="AO69" s="41"/>
      <c r="AP69" s="41"/>
      <c r="AQ69" s="41"/>
      <c r="AR69" s="41"/>
      <c r="AS69" s="41"/>
      <c r="AT69" s="41"/>
      <c r="AU69" s="41"/>
      <c r="AV69" s="41"/>
      <c r="AW69" s="41"/>
      <c r="AX69" s="41"/>
      <c r="AY69" s="41"/>
      <c r="AZ69" s="41"/>
      <c r="BA69" s="41"/>
      <c r="BB69" s="41"/>
      <c r="BC69" s="41"/>
      <c r="BD69" s="41"/>
      <c r="BE69" s="41"/>
      <c r="BF69" s="41"/>
      <c r="BG69" s="41"/>
      <c r="BH69" s="41"/>
      <c r="BI69" s="41"/>
      <c r="BJ69" s="41"/>
      <c r="BK69" s="41"/>
      <c r="BL69" s="41"/>
      <c r="BM69" s="41"/>
      <c r="BN69" s="41"/>
      <c r="BO69" s="41"/>
      <c r="BP69" s="41"/>
      <c r="BQ69" s="41"/>
      <c r="BR69" s="41"/>
      <c r="BS69" s="41"/>
      <c r="BT69" s="41"/>
      <c r="BU69" s="41"/>
      <c r="BV69" s="41"/>
      <c r="BW69" s="41"/>
      <c r="BX69" s="41"/>
      <c r="BY69" s="41"/>
      <c r="BZ69" s="41"/>
      <c r="CA69" s="41"/>
      <c r="CB69" s="41"/>
      <c r="CC69" s="41"/>
      <c r="CD69" s="41"/>
      <c r="CE69" s="41"/>
      <c r="CF69" s="41"/>
      <c r="CG69" s="41"/>
      <c r="CH69" s="41"/>
      <c r="CI69" s="41"/>
      <c r="CJ69" s="41"/>
      <c r="CK69" s="41"/>
      <c r="CL69" s="41"/>
      <c r="CM69" s="41"/>
      <c r="CN69" s="41"/>
      <c r="CO69" s="41"/>
      <c r="CP69" s="41"/>
    </row>
    <row r="70" spans="1:94" s="53" customFormat="1" ht="15" x14ac:dyDescent="0.25">
      <c r="A70" s="85"/>
      <c r="B70" s="83"/>
      <c r="C70" s="406"/>
      <c r="D70" s="407"/>
      <c r="E70" s="236" t="s">
        <v>23</v>
      </c>
      <c r="F70" s="288"/>
      <c r="G70" s="113"/>
      <c r="H70" s="113"/>
      <c r="I70" s="113"/>
      <c r="J70" s="287">
        <f>SUM(G70:I70)</f>
        <v>0</v>
      </c>
      <c r="K70" s="291"/>
      <c r="L70" s="292"/>
      <c r="M70" s="294"/>
      <c r="N70" s="295"/>
      <c r="O70"/>
      <c r="P70"/>
      <c r="Q70"/>
      <c r="R70"/>
      <c r="S70"/>
      <c r="T70"/>
      <c r="U70"/>
      <c r="V70"/>
      <c r="W70"/>
      <c r="X70"/>
      <c r="Y70"/>
      <c r="Z70" s="344"/>
      <c r="AA70" s="363"/>
      <c r="AB70" s="363"/>
      <c r="AC70" s="363"/>
      <c r="AD70" s="110"/>
      <c r="AE70" s="41"/>
      <c r="AF70" s="41"/>
      <c r="AG70" s="41"/>
      <c r="AH70" s="41"/>
      <c r="AI70" s="41"/>
      <c r="AJ70" s="41"/>
      <c r="AK70" s="41"/>
      <c r="AL70" s="41"/>
      <c r="AM70" s="41"/>
      <c r="AN70" s="41"/>
      <c r="AO70" s="41"/>
      <c r="AP70" s="41"/>
      <c r="AQ70" s="41"/>
      <c r="AR70" s="41"/>
      <c r="AS70" s="41"/>
      <c r="AT70" s="41"/>
      <c r="AU70" s="41"/>
      <c r="AV70" s="41"/>
      <c r="AW70" s="41"/>
      <c r="AX70" s="41"/>
      <c r="AY70" s="41"/>
      <c r="AZ70" s="41"/>
      <c r="BA70" s="41"/>
      <c r="BB70" s="41"/>
      <c r="BC70" s="41"/>
      <c r="BD70" s="41"/>
      <c r="BE70" s="41"/>
      <c r="BF70" s="41"/>
      <c r="BG70" s="41"/>
      <c r="BH70" s="41"/>
      <c r="BI70" s="41"/>
      <c r="BJ70" s="41"/>
      <c r="BK70" s="41"/>
      <c r="BL70" s="41"/>
      <c r="BM70" s="41"/>
      <c r="BN70" s="41"/>
      <c r="BO70" s="41"/>
      <c r="BP70" s="41"/>
      <c r="BQ70" s="41"/>
      <c r="BR70" s="41"/>
      <c r="BS70" s="41"/>
      <c r="BT70" s="41"/>
      <c r="BU70" s="41"/>
      <c r="BV70" s="41"/>
      <c r="BW70" s="41"/>
      <c r="BX70" s="41"/>
      <c r="BY70" s="41"/>
      <c r="BZ70" s="41"/>
      <c r="CA70" s="41"/>
      <c r="CB70" s="41"/>
      <c r="CC70" s="41"/>
      <c r="CD70" s="41"/>
      <c r="CE70" s="41"/>
      <c r="CF70" s="41"/>
      <c r="CG70" s="41"/>
      <c r="CH70" s="41"/>
      <c r="CI70" s="41"/>
      <c r="CJ70" s="41"/>
      <c r="CK70" s="41"/>
      <c r="CL70" s="41"/>
      <c r="CM70" s="41"/>
      <c r="CN70" s="41"/>
      <c r="CO70" s="41"/>
      <c r="CP70" s="41"/>
    </row>
    <row r="71" spans="1:94" s="53" customFormat="1" ht="15.75" customHeight="1" x14ac:dyDescent="0.25">
      <c r="A71" s="85">
        <v>10.51</v>
      </c>
      <c r="B71" s="83"/>
      <c r="C71" s="408" t="s">
        <v>60</v>
      </c>
      <c r="D71" s="409"/>
      <c r="E71" s="237"/>
      <c r="F71" s="288"/>
      <c r="G71" s="92">
        <v>0</v>
      </c>
      <c r="H71" s="92">
        <v>0</v>
      </c>
      <c r="I71" s="287">
        <f>ROUND(IF(AND($G71&lt;&gt;0,$E71=1),$G71*PermVBBY+$G71*Retire1BY,IF(AND($G71&lt;&gt;0,$E71=2),$G71*GroupVBBY,IF(AND($G71&lt;&gt;0,$E71=3),$G71*ElectVBBY+$G71*Retire1BY,0))),-2)</f>
        <v>0</v>
      </c>
      <c r="J71" s="113">
        <f t="shared" ref="J71:J74" si="11">SUM(G71:I71)</f>
        <v>0</v>
      </c>
      <c r="K71" s="296"/>
      <c r="L71" s="297"/>
      <c r="M71" s="348" t="s">
        <v>112</v>
      </c>
      <c r="N71" s="356"/>
      <c r="O71" s="357"/>
      <c r="P71" s="357"/>
      <c r="Q71"/>
      <c r="R71"/>
      <c r="S71"/>
      <c r="T71"/>
      <c r="U71"/>
      <c r="V71"/>
      <c r="W71"/>
      <c r="X71"/>
      <c r="Y71"/>
      <c r="Z71" s="344"/>
      <c r="AA71" s="363"/>
      <c r="AB71" s="363"/>
      <c r="AC71" s="363"/>
      <c r="AD71" s="110"/>
      <c r="AE71" s="41"/>
      <c r="AF71" s="41"/>
      <c r="AG71" s="41"/>
      <c r="AH71" s="41"/>
      <c r="AI71" s="41"/>
      <c r="AJ71" s="41"/>
      <c r="AK71" s="41"/>
      <c r="AL71" s="41"/>
      <c r="AM71" s="41"/>
      <c r="AN71" s="41"/>
      <c r="AO71" s="41"/>
      <c r="AP71" s="41"/>
      <c r="AQ71" s="41"/>
      <c r="AR71" s="41"/>
      <c r="AS71" s="41"/>
      <c r="AT71" s="41"/>
      <c r="AU71" s="41"/>
      <c r="AV71" s="41"/>
      <c r="AW71" s="41"/>
      <c r="AX71" s="41"/>
      <c r="AY71" s="41"/>
      <c r="AZ71" s="41"/>
      <c r="BA71" s="41"/>
      <c r="BB71" s="41"/>
      <c r="BC71" s="41"/>
      <c r="BD71" s="41"/>
      <c r="BE71" s="41"/>
      <c r="BF71" s="41"/>
      <c r="BG71" s="41"/>
      <c r="BH71" s="41"/>
      <c r="BI71" s="41"/>
      <c r="BJ71" s="41"/>
      <c r="BK71" s="41"/>
      <c r="BL71" s="41"/>
      <c r="BM71" s="41"/>
      <c r="BN71" s="41"/>
      <c r="BO71" s="41"/>
      <c r="BP71" s="41"/>
      <c r="BQ71" s="41"/>
      <c r="BR71" s="41"/>
      <c r="BS71" s="41"/>
      <c r="BT71" s="41"/>
      <c r="BU71" s="41"/>
      <c r="BV71" s="41"/>
      <c r="BW71" s="41"/>
      <c r="BX71" s="41"/>
      <c r="BY71" s="41"/>
      <c r="BZ71" s="41"/>
      <c r="CA71" s="41"/>
      <c r="CB71" s="41"/>
      <c r="CC71" s="41"/>
      <c r="CD71" s="41"/>
      <c r="CE71" s="41"/>
      <c r="CF71" s="41"/>
      <c r="CG71" s="41"/>
      <c r="CH71" s="41"/>
      <c r="CI71" s="41"/>
      <c r="CJ71" s="41"/>
      <c r="CK71" s="41"/>
      <c r="CL71" s="41"/>
      <c r="CM71" s="41"/>
      <c r="CN71" s="41"/>
      <c r="CO71" s="41"/>
      <c r="CP71" s="41"/>
    </row>
    <row r="72" spans="1:94" s="53" customFormat="1" ht="15.75" customHeight="1" x14ac:dyDescent="0.25">
      <c r="A72" s="85">
        <v>10.61</v>
      </c>
      <c r="B72" s="83"/>
      <c r="C72" s="408" t="s">
        <v>101</v>
      </c>
      <c r="D72" s="410"/>
      <c r="E72" s="290">
        <f>CECPerm</f>
        <v>0.01</v>
      </c>
      <c r="F72" s="288"/>
      <c r="G72" s="355">
        <f>IF(DUNine=0,0,IF(DUNine&lt;0,0,ROUND(AdjPermSalary*CECPerm,-2)))</f>
        <v>500</v>
      </c>
      <c r="H72" s="287"/>
      <c r="I72" s="287">
        <f>ROUND(($G72*PermVBBY+$G72*Retire1BY),-2)</f>
        <v>100</v>
      </c>
      <c r="J72" s="113">
        <f>SUM(G72:I72)</f>
        <v>600</v>
      </c>
      <c r="K72" s="296"/>
      <c r="L72" s="298"/>
      <c r="M72" s="349" t="e">
        <f>IF(DUNine=0,0,IF(((#REF!-G39-G40)*E72)&lt;0,0,ROUND(((#REF!-G39-G40)*E72),-2)))</f>
        <v>#REF!</v>
      </c>
      <c r="N72" s="358"/>
      <c r="O72" s="357" t="e">
        <f>IF(DUNine=0,0,IF(DUNine&lt;0,0,IF(SubCECBase&lt;RoundedAppropSalary,ROUND(AdjPermSalary*CECpermCalc,-2)+((SubCECBase-RoundedAppropSalary)*CECpermCalc),IF(SubCECBase&gt;RoundedAppropSalary,ROUND(AdjPermSalary*CECpermCalc,-2)+((SubCECBase-RoundedAppropSalary)*CECpermCalc),ROUND(AdjPermSalary*CECpermCalc,-2)))))</f>
        <v>#REF!</v>
      </c>
      <c r="P72" s="357"/>
      <c r="Q72"/>
      <c r="R72"/>
      <c r="S72"/>
      <c r="T72"/>
      <c r="U72"/>
      <c r="V72"/>
      <c r="W72"/>
      <c r="X72"/>
      <c r="Y72"/>
      <c r="Z72" s="344"/>
      <c r="AA72" s="363"/>
      <c r="AB72" s="363"/>
      <c r="AC72" s="363"/>
      <c r="AD72" s="110"/>
      <c r="AE72" s="41"/>
      <c r="AF72" s="41"/>
      <c r="AG72" s="41"/>
      <c r="AH72" s="41"/>
      <c r="AI72" s="41"/>
      <c r="AJ72" s="41"/>
      <c r="AK72" s="41"/>
      <c r="AL72" s="41"/>
      <c r="AM72" s="41"/>
      <c r="AN72" s="41"/>
      <c r="AO72" s="41"/>
      <c r="AP72" s="41"/>
      <c r="AQ72" s="41"/>
      <c r="AR72" s="41"/>
      <c r="AS72" s="41"/>
      <c r="AT72" s="41"/>
      <c r="AU72" s="41"/>
      <c r="AV72" s="41"/>
      <c r="AW72" s="41"/>
      <c r="AX72" s="41"/>
      <c r="AY72" s="41"/>
      <c r="AZ72" s="41"/>
      <c r="BA72" s="41"/>
      <c r="BB72" s="41"/>
      <c r="BC72" s="41"/>
      <c r="BD72" s="41"/>
      <c r="BE72" s="41"/>
      <c r="BF72" s="41"/>
      <c r="BG72" s="41"/>
      <c r="BH72" s="41"/>
      <c r="BI72" s="41"/>
      <c r="BJ72" s="41"/>
      <c r="BK72" s="41"/>
      <c r="BL72" s="41"/>
      <c r="BM72" s="41"/>
      <c r="BN72" s="41"/>
      <c r="BO72" s="41"/>
      <c r="BP72" s="41"/>
      <c r="BQ72" s="41"/>
      <c r="BR72" s="41"/>
      <c r="BS72" s="41"/>
      <c r="BT72" s="41"/>
      <c r="BU72" s="41"/>
      <c r="BV72" s="41"/>
      <c r="BW72" s="41"/>
      <c r="BX72" s="41"/>
      <c r="BY72" s="41"/>
      <c r="BZ72" s="41"/>
      <c r="CA72" s="41"/>
      <c r="CB72" s="41"/>
      <c r="CC72" s="41"/>
      <c r="CD72" s="41"/>
      <c r="CE72" s="41"/>
      <c r="CF72" s="41"/>
      <c r="CG72" s="41"/>
      <c r="CH72" s="41"/>
      <c r="CI72" s="41"/>
      <c r="CJ72" s="41"/>
      <c r="CK72" s="41"/>
      <c r="CL72" s="41"/>
      <c r="CM72" s="41"/>
      <c r="CN72" s="41"/>
      <c r="CO72" s="41"/>
      <c r="CP72" s="41"/>
    </row>
    <row r="73" spans="1:94" s="53" customFormat="1" ht="15.6" customHeight="1" x14ac:dyDescent="0.25">
      <c r="A73" s="85">
        <v>10.62</v>
      </c>
      <c r="B73" s="83"/>
      <c r="C73" s="408" t="s">
        <v>61</v>
      </c>
      <c r="D73" s="410"/>
      <c r="E73" s="289">
        <f>CECGroup</f>
        <v>0.01</v>
      </c>
      <c r="F73" s="288"/>
      <c r="G73" s="355">
        <f>IF(DUNine=0,0,IF(DUNine&lt;0,0,ROUND(AdjGroupSalary*CECGroup,-2)))</f>
        <v>0</v>
      </c>
      <c r="H73" s="287"/>
      <c r="I73" s="287">
        <f>ROUND(($G73*GroupVBBY),-2)</f>
        <v>0</v>
      </c>
      <c r="J73" s="113">
        <f t="shared" si="11"/>
        <v>0</v>
      </c>
      <c r="K73" s="301"/>
      <c r="L73" s="302"/>
      <c r="M73" s="359"/>
      <c r="N73" s="360"/>
      <c r="O73" s="357"/>
      <c r="P73" s="357"/>
      <c r="Q73"/>
      <c r="R73"/>
      <c r="S73"/>
      <c r="T73"/>
      <c r="U73"/>
      <c r="V73"/>
      <c r="W73"/>
      <c r="X73"/>
      <c r="Y73"/>
      <c r="Z73" s="344"/>
      <c r="AA73" s="363"/>
      <c r="AB73" s="363"/>
      <c r="AC73" s="363"/>
      <c r="AD73" s="110"/>
      <c r="AE73" s="41"/>
      <c r="AF73" s="41"/>
      <c r="AG73" s="41"/>
      <c r="AH73" s="41"/>
      <c r="AI73" s="41"/>
      <c r="AJ73" s="41"/>
      <c r="AK73" s="41"/>
      <c r="AL73" s="41"/>
      <c r="AM73" s="41"/>
      <c r="AN73" s="41"/>
      <c r="AO73" s="41"/>
      <c r="AP73" s="41"/>
      <c r="AQ73" s="41"/>
      <c r="AR73" s="41"/>
      <c r="AS73" s="41"/>
      <c r="AT73" s="41"/>
      <c r="AU73" s="41"/>
      <c r="AV73" s="41"/>
      <c r="AW73" s="41"/>
      <c r="AX73" s="41"/>
      <c r="AY73" s="41"/>
      <c r="AZ73" s="41"/>
      <c r="BA73" s="41"/>
      <c r="BB73" s="41"/>
      <c r="BC73" s="41"/>
      <c r="BD73" s="41"/>
      <c r="BE73" s="41"/>
      <c r="BF73" s="41"/>
      <c r="BG73" s="41"/>
      <c r="BH73" s="41"/>
      <c r="BI73" s="41"/>
      <c r="BJ73" s="41"/>
      <c r="BK73" s="41"/>
      <c r="BL73" s="41"/>
      <c r="BM73" s="41"/>
      <c r="BN73" s="41"/>
      <c r="BO73" s="41"/>
      <c r="BP73" s="41"/>
      <c r="BQ73" s="41"/>
      <c r="BR73" s="41"/>
      <c r="BS73" s="41"/>
      <c r="BT73" s="41"/>
      <c r="BU73" s="41"/>
      <c r="BV73" s="41"/>
      <c r="BW73" s="41"/>
      <c r="BX73" s="41"/>
      <c r="BY73" s="41"/>
      <c r="BZ73" s="41"/>
      <c r="CA73" s="41"/>
      <c r="CB73" s="41"/>
      <c r="CC73" s="41"/>
      <c r="CD73" s="41"/>
      <c r="CE73" s="41"/>
      <c r="CF73" s="41"/>
      <c r="CG73" s="41"/>
      <c r="CH73" s="41"/>
      <c r="CI73" s="41"/>
      <c r="CJ73" s="41"/>
      <c r="CK73" s="41"/>
      <c r="CL73" s="41"/>
      <c r="CM73" s="41"/>
      <c r="CN73" s="41"/>
      <c r="CO73" s="41"/>
      <c r="CP73" s="41"/>
    </row>
    <row r="74" spans="1:94" s="53" customFormat="1" ht="15.6" customHeight="1" x14ac:dyDescent="0.25">
      <c r="A74" s="85">
        <v>10.63</v>
      </c>
      <c r="B74" s="83"/>
      <c r="C74" s="366" t="s">
        <v>62</v>
      </c>
      <c r="D74" s="368"/>
      <c r="E74" s="112"/>
      <c r="F74" s="288"/>
      <c r="G74" s="92">
        <v>0</v>
      </c>
      <c r="H74" s="287"/>
      <c r="I74" s="287">
        <f>ROUND(($G74*ElectVBBY+$G74*Retire1BY),-2)</f>
        <v>0</v>
      </c>
      <c r="J74" s="113">
        <f t="shared" si="11"/>
        <v>0</v>
      </c>
      <c r="K74" s="301"/>
      <c r="L74" s="302"/>
      <c r="M74" s="303"/>
      <c r="N74" s="304"/>
      <c r="O74"/>
      <c r="P74"/>
      <c r="Q74"/>
      <c r="R74"/>
      <c r="S74"/>
      <c r="T74"/>
      <c r="U74"/>
      <c r="V74"/>
      <c r="W74"/>
      <c r="X74"/>
      <c r="Y74"/>
      <c r="Z74" s="344"/>
      <c r="AA74" s="363"/>
      <c r="AB74" s="363"/>
      <c r="AC74" s="363"/>
      <c r="AD74" s="110"/>
      <c r="AE74" s="41"/>
      <c r="AF74" s="41"/>
      <c r="AG74" s="41"/>
      <c r="AH74" s="41"/>
      <c r="AI74" s="41"/>
      <c r="AJ74" s="41"/>
      <c r="AK74" s="41"/>
      <c r="AL74" s="41"/>
      <c r="AM74" s="41"/>
      <c r="AN74" s="41"/>
      <c r="AO74" s="41"/>
      <c r="AP74" s="41"/>
      <c r="AQ74" s="41"/>
      <c r="AR74" s="41"/>
      <c r="AS74" s="41"/>
      <c r="AT74" s="41"/>
      <c r="AU74" s="41"/>
      <c r="AV74" s="41"/>
      <c r="AW74" s="41"/>
      <c r="AX74" s="41"/>
      <c r="AY74" s="41"/>
      <c r="AZ74" s="41"/>
      <c r="BA74" s="41"/>
      <c r="BB74" s="41"/>
      <c r="BC74" s="41"/>
      <c r="BD74" s="41"/>
      <c r="BE74" s="41"/>
      <c r="BF74" s="41"/>
      <c r="BG74" s="41"/>
      <c r="BH74" s="41"/>
      <c r="BI74" s="41"/>
      <c r="BJ74" s="41"/>
      <c r="BK74" s="41"/>
      <c r="BL74" s="41"/>
      <c r="BM74" s="41"/>
      <c r="BN74" s="41"/>
      <c r="BO74" s="41"/>
      <c r="BP74" s="41"/>
      <c r="BQ74" s="41"/>
      <c r="BR74" s="41"/>
      <c r="BS74" s="41"/>
      <c r="BT74" s="41"/>
      <c r="BU74" s="41"/>
      <c r="BV74" s="41"/>
      <c r="BW74" s="41"/>
      <c r="BX74" s="41"/>
      <c r="BY74" s="41"/>
      <c r="BZ74" s="41"/>
      <c r="CA74" s="41"/>
      <c r="CB74" s="41"/>
      <c r="CC74" s="41"/>
      <c r="CD74" s="41"/>
      <c r="CE74" s="41"/>
      <c r="CF74" s="41"/>
      <c r="CG74" s="41"/>
      <c r="CH74" s="41"/>
      <c r="CI74" s="41"/>
      <c r="CJ74" s="41"/>
      <c r="CK74" s="41"/>
      <c r="CL74" s="41"/>
      <c r="CM74" s="41"/>
      <c r="CN74" s="41"/>
      <c r="CO74" s="41"/>
      <c r="CP74" s="41"/>
    </row>
    <row r="75" spans="1:94" s="53" customFormat="1" ht="15.75" customHeight="1" x14ac:dyDescent="0.25">
      <c r="A75" s="75">
        <v>11</v>
      </c>
      <c r="B75" s="76"/>
      <c r="C75" s="54" t="str">
        <f>"FY "&amp;M4</f>
        <v>FY 2023</v>
      </c>
      <c r="D75" s="77" t="s">
        <v>63</v>
      </c>
      <c r="E75" s="112"/>
      <c r="F75" s="55">
        <f>SUM(F67:F74)</f>
        <v>0</v>
      </c>
      <c r="G75" s="80">
        <f>SUM(G67:G74)</f>
        <v>26900</v>
      </c>
      <c r="H75" s="80">
        <f>SUM(H67:H74)</f>
        <v>5700</v>
      </c>
      <c r="I75" s="80">
        <f>SUM(I67:I74)</f>
        <v>5400</v>
      </c>
      <c r="J75" s="80">
        <f>SUM(J67:K74)</f>
        <v>38100</v>
      </c>
      <c r="K75" s="296"/>
      <c r="L75" s="299"/>
      <c r="M75" s="299"/>
      <c r="N75" s="300"/>
      <c r="O75"/>
      <c r="P75"/>
      <c r="Q75"/>
      <c r="R75"/>
      <c r="S75"/>
      <c r="T75"/>
      <c r="U75"/>
      <c r="V75"/>
      <c r="W75"/>
      <c r="X75"/>
      <c r="Y75"/>
      <c r="Z75" s="344"/>
      <c r="AA75" s="363"/>
      <c r="AB75" s="363"/>
      <c r="AC75" s="363"/>
      <c r="AD75" s="110"/>
      <c r="AE75" s="41"/>
      <c r="AF75" s="41"/>
      <c r="AG75" s="41"/>
      <c r="AH75" s="41"/>
      <c r="AI75" s="41"/>
      <c r="AJ75" s="41"/>
      <c r="AK75" s="41"/>
      <c r="AL75" s="41"/>
      <c r="AM75" s="41"/>
      <c r="AN75" s="41"/>
      <c r="AO75" s="41"/>
      <c r="AP75" s="41"/>
      <c r="AQ75" s="41"/>
      <c r="AR75" s="41"/>
      <c r="AS75" s="41"/>
      <c r="AT75" s="41"/>
      <c r="AU75" s="41"/>
      <c r="AV75" s="41"/>
      <c r="AW75" s="41"/>
      <c r="AX75" s="41"/>
      <c r="AY75" s="41"/>
      <c r="AZ75" s="41"/>
      <c r="BA75" s="41"/>
      <c r="BB75" s="41"/>
      <c r="BC75" s="41"/>
      <c r="BD75" s="41"/>
      <c r="BE75" s="41"/>
      <c r="BF75" s="41"/>
      <c r="BG75" s="41"/>
      <c r="BH75" s="41"/>
      <c r="BI75" s="41"/>
      <c r="BJ75" s="41"/>
      <c r="BK75" s="41"/>
      <c r="BL75" s="41"/>
      <c r="BM75" s="41"/>
      <c r="BN75" s="41"/>
      <c r="BO75" s="41"/>
      <c r="BP75" s="41"/>
      <c r="BQ75" s="41"/>
      <c r="BR75" s="41"/>
      <c r="BS75" s="41"/>
      <c r="BT75" s="41"/>
      <c r="BU75" s="41"/>
      <c r="BV75" s="41"/>
      <c r="BW75" s="41"/>
      <c r="BX75" s="41"/>
      <c r="BY75" s="41"/>
      <c r="BZ75" s="41"/>
      <c r="CA75" s="41"/>
      <c r="CB75" s="41"/>
      <c r="CC75" s="41"/>
      <c r="CD75" s="41"/>
      <c r="CE75" s="41"/>
      <c r="CF75" s="41"/>
      <c r="CG75" s="41"/>
      <c r="CH75" s="41"/>
      <c r="CI75" s="41"/>
      <c r="CJ75" s="41"/>
      <c r="CK75" s="41"/>
      <c r="CL75" s="41"/>
      <c r="CM75" s="41"/>
      <c r="CN75" s="41"/>
      <c r="CO75" s="41"/>
      <c r="CP75" s="41"/>
    </row>
    <row r="76" spans="1:94" s="53" customFormat="1" ht="28.5" customHeight="1" x14ac:dyDescent="0.25">
      <c r="A76" s="85"/>
      <c r="B76" s="83"/>
      <c r="C76" s="411" t="s">
        <v>64</v>
      </c>
      <c r="D76" s="412"/>
      <c r="E76" s="59"/>
      <c r="F76" s="59"/>
      <c r="G76" s="61"/>
      <c r="H76" s="61"/>
      <c r="I76" s="61"/>
      <c r="J76" s="61"/>
      <c r="K76" s="291"/>
      <c r="L76" s="292"/>
      <c r="M76" s="305"/>
      <c r="N76" s="293"/>
      <c r="O76"/>
      <c r="P76"/>
      <c r="Q76"/>
      <c r="R76"/>
      <c r="S76"/>
      <c r="T76"/>
      <c r="U76"/>
      <c r="V76"/>
      <c r="W76"/>
      <c r="X76"/>
      <c r="Y76"/>
      <c r="Z76" s="344"/>
      <c r="AA76" s="363"/>
      <c r="AB76" s="363"/>
      <c r="AC76" s="363"/>
      <c r="AD76" s="110"/>
      <c r="AE76" s="41"/>
      <c r="AF76" s="41"/>
      <c r="AG76" s="41"/>
      <c r="AH76" s="41"/>
      <c r="AI76" s="41"/>
      <c r="AJ76" s="41"/>
      <c r="AK76" s="41"/>
      <c r="AL76" s="41"/>
      <c r="AM76" s="41"/>
      <c r="AN76" s="41"/>
      <c r="AO76" s="41"/>
      <c r="AP76" s="41"/>
      <c r="AQ76" s="41"/>
      <c r="AR76" s="41"/>
      <c r="AS76" s="41"/>
      <c r="AT76" s="41"/>
      <c r="AU76" s="41"/>
      <c r="AV76" s="41"/>
      <c r="AW76" s="41"/>
      <c r="AX76" s="41"/>
      <c r="AY76" s="41"/>
      <c r="AZ76" s="41"/>
      <c r="BA76" s="41"/>
      <c r="BB76" s="41"/>
      <c r="BC76" s="41"/>
      <c r="BD76" s="41"/>
      <c r="BE76" s="41"/>
      <c r="BF76" s="41"/>
      <c r="BG76" s="41"/>
      <c r="BH76" s="41"/>
      <c r="BI76" s="41"/>
      <c r="BJ76" s="41"/>
      <c r="BK76" s="41"/>
      <c r="BL76" s="41"/>
      <c r="BM76" s="41"/>
      <c r="BN76" s="41"/>
      <c r="BO76" s="41"/>
      <c r="BP76" s="41"/>
      <c r="BQ76" s="41"/>
      <c r="BR76" s="41"/>
      <c r="BS76" s="41"/>
      <c r="BT76" s="41"/>
      <c r="BU76" s="41"/>
      <c r="BV76" s="41"/>
      <c r="BW76" s="41"/>
      <c r="BX76" s="41"/>
      <c r="BY76" s="41"/>
      <c r="BZ76" s="41"/>
      <c r="CA76" s="41"/>
      <c r="CB76" s="41"/>
      <c r="CC76" s="41"/>
      <c r="CD76" s="41"/>
      <c r="CE76" s="41"/>
      <c r="CF76" s="41"/>
      <c r="CG76" s="41"/>
      <c r="CH76" s="41"/>
      <c r="CI76" s="41"/>
      <c r="CJ76" s="41"/>
      <c r="CK76" s="41"/>
      <c r="CL76" s="41"/>
      <c r="CM76" s="41"/>
      <c r="CN76" s="41"/>
      <c r="CO76" s="41"/>
      <c r="CP76" s="41"/>
    </row>
    <row r="77" spans="1:94" s="53" customFormat="1" ht="15" x14ac:dyDescent="0.25">
      <c r="A77" s="116">
        <v>12.01</v>
      </c>
      <c r="B77" s="57"/>
      <c r="C77" s="404"/>
      <c r="D77" s="405"/>
      <c r="E77" s="87"/>
      <c r="F77" s="58"/>
      <c r="G77" s="88"/>
      <c r="H77" s="88"/>
      <c r="I77" s="88"/>
      <c r="J77" s="80">
        <f>ROUND(SUM(G77:I77),-2)</f>
        <v>0</v>
      </c>
      <c r="K77" s="296"/>
      <c r="L77" s="292"/>
      <c r="M77" s="292"/>
      <c r="N77" s="293"/>
      <c r="O77"/>
      <c r="P77"/>
      <c r="Q77"/>
      <c r="R77"/>
      <c r="S77"/>
      <c r="T77"/>
      <c r="U77"/>
      <c r="V77"/>
      <c r="W77"/>
      <c r="X77"/>
      <c r="Y77"/>
      <c r="Z77" s="344"/>
      <c r="AA77" s="363"/>
      <c r="AB77" s="363"/>
      <c r="AC77" s="363"/>
      <c r="AD77" s="110"/>
      <c r="AE77" s="41"/>
      <c r="AF77" s="41"/>
      <c r="AG77" s="41"/>
      <c r="AH77" s="41"/>
      <c r="AI77" s="41"/>
      <c r="AJ77" s="41"/>
      <c r="AK77" s="41"/>
      <c r="AL77" s="41"/>
      <c r="AM77" s="41"/>
      <c r="AN77" s="41"/>
      <c r="AO77" s="41"/>
      <c r="AP77" s="41"/>
      <c r="AQ77" s="41"/>
      <c r="AR77" s="41"/>
      <c r="AS77" s="41"/>
      <c r="AT77" s="41"/>
      <c r="AU77" s="41"/>
      <c r="AV77" s="41"/>
      <c r="AW77" s="41"/>
      <c r="AX77" s="41"/>
      <c r="AY77" s="41"/>
      <c r="AZ77" s="41"/>
      <c r="BA77" s="41"/>
      <c r="BB77" s="41"/>
      <c r="BC77" s="41"/>
      <c r="BD77" s="41"/>
      <c r="BE77" s="41"/>
      <c r="BF77" s="41"/>
      <c r="BG77" s="41"/>
      <c r="BH77" s="41"/>
      <c r="BI77" s="41"/>
      <c r="BJ77" s="41"/>
      <c r="BK77" s="41"/>
      <c r="BL77" s="41"/>
      <c r="BM77" s="41"/>
      <c r="BN77" s="41"/>
      <c r="BO77" s="41"/>
      <c r="BP77" s="41"/>
      <c r="BQ77" s="41"/>
      <c r="BR77" s="41"/>
      <c r="BS77" s="41"/>
      <c r="BT77" s="41"/>
      <c r="BU77" s="41"/>
      <c r="BV77" s="41"/>
      <c r="BW77" s="41"/>
      <c r="BX77" s="41"/>
      <c r="BY77" s="41"/>
      <c r="BZ77" s="41"/>
      <c r="CA77" s="41"/>
      <c r="CB77" s="41"/>
      <c r="CC77" s="41"/>
      <c r="CD77" s="41"/>
      <c r="CE77" s="41"/>
      <c r="CF77" s="41"/>
      <c r="CG77" s="41"/>
      <c r="CH77" s="41"/>
      <c r="CI77" s="41"/>
      <c r="CJ77" s="41"/>
      <c r="CK77" s="41"/>
      <c r="CL77" s="41"/>
      <c r="CM77" s="41"/>
      <c r="CN77" s="41"/>
      <c r="CO77" s="41"/>
      <c r="CP77" s="41"/>
    </row>
    <row r="78" spans="1:94" s="53" customFormat="1" ht="15" x14ac:dyDescent="0.25">
      <c r="A78" s="116">
        <v>12.02</v>
      </c>
      <c r="B78" s="57"/>
      <c r="C78" s="404"/>
      <c r="D78" s="405"/>
      <c r="E78" s="87"/>
      <c r="F78" s="58"/>
      <c r="G78" s="88"/>
      <c r="H78" s="88"/>
      <c r="I78" s="88"/>
      <c r="J78" s="80">
        <f>ROUND(SUM(G78:I78),-2)</f>
        <v>0</v>
      </c>
      <c r="K78" s="296"/>
      <c r="L78" s="292"/>
      <c r="M78" s="292"/>
      <c r="N78" s="293"/>
      <c r="O78"/>
      <c r="P78"/>
      <c r="Q78"/>
      <c r="R78"/>
      <c r="S78"/>
      <c r="T78"/>
      <c r="U78"/>
      <c r="V78"/>
      <c r="W78"/>
      <c r="X78"/>
      <c r="Y78"/>
      <c r="Z78" s="344"/>
      <c r="AA78" s="363"/>
      <c r="AB78" s="363"/>
      <c r="AC78" s="363"/>
      <c r="AD78" s="110"/>
      <c r="AE78" s="41"/>
      <c r="AF78" s="41"/>
      <c r="AG78" s="41"/>
      <c r="AH78" s="41"/>
      <c r="AI78" s="41"/>
      <c r="AJ78" s="41"/>
      <c r="AK78" s="41"/>
      <c r="AL78" s="41"/>
      <c r="AM78" s="41"/>
      <c r="AN78" s="41"/>
      <c r="AO78" s="41"/>
      <c r="AP78" s="41"/>
      <c r="AQ78" s="41"/>
      <c r="AR78" s="41"/>
      <c r="AS78" s="41"/>
      <c r="AT78" s="41"/>
      <c r="AU78" s="41"/>
      <c r="AV78" s="41"/>
      <c r="AW78" s="41"/>
      <c r="AX78" s="41"/>
      <c r="AY78" s="41"/>
      <c r="AZ78" s="41"/>
      <c r="BA78" s="41"/>
      <c r="BB78" s="41"/>
      <c r="BC78" s="41"/>
      <c r="BD78" s="41"/>
      <c r="BE78" s="41"/>
      <c r="BF78" s="41"/>
      <c r="BG78" s="41"/>
      <c r="BH78" s="41"/>
      <c r="BI78" s="41"/>
      <c r="BJ78" s="41"/>
      <c r="BK78" s="41"/>
      <c r="BL78" s="41"/>
      <c r="BM78" s="41"/>
      <c r="BN78" s="41"/>
      <c r="BO78" s="41"/>
      <c r="BP78" s="41"/>
      <c r="BQ78" s="41"/>
      <c r="BR78" s="41"/>
      <c r="BS78" s="41"/>
      <c r="BT78" s="41"/>
      <c r="BU78" s="41"/>
      <c r="BV78" s="41"/>
      <c r="BW78" s="41"/>
      <c r="BX78" s="41"/>
      <c r="BY78" s="41"/>
      <c r="BZ78" s="41"/>
      <c r="CA78" s="41"/>
      <c r="CB78" s="41"/>
      <c r="CC78" s="41"/>
      <c r="CD78" s="41"/>
      <c r="CE78" s="41"/>
      <c r="CF78" s="41"/>
      <c r="CG78" s="41"/>
      <c r="CH78" s="41"/>
      <c r="CI78" s="41"/>
      <c r="CJ78" s="41"/>
      <c r="CK78" s="41"/>
      <c r="CL78" s="41"/>
      <c r="CM78" s="41"/>
      <c r="CN78" s="41"/>
      <c r="CO78" s="41"/>
      <c r="CP78" s="41"/>
    </row>
    <row r="79" spans="1:94" s="53" customFormat="1" ht="15" x14ac:dyDescent="0.25">
      <c r="A79" s="116">
        <v>12.03</v>
      </c>
      <c r="B79" s="57" t="s">
        <v>45</v>
      </c>
      <c r="C79" s="404"/>
      <c r="D79" s="405"/>
      <c r="E79" s="87"/>
      <c r="F79" s="58"/>
      <c r="G79" s="88"/>
      <c r="H79" s="88"/>
      <c r="I79" s="88"/>
      <c r="J79" s="80">
        <f>ROUND(SUM(G79:I79),-2)</f>
        <v>0</v>
      </c>
      <c r="K79" s="296"/>
      <c r="L79" s="292"/>
      <c r="M79" s="292"/>
      <c r="N79" s="293"/>
      <c r="O79"/>
      <c r="P79"/>
      <c r="Q79"/>
      <c r="R79"/>
      <c r="S79"/>
      <c r="T79"/>
      <c r="U79"/>
      <c r="V79"/>
      <c r="W79"/>
      <c r="X79"/>
      <c r="Y79"/>
      <c r="Z79" s="344"/>
      <c r="AA79" s="363"/>
      <c r="AB79" s="363"/>
      <c r="AC79" s="363"/>
      <c r="AD79" s="110"/>
      <c r="AE79" s="41"/>
      <c r="AF79" s="41"/>
      <c r="AG79" s="41"/>
      <c r="AH79" s="41"/>
      <c r="AI79" s="41"/>
      <c r="AJ79" s="41"/>
      <c r="AK79" s="41"/>
      <c r="AL79" s="41"/>
      <c r="AM79" s="41"/>
      <c r="AN79" s="41"/>
      <c r="AO79" s="41"/>
      <c r="AP79" s="41"/>
      <c r="AQ79" s="41"/>
      <c r="AR79" s="41"/>
      <c r="AS79" s="41"/>
      <c r="AT79" s="41"/>
      <c r="AU79" s="41"/>
      <c r="AV79" s="41"/>
      <c r="AW79" s="41"/>
      <c r="AX79" s="41"/>
      <c r="AY79" s="41"/>
      <c r="AZ79" s="41"/>
      <c r="BA79" s="41"/>
      <c r="BB79" s="41"/>
      <c r="BC79" s="41"/>
      <c r="BD79" s="41"/>
      <c r="BE79" s="41"/>
      <c r="BF79" s="41"/>
      <c r="BG79" s="41"/>
      <c r="BH79" s="41"/>
      <c r="BI79" s="41"/>
      <c r="BJ79" s="41"/>
      <c r="BK79" s="41"/>
      <c r="BL79" s="41"/>
      <c r="BM79" s="41"/>
      <c r="BN79" s="41"/>
      <c r="BO79" s="41"/>
      <c r="BP79" s="41"/>
      <c r="BQ79" s="41"/>
      <c r="BR79" s="41"/>
      <c r="BS79" s="41"/>
      <c r="BT79" s="41"/>
      <c r="BU79" s="41"/>
      <c r="BV79" s="41"/>
      <c r="BW79" s="41"/>
      <c r="BX79" s="41"/>
      <c r="BY79" s="41"/>
      <c r="BZ79" s="41"/>
      <c r="CA79" s="41"/>
      <c r="CB79" s="41"/>
      <c r="CC79" s="41"/>
      <c r="CD79" s="41"/>
      <c r="CE79" s="41"/>
      <c r="CF79" s="41"/>
      <c r="CG79" s="41"/>
      <c r="CH79" s="41"/>
      <c r="CI79" s="41"/>
      <c r="CJ79" s="41"/>
      <c r="CK79" s="41"/>
      <c r="CL79" s="41"/>
      <c r="CM79" s="41"/>
      <c r="CN79" s="41"/>
      <c r="CO79" s="41"/>
      <c r="CP79" s="41"/>
    </row>
    <row r="80" spans="1:94" s="53" customFormat="1" ht="15.75" customHeight="1" x14ac:dyDescent="0.25">
      <c r="A80" s="117">
        <v>13</v>
      </c>
      <c r="B80" s="118"/>
      <c r="C80" s="119" t="str">
        <f>"FY "&amp;M4</f>
        <v>FY 2023</v>
      </c>
      <c r="D80" s="120" t="s">
        <v>65</v>
      </c>
      <c r="E80" s="121"/>
      <c r="F80" s="55">
        <f>SUM(F75:F79)</f>
        <v>0</v>
      </c>
      <c r="G80" s="80">
        <f>SUM(G75:G79)</f>
        <v>26900</v>
      </c>
      <c r="H80" s="80">
        <f>SUM(H75:H79)</f>
        <v>5700</v>
      </c>
      <c r="I80" s="80">
        <f>SUM(I75:I79)</f>
        <v>5400</v>
      </c>
      <c r="J80" s="80">
        <f>SUM(J75:J79)</f>
        <v>38100</v>
      </c>
      <c r="K80" s="270"/>
      <c r="L80" s="122"/>
      <c r="M80" s="122"/>
      <c r="N80" s="123"/>
      <c r="O80"/>
      <c r="P80"/>
      <c r="Q80"/>
      <c r="R80"/>
      <c r="S80"/>
      <c r="T80"/>
      <c r="U80"/>
      <c r="V80"/>
      <c r="W80"/>
      <c r="X80"/>
      <c r="Y80"/>
      <c r="Z80" s="344"/>
      <c r="AA80" s="363"/>
      <c r="AB80" s="363"/>
      <c r="AC80" s="363"/>
      <c r="AD80" s="110"/>
      <c r="AE80" s="41"/>
      <c r="AF80" s="41"/>
      <c r="AG80" s="41"/>
      <c r="AH80" s="41"/>
      <c r="AI80" s="41"/>
      <c r="AJ80" s="41"/>
      <c r="AK80" s="41"/>
      <c r="AL80" s="41"/>
      <c r="AM80" s="41"/>
      <c r="AN80" s="41"/>
      <c r="AO80" s="41"/>
      <c r="AP80" s="41"/>
      <c r="AQ80" s="41"/>
      <c r="AR80" s="41"/>
      <c r="AS80" s="41"/>
      <c r="AT80" s="41"/>
      <c r="AU80" s="41"/>
      <c r="AV80" s="41"/>
      <c r="AW80" s="41"/>
      <c r="AX80" s="41"/>
      <c r="AY80" s="41"/>
      <c r="AZ80" s="41"/>
      <c r="BA80" s="41"/>
      <c r="BB80" s="41"/>
      <c r="BC80" s="41"/>
      <c r="BD80" s="41"/>
      <c r="BE80" s="41"/>
      <c r="BF80" s="41"/>
      <c r="BG80" s="41"/>
      <c r="BH80" s="41"/>
      <c r="BI80" s="41"/>
      <c r="BJ80" s="41"/>
      <c r="BK80" s="41"/>
      <c r="BL80" s="41"/>
      <c r="BM80" s="41"/>
      <c r="BN80" s="41"/>
      <c r="BO80" s="41"/>
      <c r="BP80" s="41"/>
      <c r="BQ80" s="41"/>
      <c r="BR80" s="41"/>
      <c r="BS80" s="41"/>
      <c r="BT80" s="41"/>
      <c r="BU80" s="41"/>
      <c r="BV80" s="41"/>
      <c r="BW80" s="41"/>
      <c r="BX80" s="41"/>
      <c r="BY80" s="41"/>
      <c r="BZ80" s="41"/>
      <c r="CA80" s="41"/>
      <c r="CB80" s="41"/>
      <c r="CC80" s="41"/>
      <c r="CD80" s="41"/>
      <c r="CE80" s="41"/>
      <c r="CF80" s="41"/>
      <c r="CG80" s="41"/>
      <c r="CH80" s="41"/>
      <c r="CI80" s="41"/>
      <c r="CJ80" s="41"/>
      <c r="CK80" s="41"/>
      <c r="CL80" s="41"/>
      <c r="CM80" s="41"/>
      <c r="CN80" s="41"/>
      <c r="CO80" s="41"/>
      <c r="CP80" s="41"/>
    </row>
  </sheetData>
  <mergeCells count="51">
    <mergeCell ref="C13:D13"/>
    <mergeCell ref="M1:N1"/>
    <mergeCell ref="M2:N2"/>
    <mergeCell ref="M3:N3"/>
    <mergeCell ref="M4:N4"/>
    <mergeCell ref="I5:L5"/>
    <mergeCell ref="C8:D8"/>
    <mergeCell ref="AA8:AC8"/>
    <mergeCell ref="C9:D9"/>
    <mergeCell ref="C10:D10"/>
    <mergeCell ref="C11:D11"/>
    <mergeCell ref="C12:D12"/>
    <mergeCell ref="K43:N43"/>
    <mergeCell ref="AA43:AC43"/>
    <mergeCell ref="K44:N44"/>
    <mergeCell ref="C16:D16"/>
    <mergeCell ref="C17:D17"/>
    <mergeCell ref="C18:D18"/>
    <mergeCell ref="C37:D37"/>
    <mergeCell ref="AA37:AC37"/>
    <mergeCell ref="C38:D38"/>
    <mergeCell ref="C54:D54"/>
    <mergeCell ref="C39:D39"/>
    <mergeCell ref="C41:D41"/>
    <mergeCell ref="C42:D42"/>
    <mergeCell ref="C43:D44"/>
    <mergeCell ref="K45:N45"/>
    <mergeCell ref="E46:J47"/>
    <mergeCell ref="K46:N47"/>
    <mergeCell ref="C50:D50"/>
    <mergeCell ref="C53:D53"/>
    <mergeCell ref="C69:D69"/>
    <mergeCell ref="C55:D55"/>
    <mergeCell ref="C57:D57"/>
    <mergeCell ref="C58:D58"/>
    <mergeCell ref="C59:D59"/>
    <mergeCell ref="C61:D61"/>
    <mergeCell ref="C62:D62"/>
    <mergeCell ref="C63:D63"/>
    <mergeCell ref="C64:D64"/>
    <mergeCell ref="C65:D65"/>
    <mergeCell ref="C66:D66"/>
    <mergeCell ref="C68:D68"/>
    <mergeCell ref="C78:D78"/>
    <mergeCell ref="C79:D79"/>
    <mergeCell ref="C70:D70"/>
    <mergeCell ref="C71:D71"/>
    <mergeCell ref="C72:D72"/>
    <mergeCell ref="C73:D73"/>
    <mergeCell ref="C76:D76"/>
    <mergeCell ref="C77:D77"/>
  </mergeCells>
  <conditionalFormatting sqref="K44">
    <cfRule type="expression" dxfId="83" priority="5">
      <formula>$J$44&lt;0</formula>
    </cfRule>
  </conditionalFormatting>
  <conditionalFormatting sqref="K43">
    <cfRule type="expression" dxfId="82" priority="4">
      <formula>$J$43&lt;0</formula>
    </cfRule>
  </conditionalFormatting>
  <conditionalFormatting sqref="L16">
    <cfRule type="expression" dxfId="81" priority="3">
      <formula>$J$16&lt;0</formula>
    </cfRule>
  </conditionalFormatting>
  <conditionalFormatting sqref="K45">
    <cfRule type="expression" dxfId="80" priority="2">
      <formula>$J$44&lt;0</formula>
    </cfRule>
  </conditionalFormatting>
  <conditionalFormatting sqref="K43:N45">
    <cfRule type="containsText" dxfId="79" priority="1" operator="containsText" text="underfunding">
      <formula>NOT(ISERROR(SEARCH("underfunding",K43)))</formula>
    </cfRule>
  </conditionalFormatting>
  <printOptions horizontalCentered="1"/>
  <pageMargins left="0.5" right="0.5" top="0.65" bottom="0.65" header="0.26" footer="0.31"/>
  <pageSetup scale="63" fitToHeight="2" orientation="landscape" r:id="rId1"/>
  <headerFooter>
    <oddHeader>&amp;L&amp;"Helv,Bold"FORM B6:  WAGE &amp;&amp; SALARY RECONCILIATION</oddHeader>
    <oddFooter>&amp;LPrinted: &amp;D, &amp;T&amp;RPage &amp;P of &amp;N</oddFooter>
  </headerFooter>
  <rowBreaks count="1" manualBreakCount="1">
    <brk id="64" max="12" man="1"/>
  </rowBreaks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C6C7A053-63E7-4D12-B078-3C72D5BC89D2}">
          <x14:formula1>
            <xm:f>Benefits!$A$20:$A$26</xm:f>
          </x14:formula1>
          <xm:sqref>C20:C30 C32:C36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552D2B-1D90-4269-8E9C-5D86C74D806C}">
  <sheetPr>
    <tabColor rgb="FFFFC000"/>
    <pageSetUpPr fitToPage="1"/>
  </sheetPr>
  <dimension ref="A1:CP80"/>
  <sheetViews>
    <sheetView showGridLines="0" zoomScaleNormal="100" workbookViewId="0">
      <selection activeCell="C8" sqref="C8:N16"/>
    </sheetView>
  </sheetViews>
  <sheetFormatPr defaultColWidth="9.140625" defaultRowHeight="15.75" x14ac:dyDescent="0.25"/>
  <cols>
    <col min="1" max="1" width="7.85546875" style="124" customWidth="1"/>
    <col min="2" max="2" width="7.7109375" style="125" customWidth="1"/>
    <col min="3" max="3" width="9" style="125" customWidth="1"/>
    <col min="4" max="4" width="39.28515625" style="53" customWidth="1"/>
    <col min="5" max="5" width="13" style="126" customWidth="1"/>
    <col min="6" max="6" width="12.28515625" style="127" customWidth="1"/>
    <col min="7" max="7" width="12.140625" style="127" bestFit="1" customWidth="1"/>
    <col min="8" max="8" width="14.5703125" style="127" customWidth="1"/>
    <col min="9" max="9" width="19.5703125" style="128" bestFit="1" customWidth="1"/>
    <col min="10" max="10" width="13.7109375" style="129" customWidth="1"/>
    <col min="11" max="11" width="13.7109375" style="129" hidden="1" customWidth="1"/>
    <col min="12" max="12" width="18.42578125" style="129" customWidth="1"/>
    <col min="13" max="13" width="16.42578125" style="129" customWidth="1"/>
    <col min="14" max="14" width="16.140625" style="128" customWidth="1"/>
    <col min="15" max="25" width="16.140625" customWidth="1"/>
    <col min="26" max="26" width="16.140625" style="344" customWidth="1"/>
    <col min="27" max="27" width="22.140625" style="334" bestFit="1" customWidth="1"/>
    <col min="28" max="28" width="31.140625" style="334" bestFit="1" customWidth="1"/>
    <col min="29" max="29" width="7.85546875" style="334" bestFit="1" customWidth="1"/>
    <col min="30" max="30" width="9.140625" style="110" customWidth="1"/>
    <col min="31" max="94" width="9.140625" style="17"/>
    <col min="95" max="16384" width="9.140625" style="18"/>
  </cols>
  <sheetData>
    <row r="1" spans="1:94" x14ac:dyDescent="0.25">
      <c r="A1" s="12" t="s">
        <v>13</v>
      </c>
      <c r="B1" s="13"/>
      <c r="C1" s="13"/>
      <c r="D1" s="14" t="s">
        <v>1989</v>
      </c>
      <c r="E1" s="15"/>
      <c r="F1" s="15"/>
      <c r="G1" s="15"/>
      <c r="H1" s="15"/>
      <c r="I1" s="15"/>
      <c r="J1" s="15"/>
      <c r="K1" s="15"/>
      <c r="L1" s="16" t="s">
        <v>14</v>
      </c>
      <c r="M1" s="467">
        <v>352</v>
      </c>
      <c r="N1" s="468"/>
      <c r="AA1" s="363"/>
      <c r="AB1" s="333"/>
      <c r="AC1" s="333"/>
      <c r="AD1" s="325"/>
    </row>
    <row r="2" spans="1:94" ht="20.25" x14ac:dyDescent="0.25">
      <c r="A2" s="19" t="s">
        <v>116</v>
      </c>
      <c r="B2" s="20"/>
      <c r="C2" s="20"/>
      <c r="D2" s="14" t="s">
        <v>1990</v>
      </c>
      <c r="E2" s="21"/>
      <c r="F2" s="21"/>
      <c r="G2" s="21"/>
      <c r="H2" s="21"/>
      <c r="I2" s="21"/>
      <c r="J2" s="20"/>
      <c r="K2" s="20"/>
      <c r="L2" s="22" t="s">
        <v>113</v>
      </c>
      <c r="M2" s="469" t="s">
        <v>2005</v>
      </c>
      <c r="N2" s="470"/>
      <c r="AA2" s="333"/>
      <c r="AB2" s="333"/>
      <c r="AC2" s="333"/>
      <c r="AD2" s="325"/>
    </row>
    <row r="3" spans="1:94" x14ac:dyDescent="0.25">
      <c r="A3" s="19" t="s">
        <v>117</v>
      </c>
      <c r="B3" s="20"/>
      <c r="C3" s="20"/>
      <c r="D3" s="23" t="s">
        <v>1991</v>
      </c>
      <c r="E3" s="24"/>
      <c r="F3" s="25"/>
      <c r="G3" s="25"/>
      <c r="H3" s="25"/>
      <c r="I3" s="26"/>
      <c r="J3" s="20"/>
      <c r="K3" s="20"/>
      <c r="L3" s="22" t="s">
        <v>114</v>
      </c>
      <c r="M3" s="467" t="s">
        <v>167</v>
      </c>
      <c r="N3" s="468"/>
      <c r="AA3" s="363"/>
      <c r="AB3" s="333"/>
      <c r="AC3" s="333"/>
      <c r="AD3" s="325"/>
    </row>
    <row r="4" spans="1:94" x14ac:dyDescent="0.25">
      <c r="A4" s="19"/>
      <c r="B4" s="20"/>
      <c r="C4" s="20"/>
      <c r="D4" s="27"/>
      <c r="E4" s="24"/>
      <c r="F4" s="25"/>
      <c r="G4" s="25"/>
      <c r="H4" s="25"/>
      <c r="I4" s="28"/>
      <c r="J4" s="26"/>
      <c r="K4" s="26"/>
      <c r="L4" s="22" t="s">
        <v>15</v>
      </c>
      <c r="M4" s="467">
        <v>2023</v>
      </c>
      <c r="N4" s="468"/>
      <c r="AA4" s="363"/>
      <c r="AB4" s="333"/>
      <c r="AC4" s="333"/>
      <c r="AD4" s="325"/>
    </row>
    <row r="5" spans="1:94" s="34" customFormat="1" ht="18" customHeight="1" x14ac:dyDescent="0.25">
      <c r="A5" s="19" t="s">
        <v>16</v>
      </c>
      <c r="B5" s="20"/>
      <c r="C5" s="20"/>
      <c r="D5" s="350">
        <v>44440</v>
      </c>
      <c r="E5" s="27"/>
      <c r="F5" s="30"/>
      <c r="G5" s="31"/>
      <c r="H5" s="31" t="s">
        <v>17</v>
      </c>
      <c r="I5" s="469" t="s">
        <v>2003</v>
      </c>
      <c r="J5" s="471"/>
      <c r="K5" s="471"/>
      <c r="L5" s="470"/>
      <c r="M5" s="351" t="s">
        <v>115</v>
      </c>
      <c r="N5" s="32" t="s">
        <v>2004</v>
      </c>
      <c r="O5"/>
      <c r="P5"/>
      <c r="Q5"/>
      <c r="R5"/>
      <c r="S5"/>
      <c r="T5"/>
      <c r="U5"/>
      <c r="V5"/>
      <c r="W5"/>
      <c r="X5"/>
      <c r="Y5"/>
      <c r="Z5" s="344"/>
      <c r="AA5" s="363"/>
      <c r="AB5" s="333"/>
      <c r="AC5" s="333"/>
      <c r="AD5" s="326"/>
      <c r="AE5" s="33"/>
      <c r="AF5" s="33"/>
      <c r="AG5" s="33"/>
      <c r="AH5" s="33"/>
      <c r="AI5" s="33"/>
      <c r="AJ5" s="33"/>
      <c r="AK5" s="33"/>
      <c r="AL5" s="33"/>
      <c r="AM5" s="33"/>
      <c r="AN5" s="33"/>
      <c r="AO5" s="33"/>
      <c r="AP5" s="33"/>
      <c r="AQ5" s="33"/>
      <c r="AR5" s="33"/>
      <c r="AS5" s="33"/>
      <c r="AT5" s="33"/>
      <c r="AU5" s="33"/>
      <c r="AV5" s="33"/>
      <c r="AW5" s="33"/>
      <c r="AX5" s="33"/>
      <c r="AY5" s="33"/>
      <c r="AZ5" s="33"/>
      <c r="BA5" s="33"/>
      <c r="BB5" s="33"/>
      <c r="BC5" s="33"/>
      <c r="BD5" s="33"/>
      <c r="BE5" s="33"/>
      <c r="BF5" s="33"/>
      <c r="BG5" s="33"/>
      <c r="BH5" s="33"/>
      <c r="BI5" s="33"/>
      <c r="BJ5" s="33"/>
      <c r="BK5" s="33"/>
      <c r="BL5" s="33"/>
      <c r="BM5" s="33"/>
      <c r="BN5" s="33"/>
      <c r="BO5" s="33"/>
      <c r="BP5" s="33"/>
      <c r="BQ5" s="33"/>
      <c r="BR5" s="33"/>
      <c r="BS5" s="33"/>
      <c r="BT5" s="33"/>
      <c r="BU5" s="33"/>
      <c r="BV5" s="33"/>
      <c r="BW5" s="33"/>
      <c r="BX5" s="33"/>
      <c r="BY5" s="33"/>
      <c r="BZ5" s="33"/>
      <c r="CA5" s="33"/>
      <c r="CB5" s="33"/>
      <c r="CC5" s="33"/>
      <c r="CD5" s="33"/>
      <c r="CE5" s="33"/>
      <c r="CF5" s="33"/>
      <c r="CG5" s="33"/>
      <c r="CH5" s="33"/>
      <c r="CI5" s="33"/>
      <c r="CJ5" s="33"/>
      <c r="CK5" s="33"/>
      <c r="CL5" s="33"/>
      <c r="CM5" s="33"/>
      <c r="CN5" s="33"/>
      <c r="CO5" s="33"/>
      <c r="CP5" s="33"/>
    </row>
    <row r="6" spans="1:94" ht="23.25" customHeight="1" x14ac:dyDescent="0.25">
      <c r="A6" s="19"/>
      <c r="B6" s="20" t="s">
        <v>18</v>
      </c>
      <c r="C6" s="20"/>
      <c r="D6" s="29"/>
      <c r="E6" s="35" t="s">
        <v>19</v>
      </c>
      <c r="F6" s="36"/>
      <c r="G6" s="25"/>
      <c r="H6" s="25"/>
      <c r="I6" s="37"/>
      <c r="J6" s="31" t="s">
        <v>84</v>
      </c>
      <c r="K6" s="31"/>
      <c r="L6" s="352"/>
      <c r="M6" s="353" t="s">
        <v>85</v>
      </c>
      <c r="N6" s="306"/>
      <c r="AA6" s="363"/>
      <c r="AB6" s="333"/>
      <c r="AC6" s="333"/>
      <c r="AD6" s="325"/>
    </row>
    <row r="7" spans="1:94" x14ac:dyDescent="0.25">
      <c r="A7" s="38"/>
      <c r="B7" s="39"/>
      <c r="C7" s="40"/>
      <c r="D7" s="41"/>
      <c r="E7" s="42"/>
      <c r="F7" s="40"/>
      <c r="G7" s="43"/>
      <c r="H7" s="44"/>
      <c r="I7" s="45"/>
      <c r="J7" s="46"/>
      <c r="K7" s="46"/>
      <c r="L7" s="46"/>
      <c r="M7" s="46"/>
      <c r="N7" s="47"/>
    </row>
    <row r="8" spans="1:94" s="52" customFormat="1" ht="40.5" customHeight="1" x14ac:dyDescent="0.25">
      <c r="A8" s="48" t="s">
        <v>20</v>
      </c>
      <c r="B8" s="369" t="s">
        <v>21</v>
      </c>
      <c r="C8" s="472" t="s">
        <v>22</v>
      </c>
      <c r="D8" s="473"/>
      <c r="E8" s="369" t="s">
        <v>23</v>
      </c>
      <c r="F8" s="49" t="s">
        <v>24</v>
      </c>
      <c r="G8" s="50" t="str">
        <f>"FY "&amp;'TAAA|0338-02'!FiscalYear-1&amp;" SALARY"</f>
        <v>FY 2022 SALARY</v>
      </c>
      <c r="H8" s="50" t="str">
        <f>"FY "&amp;'TAAA|0338-02'!FiscalYear-1&amp;" HEALTH BENEFITS"</f>
        <v>FY 2022 HEALTH BENEFITS</v>
      </c>
      <c r="I8" s="50" t="str">
        <f>"FY "&amp;'TAAA|0338-02'!FiscalYear-1&amp;" VAR BENEFITS"</f>
        <v>FY 2022 VAR BENEFITS</v>
      </c>
      <c r="J8" s="50" t="str">
        <f>"FY "&amp;'TAAA|0338-02'!FiscalYear-1&amp;" TOTAL"</f>
        <v>FY 2022 TOTAL</v>
      </c>
      <c r="K8" s="50" t="str">
        <f>"FY "&amp;'TAAA|0338-02'!FiscalYear&amp;" SALARY CHANGE"</f>
        <v>FY 2023 SALARY CHANGE</v>
      </c>
      <c r="L8" s="50" t="str">
        <f>"FY "&amp;'TAAA|0338-02'!FiscalYear&amp;" CHG HEALTH BENEFITS"</f>
        <v>FY 2023 CHG HEALTH BENEFITS</v>
      </c>
      <c r="M8" s="50" t="str">
        <f>"FY "&amp;'TAAA|0338-02'!FiscalYear&amp;" CHG VAR BENEFITS"</f>
        <v>FY 2023 CHG VAR BENEFITS</v>
      </c>
      <c r="N8" s="50" t="s">
        <v>25</v>
      </c>
      <c r="O8"/>
      <c r="P8"/>
      <c r="Q8"/>
      <c r="R8"/>
      <c r="S8"/>
      <c r="T8"/>
      <c r="U8"/>
      <c r="V8"/>
      <c r="W8"/>
      <c r="X8"/>
      <c r="Y8"/>
      <c r="Z8" s="344"/>
      <c r="AA8" s="463" t="s">
        <v>105</v>
      </c>
      <c r="AB8" s="463"/>
      <c r="AC8" s="463"/>
      <c r="AD8" s="327"/>
      <c r="AE8" s="51"/>
      <c r="AF8" s="51"/>
      <c r="AG8" s="51"/>
      <c r="AH8" s="51"/>
      <c r="AI8" s="51"/>
      <c r="AJ8" s="51"/>
      <c r="AK8" s="51"/>
      <c r="AL8" s="51"/>
      <c r="AM8" s="51"/>
      <c r="AN8" s="51"/>
      <c r="AO8" s="51"/>
      <c r="AP8" s="51"/>
      <c r="AQ8" s="51"/>
      <c r="AR8" s="51"/>
      <c r="AS8" s="51"/>
      <c r="AT8" s="51"/>
      <c r="AU8" s="51"/>
      <c r="AV8" s="51"/>
      <c r="AW8" s="51"/>
      <c r="AX8" s="51"/>
      <c r="AY8" s="51"/>
      <c r="AZ8" s="51"/>
      <c r="BA8" s="51"/>
      <c r="BB8" s="51"/>
      <c r="BC8" s="51"/>
      <c r="BD8" s="51"/>
      <c r="BE8" s="51"/>
      <c r="BF8" s="51"/>
      <c r="BG8" s="51"/>
      <c r="BH8" s="51"/>
      <c r="BI8" s="51"/>
      <c r="BJ8" s="51"/>
      <c r="BK8" s="51"/>
      <c r="BL8" s="51"/>
      <c r="BM8" s="51"/>
      <c r="BN8" s="51"/>
      <c r="BO8" s="51"/>
      <c r="BP8" s="51"/>
      <c r="BQ8" s="51"/>
      <c r="BR8" s="51"/>
      <c r="BS8" s="51"/>
      <c r="BT8" s="51"/>
      <c r="BU8" s="51"/>
      <c r="BV8" s="51"/>
      <c r="BW8" s="51"/>
      <c r="BX8" s="51"/>
      <c r="BY8" s="51"/>
      <c r="BZ8" s="51"/>
      <c r="CA8" s="51"/>
      <c r="CB8" s="51"/>
      <c r="CC8" s="51"/>
      <c r="CD8" s="51"/>
      <c r="CE8" s="51"/>
      <c r="CF8" s="51"/>
      <c r="CG8" s="51"/>
      <c r="CH8" s="51"/>
      <c r="CI8" s="51"/>
      <c r="CJ8" s="51"/>
      <c r="CK8" s="51"/>
      <c r="CL8" s="51"/>
      <c r="CM8" s="51"/>
      <c r="CN8" s="51"/>
      <c r="CO8" s="51"/>
      <c r="CP8" s="51"/>
    </row>
    <row r="9" spans="1:94" s="149" customFormat="1" x14ac:dyDescent="0.25">
      <c r="A9" s="139"/>
      <c r="B9" s="140"/>
      <c r="C9" s="464" t="s">
        <v>26</v>
      </c>
      <c r="D9" s="465"/>
      <c r="E9" s="141"/>
      <c r="F9" s="142"/>
      <c r="G9" s="143"/>
      <c r="H9" s="143"/>
      <c r="I9" s="143"/>
      <c r="J9" s="144"/>
      <c r="K9" s="144"/>
      <c r="L9" s="145"/>
      <c r="M9" s="146"/>
      <c r="N9" s="144"/>
      <c r="O9"/>
      <c r="P9"/>
      <c r="Q9"/>
      <c r="R9"/>
      <c r="S9"/>
      <c r="T9"/>
      <c r="U9"/>
      <c r="V9"/>
      <c r="W9"/>
      <c r="X9"/>
      <c r="Y9"/>
      <c r="Z9" s="344"/>
      <c r="AA9" s="363" t="s">
        <v>94</v>
      </c>
      <c r="AB9" s="333" t="s">
        <v>95</v>
      </c>
      <c r="AC9" s="333" t="s">
        <v>106</v>
      </c>
      <c r="AD9" s="328"/>
      <c r="AE9" s="148"/>
      <c r="AF9" s="148"/>
      <c r="AG9" s="148"/>
      <c r="AH9" s="148"/>
      <c r="AI9" s="148"/>
      <c r="AJ9" s="148"/>
      <c r="AK9" s="148"/>
      <c r="AL9" s="148"/>
      <c r="AM9" s="148"/>
      <c r="AN9" s="148"/>
      <c r="AO9" s="148"/>
      <c r="AP9" s="148"/>
      <c r="AQ9" s="148"/>
      <c r="AR9" s="148"/>
      <c r="AS9" s="148"/>
      <c r="AT9" s="148"/>
      <c r="AU9" s="148"/>
      <c r="AV9" s="148"/>
      <c r="AW9" s="148"/>
      <c r="AX9" s="148"/>
      <c r="AY9" s="148"/>
      <c r="AZ9" s="148"/>
      <c r="BA9" s="148"/>
      <c r="BB9" s="148"/>
      <c r="BC9" s="148"/>
      <c r="BD9" s="148"/>
      <c r="BE9" s="148"/>
      <c r="BF9" s="148"/>
      <c r="BG9" s="148"/>
      <c r="BH9" s="148"/>
      <c r="BI9" s="148"/>
      <c r="BJ9" s="148"/>
      <c r="BK9" s="148"/>
      <c r="BL9" s="148"/>
      <c r="BM9" s="148"/>
      <c r="BN9" s="148"/>
      <c r="BO9" s="148"/>
      <c r="BP9" s="148"/>
      <c r="BQ9" s="148"/>
      <c r="BR9" s="148"/>
      <c r="BS9" s="148"/>
      <c r="BT9" s="148"/>
      <c r="BU9" s="148"/>
      <c r="BV9" s="148"/>
      <c r="BW9" s="148"/>
      <c r="BX9" s="148"/>
      <c r="BY9" s="148"/>
      <c r="BZ9" s="148"/>
      <c r="CA9" s="148"/>
      <c r="CB9" s="148"/>
      <c r="CC9" s="148"/>
      <c r="CD9" s="148"/>
      <c r="CE9" s="148"/>
      <c r="CF9" s="148"/>
      <c r="CG9" s="148"/>
      <c r="CH9" s="148"/>
      <c r="CI9" s="148"/>
      <c r="CJ9" s="148"/>
      <c r="CK9" s="148"/>
      <c r="CL9" s="148"/>
      <c r="CM9" s="148"/>
      <c r="CN9" s="148"/>
      <c r="CO9" s="148"/>
      <c r="CP9" s="148"/>
    </row>
    <row r="10" spans="1:94" s="149" customFormat="1" x14ac:dyDescent="0.25">
      <c r="A10" s="139"/>
      <c r="B10" s="139"/>
      <c r="C10" s="443" t="s">
        <v>27</v>
      </c>
      <c r="D10" s="466"/>
      <c r="E10" s="217">
        <v>1</v>
      </c>
      <c r="F10" s="288">
        <f>[0]!TAAA033802col_INC_FTI</f>
        <v>5.4500000000000011</v>
      </c>
      <c r="G10" s="218">
        <f>[0]!TAAA033802col_FTI_SALARY_PERM</f>
        <v>345430.79999999993</v>
      </c>
      <c r="H10" s="218">
        <f>[0]!TAAA033802col_HEALTH_PERM</f>
        <v>63492.5</v>
      </c>
      <c r="I10" s="218">
        <f>[0]!TAAA033802col_TOT_VB_PERM</f>
        <v>73739.112876000028</v>
      </c>
      <c r="J10" s="219">
        <f>SUM(G10:I10)</f>
        <v>482662.41287599993</v>
      </c>
      <c r="K10" s="219">
        <f>[0]!TAAA033802col_1_27TH_PP</f>
        <v>0</v>
      </c>
      <c r="L10" s="218">
        <f>[0]!TAAA033802col_HEALTH_PERM_CHG</f>
        <v>0</v>
      </c>
      <c r="M10" s="218">
        <f>[0]!TAAA033802col_TOT_VB_PERM_CHG</f>
        <v>-1658.0678399999999</v>
      </c>
      <c r="N10" s="218">
        <f>SUM(L10:M10)</f>
        <v>-1658.0678399999999</v>
      </c>
      <c r="O10"/>
      <c r="P10"/>
      <c r="Q10"/>
      <c r="R10"/>
      <c r="S10"/>
      <c r="T10"/>
      <c r="U10"/>
      <c r="V10"/>
      <c r="W10"/>
      <c r="X10"/>
      <c r="Y10"/>
      <c r="Z10" s="344"/>
      <c r="AA10" s="338">
        <f>ROUND(CECPerm*PermSalary,-2)</f>
        <v>3500</v>
      </c>
      <c r="AB10" s="335">
        <f>ROUND(PermVarBen*CECPerm+(CECPerm*PermVarBenChg),-2)</f>
        <v>700</v>
      </c>
      <c r="AC10" s="335">
        <f>SUM(AA10:AB10)</f>
        <v>4200</v>
      </c>
      <c r="AD10" s="328"/>
      <c r="AE10" s="148"/>
      <c r="AF10" s="148"/>
      <c r="AG10" s="148"/>
      <c r="AH10" s="148"/>
      <c r="AI10" s="148"/>
      <c r="AJ10" s="148"/>
      <c r="AK10" s="148"/>
      <c r="AL10" s="148"/>
      <c r="AM10" s="148"/>
      <c r="AN10" s="148"/>
      <c r="AO10" s="148"/>
      <c r="AP10" s="148"/>
      <c r="AQ10" s="148"/>
      <c r="AR10" s="148"/>
      <c r="AS10" s="148"/>
      <c r="AT10" s="148"/>
      <c r="AU10" s="148"/>
      <c r="AV10" s="148"/>
      <c r="AW10" s="148"/>
      <c r="AX10" s="148"/>
      <c r="AY10" s="148"/>
      <c r="AZ10" s="148"/>
      <c r="BA10" s="148"/>
      <c r="BB10" s="148"/>
      <c r="BC10" s="148"/>
      <c r="BD10" s="148"/>
      <c r="BE10" s="148"/>
      <c r="BF10" s="148"/>
      <c r="BG10" s="148"/>
      <c r="BH10" s="148"/>
      <c r="BI10" s="148"/>
      <c r="BJ10" s="148"/>
      <c r="BK10" s="148"/>
      <c r="BL10" s="148"/>
      <c r="BM10" s="148"/>
      <c r="BN10" s="148"/>
      <c r="BO10" s="148"/>
      <c r="BP10" s="148"/>
      <c r="BQ10" s="148"/>
      <c r="BR10" s="148"/>
      <c r="BS10" s="148"/>
      <c r="BT10" s="148"/>
      <c r="BU10" s="148"/>
      <c r="BV10" s="148"/>
      <c r="BW10" s="148"/>
      <c r="BX10" s="148"/>
      <c r="BY10" s="148"/>
      <c r="BZ10" s="148"/>
      <c r="CA10" s="148"/>
      <c r="CB10" s="148"/>
      <c r="CC10" s="148"/>
      <c r="CD10" s="148"/>
      <c r="CE10" s="148"/>
      <c r="CF10" s="148"/>
      <c r="CG10" s="148"/>
      <c r="CH10" s="148"/>
      <c r="CI10" s="148"/>
      <c r="CJ10" s="148"/>
      <c r="CK10" s="148"/>
      <c r="CL10" s="148"/>
      <c r="CM10" s="148"/>
      <c r="CN10" s="148"/>
      <c r="CO10" s="148"/>
      <c r="CP10" s="148"/>
    </row>
    <row r="11" spans="1:94" s="149" customFormat="1" x14ac:dyDescent="0.25">
      <c r="A11" s="139"/>
      <c r="B11" s="139"/>
      <c r="C11" s="443" t="s">
        <v>28</v>
      </c>
      <c r="D11" s="466"/>
      <c r="E11" s="217">
        <v>2</v>
      </c>
      <c r="F11" s="288"/>
      <c r="G11" s="218">
        <f>[0]!TAAA033802col_Group_Salary</f>
        <v>0</v>
      </c>
      <c r="H11" s="218">
        <v>0</v>
      </c>
      <c r="I11" s="218">
        <f>[0]!TAAA033802col_Group_Ben</f>
        <v>0</v>
      </c>
      <c r="J11" s="219">
        <f>SUM(G11:I11)</f>
        <v>0</v>
      </c>
      <c r="K11" s="268"/>
      <c r="L11" s="218"/>
      <c r="M11" s="218"/>
      <c r="N11" s="218"/>
      <c r="O11"/>
      <c r="P11"/>
      <c r="Q11"/>
      <c r="R11"/>
      <c r="S11"/>
      <c r="T11"/>
      <c r="U11"/>
      <c r="V11"/>
      <c r="W11"/>
      <c r="X11"/>
      <c r="Y11"/>
      <c r="Z11" s="344"/>
      <c r="AA11" s="338">
        <f>ROUND(GroupSalary*CECGroup,-2)</f>
        <v>0</v>
      </c>
      <c r="AB11" s="335">
        <f>ROUND((GroupSalary*GroupVBBY)*CECGroup,-2)</f>
        <v>0</v>
      </c>
      <c r="AC11" s="335">
        <f>SUM(AA12:AB12)</f>
        <v>0</v>
      </c>
      <c r="AD11" s="328"/>
      <c r="AE11" s="148"/>
      <c r="AF11" s="148"/>
      <c r="AG11" s="148"/>
      <c r="AH11" s="148"/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148"/>
      <c r="AV11" s="148"/>
      <c r="AW11" s="148"/>
      <c r="AX11" s="148"/>
      <c r="AY11" s="148"/>
      <c r="AZ11" s="148"/>
      <c r="BA11" s="148"/>
      <c r="BB11" s="148"/>
      <c r="BC11" s="148"/>
      <c r="BD11" s="148"/>
      <c r="BE11" s="148"/>
      <c r="BF11" s="148"/>
      <c r="BG11" s="148"/>
      <c r="BH11" s="148"/>
      <c r="BI11" s="148"/>
      <c r="BJ11" s="148"/>
      <c r="BK11" s="148"/>
      <c r="BL11" s="148"/>
      <c r="BM11" s="148"/>
      <c r="BN11" s="148"/>
      <c r="BO11" s="148"/>
      <c r="BP11" s="148"/>
      <c r="BQ11" s="148"/>
      <c r="BR11" s="148"/>
      <c r="BS11" s="148"/>
      <c r="BT11" s="148"/>
      <c r="BU11" s="148"/>
      <c r="BV11" s="148"/>
      <c r="BW11" s="148"/>
      <c r="BX11" s="148"/>
      <c r="BY11" s="148"/>
      <c r="BZ11" s="148"/>
      <c r="CA11" s="148"/>
      <c r="CB11" s="148"/>
      <c r="CC11" s="148"/>
      <c r="CD11" s="148"/>
      <c r="CE11" s="148"/>
      <c r="CF11" s="148"/>
      <c r="CG11" s="148"/>
      <c r="CH11" s="148"/>
      <c r="CI11" s="148"/>
      <c r="CJ11" s="148"/>
      <c r="CK11" s="148"/>
      <c r="CL11" s="148"/>
      <c r="CM11" s="148"/>
      <c r="CN11" s="148"/>
      <c r="CO11" s="148"/>
      <c r="CP11" s="148"/>
    </row>
    <row r="12" spans="1:94" s="149" customFormat="1" x14ac:dyDescent="0.25">
      <c r="A12" s="139"/>
      <c r="B12" s="139"/>
      <c r="C12" s="443" t="s">
        <v>29</v>
      </c>
      <c r="D12" s="444"/>
      <c r="E12" s="217">
        <v>3</v>
      </c>
      <c r="F12" s="288">
        <f>[0]!TAAA033802col_TOTAL_ELECT_PCN_FTI</f>
        <v>1</v>
      </c>
      <c r="G12" s="218">
        <f>[0]!TAAA033802col_FTI_SALARY_ELECT</f>
        <v>106072</v>
      </c>
      <c r="H12" s="218">
        <f>[0]!TAAA033802col_HEALTH_ELECT</f>
        <v>11650</v>
      </c>
      <c r="I12" s="218">
        <f>[0]!TAAA033802col_TOT_VB_ELECT</f>
        <v>21798.856720000003</v>
      </c>
      <c r="J12" s="219">
        <f>SUM(G12:I12)</f>
        <v>139520.85672000001</v>
      </c>
      <c r="K12" s="268"/>
      <c r="L12" s="218">
        <f>[0]!TAAA033802col_HEALTH_ELECT_CHG</f>
        <v>0</v>
      </c>
      <c r="M12" s="218">
        <f>[0]!TAAA033802col_TOT_VB_ELECT_CHG</f>
        <v>10.607200000000027</v>
      </c>
      <c r="N12" s="219">
        <f>SUM(L12:M12)</f>
        <v>10.607200000000027</v>
      </c>
      <c r="O12"/>
      <c r="P12"/>
      <c r="Q12"/>
      <c r="R12"/>
      <c r="S12"/>
      <c r="T12"/>
      <c r="U12"/>
      <c r="V12"/>
      <c r="W12"/>
      <c r="X12"/>
      <c r="Y12"/>
      <c r="Z12" s="344"/>
      <c r="AA12" s="336"/>
      <c r="AB12" s="336"/>
      <c r="AC12" s="336"/>
      <c r="AD12" s="328"/>
      <c r="AE12" s="148"/>
      <c r="AF12" s="148"/>
      <c r="AG12" s="148"/>
      <c r="AH12" s="148"/>
      <c r="AI12" s="148"/>
      <c r="AJ12" s="148"/>
      <c r="AK12" s="148"/>
      <c r="AL12" s="148"/>
      <c r="AM12" s="148"/>
      <c r="AN12" s="148"/>
      <c r="AO12" s="148"/>
      <c r="AP12" s="148"/>
      <c r="AQ12" s="148"/>
      <c r="AR12" s="148"/>
      <c r="AS12" s="148"/>
      <c r="AT12" s="148"/>
      <c r="AU12" s="148"/>
      <c r="AV12" s="148"/>
      <c r="AW12" s="148"/>
      <c r="AX12" s="148"/>
      <c r="AY12" s="148"/>
      <c r="AZ12" s="148"/>
      <c r="BA12" s="148"/>
      <c r="BB12" s="148"/>
      <c r="BC12" s="148"/>
      <c r="BD12" s="148"/>
      <c r="BE12" s="148"/>
      <c r="BF12" s="148"/>
      <c r="BG12" s="148"/>
      <c r="BH12" s="148"/>
      <c r="BI12" s="148"/>
      <c r="BJ12" s="148"/>
      <c r="BK12" s="148"/>
      <c r="BL12" s="148"/>
      <c r="BM12" s="148"/>
      <c r="BN12" s="148"/>
      <c r="BO12" s="148"/>
      <c r="BP12" s="148"/>
      <c r="BQ12" s="148"/>
      <c r="BR12" s="148"/>
      <c r="BS12" s="148"/>
      <c r="BT12" s="148"/>
      <c r="BU12" s="148"/>
      <c r="BV12" s="148"/>
      <c r="BW12" s="148"/>
      <c r="BX12" s="148"/>
      <c r="BY12" s="148"/>
      <c r="BZ12" s="148"/>
      <c r="CA12" s="148"/>
      <c r="CB12" s="148"/>
      <c r="CC12" s="148"/>
      <c r="CD12" s="148"/>
      <c r="CE12" s="148"/>
      <c r="CF12" s="148"/>
      <c r="CG12" s="148"/>
      <c r="CH12" s="148"/>
      <c r="CI12" s="148"/>
      <c r="CJ12" s="148"/>
      <c r="CK12" s="148"/>
      <c r="CL12" s="148"/>
      <c r="CM12" s="148"/>
      <c r="CN12" s="148"/>
      <c r="CO12" s="148"/>
      <c r="CP12" s="148"/>
    </row>
    <row r="13" spans="1:94" s="153" customFormat="1" x14ac:dyDescent="0.25">
      <c r="A13" s="139"/>
      <c r="B13" s="139"/>
      <c r="C13" s="443" t="s">
        <v>30</v>
      </c>
      <c r="D13" s="466"/>
      <c r="E13" s="217"/>
      <c r="F13" s="220">
        <f>SUM(F10:F12)</f>
        <v>6.4500000000000011</v>
      </c>
      <c r="G13" s="221">
        <f>SUM(G10:G12)</f>
        <v>451502.79999999993</v>
      </c>
      <c r="H13" s="221">
        <f>SUM(H10:H12)</f>
        <v>75142.5</v>
      </c>
      <c r="I13" s="221">
        <f>SUM(I10:I12)</f>
        <v>95537.969596000039</v>
      </c>
      <c r="J13" s="219">
        <f>SUM(G13:I13)</f>
        <v>622183.26959599997</v>
      </c>
      <c r="K13" s="268"/>
      <c r="L13" s="219">
        <f>SUM(L10:L12)</f>
        <v>0</v>
      </c>
      <c r="M13" s="219">
        <f>SUM(M10:M12)</f>
        <v>-1647.46064</v>
      </c>
      <c r="N13" s="219">
        <f>SUM(N10:N12)</f>
        <v>-1647.46064</v>
      </c>
      <c r="O13"/>
      <c r="P13"/>
      <c r="Q13"/>
      <c r="R13"/>
      <c r="S13"/>
      <c r="T13"/>
      <c r="U13"/>
      <c r="V13"/>
      <c r="W13"/>
      <c r="X13"/>
      <c r="Y13"/>
      <c r="Z13" s="344"/>
      <c r="AA13" s="336"/>
      <c r="AB13" s="336"/>
      <c r="AC13" s="336"/>
      <c r="AD13" s="329"/>
      <c r="AE13" s="147"/>
      <c r="AF13" s="147"/>
      <c r="AG13" s="147"/>
      <c r="AH13" s="147"/>
      <c r="AI13" s="147"/>
      <c r="AJ13" s="147"/>
      <c r="AK13" s="147"/>
      <c r="AL13" s="147"/>
      <c r="AM13" s="147"/>
      <c r="AN13" s="147"/>
      <c r="AO13" s="147"/>
      <c r="AP13" s="147"/>
      <c r="AQ13" s="147"/>
      <c r="AR13" s="147"/>
      <c r="AS13" s="147"/>
      <c r="AT13" s="147"/>
      <c r="AU13" s="147"/>
      <c r="AV13" s="147"/>
      <c r="AW13" s="147"/>
      <c r="AX13" s="147"/>
      <c r="AY13" s="147"/>
      <c r="AZ13" s="147"/>
      <c r="BA13" s="147"/>
      <c r="BB13" s="147"/>
      <c r="BC13" s="147"/>
      <c r="BD13" s="147"/>
      <c r="BE13" s="147"/>
      <c r="BF13" s="147"/>
      <c r="BG13" s="147"/>
      <c r="BH13" s="147"/>
      <c r="BI13" s="147"/>
      <c r="BJ13" s="147"/>
      <c r="BK13" s="147"/>
      <c r="BL13" s="147"/>
      <c r="BM13" s="147"/>
      <c r="BN13" s="147"/>
      <c r="BO13" s="147"/>
      <c r="BP13" s="147"/>
      <c r="BQ13" s="147"/>
      <c r="BR13" s="147"/>
      <c r="BS13" s="147"/>
      <c r="BT13" s="147"/>
      <c r="BU13" s="147"/>
      <c r="BV13" s="147"/>
      <c r="BW13" s="147"/>
      <c r="BX13" s="147"/>
      <c r="BY13" s="147"/>
      <c r="BZ13" s="147"/>
      <c r="CA13" s="147"/>
      <c r="CB13" s="147"/>
      <c r="CC13" s="147"/>
      <c r="CD13" s="147"/>
      <c r="CE13" s="147"/>
      <c r="CF13" s="147"/>
      <c r="CG13" s="147"/>
      <c r="CH13" s="147"/>
      <c r="CI13" s="147"/>
      <c r="CJ13" s="147"/>
      <c r="CK13" s="147"/>
      <c r="CL13" s="147"/>
      <c r="CM13" s="147"/>
      <c r="CN13" s="147"/>
      <c r="CO13" s="147"/>
      <c r="CP13" s="147"/>
    </row>
    <row r="14" spans="1:94" s="153" customFormat="1" ht="5.45" customHeight="1" x14ac:dyDescent="0.25">
      <c r="A14" s="139"/>
      <c r="B14" s="139"/>
      <c r="C14" s="364"/>
      <c r="D14" s="370"/>
      <c r="E14" s="217"/>
      <c r="F14" s="220"/>
      <c r="G14" s="219"/>
      <c r="H14" s="219"/>
      <c r="I14" s="219"/>
      <c r="J14" s="219"/>
      <c r="K14" s="268"/>
      <c r="L14" s="219"/>
      <c r="M14" s="222"/>
      <c r="N14" s="222"/>
      <c r="O14"/>
      <c r="P14"/>
      <c r="Q14"/>
      <c r="R14"/>
      <c r="S14"/>
      <c r="T14"/>
      <c r="U14"/>
      <c r="V14"/>
      <c r="W14"/>
      <c r="X14"/>
      <c r="Y14"/>
      <c r="Z14" s="344"/>
      <c r="AA14" s="336"/>
      <c r="AB14" s="336"/>
      <c r="AC14" s="336"/>
      <c r="AD14" s="329"/>
      <c r="AE14" s="147"/>
      <c r="AF14" s="147"/>
      <c r="AG14" s="147"/>
      <c r="AH14" s="147"/>
      <c r="AI14" s="147"/>
      <c r="AJ14" s="147"/>
      <c r="AK14" s="147"/>
      <c r="AL14" s="147"/>
      <c r="AM14" s="147"/>
      <c r="AN14" s="147"/>
      <c r="AO14" s="147"/>
      <c r="AP14" s="147"/>
      <c r="AQ14" s="147"/>
      <c r="AR14" s="147"/>
      <c r="AS14" s="147"/>
      <c r="AT14" s="147"/>
      <c r="AU14" s="147"/>
      <c r="AV14" s="147"/>
      <c r="AW14" s="147"/>
      <c r="AX14" s="147"/>
      <c r="AY14" s="147"/>
      <c r="AZ14" s="147"/>
      <c r="BA14" s="147"/>
      <c r="BB14" s="147"/>
      <c r="BC14" s="147"/>
      <c r="BD14" s="147"/>
      <c r="BE14" s="147"/>
      <c r="BF14" s="147"/>
      <c r="BG14" s="147"/>
      <c r="BH14" s="147"/>
      <c r="BI14" s="147"/>
      <c r="BJ14" s="147"/>
      <c r="BK14" s="147"/>
      <c r="BL14" s="147"/>
      <c r="BM14" s="147"/>
      <c r="BN14" s="147"/>
      <c r="BO14" s="147"/>
      <c r="BP14" s="147"/>
      <c r="BQ14" s="147"/>
      <c r="BR14" s="147"/>
      <c r="BS14" s="147"/>
      <c r="BT14" s="147"/>
      <c r="BU14" s="147"/>
      <c r="BV14" s="147"/>
      <c r="BW14" s="147"/>
      <c r="BX14" s="147"/>
      <c r="BY14" s="147"/>
      <c r="BZ14" s="147"/>
      <c r="CA14" s="147"/>
      <c r="CB14" s="147"/>
      <c r="CC14" s="147"/>
      <c r="CD14" s="147"/>
      <c r="CE14" s="147"/>
      <c r="CF14" s="147"/>
      <c r="CG14" s="147"/>
      <c r="CH14" s="147"/>
      <c r="CI14" s="147"/>
      <c r="CJ14" s="147"/>
      <c r="CK14" s="147"/>
      <c r="CL14" s="147"/>
      <c r="CM14" s="147"/>
      <c r="CN14" s="147"/>
      <c r="CO14" s="147"/>
      <c r="CP14" s="147"/>
    </row>
    <row r="15" spans="1:94" s="153" customFormat="1" ht="15.75" customHeight="1" x14ac:dyDescent="0.25">
      <c r="A15" s="139"/>
      <c r="B15" s="156"/>
      <c r="C15" s="157" t="str">
        <f>"FY "&amp;'TAAA|0338-02'!FiscalYear-1</f>
        <v>FY 2022</v>
      </c>
      <c r="D15" s="158" t="s">
        <v>31</v>
      </c>
      <c r="E15" s="354">
        <v>734100</v>
      </c>
      <c r="F15" s="55">
        <v>8.15</v>
      </c>
      <c r="G15" s="223">
        <f>IF(OrigApprop=0,0,(G13/$J$13)*OrigApprop)</f>
        <v>532717.96539180179</v>
      </c>
      <c r="H15" s="223">
        <f>IF(OrigApprop=0,0,(H13/$J$13)*OrigApprop)</f>
        <v>88658.940131608193</v>
      </c>
      <c r="I15" s="223">
        <f>IF(G15=0,0,(I13/$J$13)*OrigApprop)</f>
        <v>112723.09447659011</v>
      </c>
      <c r="J15" s="223">
        <f>SUM(G15:I15)</f>
        <v>734100</v>
      </c>
      <c r="K15" s="268"/>
      <c r="L15" s="224"/>
      <c r="M15" s="224"/>
      <c r="N15" s="224"/>
      <c r="O15"/>
      <c r="P15"/>
      <c r="Q15"/>
      <c r="R15"/>
      <c r="S15"/>
      <c r="T15"/>
      <c r="U15"/>
      <c r="V15"/>
      <c r="W15"/>
      <c r="X15"/>
      <c r="Y15"/>
      <c r="Z15" s="344"/>
      <c r="AA15" s="336"/>
      <c r="AB15" s="336"/>
      <c r="AC15" s="336"/>
      <c r="AD15" s="329"/>
      <c r="AE15" s="147"/>
      <c r="AF15" s="147"/>
      <c r="AG15" s="147"/>
      <c r="AH15" s="147"/>
      <c r="AI15" s="147"/>
      <c r="AJ15" s="147"/>
      <c r="AK15" s="147"/>
      <c r="AL15" s="147"/>
      <c r="AM15" s="147"/>
      <c r="AN15" s="147"/>
      <c r="AO15" s="147"/>
      <c r="AP15" s="147"/>
      <c r="AQ15" s="147"/>
      <c r="AR15" s="147"/>
      <c r="AS15" s="147"/>
      <c r="AT15" s="147"/>
      <c r="AU15" s="147"/>
      <c r="AV15" s="147"/>
      <c r="AW15" s="147"/>
      <c r="AX15" s="147"/>
      <c r="AY15" s="147"/>
      <c r="AZ15" s="147"/>
      <c r="BA15" s="147"/>
      <c r="BB15" s="147"/>
      <c r="BC15" s="147"/>
      <c r="BD15" s="147"/>
      <c r="BE15" s="147"/>
      <c r="BF15" s="147"/>
      <c r="BG15" s="147"/>
      <c r="BH15" s="147"/>
      <c r="BI15" s="147"/>
      <c r="BJ15" s="147"/>
      <c r="BK15" s="147"/>
      <c r="BL15" s="147"/>
      <c r="BM15" s="147"/>
      <c r="BN15" s="147"/>
      <c r="BO15" s="147"/>
      <c r="BP15" s="147"/>
      <c r="BQ15" s="147"/>
      <c r="BR15" s="147"/>
      <c r="BS15" s="147"/>
      <c r="BT15" s="147"/>
      <c r="BU15" s="147"/>
      <c r="BV15" s="147"/>
      <c r="BW15" s="147"/>
      <c r="BX15" s="147"/>
      <c r="BY15" s="147"/>
      <c r="BZ15" s="147"/>
      <c r="CA15" s="147"/>
      <c r="CB15" s="147"/>
      <c r="CC15" s="147"/>
      <c r="CD15" s="147"/>
      <c r="CE15" s="147"/>
      <c r="CF15" s="147"/>
      <c r="CG15" s="147"/>
      <c r="CH15" s="147"/>
      <c r="CI15" s="147"/>
      <c r="CJ15" s="147"/>
      <c r="CK15" s="147"/>
      <c r="CL15" s="147"/>
      <c r="CM15" s="147"/>
      <c r="CN15" s="147"/>
      <c r="CO15" s="147"/>
      <c r="CP15" s="147"/>
    </row>
    <row r="16" spans="1:94" s="153" customFormat="1" ht="15.75" customHeight="1" x14ac:dyDescent="0.25">
      <c r="A16" s="139"/>
      <c r="B16" s="139"/>
      <c r="C16" s="453" t="s">
        <v>32</v>
      </c>
      <c r="D16" s="454"/>
      <c r="E16" s="160" t="s">
        <v>33</v>
      </c>
      <c r="F16" s="161">
        <f>F15-F13</f>
        <v>1.6999999999999993</v>
      </c>
      <c r="G16" s="162">
        <f>G15-G13</f>
        <v>81215.165391801856</v>
      </c>
      <c r="H16" s="162">
        <f>H15-H13</f>
        <v>13516.440131608193</v>
      </c>
      <c r="I16" s="162">
        <f>I15-I13</f>
        <v>17185.124880590069</v>
      </c>
      <c r="J16" s="162">
        <f>J15-J13</f>
        <v>111916.73040400003</v>
      </c>
      <c r="K16" s="269"/>
      <c r="L16" s="56" t="str">
        <f>IF('TAAA|0338-02'!OrigApprop=0,"ERROR! Enter Original Appropriation amount in DU 3.00!","Calculated "&amp;IF('TAAA|0338-02'!AdjustedTotal&gt;0,"overfunding ","underfunding ")&amp;"is "&amp;TEXT('TAAA|0338-02'!AdjustedTotal/'TAAA|0338-02'!AppropTotal,"#.0%;(#.0% );0% ;")&amp;" of Original Appropriation")</f>
        <v>Calculated overfunding is 15.2% of Original Appropriation</v>
      </c>
      <c r="M16" s="163"/>
      <c r="N16" s="164"/>
      <c r="O16"/>
      <c r="P16"/>
      <c r="Q16"/>
      <c r="R16"/>
      <c r="S16"/>
      <c r="T16"/>
      <c r="U16"/>
      <c r="V16"/>
      <c r="W16"/>
      <c r="X16"/>
      <c r="Y16"/>
      <c r="Z16" s="344"/>
      <c r="AA16" s="336"/>
      <c r="AB16" s="336"/>
      <c r="AC16" s="336"/>
      <c r="AD16" s="329"/>
      <c r="AE16" s="147"/>
      <c r="AF16" s="147"/>
      <c r="AG16" s="147"/>
      <c r="AH16" s="147"/>
      <c r="AI16" s="147"/>
      <c r="AJ16" s="147"/>
      <c r="AK16" s="147"/>
      <c r="AL16" s="147"/>
      <c r="AM16" s="147"/>
      <c r="AN16" s="147"/>
      <c r="AO16" s="147"/>
      <c r="AP16" s="147"/>
      <c r="AQ16" s="147"/>
      <c r="AR16" s="147"/>
      <c r="AS16" s="147"/>
      <c r="AT16" s="147"/>
      <c r="AU16" s="147"/>
      <c r="AV16" s="147"/>
      <c r="AW16" s="147"/>
      <c r="AX16" s="147"/>
      <c r="AY16" s="147"/>
      <c r="AZ16" s="147"/>
      <c r="BA16" s="147"/>
      <c r="BB16" s="147"/>
      <c r="BC16" s="147"/>
      <c r="BD16" s="147"/>
      <c r="BE16" s="147"/>
      <c r="BF16" s="147"/>
      <c r="BG16" s="147"/>
      <c r="BH16" s="147"/>
      <c r="BI16" s="147"/>
      <c r="BJ16" s="147"/>
      <c r="BK16" s="147"/>
      <c r="BL16" s="147"/>
      <c r="BM16" s="147"/>
      <c r="BN16" s="147"/>
      <c r="BO16" s="147"/>
      <c r="BP16" s="147"/>
      <c r="BQ16" s="147"/>
      <c r="BR16" s="147"/>
      <c r="BS16" s="147"/>
      <c r="BT16" s="147"/>
      <c r="BU16" s="147"/>
      <c r="BV16" s="147"/>
      <c r="BW16" s="147"/>
      <c r="BX16" s="147"/>
      <c r="BY16" s="147"/>
      <c r="BZ16" s="147"/>
      <c r="CA16" s="147"/>
      <c r="CB16" s="147"/>
      <c r="CC16" s="147"/>
      <c r="CD16" s="147"/>
      <c r="CE16" s="147"/>
      <c r="CF16" s="147"/>
      <c r="CG16" s="147"/>
      <c r="CH16" s="147"/>
      <c r="CI16" s="147"/>
      <c r="CJ16" s="147"/>
      <c r="CK16" s="147"/>
      <c r="CL16" s="147"/>
      <c r="CM16" s="147"/>
      <c r="CN16" s="147"/>
      <c r="CO16" s="147"/>
      <c r="CP16" s="147"/>
    </row>
    <row r="17" spans="1:94" s="153" customFormat="1" x14ac:dyDescent="0.25">
      <c r="A17" s="139"/>
      <c r="B17" s="139"/>
      <c r="C17" s="455" t="s">
        <v>34</v>
      </c>
      <c r="D17" s="456"/>
      <c r="E17" s="147"/>
      <c r="F17" s="258"/>
      <c r="G17" s="147"/>
      <c r="H17" s="166"/>
      <c r="I17" s="167"/>
      <c r="J17" s="166"/>
      <c r="K17" s="166"/>
      <c r="L17" s="166"/>
      <c r="M17" s="166"/>
      <c r="N17" s="166"/>
      <c r="O17"/>
      <c r="P17"/>
      <c r="Q17"/>
      <c r="R17"/>
      <c r="S17"/>
      <c r="T17"/>
      <c r="U17"/>
      <c r="V17"/>
      <c r="W17"/>
      <c r="X17"/>
      <c r="Y17"/>
      <c r="Z17" s="344"/>
      <c r="AA17" s="336"/>
      <c r="AB17" s="336"/>
      <c r="AC17" s="336"/>
      <c r="AD17" s="329"/>
      <c r="AE17" s="147"/>
      <c r="AF17" s="147"/>
      <c r="AG17" s="147"/>
      <c r="AH17" s="147"/>
      <c r="AI17" s="147"/>
      <c r="AJ17" s="147"/>
      <c r="AK17" s="147"/>
      <c r="AL17" s="147"/>
      <c r="AM17" s="147"/>
      <c r="AN17" s="147"/>
      <c r="AO17" s="147"/>
      <c r="AP17" s="147"/>
      <c r="AQ17" s="147"/>
      <c r="AR17" s="147"/>
      <c r="AS17" s="147"/>
      <c r="AT17" s="147"/>
      <c r="AU17" s="147"/>
      <c r="AV17" s="147"/>
      <c r="AW17" s="147"/>
      <c r="AX17" s="147"/>
      <c r="AY17" s="147"/>
      <c r="AZ17" s="147"/>
      <c r="BA17" s="147"/>
      <c r="BB17" s="147"/>
      <c r="BC17" s="147"/>
      <c r="BD17" s="147"/>
      <c r="BE17" s="147"/>
      <c r="BF17" s="147"/>
      <c r="BG17" s="147"/>
      <c r="BH17" s="147"/>
      <c r="BI17" s="147"/>
      <c r="BJ17" s="147"/>
      <c r="BK17" s="147"/>
      <c r="BL17" s="147"/>
      <c r="BM17" s="147"/>
      <c r="BN17" s="147"/>
      <c r="BO17" s="147"/>
      <c r="BP17" s="147"/>
      <c r="BQ17" s="147"/>
      <c r="BR17" s="147"/>
      <c r="BS17" s="147"/>
      <c r="BT17" s="147"/>
      <c r="BU17" s="147"/>
      <c r="BV17" s="147"/>
      <c r="BW17" s="147"/>
      <c r="BX17" s="147"/>
      <c r="BY17" s="147"/>
      <c r="BZ17" s="147"/>
      <c r="CA17" s="147"/>
      <c r="CB17" s="147"/>
      <c r="CC17" s="147"/>
      <c r="CD17" s="147"/>
      <c r="CE17" s="147"/>
      <c r="CF17" s="147"/>
      <c r="CG17" s="147"/>
      <c r="CH17" s="147"/>
      <c r="CI17" s="147"/>
      <c r="CJ17" s="147"/>
      <c r="CK17" s="147"/>
      <c r="CL17" s="147"/>
      <c r="CM17" s="147"/>
      <c r="CN17" s="147"/>
      <c r="CO17" s="147"/>
      <c r="CP17" s="147"/>
    </row>
    <row r="18" spans="1:94" s="153" customFormat="1" ht="26.25" customHeight="1" x14ac:dyDescent="0.25">
      <c r="A18" s="139"/>
      <c r="B18" s="168"/>
      <c r="C18" s="457" t="s">
        <v>35</v>
      </c>
      <c r="D18" s="458"/>
      <c r="E18" s="150"/>
      <c r="F18" s="165"/>
      <c r="G18" s="166"/>
      <c r="H18" s="169"/>
      <c r="I18" s="166"/>
      <c r="J18" s="166"/>
      <c r="K18" s="166"/>
      <c r="L18" s="166"/>
      <c r="M18" s="166"/>
      <c r="N18" s="166"/>
      <c r="O18"/>
      <c r="P18"/>
      <c r="Q18"/>
      <c r="R18"/>
      <c r="S18"/>
      <c r="T18"/>
      <c r="U18"/>
      <c r="V18"/>
      <c r="W18"/>
      <c r="X18"/>
      <c r="Y18"/>
      <c r="Z18" s="344"/>
      <c r="AA18" s="336"/>
      <c r="AB18" s="336"/>
      <c r="AC18" s="336"/>
      <c r="AD18" s="329"/>
      <c r="AE18" s="147"/>
      <c r="AF18" s="147"/>
      <c r="AG18" s="147"/>
      <c r="AH18" s="147"/>
      <c r="AI18" s="147"/>
      <c r="AJ18" s="147"/>
      <c r="AK18" s="147"/>
      <c r="AL18" s="147"/>
      <c r="AM18" s="147"/>
      <c r="AN18" s="147"/>
      <c r="AO18" s="147"/>
      <c r="AP18" s="147"/>
      <c r="AQ18" s="147"/>
      <c r="AR18" s="147"/>
      <c r="AS18" s="147"/>
      <c r="AT18" s="147"/>
      <c r="AU18" s="147"/>
      <c r="AV18" s="147"/>
      <c r="AW18" s="147"/>
      <c r="AX18" s="147"/>
      <c r="AY18" s="147"/>
      <c r="AZ18" s="147"/>
      <c r="BA18" s="147"/>
      <c r="BB18" s="147"/>
      <c r="BC18" s="147"/>
      <c r="BD18" s="147"/>
      <c r="BE18" s="147"/>
      <c r="BF18" s="147"/>
      <c r="BG18" s="147"/>
      <c r="BH18" s="147"/>
      <c r="BI18" s="147"/>
      <c r="BJ18" s="147"/>
      <c r="BK18" s="147"/>
      <c r="BL18" s="147"/>
      <c r="BM18" s="147"/>
      <c r="BN18" s="147"/>
      <c r="BO18" s="147"/>
      <c r="BP18" s="147"/>
      <c r="BQ18" s="147"/>
      <c r="BR18" s="147"/>
      <c r="BS18" s="147"/>
      <c r="BT18" s="147"/>
      <c r="BU18" s="147"/>
      <c r="BV18" s="147"/>
      <c r="BW18" s="147"/>
      <c r="BX18" s="147"/>
      <c r="BY18" s="147"/>
      <c r="BZ18" s="147"/>
      <c r="CA18" s="147"/>
      <c r="CB18" s="147"/>
      <c r="CC18" s="147"/>
      <c r="CD18" s="147"/>
      <c r="CE18" s="147"/>
      <c r="CF18" s="147"/>
      <c r="CG18" s="147"/>
      <c r="CH18" s="147"/>
      <c r="CI18" s="147"/>
      <c r="CJ18" s="147"/>
      <c r="CK18" s="147"/>
      <c r="CL18" s="147"/>
    </row>
    <row r="19" spans="1:94" s="153" customFormat="1" ht="25.5" x14ac:dyDescent="0.25">
      <c r="A19" s="238"/>
      <c r="B19" s="202"/>
      <c r="C19" s="239" t="s">
        <v>86</v>
      </c>
      <c r="D19" s="240" t="s">
        <v>87</v>
      </c>
      <c r="E19" s="241"/>
      <c r="F19" s="165"/>
      <c r="G19" s="166"/>
      <c r="H19" s="169"/>
      <c r="I19" s="170"/>
      <c r="J19" s="166"/>
      <c r="K19" s="166"/>
      <c r="L19" s="169"/>
      <c r="M19" s="166"/>
      <c r="N19" s="166"/>
      <c r="O19"/>
      <c r="P19"/>
      <c r="Q19"/>
      <c r="R19"/>
      <c r="S19"/>
      <c r="T19"/>
      <c r="U19"/>
      <c r="V19"/>
      <c r="W19"/>
      <c r="X19"/>
      <c r="Y19"/>
      <c r="Z19" s="344"/>
      <c r="AA19" s="363"/>
      <c r="AB19" s="363"/>
      <c r="AC19" s="363"/>
      <c r="AD19" s="329"/>
      <c r="AE19" s="147"/>
      <c r="AF19" s="147"/>
      <c r="AG19" s="147"/>
      <c r="AH19" s="147"/>
      <c r="AI19" s="147"/>
      <c r="AJ19" s="147"/>
      <c r="AK19" s="147"/>
      <c r="AL19" s="147"/>
      <c r="AM19" s="147"/>
      <c r="AN19" s="147"/>
      <c r="AO19" s="147"/>
      <c r="AP19" s="147"/>
      <c r="AQ19" s="147"/>
      <c r="AR19" s="147"/>
      <c r="AS19" s="147"/>
      <c r="AT19" s="147"/>
      <c r="AU19" s="147"/>
      <c r="AV19" s="147"/>
      <c r="AW19" s="147"/>
      <c r="AX19" s="147"/>
      <c r="AY19" s="147"/>
      <c r="AZ19" s="147"/>
      <c r="BA19" s="147"/>
      <c r="BB19" s="147"/>
      <c r="BC19" s="147"/>
      <c r="BD19" s="147"/>
      <c r="BE19" s="147"/>
      <c r="BF19" s="147"/>
      <c r="BG19" s="147"/>
      <c r="BH19" s="147"/>
      <c r="BI19" s="147"/>
      <c r="BJ19" s="147"/>
      <c r="BK19" s="147"/>
      <c r="BL19" s="147"/>
      <c r="BM19" s="147"/>
      <c r="BN19" s="147"/>
      <c r="BO19" s="147"/>
      <c r="BP19" s="147"/>
      <c r="BQ19" s="147"/>
      <c r="BR19" s="147"/>
      <c r="BS19" s="147"/>
      <c r="BT19" s="147"/>
      <c r="BU19" s="147"/>
      <c r="BV19" s="147"/>
      <c r="BW19" s="147"/>
      <c r="BX19" s="147"/>
      <c r="BY19" s="147"/>
      <c r="BZ19" s="147"/>
      <c r="CA19" s="147"/>
      <c r="CB19" s="147"/>
      <c r="CC19" s="147"/>
      <c r="CD19" s="147"/>
      <c r="CE19" s="147"/>
      <c r="CF19" s="147"/>
      <c r="CG19" s="147"/>
      <c r="CH19" s="147"/>
      <c r="CI19" s="147"/>
      <c r="CJ19" s="147"/>
      <c r="CK19" s="147"/>
      <c r="CL19" s="147"/>
      <c r="CM19" s="147"/>
      <c r="CN19" s="147"/>
      <c r="CO19" s="147"/>
      <c r="CP19" s="147"/>
    </row>
    <row r="20" spans="1:94" s="177" customFormat="1" ht="15" x14ac:dyDescent="0.25">
      <c r="A20" s="171"/>
      <c r="B20" s="172"/>
      <c r="C20" s="244"/>
      <c r="D20" s="242"/>
      <c r="E20" s="173"/>
      <c r="F20" s="174">
        <v>0</v>
      </c>
      <c r="G20" s="175">
        <v>0</v>
      </c>
      <c r="H20" s="176">
        <f t="shared" ref="H20:H30" si="0">IF(AND($F20&lt;&gt;0,$G20&lt;&gt;0,OR($E20=1,$E20=3)),$F20*Health,0)</f>
        <v>0</v>
      </c>
      <c r="I20" s="176">
        <f t="shared" ref="I20:I30" si="1">IF(AND($E20=1,$C20=""),$G20*PermVB+$G20*Retire1,IF($E20=1,$G20*PermVB+$G20*VLOOKUP($C20,Retirement_Rates,3,FALSE),IF($E20=2,$G20*GroupVB,IF(AND($E20=3,$C20=""),$G20*ElectVB+$G20*Retire1,IF($E20=3,$G20*ElectVB+$G20*VLOOKUP($C20,Retirement_Rates,3,FALSE),0)))))</f>
        <v>0</v>
      </c>
      <c r="J20" s="159">
        <f>IF($E20&gt;0,SUM($G20:$I20),0)</f>
        <v>0</v>
      </c>
      <c r="K20" s="166"/>
      <c r="L20" s="176">
        <f t="shared" ref="L20:L30" si="2">IF(AND($F20&lt;&gt;0,$G20&lt;&gt;0,OR($E20=1,$E20=3)),$F20*HealthCHG,0)</f>
        <v>0</v>
      </c>
      <c r="M20" s="176">
        <f>IF(AND($E20=1,$C20=""),$G20*PermVBCHG+$G20*Retire1CHG,IF($E20=1,$G20*PermVBCHG+$G20*VLOOKUP($C20,Retirement_Rates,5,FALSE),IF($E20=2,0,IF(AND($E20=3,$C20=""),$G20*ElectVBCHG+$G20*Retire1CHG,IF($E20=3,$G20*ElectVBCHG+$G20*VLOOKUP($C20,Retirement_Rates,5,FALSE),0)))))</f>
        <v>0</v>
      </c>
      <c r="N20" s="176">
        <f>SUM(L20:M20)</f>
        <v>0</v>
      </c>
      <c r="O20"/>
      <c r="P20"/>
      <c r="Q20"/>
      <c r="R20"/>
      <c r="S20"/>
      <c r="T20"/>
      <c r="U20"/>
      <c r="V20"/>
      <c r="W20"/>
      <c r="X20"/>
      <c r="Y20"/>
      <c r="Z20" s="344"/>
      <c r="AA20" s="363"/>
      <c r="AB20" s="363"/>
      <c r="AC20" s="363"/>
      <c r="AD20" s="329"/>
      <c r="AE20" s="147"/>
      <c r="AF20" s="147"/>
      <c r="AG20" s="147"/>
      <c r="AH20" s="147"/>
      <c r="AI20" s="147"/>
      <c r="AJ20" s="147"/>
      <c r="AK20" s="147"/>
      <c r="AL20" s="147"/>
      <c r="AM20" s="147"/>
      <c r="AN20" s="147"/>
      <c r="AO20" s="147"/>
      <c r="AP20" s="147"/>
      <c r="AQ20" s="147"/>
      <c r="AR20" s="147"/>
      <c r="AS20" s="147"/>
      <c r="AT20" s="147"/>
      <c r="AU20" s="147"/>
      <c r="AV20" s="147"/>
      <c r="AW20" s="147"/>
      <c r="AX20" s="147"/>
      <c r="AY20" s="147"/>
      <c r="AZ20" s="147"/>
      <c r="BA20" s="147"/>
      <c r="BB20" s="147"/>
      <c r="BC20" s="147"/>
      <c r="BD20" s="147"/>
      <c r="BE20" s="147"/>
      <c r="BF20" s="147"/>
      <c r="BG20" s="147"/>
      <c r="BH20" s="147"/>
      <c r="BI20" s="147"/>
      <c r="BJ20" s="147"/>
      <c r="BK20" s="147"/>
      <c r="BL20" s="147"/>
      <c r="BM20" s="147"/>
      <c r="BN20" s="147"/>
      <c r="BO20" s="147"/>
      <c r="BP20" s="147"/>
      <c r="BQ20" s="147"/>
      <c r="BR20" s="147"/>
      <c r="BS20" s="147"/>
      <c r="BT20" s="147"/>
      <c r="BU20" s="147"/>
      <c r="BV20" s="147"/>
      <c r="BW20" s="147"/>
      <c r="BX20" s="147"/>
      <c r="BY20" s="147"/>
      <c r="BZ20" s="147"/>
      <c r="CA20" s="147"/>
      <c r="CB20" s="147"/>
      <c r="CC20" s="147"/>
      <c r="CD20" s="147"/>
      <c r="CE20" s="147"/>
      <c r="CF20" s="147"/>
      <c r="CG20" s="147"/>
      <c r="CH20" s="147"/>
      <c r="CI20" s="147"/>
      <c r="CJ20" s="147"/>
      <c r="CK20" s="147"/>
      <c r="CL20" s="147"/>
      <c r="CM20" s="147"/>
      <c r="CN20" s="147"/>
      <c r="CO20" s="147"/>
      <c r="CP20" s="147"/>
    </row>
    <row r="21" spans="1:94" s="177" customFormat="1" ht="15" x14ac:dyDescent="0.25">
      <c r="A21" s="178"/>
      <c r="B21" s="179"/>
      <c r="C21" s="244"/>
      <c r="D21" s="242"/>
      <c r="E21" s="180"/>
      <c r="F21" s="181">
        <v>0</v>
      </c>
      <c r="G21" s="175">
        <v>0</v>
      </c>
      <c r="H21" s="176">
        <f t="shared" si="0"/>
        <v>0</v>
      </c>
      <c r="I21" s="176">
        <f t="shared" si="1"/>
        <v>0</v>
      </c>
      <c r="J21" s="159">
        <f t="shared" ref="J21:J35" si="3">IF($E21&gt;0,SUM($G21:$I21),0)</f>
        <v>0</v>
      </c>
      <c r="K21" s="166"/>
      <c r="L21" s="176">
        <f t="shared" si="2"/>
        <v>0</v>
      </c>
      <c r="M21" s="176">
        <f t="shared" ref="M21:M30" si="4">IF(AND($E21=1,$C21=""),$G21*PermVBCHG+$G21*Retire1CHG,IF($E21=1,$G21*PermVBCHG+$G21*VLOOKUP($C21,Retirement_Rates,5,FALSE),IF($E21=2,0,IF(AND($E21=3,$C21=""),$G21*ElectVBCHG+$G21*Retire1CHG,IF($E21=3,$G21*ElectVBCHG+$G21*VLOOKUP($C21,Retirement_Rates,5,FALSE),0)))))</f>
        <v>0</v>
      </c>
      <c r="N21" s="183">
        <f t="shared" ref="N21:N30" si="5">SUM(L21:M21)</f>
        <v>0</v>
      </c>
      <c r="O21"/>
      <c r="P21"/>
      <c r="Q21"/>
      <c r="R21"/>
      <c r="S21"/>
      <c r="T21"/>
      <c r="U21"/>
      <c r="V21"/>
      <c r="W21"/>
      <c r="X21"/>
      <c r="Y21"/>
      <c r="Z21" s="344"/>
      <c r="AA21" s="363"/>
      <c r="AB21" s="363"/>
      <c r="AC21" s="363"/>
      <c r="AD21" s="329"/>
      <c r="AE21" s="147"/>
      <c r="AF21" s="147"/>
      <c r="AG21" s="147"/>
      <c r="AH21" s="147"/>
      <c r="AI21" s="147"/>
      <c r="AJ21" s="147"/>
      <c r="AK21" s="147"/>
      <c r="AL21" s="147"/>
      <c r="AM21" s="147"/>
      <c r="AN21" s="147"/>
      <c r="AO21" s="147"/>
      <c r="AP21" s="147"/>
      <c r="AQ21" s="147"/>
      <c r="AR21" s="147"/>
      <c r="AS21" s="147"/>
      <c r="AT21" s="147"/>
      <c r="AU21" s="147"/>
      <c r="AV21" s="147"/>
      <c r="AW21" s="147"/>
      <c r="AX21" s="147"/>
      <c r="AY21" s="147"/>
      <c r="AZ21" s="147"/>
      <c r="BA21" s="147"/>
      <c r="BB21" s="147"/>
      <c r="BC21" s="147"/>
      <c r="BD21" s="147"/>
      <c r="BE21" s="147"/>
      <c r="BF21" s="147"/>
      <c r="BG21" s="147"/>
      <c r="BH21" s="147"/>
      <c r="BI21" s="147"/>
      <c r="BJ21" s="147"/>
      <c r="BK21" s="147"/>
      <c r="BL21" s="147"/>
      <c r="BM21" s="147"/>
      <c r="BN21" s="147"/>
      <c r="BO21" s="147"/>
      <c r="BP21" s="147"/>
      <c r="BQ21" s="147"/>
      <c r="BR21" s="147"/>
      <c r="BS21" s="147"/>
      <c r="BT21" s="147"/>
      <c r="BU21" s="147"/>
      <c r="BV21" s="147"/>
      <c r="BW21" s="147"/>
      <c r="BX21" s="147"/>
      <c r="BY21" s="147"/>
      <c r="BZ21" s="147"/>
      <c r="CA21" s="147"/>
      <c r="CB21" s="147"/>
      <c r="CC21" s="147"/>
      <c r="CD21" s="147"/>
      <c r="CE21" s="147"/>
      <c r="CF21" s="147"/>
      <c r="CG21" s="147"/>
      <c r="CH21" s="147"/>
      <c r="CI21" s="147"/>
      <c r="CJ21" s="147"/>
      <c r="CK21" s="147"/>
      <c r="CL21" s="147"/>
      <c r="CM21" s="147"/>
      <c r="CN21" s="147"/>
      <c r="CO21" s="147"/>
      <c r="CP21" s="147"/>
    </row>
    <row r="22" spans="1:94" s="177" customFormat="1" ht="15" x14ac:dyDescent="0.25">
      <c r="A22" s="178"/>
      <c r="B22" s="179"/>
      <c r="C22" s="244"/>
      <c r="D22" s="242"/>
      <c r="E22" s="180"/>
      <c r="F22" s="181">
        <v>0</v>
      </c>
      <c r="G22" s="175">
        <v>0</v>
      </c>
      <c r="H22" s="176">
        <f t="shared" si="0"/>
        <v>0</v>
      </c>
      <c r="I22" s="176">
        <f t="shared" si="1"/>
        <v>0</v>
      </c>
      <c r="J22" s="159">
        <f t="shared" si="3"/>
        <v>0</v>
      </c>
      <c r="K22" s="166"/>
      <c r="L22" s="176">
        <f t="shared" si="2"/>
        <v>0</v>
      </c>
      <c r="M22" s="176">
        <f t="shared" si="4"/>
        <v>0</v>
      </c>
      <c r="N22" s="183">
        <f t="shared" si="5"/>
        <v>0</v>
      </c>
      <c r="O22"/>
      <c r="P22"/>
      <c r="Q22"/>
      <c r="R22"/>
      <c r="S22"/>
      <c r="T22"/>
      <c r="U22"/>
      <c r="V22"/>
      <c r="W22"/>
      <c r="X22"/>
      <c r="Y22"/>
      <c r="Z22" s="344"/>
      <c r="AA22" s="363"/>
      <c r="AB22" s="363"/>
      <c r="AC22" s="363"/>
      <c r="AD22" s="329"/>
      <c r="AE22" s="147"/>
      <c r="AF22" s="147"/>
      <c r="AG22" s="147"/>
      <c r="AH22" s="147"/>
      <c r="AI22" s="147"/>
      <c r="AJ22" s="147"/>
      <c r="AK22" s="147"/>
      <c r="AL22" s="147"/>
      <c r="AM22" s="147"/>
      <c r="AN22" s="147"/>
      <c r="AO22" s="147"/>
      <c r="AP22" s="147"/>
      <c r="AQ22" s="147"/>
      <c r="AR22" s="147"/>
      <c r="AS22" s="147"/>
      <c r="AT22" s="147"/>
      <c r="AU22" s="147"/>
      <c r="AV22" s="147"/>
      <c r="AW22" s="147"/>
      <c r="AX22" s="147"/>
      <c r="AY22" s="147"/>
      <c r="AZ22" s="147"/>
      <c r="BA22" s="147"/>
      <c r="BB22" s="147"/>
      <c r="BC22" s="147"/>
      <c r="BD22" s="147"/>
      <c r="BE22" s="147"/>
      <c r="BF22" s="147"/>
      <c r="BG22" s="147"/>
      <c r="BH22" s="147"/>
      <c r="BI22" s="147"/>
      <c r="BJ22" s="147"/>
      <c r="BK22" s="147"/>
      <c r="BL22" s="147"/>
      <c r="BM22" s="147"/>
      <c r="BN22" s="147"/>
      <c r="BO22" s="147"/>
      <c r="BP22" s="147"/>
      <c r="BQ22" s="147"/>
      <c r="BR22" s="147"/>
      <c r="BS22" s="147"/>
      <c r="BT22" s="147"/>
      <c r="BU22" s="147"/>
      <c r="BV22" s="147"/>
      <c r="BW22" s="147"/>
      <c r="BX22" s="147"/>
      <c r="BY22" s="147"/>
      <c r="BZ22" s="147"/>
      <c r="CA22" s="147"/>
      <c r="CB22" s="147"/>
      <c r="CC22" s="147"/>
      <c r="CD22" s="147"/>
      <c r="CE22" s="147"/>
      <c r="CF22" s="147"/>
      <c r="CG22" s="147"/>
      <c r="CH22" s="147"/>
      <c r="CI22" s="147"/>
      <c r="CJ22" s="147"/>
      <c r="CK22" s="147"/>
      <c r="CL22" s="147"/>
      <c r="CM22" s="147"/>
      <c r="CN22" s="147"/>
      <c r="CO22" s="147"/>
      <c r="CP22" s="147"/>
    </row>
    <row r="23" spans="1:94" s="177" customFormat="1" ht="15" x14ac:dyDescent="0.25">
      <c r="A23" s="178"/>
      <c r="B23" s="179"/>
      <c r="C23" s="244"/>
      <c r="D23" s="242"/>
      <c r="E23" s="180"/>
      <c r="F23" s="181">
        <v>0</v>
      </c>
      <c r="G23" s="175">
        <v>0</v>
      </c>
      <c r="H23" s="176">
        <f t="shared" si="0"/>
        <v>0</v>
      </c>
      <c r="I23" s="176">
        <f t="shared" si="1"/>
        <v>0</v>
      </c>
      <c r="J23" s="159">
        <f t="shared" si="3"/>
        <v>0</v>
      </c>
      <c r="K23" s="166"/>
      <c r="L23" s="176">
        <f t="shared" si="2"/>
        <v>0</v>
      </c>
      <c r="M23" s="176">
        <f t="shared" si="4"/>
        <v>0</v>
      </c>
      <c r="N23" s="183">
        <f t="shared" si="5"/>
        <v>0</v>
      </c>
      <c r="O23"/>
      <c r="P23"/>
      <c r="Q23"/>
      <c r="R23"/>
      <c r="S23"/>
      <c r="T23"/>
      <c r="U23"/>
      <c r="V23"/>
      <c r="W23"/>
      <c r="X23"/>
      <c r="Y23"/>
      <c r="Z23" s="344"/>
      <c r="AA23" s="363"/>
      <c r="AB23" s="363"/>
      <c r="AC23" s="363"/>
      <c r="AD23" s="329"/>
      <c r="AE23" s="147"/>
      <c r="AF23" s="147"/>
      <c r="AG23" s="147"/>
      <c r="AH23" s="147"/>
      <c r="AI23" s="147"/>
      <c r="AJ23" s="147"/>
      <c r="AK23" s="147"/>
      <c r="AL23" s="147"/>
      <c r="AM23" s="147"/>
      <c r="AN23" s="147"/>
      <c r="AO23" s="147"/>
      <c r="AP23" s="147"/>
      <c r="AQ23" s="147"/>
      <c r="AR23" s="147"/>
      <c r="AS23" s="147"/>
      <c r="AT23" s="147"/>
      <c r="AU23" s="147"/>
      <c r="AV23" s="147"/>
      <c r="AW23" s="147"/>
      <c r="AX23" s="147"/>
      <c r="AY23" s="147"/>
      <c r="AZ23" s="147"/>
      <c r="BA23" s="147"/>
      <c r="BB23" s="147"/>
      <c r="BC23" s="147"/>
      <c r="BD23" s="147"/>
      <c r="BE23" s="147"/>
      <c r="BF23" s="147"/>
      <c r="BG23" s="147"/>
      <c r="BH23" s="147"/>
      <c r="BI23" s="147"/>
      <c r="BJ23" s="147"/>
      <c r="BK23" s="147"/>
      <c r="BL23" s="147"/>
      <c r="BM23" s="147"/>
      <c r="BN23" s="147"/>
      <c r="BO23" s="147"/>
      <c r="BP23" s="147"/>
      <c r="BQ23" s="147"/>
      <c r="BR23" s="147"/>
      <c r="BS23" s="147"/>
      <c r="BT23" s="147"/>
      <c r="BU23" s="147"/>
      <c r="BV23" s="147"/>
      <c r="BW23" s="147"/>
      <c r="BX23" s="147"/>
      <c r="BY23" s="147"/>
      <c r="BZ23" s="147"/>
      <c r="CA23" s="147"/>
      <c r="CB23" s="147"/>
      <c r="CC23" s="147"/>
      <c r="CD23" s="147"/>
      <c r="CE23" s="147"/>
      <c r="CF23" s="147"/>
      <c r="CG23" s="147"/>
      <c r="CH23" s="147"/>
      <c r="CI23" s="147"/>
      <c r="CJ23" s="147"/>
      <c r="CK23" s="147"/>
      <c r="CL23" s="147"/>
      <c r="CM23" s="147"/>
      <c r="CN23" s="147"/>
      <c r="CO23" s="147"/>
      <c r="CP23" s="147"/>
    </row>
    <row r="24" spans="1:94" s="177" customFormat="1" ht="15" x14ac:dyDescent="0.25">
      <c r="A24" s="178"/>
      <c r="B24" s="179"/>
      <c r="C24" s="244"/>
      <c r="D24" s="242"/>
      <c r="E24" s="180"/>
      <c r="F24" s="181">
        <v>0</v>
      </c>
      <c r="G24" s="175">
        <v>0</v>
      </c>
      <c r="H24" s="176">
        <f t="shared" si="0"/>
        <v>0</v>
      </c>
      <c r="I24" s="176">
        <f t="shared" si="1"/>
        <v>0</v>
      </c>
      <c r="J24" s="159">
        <f t="shared" si="3"/>
        <v>0</v>
      </c>
      <c r="K24" s="166"/>
      <c r="L24" s="176">
        <f t="shared" si="2"/>
        <v>0</v>
      </c>
      <c r="M24" s="176">
        <f t="shared" si="4"/>
        <v>0</v>
      </c>
      <c r="N24" s="183">
        <f t="shared" si="5"/>
        <v>0</v>
      </c>
      <c r="O24"/>
      <c r="P24"/>
      <c r="Q24"/>
      <c r="R24"/>
      <c r="S24"/>
      <c r="T24"/>
      <c r="U24"/>
      <c r="V24"/>
      <c r="W24"/>
      <c r="X24"/>
      <c r="Y24"/>
      <c r="Z24" s="344"/>
      <c r="AA24" s="345"/>
      <c r="AB24" s="363"/>
      <c r="AC24" s="363"/>
      <c r="AD24" s="329"/>
      <c r="AE24" s="147"/>
      <c r="AF24" s="147"/>
      <c r="AG24" s="147"/>
      <c r="AH24" s="147"/>
      <c r="AI24" s="147"/>
      <c r="AJ24" s="147"/>
      <c r="AK24" s="147"/>
      <c r="AL24" s="147"/>
      <c r="AM24" s="147"/>
      <c r="AN24" s="147"/>
      <c r="AO24" s="147"/>
      <c r="AP24" s="147"/>
      <c r="AQ24" s="147"/>
      <c r="AR24" s="147"/>
      <c r="AS24" s="147"/>
      <c r="AT24" s="147"/>
      <c r="AU24" s="147"/>
      <c r="AV24" s="147"/>
      <c r="AW24" s="147"/>
      <c r="AX24" s="147"/>
      <c r="AY24" s="147"/>
      <c r="AZ24" s="147"/>
      <c r="BA24" s="147"/>
      <c r="BB24" s="147"/>
      <c r="BC24" s="147"/>
      <c r="BD24" s="147"/>
      <c r="BE24" s="147"/>
      <c r="BF24" s="147"/>
      <c r="BG24" s="147"/>
      <c r="BH24" s="147"/>
      <c r="BI24" s="147"/>
      <c r="BJ24" s="147"/>
      <c r="BK24" s="147"/>
      <c r="BL24" s="147"/>
      <c r="BM24" s="147"/>
      <c r="BN24" s="147"/>
      <c r="BO24" s="147"/>
      <c r="BP24" s="147"/>
      <c r="BQ24" s="147"/>
      <c r="BR24" s="147"/>
      <c r="BS24" s="147"/>
      <c r="BT24" s="147"/>
      <c r="BU24" s="147"/>
      <c r="BV24" s="147"/>
      <c r="BW24" s="147"/>
      <c r="BX24" s="147"/>
      <c r="BY24" s="147"/>
      <c r="BZ24" s="147"/>
      <c r="CA24" s="147"/>
      <c r="CB24" s="147"/>
      <c r="CC24" s="147"/>
      <c r="CD24" s="147"/>
      <c r="CE24" s="147"/>
      <c r="CF24" s="147"/>
      <c r="CG24" s="147"/>
      <c r="CH24" s="147"/>
      <c r="CI24" s="147"/>
      <c r="CJ24" s="147"/>
      <c r="CK24" s="147"/>
      <c r="CL24" s="147"/>
      <c r="CM24" s="147"/>
      <c r="CN24" s="147"/>
      <c r="CO24" s="147"/>
      <c r="CP24" s="147"/>
    </row>
    <row r="25" spans="1:94" s="177" customFormat="1" ht="15" x14ac:dyDescent="0.25">
      <c r="A25" s="178"/>
      <c r="B25" s="179"/>
      <c r="C25" s="244"/>
      <c r="D25" s="242"/>
      <c r="E25" s="180"/>
      <c r="F25" s="181">
        <v>0</v>
      </c>
      <c r="G25" s="182">
        <v>0</v>
      </c>
      <c r="H25" s="176">
        <f t="shared" si="0"/>
        <v>0</v>
      </c>
      <c r="I25" s="176">
        <f t="shared" si="1"/>
        <v>0</v>
      </c>
      <c r="J25" s="159">
        <f t="shared" si="3"/>
        <v>0</v>
      </c>
      <c r="K25" s="166"/>
      <c r="L25" s="176">
        <f t="shared" si="2"/>
        <v>0</v>
      </c>
      <c r="M25" s="176">
        <f t="shared" si="4"/>
        <v>0</v>
      </c>
      <c r="N25" s="183">
        <f t="shared" si="5"/>
        <v>0</v>
      </c>
      <c r="O25"/>
      <c r="P25"/>
      <c r="Q25"/>
      <c r="R25"/>
      <c r="S25"/>
      <c r="T25"/>
      <c r="U25"/>
      <c r="V25"/>
      <c r="W25"/>
      <c r="X25"/>
      <c r="Y25"/>
      <c r="Z25" s="344"/>
      <c r="AA25" s="345"/>
      <c r="AB25" s="363"/>
      <c r="AC25" s="363"/>
      <c r="AD25" s="329"/>
      <c r="AE25" s="147"/>
      <c r="AF25" s="147"/>
      <c r="AG25" s="147"/>
      <c r="AH25" s="147"/>
      <c r="AI25" s="147"/>
      <c r="AJ25" s="147"/>
      <c r="AK25" s="147"/>
      <c r="AL25" s="147"/>
      <c r="AM25" s="147"/>
      <c r="AN25" s="147"/>
      <c r="AO25" s="147"/>
      <c r="AP25" s="147"/>
      <c r="AQ25" s="147"/>
      <c r="AR25" s="147"/>
      <c r="AS25" s="147"/>
      <c r="AT25" s="147"/>
      <c r="AU25" s="147"/>
      <c r="AV25" s="147"/>
      <c r="AW25" s="147"/>
      <c r="AX25" s="147"/>
      <c r="AY25" s="147"/>
      <c r="AZ25" s="147"/>
      <c r="BA25" s="147"/>
      <c r="BB25" s="147"/>
      <c r="BC25" s="147"/>
      <c r="BD25" s="147"/>
      <c r="BE25" s="147"/>
      <c r="BF25" s="147"/>
      <c r="BG25" s="147"/>
      <c r="BH25" s="147"/>
      <c r="BI25" s="147"/>
      <c r="BJ25" s="147"/>
      <c r="BK25" s="147"/>
      <c r="BL25" s="147"/>
      <c r="BM25" s="147"/>
      <c r="BN25" s="147"/>
      <c r="BO25" s="147"/>
      <c r="BP25" s="147"/>
      <c r="BQ25" s="147"/>
      <c r="BR25" s="147"/>
      <c r="BS25" s="147"/>
      <c r="BT25" s="147"/>
      <c r="BU25" s="147"/>
      <c r="BV25" s="147"/>
      <c r="BW25" s="147"/>
      <c r="BX25" s="147"/>
      <c r="BY25" s="147"/>
      <c r="BZ25" s="147"/>
      <c r="CA25" s="147"/>
      <c r="CB25" s="147"/>
      <c r="CC25" s="147"/>
      <c r="CD25" s="147"/>
      <c r="CE25" s="147"/>
      <c r="CF25" s="147"/>
      <c r="CG25" s="147"/>
      <c r="CH25" s="147"/>
      <c r="CI25" s="147"/>
      <c r="CJ25" s="147"/>
      <c r="CK25" s="147"/>
      <c r="CL25" s="147"/>
      <c r="CM25" s="147"/>
      <c r="CN25" s="147"/>
      <c r="CO25" s="147"/>
      <c r="CP25" s="147"/>
    </row>
    <row r="26" spans="1:94" s="177" customFormat="1" ht="15" x14ac:dyDescent="0.25">
      <c r="A26" s="178"/>
      <c r="B26" s="179"/>
      <c r="C26" s="244"/>
      <c r="D26" s="242"/>
      <c r="E26" s="180"/>
      <c r="F26" s="181">
        <v>0</v>
      </c>
      <c r="G26" s="182">
        <v>0</v>
      </c>
      <c r="H26" s="176">
        <f t="shared" si="0"/>
        <v>0</v>
      </c>
      <c r="I26" s="176">
        <f t="shared" si="1"/>
        <v>0</v>
      </c>
      <c r="J26" s="159">
        <f t="shared" si="3"/>
        <v>0</v>
      </c>
      <c r="K26" s="166"/>
      <c r="L26" s="176">
        <f t="shared" si="2"/>
        <v>0</v>
      </c>
      <c r="M26" s="176">
        <f t="shared" si="4"/>
        <v>0</v>
      </c>
      <c r="N26" s="183">
        <f t="shared" si="5"/>
        <v>0</v>
      </c>
      <c r="O26"/>
      <c r="P26"/>
      <c r="Q26"/>
      <c r="R26"/>
      <c r="S26"/>
      <c r="T26"/>
      <c r="U26"/>
      <c r="V26"/>
      <c r="W26"/>
      <c r="X26"/>
      <c r="Y26"/>
      <c r="Z26" s="344"/>
      <c r="AA26" s="345"/>
      <c r="AB26" s="363"/>
      <c r="AC26" s="363"/>
      <c r="AD26" s="329"/>
      <c r="AE26" s="147"/>
      <c r="AF26" s="147"/>
      <c r="AG26" s="147"/>
      <c r="AH26" s="147"/>
      <c r="AI26" s="147"/>
      <c r="AJ26" s="147"/>
      <c r="AK26" s="147"/>
      <c r="AL26" s="147"/>
      <c r="AM26" s="147"/>
      <c r="AN26" s="147"/>
      <c r="AO26" s="147"/>
      <c r="AP26" s="147"/>
      <c r="AQ26" s="147"/>
      <c r="AR26" s="147"/>
      <c r="AS26" s="147"/>
      <c r="AT26" s="147"/>
      <c r="AU26" s="147"/>
      <c r="AV26" s="147"/>
      <c r="AW26" s="147"/>
      <c r="AX26" s="147"/>
      <c r="AY26" s="147"/>
      <c r="AZ26" s="147"/>
      <c r="BA26" s="147"/>
      <c r="BB26" s="147"/>
      <c r="BC26" s="147"/>
      <c r="BD26" s="147"/>
      <c r="BE26" s="147"/>
      <c r="BF26" s="147"/>
      <c r="BG26" s="147"/>
      <c r="BH26" s="147"/>
      <c r="BI26" s="147"/>
      <c r="BJ26" s="147"/>
      <c r="BK26" s="147"/>
      <c r="BL26" s="147"/>
      <c r="BM26" s="147"/>
      <c r="BN26" s="147"/>
      <c r="BO26" s="147"/>
      <c r="BP26" s="147"/>
      <c r="BQ26" s="147"/>
      <c r="BR26" s="147"/>
      <c r="BS26" s="147"/>
      <c r="BT26" s="147"/>
      <c r="BU26" s="147"/>
      <c r="BV26" s="147"/>
      <c r="BW26" s="147"/>
      <c r="BX26" s="147"/>
      <c r="BY26" s="147"/>
      <c r="BZ26" s="147"/>
      <c r="CA26" s="147"/>
      <c r="CB26" s="147"/>
      <c r="CC26" s="147"/>
      <c r="CD26" s="147"/>
      <c r="CE26" s="147"/>
      <c r="CF26" s="147"/>
      <c r="CG26" s="147"/>
      <c r="CH26" s="147"/>
      <c r="CI26" s="147"/>
      <c r="CJ26" s="147"/>
      <c r="CK26" s="147"/>
      <c r="CL26" s="147"/>
      <c r="CM26" s="147"/>
      <c r="CN26" s="147"/>
      <c r="CO26" s="147"/>
      <c r="CP26" s="147"/>
    </row>
    <row r="27" spans="1:94" s="177" customFormat="1" ht="15" x14ac:dyDescent="0.25">
      <c r="A27" s="178"/>
      <c r="B27" s="179"/>
      <c r="C27" s="244"/>
      <c r="D27" s="242"/>
      <c r="E27" s="180"/>
      <c r="F27" s="181">
        <v>0</v>
      </c>
      <c r="G27" s="182">
        <v>0</v>
      </c>
      <c r="H27" s="176">
        <f t="shared" si="0"/>
        <v>0</v>
      </c>
      <c r="I27" s="176">
        <f t="shared" si="1"/>
        <v>0</v>
      </c>
      <c r="J27" s="159">
        <f t="shared" si="3"/>
        <v>0</v>
      </c>
      <c r="K27" s="166"/>
      <c r="L27" s="176">
        <f t="shared" si="2"/>
        <v>0</v>
      </c>
      <c r="M27" s="176">
        <f t="shared" si="4"/>
        <v>0</v>
      </c>
      <c r="N27" s="183">
        <f t="shared" si="5"/>
        <v>0</v>
      </c>
      <c r="O27"/>
      <c r="P27"/>
      <c r="Q27"/>
      <c r="R27"/>
      <c r="S27"/>
      <c r="T27"/>
      <c r="U27"/>
      <c r="V27"/>
      <c r="W27"/>
      <c r="X27"/>
      <c r="Y27"/>
      <c r="Z27" s="344"/>
      <c r="AA27" s="363"/>
      <c r="AB27" s="363"/>
      <c r="AC27" s="363"/>
      <c r="AD27" s="329"/>
      <c r="AE27" s="147"/>
      <c r="AF27" s="147"/>
      <c r="AG27" s="147"/>
      <c r="AH27" s="147"/>
      <c r="AI27" s="147"/>
      <c r="AJ27" s="147"/>
      <c r="AK27" s="147"/>
      <c r="AL27" s="147"/>
      <c r="AM27" s="147"/>
      <c r="AN27" s="147"/>
      <c r="AO27" s="147"/>
      <c r="AP27" s="147"/>
      <c r="AQ27" s="147"/>
      <c r="AR27" s="147"/>
      <c r="AS27" s="147"/>
      <c r="AT27" s="147"/>
      <c r="AU27" s="147"/>
      <c r="AV27" s="147"/>
      <c r="AW27" s="147"/>
      <c r="AX27" s="147"/>
      <c r="AY27" s="147"/>
      <c r="AZ27" s="147"/>
      <c r="BA27" s="147"/>
      <c r="BB27" s="147"/>
      <c r="BC27" s="147"/>
      <c r="BD27" s="147"/>
      <c r="BE27" s="147"/>
      <c r="BF27" s="147"/>
      <c r="BG27" s="147"/>
      <c r="BH27" s="147"/>
      <c r="BI27" s="147"/>
      <c r="BJ27" s="147"/>
      <c r="BK27" s="147"/>
      <c r="BL27" s="147"/>
      <c r="BM27" s="147"/>
      <c r="BN27" s="147"/>
      <c r="BO27" s="147"/>
      <c r="BP27" s="147"/>
      <c r="BQ27" s="147"/>
      <c r="BR27" s="147"/>
      <c r="BS27" s="147"/>
      <c r="BT27" s="147"/>
      <c r="BU27" s="147"/>
      <c r="BV27" s="147"/>
      <c r="BW27" s="147"/>
      <c r="BX27" s="147"/>
      <c r="BY27" s="147"/>
      <c r="BZ27" s="147"/>
      <c r="CA27" s="147"/>
      <c r="CB27" s="147"/>
      <c r="CC27" s="147"/>
      <c r="CD27" s="147"/>
      <c r="CE27" s="147"/>
      <c r="CF27" s="147"/>
      <c r="CG27" s="147"/>
      <c r="CH27" s="147"/>
      <c r="CI27" s="147"/>
      <c r="CJ27" s="147"/>
      <c r="CK27" s="147"/>
      <c r="CL27" s="147"/>
      <c r="CM27" s="147"/>
      <c r="CN27" s="147"/>
      <c r="CO27" s="147"/>
      <c r="CP27" s="147"/>
    </row>
    <row r="28" spans="1:94" s="177" customFormat="1" ht="15" x14ac:dyDescent="0.25">
      <c r="A28" s="178"/>
      <c r="B28" s="179"/>
      <c r="C28" s="244"/>
      <c r="D28" s="242"/>
      <c r="E28" s="180"/>
      <c r="F28" s="181">
        <v>0</v>
      </c>
      <c r="G28" s="182">
        <v>0</v>
      </c>
      <c r="H28" s="176">
        <f t="shared" si="0"/>
        <v>0</v>
      </c>
      <c r="I28" s="176">
        <f t="shared" si="1"/>
        <v>0</v>
      </c>
      <c r="J28" s="159">
        <f t="shared" si="3"/>
        <v>0</v>
      </c>
      <c r="K28" s="166"/>
      <c r="L28" s="176">
        <f t="shared" si="2"/>
        <v>0</v>
      </c>
      <c r="M28" s="176">
        <f t="shared" si="4"/>
        <v>0</v>
      </c>
      <c r="N28" s="183">
        <f t="shared" si="5"/>
        <v>0</v>
      </c>
      <c r="O28"/>
      <c r="P28"/>
      <c r="Q28"/>
      <c r="R28"/>
      <c r="S28"/>
      <c r="T28"/>
      <c r="U28"/>
      <c r="V28"/>
      <c r="W28"/>
      <c r="X28"/>
      <c r="Y28"/>
      <c r="Z28" s="344"/>
      <c r="AA28" s="363"/>
      <c r="AB28" s="363"/>
      <c r="AC28" s="363"/>
      <c r="AD28" s="329"/>
      <c r="AE28" s="147"/>
      <c r="AF28" s="147"/>
      <c r="AG28" s="147"/>
      <c r="AH28" s="147"/>
      <c r="AI28" s="147"/>
      <c r="AJ28" s="147"/>
      <c r="AK28" s="147"/>
      <c r="AL28" s="147"/>
      <c r="AM28" s="147"/>
      <c r="AN28" s="147"/>
      <c r="AO28" s="147"/>
      <c r="AP28" s="147"/>
      <c r="AQ28" s="147"/>
      <c r="AR28" s="147"/>
      <c r="AS28" s="147"/>
      <c r="AT28" s="147"/>
      <c r="AU28" s="147"/>
      <c r="AV28" s="147"/>
      <c r="AW28" s="147"/>
      <c r="AX28" s="147"/>
      <c r="AY28" s="147"/>
      <c r="AZ28" s="147"/>
      <c r="BA28" s="147"/>
      <c r="BB28" s="147"/>
      <c r="BC28" s="147"/>
      <c r="BD28" s="147"/>
      <c r="BE28" s="147"/>
      <c r="BF28" s="147"/>
      <c r="BG28" s="147"/>
      <c r="BH28" s="147"/>
      <c r="BI28" s="147"/>
      <c r="BJ28" s="147"/>
      <c r="BK28" s="147"/>
      <c r="BL28" s="147"/>
      <c r="BM28" s="147"/>
      <c r="BN28" s="147"/>
      <c r="BO28" s="147"/>
      <c r="BP28" s="147"/>
      <c r="BQ28" s="147"/>
      <c r="BR28" s="147"/>
      <c r="BS28" s="147"/>
      <c r="BT28" s="147"/>
      <c r="BU28" s="147"/>
      <c r="BV28" s="147"/>
      <c r="BW28" s="147"/>
      <c r="BX28" s="147"/>
      <c r="BY28" s="147"/>
      <c r="BZ28" s="147"/>
      <c r="CA28" s="147"/>
      <c r="CB28" s="147"/>
      <c r="CC28" s="147"/>
      <c r="CD28" s="147"/>
      <c r="CE28" s="147"/>
      <c r="CF28" s="147"/>
      <c r="CG28" s="147"/>
      <c r="CH28" s="147"/>
      <c r="CI28" s="147"/>
      <c r="CJ28" s="147"/>
      <c r="CK28" s="147"/>
      <c r="CL28" s="147"/>
      <c r="CM28" s="147"/>
      <c r="CN28" s="147"/>
      <c r="CO28" s="147"/>
      <c r="CP28" s="147"/>
    </row>
    <row r="29" spans="1:94" s="177" customFormat="1" ht="15" x14ac:dyDescent="0.25">
      <c r="A29" s="179"/>
      <c r="B29" s="179"/>
      <c r="C29" s="171"/>
      <c r="D29" s="243"/>
      <c r="E29" s="180"/>
      <c r="F29" s="181">
        <v>0</v>
      </c>
      <c r="G29" s="182">
        <v>0</v>
      </c>
      <c r="H29" s="176">
        <f t="shared" si="0"/>
        <v>0</v>
      </c>
      <c r="I29" s="176">
        <f t="shared" si="1"/>
        <v>0</v>
      </c>
      <c r="J29" s="159">
        <f t="shared" si="3"/>
        <v>0</v>
      </c>
      <c r="K29" s="166"/>
      <c r="L29" s="176">
        <f t="shared" si="2"/>
        <v>0</v>
      </c>
      <c r="M29" s="176">
        <f t="shared" si="4"/>
        <v>0</v>
      </c>
      <c r="N29" s="183">
        <f t="shared" si="5"/>
        <v>0</v>
      </c>
      <c r="O29"/>
      <c r="P29"/>
      <c r="Q29"/>
      <c r="R29"/>
      <c r="S29"/>
      <c r="T29"/>
      <c r="U29"/>
      <c r="V29"/>
      <c r="W29"/>
      <c r="X29"/>
      <c r="Y29"/>
      <c r="Z29" s="344"/>
      <c r="AA29" s="363"/>
      <c r="AB29" s="363"/>
      <c r="AC29" s="363"/>
      <c r="AD29" s="329"/>
      <c r="AE29" s="147"/>
      <c r="AF29" s="147"/>
      <c r="AG29" s="147"/>
      <c r="AH29" s="147"/>
      <c r="AI29" s="147"/>
      <c r="AJ29" s="147"/>
      <c r="AK29" s="147"/>
      <c r="AL29" s="147"/>
      <c r="AM29" s="147"/>
      <c r="AN29" s="147"/>
      <c r="AO29" s="147"/>
      <c r="AP29" s="147"/>
      <c r="AQ29" s="147"/>
      <c r="AR29" s="147"/>
      <c r="AS29" s="147"/>
      <c r="AT29" s="147"/>
      <c r="AU29" s="147"/>
      <c r="AV29" s="147"/>
      <c r="AW29" s="147"/>
      <c r="AX29" s="147"/>
      <c r="AY29" s="147"/>
      <c r="AZ29" s="147"/>
      <c r="BA29" s="147"/>
      <c r="BB29" s="147"/>
      <c r="BC29" s="147"/>
      <c r="BD29" s="147"/>
      <c r="BE29" s="147"/>
      <c r="BF29" s="147"/>
      <c r="BG29" s="147"/>
      <c r="BH29" s="147"/>
      <c r="BI29" s="147"/>
      <c r="BJ29" s="147"/>
      <c r="BK29" s="147"/>
      <c r="BL29" s="147"/>
      <c r="BM29" s="147"/>
      <c r="BN29" s="147"/>
      <c r="BO29" s="147"/>
      <c r="BP29" s="147"/>
      <c r="BQ29" s="147"/>
      <c r="BR29" s="147"/>
      <c r="BS29" s="147"/>
      <c r="BT29" s="147"/>
      <c r="BU29" s="147"/>
      <c r="BV29" s="147"/>
      <c r="BW29" s="147"/>
      <c r="BX29" s="147"/>
      <c r="BY29" s="147"/>
      <c r="BZ29" s="147"/>
      <c r="CA29" s="147"/>
      <c r="CB29" s="147"/>
      <c r="CC29" s="147"/>
      <c r="CD29" s="147"/>
      <c r="CE29" s="147"/>
      <c r="CF29" s="147"/>
      <c r="CG29" s="147"/>
      <c r="CH29" s="147"/>
      <c r="CI29" s="147"/>
      <c r="CJ29" s="147"/>
      <c r="CK29" s="147"/>
      <c r="CL29" s="147"/>
      <c r="CM29" s="147"/>
      <c r="CN29" s="147"/>
      <c r="CO29" s="147"/>
      <c r="CP29" s="147"/>
    </row>
    <row r="30" spans="1:94" s="177" customFormat="1" ht="15" x14ac:dyDescent="0.25">
      <c r="A30" s="179"/>
      <c r="B30" s="184"/>
      <c r="C30" s="171"/>
      <c r="D30" s="243"/>
      <c r="E30" s="180"/>
      <c r="F30" s="181">
        <v>0</v>
      </c>
      <c r="G30" s="182">
        <v>0</v>
      </c>
      <c r="H30" s="176">
        <f t="shared" si="0"/>
        <v>0</v>
      </c>
      <c r="I30" s="176">
        <f t="shared" si="1"/>
        <v>0</v>
      </c>
      <c r="J30" s="159">
        <f t="shared" si="3"/>
        <v>0</v>
      </c>
      <c r="K30" s="166"/>
      <c r="L30" s="176">
        <f t="shared" si="2"/>
        <v>0</v>
      </c>
      <c r="M30" s="176">
        <f t="shared" si="4"/>
        <v>0</v>
      </c>
      <c r="N30" s="183">
        <f t="shared" si="5"/>
        <v>0</v>
      </c>
      <c r="O30"/>
      <c r="P30"/>
      <c r="Q30"/>
      <c r="R30"/>
      <c r="S30"/>
      <c r="T30"/>
      <c r="U30"/>
      <c r="V30"/>
      <c r="W30"/>
      <c r="X30"/>
      <c r="Y30"/>
      <c r="Z30" s="344"/>
      <c r="AA30" s="363"/>
      <c r="AB30" s="363"/>
      <c r="AC30" s="363"/>
      <c r="AD30" s="329"/>
      <c r="AE30" s="147"/>
      <c r="AF30" s="147"/>
      <c r="AG30" s="147"/>
      <c r="AH30" s="147"/>
      <c r="AI30" s="147"/>
      <c r="AJ30" s="147"/>
      <c r="AK30" s="147"/>
      <c r="AL30" s="147"/>
      <c r="AM30" s="147"/>
      <c r="AN30" s="147"/>
      <c r="AO30" s="147"/>
      <c r="AP30" s="147"/>
      <c r="AQ30" s="147"/>
      <c r="AR30" s="147"/>
      <c r="AS30" s="147"/>
      <c r="AT30" s="147"/>
      <c r="AU30" s="147"/>
      <c r="AV30" s="147"/>
      <c r="AW30" s="147"/>
      <c r="AX30" s="147"/>
      <c r="AY30" s="147"/>
      <c r="AZ30" s="147"/>
      <c r="BA30" s="147"/>
      <c r="BB30" s="147"/>
      <c r="BC30" s="147"/>
      <c r="BD30" s="147"/>
      <c r="BE30" s="147"/>
      <c r="BF30" s="147"/>
      <c r="BG30" s="147"/>
      <c r="BH30" s="147"/>
      <c r="BI30" s="147"/>
      <c r="BJ30" s="147"/>
      <c r="BK30" s="147"/>
      <c r="BL30" s="147"/>
      <c r="BM30" s="147"/>
      <c r="BN30" s="147"/>
      <c r="BO30" s="147"/>
      <c r="BP30" s="147"/>
      <c r="BQ30" s="147"/>
      <c r="BR30" s="147"/>
      <c r="BS30" s="147"/>
      <c r="BT30" s="147"/>
      <c r="BU30" s="147"/>
      <c r="BV30" s="147"/>
      <c r="BW30" s="147"/>
      <c r="BX30" s="147"/>
      <c r="BY30" s="147"/>
      <c r="BZ30" s="147"/>
      <c r="CA30" s="147"/>
      <c r="CB30" s="147"/>
      <c r="CC30" s="147"/>
      <c r="CD30" s="147"/>
      <c r="CE30" s="147"/>
      <c r="CF30" s="147"/>
      <c r="CG30" s="147"/>
      <c r="CH30" s="147"/>
      <c r="CI30" s="147"/>
      <c r="CJ30" s="147"/>
      <c r="CK30" s="147"/>
      <c r="CL30" s="147"/>
      <c r="CM30" s="147"/>
      <c r="CN30" s="147"/>
      <c r="CO30" s="147"/>
      <c r="CP30" s="147"/>
    </row>
    <row r="31" spans="1:94" s="153" customFormat="1" ht="15" x14ac:dyDescent="0.25">
      <c r="A31" s="139"/>
      <c r="B31" s="168"/>
      <c r="C31" s="245"/>
      <c r="D31" s="246" t="s">
        <v>36</v>
      </c>
      <c r="E31" s="150"/>
      <c r="F31" s="165"/>
      <c r="G31" s="166"/>
      <c r="H31" s="166"/>
      <c r="I31" s="166"/>
      <c r="J31" s="166"/>
      <c r="K31" s="166"/>
      <c r="L31" s="166"/>
      <c r="M31" s="166"/>
      <c r="N31" s="166"/>
      <c r="O31"/>
      <c r="P31"/>
      <c r="Q31"/>
      <c r="R31"/>
      <c r="S31"/>
      <c r="T31"/>
      <c r="U31"/>
      <c r="V31"/>
      <c r="W31"/>
      <c r="X31"/>
      <c r="Y31"/>
      <c r="Z31" s="344"/>
      <c r="AA31" s="363"/>
      <c r="AB31" s="363"/>
      <c r="AC31" s="363"/>
      <c r="AD31" s="329"/>
      <c r="AE31" s="147"/>
      <c r="AF31" s="147"/>
      <c r="AG31" s="147"/>
      <c r="AH31" s="147"/>
      <c r="AI31" s="147"/>
      <c r="AJ31" s="147"/>
      <c r="AK31" s="147"/>
      <c r="AL31" s="147"/>
      <c r="AM31" s="147"/>
      <c r="AN31" s="147"/>
      <c r="AO31" s="147"/>
      <c r="AP31" s="147"/>
      <c r="AQ31" s="147"/>
      <c r="AR31" s="147"/>
      <c r="AS31" s="147"/>
      <c r="AT31" s="147"/>
      <c r="AU31" s="147"/>
      <c r="AV31" s="147"/>
      <c r="AW31" s="147"/>
      <c r="AX31" s="147"/>
      <c r="AY31" s="147"/>
      <c r="AZ31" s="147"/>
      <c r="BA31" s="147"/>
      <c r="BB31" s="147"/>
      <c r="BC31" s="147"/>
      <c r="BD31" s="147"/>
      <c r="BE31" s="147"/>
      <c r="BF31" s="147"/>
      <c r="BG31" s="147"/>
      <c r="BH31" s="147"/>
      <c r="BI31" s="147"/>
      <c r="BJ31" s="147"/>
      <c r="BK31" s="147"/>
      <c r="BL31" s="147"/>
      <c r="BM31" s="147"/>
      <c r="BN31" s="147"/>
      <c r="BO31" s="147"/>
      <c r="BP31" s="147"/>
      <c r="BQ31" s="147"/>
      <c r="BR31" s="147"/>
      <c r="BS31" s="147"/>
      <c r="BT31" s="147"/>
      <c r="BU31" s="147"/>
      <c r="BV31" s="147"/>
      <c r="BW31" s="147"/>
      <c r="BX31" s="147"/>
      <c r="BY31" s="147"/>
      <c r="BZ31" s="147"/>
      <c r="CA31" s="147"/>
      <c r="CB31" s="147"/>
      <c r="CC31" s="147"/>
      <c r="CD31" s="147"/>
      <c r="CE31" s="147"/>
      <c r="CF31" s="147"/>
      <c r="CG31" s="147"/>
      <c r="CH31" s="147"/>
      <c r="CI31" s="147"/>
      <c r="CJ31" s="147"/>
      <c r="CK31" s="147"/>
      <c r="CL31" s="147"/>
      <c r="CM31" s="147"/>
      <c r="CN31" s="147"/>
      <c r="CO31" s="147"/>
      <c r="CP31" s="147"/>
    </row>
    <row r="32" spans="1:94" s="177" customFormat="1" ht="15" x14ac:dyDescent="0.25">
      <c r="A32" s="185"/>
      <c r="B32" s="185"/>
      <c r="C32" s="244"/>
      <c r="D32" s="242"/>
      <c r="E32" s="173"/>
      <c r="F32" s="174">
        <v>0</v>
      </c>
      <c r="G32" s="175">
        <v>0</v>
      </c>
      <c r="H32" s="176">
        <f t="shared" ref="H32:H35" si="6">IF(AND($F32&lt;&gt;0,$G32&lt;&gt;0,OR($E32=1,$E32=3)),$F32*Health,0)</f>
        <v>0</v>
      </c>
      <c r="I32" s="176">
        <f t="shared" ref="I32:I34" si="7">IF(AND($E32=1,$C32=""),$G32*PermVB+$G32*Retire1,IF($E32=1,$G32*PermVB+$G32*VLOOKUP($C32,Retirement_Rates,3,FALSE),IF($E32=2,$G32*GroupVB,IF(AND($E32=3,$C32=""),$G32*ElectVB+$G32*Retire1,IF($E32=3,$G32*ElectVB+$G32*VLOOKUP($C32,Retirement_Rates,3,FALSE),0)))))</f>
        <v>0</v>
      </c>
      <c r="J32" s="279">
        <f t="shared" si="3"/>
        <v>0</v>
      </c>
      <c r="K32" s="166"/>
      <c r="L32" s="176">
        <f t="shared" ref="L32:L35" si="8">IF(AND($F32&lt;&gt;0,$G32&lt;&gt;0,OR($E32=1,$E32=3)),$F32*HealthCHG,0)</f>
        <v>0</v>
      </c>
      <c r="M32" s="176">
        <f t="shared" ref="M32:M35" si="9">IF(AND($E32=1,$C32=""),$G32*PermVBCHG+$G32*Retire1CHG,IF($E32=1,$G32*PermVBCHG+$G32*VLOOKUP($C32,Retirement_Rates,5,FALSE),IF($E32=2,0,IF(AND($E32=3,$C32=""),$G32*ElectVBCHG+$G32*Retire1CHG,IF($E32=3,$G32*ElectVBCHG+$G32*VLOOKUP($C32,Retirement_Rates,5,FALSE),0)))))</f>
        <v>0</v>
      </c>
      <c r="N32" s="176">
        <f t="shared" ref="N32:N35" si="10">SUM(L32:M32)</f>
        <v>0</v>
      </c>
      <c r="O32"/>
      <c r="P32"/>
      <c r="Q32"/>
      <c r="R32"/>
      <c r="S32"/>
      <c r="T32"/>
      <c r="U32"/>
      <c r="V32"/>
      <c r="W32"/>
      <c r="X32"/>
      <c r="Y32"/>
      <c r="Z32" s="344"/>
      <c r="AA32" s="363"/>
      <c r="AB32" s="363"/>
      <c r="AC32" s="363"/>
      <c r="AD32" s="329"/>
      <c r="AE32" s="147"/>
      <c r="AF32" s="147"/>
      <c r="AG32" s="147"/>
      <c r="AH32" s="147"/>
      <c r="AI32" s="147"/>
      <c r="AJ32" s="147"/>
      <c r="AK32" s="147"/>
      <c r="AL32" s="147"/>
      <c r="AM32" s="147"/>
      <c r="AN32" s="147"/>
      <c r="AO32" s="147"/>
      <c r="AP32" s="147"/>
      <c r="AQ32" s="147"/>
      <c r="AR32" s="147"/>
      <c r="AS32" s="147"/>
      <c r="AT32" s="147"/>
      <c r="AU32" s="147"/>
      <c r="AV32" s="147"/>
      <c r="AW32" s="147"/>
      <c r="AX32" s="147"/>
      <c r="AY32" s="147"/>
      <c r="AZ32" s="147"/>
      <c r="BA32" s="147"/>
      <c r="BB32" s="147"/>
      <c r="BC32" s="147"/>
      <c r="BD32" s="147"/>
      <c r="BE32" s="147"/>
      <c r="BF32" s="147"/>
      <c r="BG32" s="147"/>
      <c r="BH32" s="147"/>
      <c r="BI32" s="147"/>
      <c r="BJ32" s="147"/>
      <c r="BK32" s="147"/>
      <c r="BL32" s="147"/>
      <c r="BM32" s="147"/>
      <c r="BN32" s="147"/>
      <c r="BO32" s="147"/>
      <c r="BP32" s="147"/>
      <c r="BQ32" s="147"/>
      <c r="BR32" s="147"/>
      <c r="BS32" s="147"/>
      <c r="BT32" s="147"/>
      <c r="BU32" s="147"/>
      <c r="BV32" s="147"/>
      <c r="BW32" s="147"/>
      <c r="BX32" s="147"/>
      <c r="BY32" s="147"/>
      <c r="BZ32" s="147"/>
      <c r="CA32" s="147"/>
      <c r="CB32" s="147"/>
      <c r="CC32" s="147"/>
      <c r="CD32" s="147"/>
      <c r="CE32" s="147"/>
      <c r="CF32" s="147"/>
      <c r="CG32" s="147"/>
      <c r="CH32" s="147"/>
      <c r="CI32" s="147"/>
      <c r="CJ32" s="147"/>
      <c r="CK32" s="147"/>
      <c r="CL32" s="147"/>
      <c r="CM32" s="147"/>
      <c r="CN32" s="147"/>
      <c r="CO32" s="147"/>
      <c r="CP32" s="147"/>
    </row>
    <row r="33" spans="1:94" s="177" customFormat="1" ht="15" x14ac:dyDescent="0.25">
      <c r="A33" s="186"/>
      <c r="B33" s="187"/>
      <c r="C33" s="244"/>
      <c r="D33" s="242"/>
      <c r="E33" s="180"/>
      <c r="F33" s="181">
        <v>0</v>
      </c>
      <c r="G33" s="182">
        <v>0</v>
      </c>
      <c r="H33" s="176">
        <f t="shared" si="6"/>
        <v>0</v>
      </c>
      <c r="I33" s="176">
        <f t="shared" si="7"/>
        <v>0</v>
      </c>
      <c r="J33" s="279">
        <f t="shared" si="3"/>
        <v>0</v>
      </c>
      <c r="K33" s="166"/>
      <c r="L33" s="176">
        <f t="shared" si="8"/>
        <v>0</v>
      </c>
      <c r="M33" s="176">
        <f t="shared" si="9"/>
        <v>0</v>
      </c>
      <c r="N33" s="183">
        <f t="shared" si="10"/>
        <v>0</v>
      </c>
      <c r="O33"/>
      <c r="P33"/>
      <c r="Q33"/>
      <c r="R33"/>
      <c r="S33"/>
      <c r="T33"/>
      <c r="U33"/>
      <c r="V33"/>
      <c r="W33"/>
      <c r="X33"/>
      <c r="Y33"/>
      <c r="Z33" s="344"/>
      <c r="AA33" s="363"/>
      <c r="AB33" s="363"/>
      <c r="AC33" s="363"/>
      <c r="AD33" s="329"/>
      <c r="AE33" s="147"/>
      <c r="AF33" s="147"/>
      <c r="AG33" s="147"/>
      <c r="AH33" s="147"/>
      <c r="AI33" s="147"/>
      <c r="AJ33" s="147"/>
      <c r="AK33" s="147"/>
      <c r="AL33" s="147"/>
      <c r="AM33" s="147"/>
      <c r="AN33" s="147"/>
      <c r="AO33" s="147"/>
      <c r="AP33" s="147"/>
      <c r="AQ33" s="147"/>
      <c r="AR33" s="147"/>
      <c r="AS33" s="147"/>
      <c r="AT33" s="147"/>
      <c r="AU33" s="147"/>
      <c r="AV33" s="147"/>
      <c r="AW33" s="147"/>
      <c r="AX33" s="147"/>
      <c r="AY33" s="147"/>
      <c r="AZ33" s="147"/>
      <c r="BA33" s="147"/>
      <c r="BB33" s="147"/>
      <c r="BC33" s="147"/>
      <c r="BD33" s="147"/>
      <c r="BE33" s="147"/>
      <c r="BF33" s="147"/>
      <c r="BG33" s="147"/>
      <c r="BH33" s="147"/>
      <c r="BI33" s="147"/>
      <c r="BJ33" s="147"/>
      <c r="BK33" s="147"/>
      <c r="BL33" s="147"/>
      <c r="BM33" s="147"/>
      <c r="BN33" s="147"/>
      <c r="BO33" s="147"/>
      <c r="BP33" s="147"/>
      <c r="BQ33" s="147"/>
      <c r="BR33" s="147"/>
      <c r="BS33" s="147"/>
      <c r="BT33" s="147"/>
      <c r="BU33" s="147"/>
      <c r="BV33" s="147"/>
      <c r="BW33" s="147"/>
      <c r="BX33" s="147"/>
      <c r="BY33" s="147"/>
      <c r="BZ33" s="147"/>
      <c r="CA33" s="147"/>
      <c r="CB33" s="147"/>
      <c r="CC33" s="147"/>
      <c r="CD33" s="147"/>
      <c r="CE33" s="147"/>
      <c r="CF33" s="147"/>
      <c r="CG33" s="147"/>
      <c r="CH33" s="147"/>
      <c r="CI33" s="147"/>
      <c r="CJ33" s="147"/>
      <c r="CK33" s="147"/>
      <c r="CL33" s="147"/>
      <c r="CM33" s="147"/>
      <c r="CN33" s="147"/>
      <c r="CO33" s="147"/>
      <c r="CP33" s="147"/>
    </row>
    <row r="34" spans="1:94" s="177" customFormat="1" ht="15" x14ac:dyDescent="0.25">
      <c r="A34" s="186"/>
      <c r="B34" s="187"/>
      <c r="C34" s="244"/>
      <c r="D34" s="242"/>
      <c r="E34" s="180"/>
      <c r="F34" s="181">
        <v>0</v>
      </c>
      <c r="G34" s="182">
        <v>0</v>
      </c>
      <c r="H34" s="176">
        <f t="shared" si="6"/>
        <v>0</v>
      </c>
      <c r="I34" s="176">
        <f t="shared" si="7"/>
        <v>0</v>
      </c>
      <c r="J34" s="279">
        <f t="shared" si="3"/>
        <v>0</v>
      </c>
      <c r="K34" s="280"/>
      <c r="L34" s="176">
        <f t="shared" si="8"/>
        <v>0</v>
      </c>
      <c r="M34" s="176">
        <f t="shared" si="9"/>
        <v>0</v>
      </c>
      <c r="N34" s="183">
        <f t="shared" si="10"/>
        <v>0</v>
      </c>
      <c r="O34"/>
      <c r="P34"/>
      <c r="Q34"/>
      <c r="R34"/>
      <c r="S34"/>
      <c r="T34"/>
      <c r="U34"/>
      <c r="V34"/>
      <c r="W34"/>
      <c r="X34"/>
      <c r="Y34"/>
      <c r="Z34" s="344"/>
      <c r="AA34" s="363"/>
      <c r="AB34" s="363"/>
      <c r="AC34" s="363"/>
      <c r="AD34" s="329"/>
      <c r="AE34" s="147"/>
      <c r="AF34" s="147"/>
      <c r="AG34" s="147"/>
      <c r="AH34" s="147"/>
      <c r="AI34" s="147"/>
      <c r="AJ34" s="147"/>
      <c r="AK34" s="147"/>
      <c r="AL34" s="147"/>
      <c r="AM34" s="147"/>
      <c r="AN34" s="147"/>
      <c r="AO34" s="147"/>
      <c r="AP34" s="147"/>
      <c r="AQ34" s="147"/>
      <c r="AR34" s="147"/>
      <c r="AS34" s="147"/>
      <c r="AT34" s="147"/>
      <c r="AU34" s="147"/>
      <c r="AV34" s="147"/>
      <c r="AW34" s="147"/>
      <c r="AX34" s="147"/>
      <c r="AY34" s="147"/>
      <c r="AZ34" s="147"/>
      <c r="BA34" s="147"/>
      <c r="BB34" s="147"/>
      <c r="BC34" s="147"/>
      <c r="BD34" s="147"/>
      <c r="BE34" s="147"/>
      <c r="BF34" s="147"/>
      <c r="BG34" s="147"/>
      <c r="BH34" s="147"/>
      <c r="BI34" s="147"/>
      <c r="BJ34" s="147"/>
      <c r="BK34" s="147"/>
      <c r="BL34" s="147"/>
      <c r="BM34" s="147"/>
      <c r="BN34" s="147"/>
      <c r="BO34" s="147"/>
      <c r="BP34" s="147"/>
      <c r="BQ34" s="147"/>
      <c r="BR34" s="147"/>
      <c r="BS34" s="147"/>
      <c r="BT34" s="147"/>
      <c r="BU34" s="147"/>
      <c r="BV34" s="147"/>
      <c r="BW34" s="147"/>
      <c r="BX34" s="147"/>
      <c r="BY34" s="147"/>
      <c r="BZ34" s="147"/>
      <c r="CA34" s="147"/>
      <c r="CB34" s="147"/>
      <c r="CC34" s="147"/>
      <c r="CD34" s="147"/>
      <c r="CE34" s="147"/>
      <c r="CF34" s="147"/>
      <c r="CG34" s="147"/>
      <c r="CH34" s="147"/>
      <c r="CI34" s="147"/>
      <c r="CJ34" s="147"/>
      <c r="CK34" s="147"/>
      <c r="CL34" s="147"/>
      <c r="CM34" s="147"/>
      <c r="CN34" s="147"/>
      <c r="CO34" s="147"/>
      <c r="CP34" s="147"/>
    </row>
    <row r="35" spans="1:94" s="177" customFormat="1" ht="15" x14ac:dyDescent="0.25">
      <c r="A35" s="186"/>
      <c r="B35" s="187"/>
      <c r="C35" s="244"/>
      <c r="D35" s="242"/>
      <c r="E35" s="180"/>
      <c r="F35" s="181">
        <v>0</v>
      </c>
      <c r="G35" s="182">
        <v>0</v>
      </c>
      <c r="H35" s="176">
        <f t="shared" si="6"/>
        <v>0</v>
      </c>
      <c r="I35" s="176">
        <f>IF(AND($E35=1,$C35=""),$G35*(PermVB+Retire1),IF($E35=1,$G35*PermVB+$G35*VLOOKUP($C35,Retirement_Rates,3,FALSE),IF($E35=2,$G35*GroupVB,IF(AND($E35=3,$C35=""),$G35*ElectVB+$G35*Retire1,IF($E35=3,$G35*ElectVB+$G35*VLOOKUP($C35,Retirement_Rates,3,FALSE),0)))))</f>
        <v>0</v>
      </c>
      <c r="J35" s="279">
        <f t="shared" si="3"/>
        <v>0</v>
      </c>
      <c r="K35" s="309"/>
      <c r="L35" s="176">
        <f t="shared" si="8"/>
        <v>0</v>
      </c>
      <c r="M35" s="176">
        <f t="shared" si="9"/>
        <v>0</v>
      </c>
      <c r="N35" s="183">
        <f t="shared" si="10"/>
        <v>0</v>
      </c>
      <c r="O35"/>
      <c r="P35"/>
      <c r="Q35"/>
      <c r="R35"/>
      <c r="S35"/>
      <c r="T35"/>
      <c r="U35"/>
      <c r="V35"/>
      <c r="W35"/>
      <c r="X35"/>
      <c r="Y35"/>
      <c r="Z35" s="344"/>
      <c r="AA35" s="363"/>
      <c r="AB35" s="363"/>
      <c r="AC35" s="363"/>
      <c r="AD35" s="329"/>
      <c r="AE35" s="147"/>
      <c r="AF35" s="147"/>
      <c r="AG35" s="147"/>
      <c r="AH35" s="147"/>
      <c r="AI35" s="147"/>
      <c r="AJ35" s="147"/>
      <c r="AK35" s="147"/>
      <c r="AL35" s="147"/>
      <c r="AM35" s="147"/>
      <c r="AN35" s="147"/>
      <c r="AO35" s="147"/>
      <c r="AP35" s="147"/>
      <c r="AQ35" s="147"/>
      <c r="AR35" s="147"/>
      <c r="AS35" s="147"/>
      <c r="AT35" s="147"/>
      <c r="AU35" s="147"/>
      <c r="AV35" s="147"/>
      <c r="AW35" s="147"/>
      <c r="AX35" s="147"/>
      <c r="AY35" s="147"/>
      <c r="AZ35" s="147"/>
      <c r="BA35" s="147"/>
      <c r="BB35" s="147"/>
      <c r="BC35" s="147"/>
      <c r="BD35" s="147"/>
      <c r="BE35" s="147"/>
      <c r="BF35" s="147"/>
      <c r="BG35" s="147"/>
      <c r="BH35" s="147"/>
      <c r="BI35" s="147"/>
      <c r="BJ35" s="147"/>
      <c r="BK35" s="147"/>
      <c r="BL35" s="147"/>
      <c r="BM35" s="147"/>
      <c r="BN35" s="147"/>
      <c r="BO35" s="147"/>
      <c r="BP35" s="147"/>
      <c r="BQ35" s="147"/>
      <c r="BR35" s="147"/>
      <c r="BS35" s="147"/>
      <c r="BT35" s="147"/>
      <c r="BU35" s="147"/>
      <c r="BV35" s="147"/>
      <c r="BW35" s="147"/>
      <c r="BX35" s="147"/>
      <c r="BY35" s="147"/>
      <c r="BZ35" s="147"/>
      <c r="CA35" s="147"/>
      <c r="CB35" s="147"/>
      <c r="CC35" s="147"/>
      <c r="CD35" s="147"/>
      <c r="CE35" s="147"/>
      <c r="CF35" s="147"/>
      <c r="CG35" s="147"/>
      <c r="CH35" s="147"/>
      <c r="CI35" s="147"/>
      <c r="CJ35" s="147"/>
      <c r="CK35" s="147"/>
      <c r="CL35" s="147"/>
      <c r="CM35" s="147"/>
      <c r="CN35" s="147"/>
      <c r="CO35" s="147"/>
      <c r="CP35" s="147"/>
    </row>
    <row r="36" spans="1:94" s="213" customFormat="1" ht="15" x14ac:dyDescent="0.25">
      <c r="A36" s="281"/>
      <c r="B36" s="282"/>
      <c r="C36" s="283"/>
      <c r="D36" s="284"/>
      <c r="E36" s="285"/>
      <c r="F36" s="197"/>
      <c r="G36" s="259"/>
      <c r="H36" s="259"/>
      <c r="I36" s="259"/>
      <c r="J36" s="286"/>
      <c r="K36" s="280"/>
      <c r="L36" s="321"/>
      <c r="M36" s="259"/>
      <c r="N36" s="259"/>
      <c r="O36"/>
      <c r="P36"/>
      <c r="Q36"/>
      <c r="R36"/>
      <c r="S36"/>
      <c r="T36"/>
      <c r="U36"/>
      <c r="V36"/>
      <c r="W36"/>
      <c r="X36"/>
      <c r="Y36"/>
      <c r="Z36" s="344"/>
      <c r="AA36" s="363" t="s">
        <v>94</v>
      </c>
      <c r="AB36" s="333" t="s">
        <v>95</v>
      </c>
      <c r="AC36" s="333" t="s">
        <v>106</v>
      </c>
      <c r="AD36" s="330"/>
    </row>
    <row r="37" spans="1:94" s="153" customFormat="1" ht="17.25" customHeight="1" x14ac:dyDescent="0.25">
      <c r="A37" s="139"/>
      <c r="B37" s="188"/>
      <c r="C37" s="459" t="s">
        <v>37</v>
      </c>
      <c r="D37" s="460"/>
      <c r="E37" s="150"/>
      <c r="F37" s="165"/>
      <c r="G37" s="166"/>
      <c r="H37" s="166"/>
      <c r="I37" s="166"/>
      <c r="J37" s="322"/>
      <c r="K37" s="166"/>
      <c r="L37" s="166"/>
      <c r="M37" s="166"/>
      <c r="N37" s="166"/>
      <c r="O37"/>
      <c r="P37"/>
      <c r="Q37"/>
      <c r="R37"/>
      <c r="S37"/>
      <c r="T37"/>
      <c r="U37"/>
      <c r="V37"/>
      <c r="W37"/>
      <c r="X37"/>
      <c r="Y37"/>
      <c r="Z37" s="344"/>
      <c r="AA37" s="461" t="s">
        <v>107</v>
      </c>
      <c r="AB37" s="462"/>
      <c r="AC37" s="462"/>
      <c r="AD37" s="329"/>
      <c r="AE37" s="147"/>
      <c r="AF37" s="147"/>
      <c r="AG37" s="147"/>
      <c r="AH37" s="147"/>
      <c r="AI37" s="147"/>
      <c r="AJ37" s="147"/>
      <c r="AK37" s="147"/>
      <c r="AL37" s="147"/>
      <c r="AM37" s="147"/>
      <c r="AN37" s="147"/>
      <c r="AO37" s="147"/>
      <c r="AP37" s="147"/>
      <c r="AQ37" s="147"/>
      <c r="AR37" s="147"/>
      <c r="AS37" s="147"/>
      <c r="AT37" s="147"/>
      <c r="AU37" s="147"/>
      <c r="AV37" s="147"/>
      <c r="AW37" s="147"/>
      <c r="AX37" s="147"/>
      <c r="AY37" s="147"/>
      <c r="AZ37" s="147"/>
      <c r="BA37" s="147"/>
      <c r="BB37" s="147"/>
      <c r="BC37" s="147"/>
      <c r="BD37" s="147"/>
      <c r="BE37" s="147"/>
      <c r="BF37" s="147"/>
      <c r="BG37" s="147"/>
      <c r="BH37" s="147"/>
      <c r="BI37" s="147"/>
      <c r="BJ37" s="147"/>
      <c r="BK37" s="147"/>
      <c r="BL37" s="147"/>
      <c r="BM37" s="147"/>
      <c r="BN37" s="147"/>
      <c r="BO37" s="147"/>
      <c r="BP37" s="147"/>
      <c r="BQ37" s="147"/>
      <c r="BR37" s="147"/>
      <c r="BS37" s="147"/>
      <c r="BT37" s="147"/>
      <c r="BU37" s="147"/>
      <c r="BV37" s="147"/>
      <c r="BW37" s="147"/>
      <c r="BX37" s="147"/>
      <c r="BY37" s="147"/>
      <c r="BZ37" s="147"/>
      <c r="CA37" s="147"/>
      <c r="CB37" s="147"/>
      <c r="CC37" s="147"/>
      <c r="CD37" s="147"/>
      <c r="CE37" s="147"/>
      <c r="CF37" s="147"/>
      <c r="CG37" s="147"/>
      <c r="CH37" s="147"/>
      <c r="CI37" s="147"/>
      <c r="CJ37" s="147"/>
      <c r="CK37" s="147"/>
      <c r="CL37" s="147"/>
      <c r="CM37" s="147"/>
      <c r="CN37" s="147"/>
      <c r="CO37" s="147"/>
      <c r="CP37" s="147"/>
    </row>
    <row r="38" spans="1:94" s="153" customFormat="1" ht="15" x14ac:dyDescent="0.25">
      <c r="A38" s="139"/>
      <c r="B38" s="188"/>
      <c r="C38" s="443" t="str">
        <f>perm_name</f>
        <v>Permanent Positions</v>
      </c>
      <c r="D38" s="444"/>
      <c r="E38" s="189">
        <v>1</v>
      </c>
      <c r="F38" s="190">
        <f>SUMIF($E9:$E35,$E38,$F9:$F35)</f>
        <v>5.4500000000000011</v>
      </c>
      <c r="G38" s="191">
        <f>SUMIF($E10:$E35,$E38,$G10:$G35)</f>
        <v>345430.79999999993</v>
      </c>
      <c r="H38" s="192">
        <f>SUMIF($E10:$E35,$E38,$H10:$H35)</f>
        <v>63492.5</v>
      </c>
      <c r="I38" s="192">
        <f>SUMIF($E10:$E35,$E38,$I10:$I35)</f>
        <v>73739.112876000028</v>
      </c>
      <c r="J38" s="192">
        <f>SUM(G38:I38)</f>
        <v>482662.41287599993</v>
      </c>
      <c r="K38" s="166"/>
      <c r="L38" s="191">
        <f>SUMIF($E10:$E35,$E38,$L10:$L35)</f>
        <v>0</v>
      </c>
      <c r="M38" s="192">
        <f>SUMIF($E10:$E35,$E38,$M10:$M35)</f>
        <v>-1658.0678399999999</v>
      </c>
      <c r="N38" s="192">
        <f>SUM(L38:M38)</f>
        <v>-1658.0678399999999</v>
      </c>
      <c r="O38"/>
      <c r="P38"/>
      <c r="Q38"/>
      <c r="R38"/>
      <c r="S38"/>
      <c r="T38"/>
      <c r="U38"/>
      <c r="V38"/>
      <c r="W38"/>
      <c r="X38"/>
      <c r="Y38"/>
      <c r="Z38" s="344"/>
      <c r="AA38" s="338">
        <f>ROUND(AdjPermSalary*CECPerm,-2)</f>
        <v>3500</v>
      </c>
      <c r="AB38" s="338">
        <f>ROUND((AdjPermVB*CECPerm+AdjPermVBBY*CECPerm),-2)</f>
        <v>700</v>
      </c>
      <c r="AC38" s="338">
        <f>SUM(AA38:AB38)</f>
        <v>4200</v>
      </c>
      <c r="AD38" s="329"/>
      <c r="AE38" s="147"/>
      <c r="AF38" s="147"/>
      <c r="AG38" s="147"/>
      <c r="AH38" s="147"/>
      <c r="AI38" s="147"/>
      <c r="AJ38" s="147"/>
      <c r="AK38" s="147"/>
      <c r="AL38" s="147"/>
      <c r="AM38" s="147"/>
      <c r="AN38" s="147"/>
      <c r="AO38" s="147"/>
      <c r="AP38" s="147"/>
      <c r="AQ38" s="147"/>
      <c r="AR38" s="147"/>
      <c r="AS38" s="147"/>
      <c r="AT38" s="147"/>
      <c r="AU38" s="147"/>
      <c r="AV38" s="147"/>
      <c r="AW38" s="147"/>
      <c r="AX38" s="147"/>
      <c r="AY38" s="147"/>
      <c r="AZ38" s="147"/>
      <c r="BA38" s="147"/>
      <c r="BB38" s="147"/>
      <c r="BC38" s="147"/>
      <c r="BD38" s="147"/>
      <c r="BE38" s="147"/>
      <c r="BF38" s="147"/>
      <c r="BG38" s="147"/>
      <c r="BH38" s="147"/>
      <c r="BI38" s="147"/>
      <c r="BJ38" s="147"/>
      <c r="BK38" s="147"/>
      <c r="BL38" s="147"/>
      <c r="BM38" s="147"/>
      <c r="BN38" s="147"/>
      <c r="BO38" s="147"/>
      <c r="BP38" s="147"/>
      <c r="BQ38" s="147"/>
      <c r="BR38" s="147"/>
      <c r="BS38" s="147"/>
      <c r="BT38" s="147"/>
      <c r="BU38" s="147"/>
      <c r="BV38" s="147"/>
      <c r="BW38" s="147"/>
      <c r="BX38" s="147"/>
      <c r="BY38" s="147"/>
      <c r="BZ38" s="147"/>
      <c r="CA38" s="147"/>
      <c r="CB38" s="147"/>
      <c r="CC38" s="147"/>
      <c r="CD38" s="147"/>
      <c r="CE38" s="147"/>
      <c r="CF38" s="147"/>
      <c r="CG38" s="147"/>
      <c r="CH38" s="147"/>
      <c r="CI38" s="147"/>
      <c r="CJ38" s="147"/>
      <c r="CK38" s="147"/>
      <c r="CL38" s="147"/>
      <c r="CM38" s="147"/>
      <c r="CN38" s="147"/>
      <c r="CO38" s="147"/>
      <c r="CP38" s="147"/>
    </row>
    <row r="39" spans="1:94" s="153" customFormat="1" ht="15" x14ac:dyDescent="0.25">
      <c r="A39" s="139"/>
      <c r="B39" s="188"/>
      <c r="C39" s="443" t="str">
        <f>Group_name</f>
        <v>Board &amp; Group Positions</v>
      </c>
      <c r="D39" s="444"/>
      <c r="E39" s="189">
        <v>2</v>
      </c>
      <c r="F39" s="151">
        <f>SUMIF($E9:$E35,$E39,$F9:$F35)</f>
        <v>0</v>
      </c>
      <c r="G39" s="193">
        <f>SUMIF($E10:$E35,$E39,$G10:$G35)</f>
        <v>0</v>
      </c>
      <c r="H39" s="152">
        <f>SUMIF($E10:$E35,$E39,$H10:$H35)</f>
        <v>0</v>
      </c>
      <c r="I39" s="152">
        <f>SUMIF($E10:$E35,$E39,$I10:$I35)</f>
        <v>0</v>
      </c>
      <c r="J39" s="152">
        <f>SUM(G39:I39)</f>
        <v>0</v>
      </c>
      <c r="K39" s="259"/>
      <c r="L39" s="193">
        <f>SUMIF($E10:$E35,$E39,$L10:$L35)</f>
        <v>0</v>
      </c>
      <c r="M39" s="152">
        <f>SUMIF($E11:$E37,$E39,$M11:$M37)</f>
        <v>0</v>
      </c>
      <c r="N39" s="152">
        <f>SUM(L39:M39)</f>
        <v>0</v>
      </c>
      <c r="O39"/>
      <c r="P39"/>
      <c r="Q39"/>
      <c r="R39"/>
      <c r="S39"/>
      <c r="T39"/>
      <c r="U39"/>
      <c r="V39"/>
      <c r="W39"/>
      <c r="X39"/>
      <c r="Y39"/>
      <c r="Z39" s="344"/>
      <c r="AA39" s="338">
        <f>ROUND(AdjGroupSalary*CECGroup,-2)</f>
        <v>0</v>
      </c>
      <c r="AB39" s="338">
        <f>ROUND(AdjGroupVB*CECGroup,-2)</f>
        <v>0</v>
      </c>
      <c r="AC39" s="338">
        <f>SUM(AA39:AB39)</f>
        <v>0</v>
      </c>
      <c r="AD39" s="329"/>
      <c r="AE39" s="147"/>
      <c r="AF39" s="147"/>
      <c r="AG39" s="147"/>
      <c r="AH39" s="147"/>
      <c r="AI39" s="147"/>
      <c r="AJ39" s="147"/>
      <c r="AK39" s="147"/>
      <c r="AL39" s="147"/>
      <c r="AM39" s="147"/>
      <c r="AN39" s="147"/>
      <c r="AO39" s="147"/>
      <c r="AP39" s="147"/>
      <c r="AQ39" s="147"/>
      <c r="AR39" s="147"/>
      <c r="AS39" s="147"/>
      <c r="AT39" s="147"/>
      <c r="AU39" s="147"/>
      <c r="AV39" s="147"/>
      <c r="AW39" s="147"/>
      <c r="AX39" s="147"/>
      <c r="AY39" s="147"/>
      <c r="AZ39" s="147"/>
      <c r="BA39" s="147"/>
      <c r="BB39" s="147"/>
      <c r="BC39" s="147"/>
      <c r="BD39" s="147"/>
      <c r="BE39" s="147"/>
      <c r="BF39" s="147"/>
      <c r="BG39" s="147"/>
      <c r="BH39" s="147"/>
      <c r="BI39" s="147"/>
      <c r="BJ39" s="147"/>
      <c r="BK39" s="147"/>
      <c r="BL39" s="147"/>
      <c r="BM39" s="147"/>
      <c r="BN39" s="147"/>
      <c r="BO39" s="147"/>
      <c r="BP39" s="147"/>
      <c r="BQ39" s="147"/>
      <c r="BR39" s="147"/>
      <c r="BS39" s="147"/>
      <c r="BT39" s="147"/>
      <c r="BU39" s="147"/>
      <c r="BV39" s="147"/>
      <c r="BW39" s="147"/>
      <c r="BX39" s="147"/>
      <c r="BY39" s="147"/>
      <c r="BZ39" s="147"/>
      <c r="CA39" s="147"/>
      <c r="CB39" s="147"/>
      <c r="CC39" s="147"/>
      <c r="CD39" s="147"/>
      <c r="CE39" s="147"/>
      <c r="CF39" s="147"/>
      <c r="CG39" s="147"/>
      <c r="CH39" s="147"/>
      <c r="CI39" s="147"/>
      <c r="CJ39" s="147"/>
      <c r="CK39" s="147"/>
      <c r="CL39" s="147"/>
      <c r="CM39" s="147"/>
      <c r="CN39" s="147"/>
      <c r="CO39" s="147"/>
      <c r="CP39" s="147"/>
    </row>
    <row r="40" spans="1:94" s="153" customFormat="1" ht="15" x14ac:dyDescent="0.25">
      <c r="A40" s="139"/>
      <c r="B40" s="188"/>
      <c r="C40" s="364" t="str">
        <f>Elect_name</f>
        <v>Elected Officials &amp; Full Time Commissioners</v>
      </c>
      <c r="D40" s="365"/>
      <c r="E40" s="189">
        <v>3</v>
      </c>
      <c r="F40" s="151">
        <f>SUMIF($E9:$E35,$E40,$F9:$F35)</f>
        <v>1</v>
      </c>
      <c r="G40" s="193">
        <f>SUMIF($E10:$E35,$E40,$G10:$G35)</f>
        <v>106072</v>
      </c>
      <c r="H40" s="152">
        <f>SUMIF($E10:$E35,$E40,$H10:$H35)</f>
        <v>11650</v>
      </c>
      <c r="I40" s="152">
        <f>SUMIF($E10:$E35,$E40,$I10:$I35)</f>
        <v>21798.856720000003</v>
      </c>
      <c r="J40" s="152">
        <f>SUM(G40:I40)</f>
        <v>139520.85672000001</v>
      </c>
      <c r="K40" s="259"/>
      <c r="L40" s="193">
        <f>SUMIF($E10:$E35,$E40,$L10:$L35)</f>
        <v>0</v>
      </c>
      <c r="M40" s="152">
        <f>SUMIF($E10:$E35,$E40,$M10:$M35)</f>
        <v>10.607200000000027</v>
      </c>
      <c r="N40" s="152">
        <f>SUM(L40:M40)</f>
        <v>10.607200000000027</v>
      </c>
      <c r="O40"/>
      <c r="P40"/>
      <c r="Q40"/>
      <c r="R40"/>
      <c r="S40"/>
      <c r="T40"/>
      <c r="U40"/>
      <c r="V40"/>
      <c r="W40"/>
      <c r="X40"/>
      <c r="Y40"/>
      <c r="Z40" s="344"/>
      <c r="AA40" s="363"/>
      <c r="AB40" s="363"/>
      <c r="AC40" s="363"/>
      <c r="AD40" s="329"/>
      <c r="AE40" s="147"/>
      <c r="AF40" s="147"/>
      <c r="AG40" s="147"/>
      <c r="AH40" s="147"/>
      <c r="AI40" s="147"/>
      <c r="AJ40" s="147"/>
      <c r="AK40" s="147"/>
      <c r="AL40" s="147"/>
      <c r="AM40" s="147"/>
      <c r="AN40" s="147"/>
      <c r="AO40" s="147"/>
      <c r="AP40" s="147"/>
      <c r="AQ40" s="147"/>
      <c r="AR40" s="147"/>
      <c r="AS40" s="147"/>
      <c r="AT40" s="147"/>
      <c r="AU40" s="147"/>
      <c r="AV40" s="147"/>
      <c r="AW40" s="147"/>
      <c r="AX40" s="147"/>
      <c r="AY40" s="147"/>
      <c r="AZ40" s="147"/>
      <c r="BA40" s="147"/>
      <c r="BB40" s="147"/>
      <c r="BC40" s="147"/>
      <c r="BD40" s="147"/>
      <c r="BE40" s="147"/>
      <c r="BF40" s="147"/>
      <c r="BG40" s="147"/>
      <c r="BH40" s="147"/>
      <c r="BI40" s="147"/>
      <c r="BJ40" s="147"/>
      <c r="BK40" s="147"/>
      <c r="BL40" s="147"/>
      <c r="BM40" s="147"/>
      <c r="BN40" s="147"/>
      <c r="BO40" s="147"/>
      <c r="BP40" s="147"/>
      <c r="BQ40" s="147"/>
      <c r="BR40" s="147"/>
      <c r="BS40" s="147"/>
      <c r="BT40" s="147"/>
      <c r="BU40" s="147"/>
      <c r="BV40" s="147"/>
      <c r="BW40" s="147"/>
      <c r="BX40" s="147"/>
      <c r="BY40" s="147"/>
      <c r="BZ40" s="147"/>
      <c r="CA40" s="147"/>
      <c r="CB40" s="147"/>
      <c r="CC40" s="147"/>
      <c r="CD40" s="147"/>
      <c r="CE40" s="147"/>
      <c r="CF40" s="147"/>
      <c r="CG40" s="147"/>
      <c r="CH40" s="147"/>
      <c r="CI40" s="147"/>
      <c r="CJ40" s="147"/>
      <c r="CK40" s="147"/>
      <c r="CL40" s="147"/>
      <c r="CM40" s="147"/>
      <c r="CN40" s="147"/>
      <c r="CO40" s="147"/>
      <c r="CP40" s="147"/>
    </row>
    <row r="41" spans="1:94" s="153" customFormat="1" ht="15" x14ac:dyDescent="0.25">
      <c r="A41" s="139"/>
      <c r="B41" s="188"/>
      <c r="C41" s="443" t="s">
        <v>38</v>
      </c>
      <c r="D41" s="444"/>
      <c r="E41" s="189"/>
      <c r="F41" s="161">
        <f>SUM(F38:F40)</f>
        <v>6.4500000000000011</v>
      </c>
      <c r="G41" s="195">
        <f>SUM($G$38:$G$40)</f>
        <v>451502.79999999993</v>
      </c>
      <c r="H41" s="162">
        <f>SUM($H$38:$H$40)</f>
        <v>75142.5</v>
      </c>
      <c r="I41" s="162">
        <f>SUM($I$38:$I$40)</f>
        <v>95537.969596000039</v>
      </c>
      <c r="J41" s="162">
        <f>SUM($J$38:$J$40)</f>
        <v>622183.26959599997</v>
      </c>
      <c r="K41" s="259"/>
      <c r="L41" s="195">
        <f>SUM($L$38:$L$40)</f>
        <v>0</v>
      </c>
      <c r="M41" s="162">
        <f>SUM($M$38:$M$40)</f>
        <v>-1647.46064</v>
      </c>
      <c r="N41" s="162">
        <f>SUM(L41:M41)</f>
        <v>-1647.46064</v>
      </c>
      <c r="O41"/>
      <c r="P41"/>
      <c r="Q41"/>
      <c r="R41"/>
      <c r="S41"/>
      <c r="T41"/>
      <c r="U41"/>
      <c r="V41"/>
      <c r="W41"/>
      <c r="X41"/>
      <c r="Y41"/>
      <c r="Z41" s="344"/>
      <c r="AA41" s="363" t="s">
        <v>94</v>
      </c>
      <c r="AB41" s="333" t="s">
        <v>95</v>
      </c>
      <c r="AC41" s="333" t="s">
        <v>106</v>
      </c>
      <c r="AD41" s="329"/>
      <c r="AE41" s="147"/>
      <c r="AF41" s="147"/>
      <c r="AG41" s="147"/>
      <c r="AH41" s="147"/>
      <c r="AI41" s="147"/>
      <c r="AJ41" s="147"/>
      <c r="AK41" s="147"/>
      <c r="AL41" s="147"/>
      <c r="AM41" s="147"/>
      <c r="AN41" s="147"/>
      <c r="AO41" s="147"/>
      <c r="AP41" s="147"/>
      <c r="AQ41" s="147"/>
      <c r="AR41" s="147"/>
      <c r="AS41" s="147"/>
      <c r="AT41" s="147"/>
      <c r="AU41" s="147"/>
      <c r="AV41" s="147"/>
      <c r="AW41" s="147"/>
      <c r="AX41" s="147"/>
      <c r="AY41" s="147"/>
      <c r="AZ41" s="147"/>
      <c r="BA41" s="147"/>
      <c r="BB41" s="147"/>
      <c r="BC41" s="147"/>
      <c r="BD41" s="147"/>
      <c r="BE41" s="147"/>
      <c r="BF41" s="147"/>
      <c r="BG41" s="147"/>
      <c r="BH41" s="147"/>
      <c r="BI41" s="147"/>
      <c r="BJ41" s="147"/>
      <c r="BK41" s="147"/>
      <c r="BL41" s="147"/>
      <c r="BM41" s="147"/>
      <c r="BN41" s="147"/>
      <c r="BO41" s="147"/>
      <c r="BP41" s="147"/>
      <c r="BQ41" s="147"/>
      <c r="BR41" s="147"/>
      <c r="BS41" s="147"/>
      <c r="BT41" s="147"/>
      <c r="BU41" s="147"/>
      <c r="BV41" s="147"/>
      <c r="BW41" s="147"/>
      <c r="BX41" s="147"/>
      <c r="BY41" s="147"/>
      <c r="BZ41" s="147"/>
      <c r="CA41" s="147"/>
      <c r="CB41" s="147"/>
      <c r="CC41" s="147"/>
      <c r="CD41" s="147"/>
      <c r="CE41" s="147"/>
      <c r="CF41" s="147"/>
      <c r="CG41" s="147"/>
      <c r="CH41" s="147"/>
      <c r="CI41" s="147"/>
      <c r="CJ41" s="147"/>
      <c r="CK41" s="147"/>
      <c r="CL41" s="147"/>
      <c r="CM41" s="147"/>
      <c r="CN41" s="147"/>
      <c r="CO41" s="147"/>
      <c r="CP41" s="147"/>
    </row>
    <row r="42" spans="1:94" s="153" customFormat="1" ht="4.5" customHeight="1" x14ac:dyDescent="0.25">
      <c r="A42" s="139"/>
      <c r="B42" s="188"/>
      <c r="C42" s="445"/>
      <c r="D42" s="446"/>
      <c r="E42" s="196"/>
      <c r="F42" s="197"/>
      <c r="G42" s="198"/>
      <c r="H42" s="199"/>
      <c r="I42" s="199"/>
      <c r="J42" s="324"/>
      <c r="K42" s="200"/>
      <c r="L42" s="323"/>
      <c r="M42" s="323"/>
      <c r="N42" s="201"/>
      <c r="O42"/>
      <c r="P42"/>
      <c r="Q42"/>
      <c r="R42"/>
      <c r="S42"/>
      <c r="T42"/>
      <c r="U42"/>
      <c r="V42"/>
      <c r="W42"/>
      <c r="X42"/>
      <c r="Y42"/>
      <c r="Z42" s="344"/>
      <c r="AA42" s="363"/>
      <c r="AB42" s="363"/>
      <c r="AC42" s="363"/>
      <c r="AD42" s="329"/>
      <c r="AE42" s="147"/>
      <c r="AF42" s="147"/>
      <c r="AG42" s="147"/>
      <c r="AH42" s="147"/>
      <c r="AI42" s="147"/>
      <c r="AJ42" s="147"/>
      <c r="AK42" s="147"/>
      <c r="AL42" s="147"/>
      <c r="AM42" s="147"/>
      <c r="AN42" s="147"/>
      <c r="AO42" s="147"/>
      <c r="AP42" s="147"/>
      <c r="AQ42" s="147"/>
      <c r="AR42" s="147"/>
      <c r="AS42" s="147"/>
      <c r="AT42" s="147"/>
      <c r="AU42" s="147"/>
      <c r="AV42" s="147"/>
      <c r="AW42" s="147"/>
      <c r="AX42" s="147"/>
      <c r="AY42" s="147"/>
      <c r="AZ42" s="147"/>
      <c r="BA42" s="147"/>
      <c r="BB42" s="147"/>
      <c r="BC42" s="147"/>
      <c r="BD42" s="147"/>
      <c r="BE42" s="147"/>
      <c r="BF42" s="147"/>
      <c r="BG42" s="147"/>
      <c r="BH42" s="147"/>
      <c r="BI42" s="147"/>
      <c r="BJ42" s="147"/>
      <c r="BK42" s="147"/>
      <c r="BL42" s="147"/>
      <c r="BM42" s="147"/>
      <c r="BN42" s="147"/>
      <c r="BO42" s="147"/>
      <c r="BP42" s="147"/>
      <c r="BQ42" s="147"/>
      <c r="BR42" s="147"/>
      <c r="BS42" s="147"/>
      <c r="BT42" s="147"/>
      <c r="BU42" s="147"/>
      <c r="BV42" s="147"/>
      <c r="BW42" s="147"/>
      <c r="BX42" s="147"/>
      <c r="BY42" s="147"/>
      <c r="BZ42" s="147"/>
      <c r="CA42" s="147"/>
      <c r="CB42" s="147"/>
      <c r="CC42" s="147"/>
      <c r="CD42" s="147"/>
      <c r="CE42" s="147"/>
      <c r="CF42" s="147"/>
      <c r="CG42" s="147"/>
      <c r="CH42" s="147"/>
      <c r="CI42" s="147"/>
      <c r="CJ42" s="147"/>
      <c r="CK42" s="147"/>
      <c r="CL42" s="147"/>
      <c r="CM42" s="147"/>
      <c r="CN42" s="147"/>
      <c r="CO42" s="147"/>
      <c r="CP42" s="147"/>
    </row>
    <row r="43" spans="1:94" s="153" customFormat="1" ht="15.75" customHeight="1" x14ac:dyDescent="0.25">
      <c r="A43" s="139"/>
      <c r="B43" s="202"/>
      <c r="C43" s="447" t="s">
        <v>39</v>
      </c>
      <c r="D43" s="448"/>
      <c r="E43" s="203" t="s">
        <v>40</v>
      </c>
      <c r="F43" s="205">
        <f>ROUND(F51-F41,2)</f>
        <v>1.7</v>
      </c>
      <c r="G43" s="206">
        <f>ROUND(G51-G41,-2)</f>
        <v>81200</v>
      </c>
      <c r="H43" s="159">
        <f>ROUND(H51-H41,-2)</f>
        <v>13500</v>
      </c>
      <c r="I43" s="159">
        <f>ROUND(I51-I41,-2)</f>
        <v>17200</v>
      </c>
      <c r="J43" s="159">
        <f>SUM(G43:I43)</f>
        <v>111900</v>
      </c>
      <c r="K43" s="424" t="str">
        <f>IF(E51=0,"ERROR! Enter Original Appropriation amount in DU 3.00!","Calculated "&amp;IF(J43&gt;0,"overfunding ","underfunding ")&amp;"is "&amp;TEXT(J43/J51,"#.0%;(#.0% );0% ;")&amp;" of Original Appropriation")</f>
        <v>Calculated overfunding is 15.2% of Original Appropriation</v>
      </c>
      <c r="L43" s="425"/>
      <c r="M43" s="425"/>
      <c r="N43" s="426"/>
      <c r="O43"/>
      <c r="P43"/>
      <c r="Q43"/>
      <c r="R43"/>
      <c r="S43"/>
      <c r="T43"/>
      <c r="U43"/>
      <c r="V43"/>
      <c r="W43"/>
      <c r="X43"/>
      <c r="Y43"/>
      <c r="Z43" s="344"/>
      <c r="AA43" s="451" t="s">
        <v>108</v>
      </c>
      <c r="AB43" s="452"/>
      <c r="AC43" s="452"/>
      <c r="AD43" s="329"/>
      <c r="AE43" s="147"/>
      <c r="AF43" s="147"/>
      <c r="AG43" s="147"/>
      <c r="AH43" s="147"/>
      <c r="AI43" s="147"/>
      <c r="AJ43" s="147"/>
      <c r="AK43" s="147"/>
      <c r="AL43" s="147"/>
      <c r="AM43" s="147"/>
      <c r="AN43" s="147"/>
      <c r="AO43" s="147"/>
      <c r="AP43" s="147"/>
      <c r="AQ43" s="147"/>
      <c r="AR43" s="147"/>
      <c r="AS43" s="147"/>
      <c r="AT43" s="147"/>
      <c r="AU43" s="147"/>
      <c r="AV43" s="147"/>
      <c r="AW43" s="147"/>
      <c r="AX43" s="147"/>
      <c r="AY43" s="147"/>
      <c r="AZ43" s="147"/>
      <c r="BA43" s="147"/>
      <c r="BB43" s="147"/>
      <c r="BC43" s="147"/>
      <c r="BD43" s="147"/>
      <c r="BE43" s="147"/>
      <c r="BF43" s="147"/>
      <c r="BG43" s="147"/>
      <c r="BH43" s="147"/>
      <c r="BI43" s="147"/>
      <c r="BJ43" s="147"/>
      <c r="BK43" s="147"/>
      <c r="BL43" s="147"/>
      <c r="BM43" s="147"/>
      <c r="BN43" s="147"/>
      <c r="BO43" s="147"/>
      <c r="BP43" s="147"/>
      <c r="BQ43" s="147"/>
      <c r="BR43" s="147"/>
      <c r="BS43" s="147"/>
      <c r="BT43" s="147"/>
      <c r="BU43" s="147"/>
      <c r="BV43" s="147"/>
      <c r="BW43" s="147"/>
      <c r="BX43" s="147"/>
      <c r="BY43" s="147"/>
      <c r="BZ43" s="147"/>
      <c r="CA43" s="147"/>
      <c r="CB43" s="147"/>
      <c r="CC43" s="147"/>
      <c r="CD43" s="147"/>
      <c r="CE43" s="147"/>
      <c r="CF43" s="147"/>
      <c r="CG43" s="147"/>
      <c r="CH43" s="147"/>
      <c r="CI43" s="147"/>
      <c r="CJ43" s="147"/>
      <c r="CK43" s="147"/>
      <c r="CL43" s="147"/>
      <c r="CM43" s="147"/>
      <c r="CN43" s="147"/>
      <c r="CO43" s="147"/>
      <c r="CP43" s="147"/>
    </row>
    <row r="44" spans="1:94" s="153" customFormat="1" ht="15.75" customHeight="1" x14ac:dyDescent="0.25">
      <c r="A44" s="139"/>
      <c r="B44" s="202"/>
      <c r="C44" s="449"/>
      <c r="D44" s="450"/>
      <c r="E44" s="204" t="s">
        <v>41</v>
      </c>
      <c r="F44" s="205">
        <f>ROUND(F60-F41,2)</f>
        <v>1.7</v>
      </c>
      <c r="G44" s="206">
        <f>ROUND(G60-G41,-2)</f>
        <v>81200</v>
      </c>
      <c r="H44" s="159">
        <f>ROUND(H60-H41,-2)</f>
        <v>13600</v>
      </c>
      <c r="I44" s="159">
        <f>ROUND(I60-I41,-2)</f>
        <v>17200</v>
      </c>
      <c r="J44" s="159">
        <f>SUM(G44:I44)</f>
        <v>112000</v>
      </c>
      <c r="K44" s="424" t="str">
        <f>IF(E51=0,"ERROR! Enter Original Appropriation amount in DU 3.00!","Calculated "&amp;IF(J44&gt;0,"overfunding ","underfunding ")&amp;"is "&amp;TEXT(J44/J60,"#.0%;(#.0% );0% ;")&amp;" of Estimated Expenditures")</f>
        <v>Calculated overfunding is 15.3% of Estimated Expenditures</v>
      </c>
      <c r="L44" s="425"/>
      <c r="M44" s="425"/>
      <c r="N44" s="426"/>
      <c r="O44"/>
      <c r="P44"/>
      <c r="Q44"/>
      <c r="R44"/>
      <c r="S44"/>
      <c r="T44"/>
      <c r="U44"/>
      <c r="V44"/>
      <c r="W44"/>
      <c r="X44"/>
      <c r="Y44"/>
      <c r="Z44" s="344"/>
      <c r="AA44" s="338">
        <f>NEW_AdjPermSalary-NEW_PermSalaryFilled</f>
        <v>0</v>
      </c>
      <c r="AB44" s="338">
        <f>NEW_AdjPermVB-NEW_PermVBFilled</f>
        <v>0</v>
      </c>
      <c r="AC44" s="338">
        <f>SUM(AA44:AB44)</f>
        <v>0</v>
      </c>
      <c r="AD44" s="329"/>
      <c r="AE44" s="147"/>
      <c r="AF44" s="147"/>
      <c r="AG44" s="147"/>
      <c r="AH44" s="147"/>
      <c r="AI44" s="147"/>
      <c r="AJ44" s="147"/>
      <c r="AK44" s="147"/>
      <c r="AL44" s="147"/>
      <c r="AM44" s="147"/>
      <c r="AN44" s="147"/>
      <c r="AO44" s="147"/>
      <c r="AP44" s="147"/>
      <c r="AQ44" s="147"/>
      <c r="AR44" s="147"/>
      <c r="AS44" s="147"/>
      <c r="AT44" s="147"/>
      <c r="AU44" s="147"/>
      <c r="AV44" s="147"/>
      <c r="AW44" s="147"/>
      <c r="AX44" s="147"/>
      <c r="AY44" s="147"/>
      <c r="AZ44" s="147"/>
      <c r="BA44" s="147"/>
      <c r="BB44" s="147"/>
      <c r="BC44" s="147"/>
      <c r="BD44" s="147"/>
      <c r="BE44" s="147"/>
      <c r="BF44" s="147"/>
      <c r="BG44" s="147"/>
      <c r="BH44" s="147"/>
      <c r="BI44" s="147"/>
      <c r="BJ44" s="147"/>
      <c r="BK44" s="147"/>
      <c r="BL44" s="147"/>
      <c r="BM44" s="147"/>
      <c r="BN44" s="147"/>
      <c r="BO44" s="147"/>
      <c r="BP44" s="147"/>
      <c r="BQ44" s="147"/>
      <c r="BR44" s="147"/>
      <c r="BS44" s="147"/>
      <c r="BT44" s="147"/>
      <c r="BU44" s="147"/>
      <c r="BV44" s="147"/>
      <c r="BW44" s="147"/>
      <c r="BX44" s="147"/>
      <c r="BY44" s="147"/>
      <c r="BZ44" s="147"/>
      <c r="CA44" s="147"/>
      <c r="CB44" s="147"/>
      <c r="CC44" s="147"/>
      <c r="CD44" s="147"/>
      <c r="CE44" s="147"/>
      <c r="CF44" s="147"/>
      <c r="CG44" s="147"/>
      <c r="CH44" s="147"/>
      <c r="CI44" s="147"/>
      <c r="CJ44" s="147"/>
      <c r="CK44" s="147"/>
      <c r="CL44" s="147"/>
      <c r="CM44" s="147"/>
      <c r="CN44" s="147"/>
      <c r="CO44" s="147"/>
      <c r="CP44" s="147"/>
    </row>
    <row r="45" spans="1:94" s="153" customFormat="1" ht="15.75" customHeight="1" x14ac:dyDescent="0.25">
      <c r="A45" s="139"/>
      <c r="B45" s="202"/>
      <c r="C45" s="215"/>
      <c r="D45" s="215"/>
      <c r="E45" s="204" t="s">
        <v>99</v>
      </c>
      <c r="F45" s="205">
        <f>ROUND(F67-F41-F63,2)</f>
        <v>1.7</v>
      </c>
      <c r="G45" s="206">
        <f>ROUND(G67-G41-G63,-2)</f>
        <v>81200</v>
      </c>
      <c r="H45" s="206">
        <f>ROUND(H67-H41-H63,-2)</f>
        <v>13600</v>
      </c>
      <c r="I45" s="206">
        <f>ROUND(I67-I41-I63,-2)</f>
        <v>17200</v>
      </c>
      <c r="J45" s="159">
        <f>SUM(G45:I45)</f>
        <v>112000</v>
      </c>
      <c r="K45" s="424" t="str">
        <f>IF(J67=0,"Program has a zero base",IF(E51=0,"ERROR! Enter Original Appropriation amount in DU 3.00!","Calculated "&amp;IF(J45&gt;0,"overfunding ","underfunding ")&amp;"is "&amp;TEXT(J45/J67,"#.0%;(#.0% );0% ;")&amp;" of the Base"))</f>
        <v>Calculated overfunding is 15.3% of the Base</v>
      </c>
      <c r="L45" s="425"/>
      <c r="M45" s="425"/>
      <c r="N45" s="426"/>
      <c r="O45"/>
      <c r="P45"/>
      <c r="Q45"/>
      <c r="R45"/>
      <c r="S45"/>
      <c r="T45"/>
      <c r="U45"/>
      <c r="V45"/>
      <c r="W45"/>
      <c r="X45"/>
      <c r="Y45"/>
      <c r="Z45" s="344"/>
      <c r="AA45" s="338">
        <f>NEW_AdjGroupSalary-NEW_GroupSalaryFilled</f>
        <v>0</v>
      </c>
      <c r="AB45" s="338">
        <f>NEW_AdjGroupVB-NEW_GroupVBFilled</f>
        <v>0</v>
      </c>
      <c r="AC45" s="338">
        <f>SUM(AA45:AB45)</f>
        <v>0</v>
      </c>
      <c r="AD45" s="329"/>
      <c r="AE45" s="147"/>
      <c r="AF45" s="147"/>
      <c r="AG45" s="147"/>
      <c r="AH45" s="147"/>
      <c r="AI45" s="147"/>
      <c r="AJ45" s="147"/>
      <c r="AK45" s="147"/>
      <c r="AL45" s="147"/>
      <c r="AM45" s="147"/>
      <c r="AN45" s="147"/>
      <c r="AO45" s="147"/>
      <c r="AP45" s="147"/>
      <c r="AQ45" s="147"/>
      <c r="AR45" s="147"/>
      <c r="AS45" s="147"/>
      <c r="AT45" s="147"/>
      <c r="AU45" s="147"/>
      <c r="AV45" s="147"/>
      <c r="AW45" s="147"/>
      <c r="AX45" s="147"/>
      <c r="AY45" s="147"/>
      <c r="AZ45" s="147"/>
      <c r="BA45" s="147"/>
      <c r="BB45" s="147"/>
      <c r="BC45" s="147"/>
      <c r="BD45" s="147"/>
      <c r="BE45" s="147"/>
      <c r="BF45" s="147"/>
      <c r="BG45" s="147"/>
      <c r="BH45" s="147"/>
      <c r="BI45" s="147"/>
      <c r="BJ45" s="147"/>
      <c r="BK45" s="147"/>
      <c r="BL45" s="147"/>
      <c r="BM45" s="147"/>
      <c r="BN45" s="147"/>
      <c r="BO45" s="147"/>
      <c r="BP45" s="147"/>
      <c r="BQ45" s="147"/>
      <c r="BR45" s="147"/>
      <c r="BS45" s="147"/>
      <c r="BT45" s="147"/>
      <c r="BU45" s="147"/>
      <c r="BV45" s="147"/>
      <c r="BW45" s="147"/>
      <c r="BX45" s="147"/>
      <c r="BY45" s="147"/>
      <c r="BZ45" s="147"/>
      <c r="CA45" s="147"/>
      <c r="CB45" s="147"/>
      <c r="CC45" s="147"/>
      <c r="CD45" s="147"/>
      <c r="CE45" s="147"/>
      <c r="CF45" s="147"/>
      <c r="CG45" s="147"/>
      <c r="CH45" s="147"/>
      <c r="CI45" s="147"/>
      <c r="CJ45" s="147"/>
      <c r="CK45" s="147"/>
      <c r="CL45" s="147"/>
      <c r="CM45" s="147"/>
      <c r="CN45" s="147"/>
      <c r="CO45" s="147"/>
      <c r="CP45" s="147"/>
    </row>
    <row r="46" spans="1:94" s="153" customFormat="1" ht="28.5" customHeight="1" x14ac:dyDescent="0.25">
      <c r="A46" s="139"/>
      <c r="B46" s="202"/>
      <c r="C46" s="215"/>
      <c r="D46" s="215"/>
      <c r="E46" s="427" t="s">
        <v>100</v>
      </c>
      <c r="F46" s="428"/>
      <c r="G46" s="428"/>
      <c r="H46" s="428"/>
      <c r="I46" s="428"/>
      <c r="J46" s="429"/>
      <c r="K46" s="433" t="str">
        <f>IF(OR(J45&lt;0,F45&lt;0),"You may not have sufficient funding or authorized FTP, and may need to make additional adjustments to finalize this form.  Please contact both your DFM and LSO analysts.","")</f>
        <v/>
      </c>
      <c r="L46" s="434"/>
      <c r="M46" s="434"/>
      <c r="N46" s="435"/>
      <c r="O46"/>
      <c r="P46"/>
      <c r="Q46"/>
      <c r="R46"/>
      <c r="S46"/>
      <c r="T46"/>
      <c r="U46"/>
      <c r="V46"/>
      <c r="W46"/>
      <c r="X46"/>
      <c r="Y46"/>
      <c r="Z46" s="344"/>
      <c r="AA46" s="363"/>
      <c r="AB46" s="363"/>
      <c r="AC46" s="363"/>
      <c r="AD46" s="329"/>
      <c r="AE46" s="147"/>
      <c r="AF46" s="147"/>
      <c r="AG46" s="147"/>
      <c r="AH46" s="147"/>
      <c r="AI46" s="147"/>
      <c r="AJ46" s="147"/>
      <c r="AK46" s="147"/>
      <c r="AL46" s="147"/>
      <c r="AM46" s="147"/>
      <c r="AN46" s="147"/>
      <c r="AO46" s="147"/>
      <c r="AP46" s="147"/>
      <c r="AQ46" s="147"/>
      <c r="AR46" s="147"/>
      <c r="AS46" s="147"/>
      <c r="AT46" s="147"/>
      <c r="AU46" s="147"/>
      <c r="AV46" s="147"/>
      <c r="AW46" s="147"/>
      <c r="AX46" s="147"/>
      <c r="AY46" s="147"/>
      <c r="AZ46" s="147"/>
      <c r="BA46" s="147"/>
      <c r="BB46" s="147"/>
      <c r="BC46" s="147"/>
      <c r="BD46" s="147"/>
      <c r="BE46" s="147"/>
      <c r="BF46" s="147"/>
      <c r="BG46" s="147"/>
      <c r="BH46" s="147"/>
      <c r="BI46" s="147"/>
      <c r="BJ46" s="147"/>
      <c r="BK46" s="147"/>
      <c r="BL46" s="147"/>
      <c r="BM46" s="147"/>
      <c r="BN46" s="147"/>
      <c r="BO46" s="147"/>
      <c r="BP46" s="147"/>
      <c r="BQ46" s="147"/>
      <c r="BR46" s="147"/>
      <c r="BS46" s="147"/>
      <c r="BT46" s="147"/>
      <c r="BU46" s="147"/>
      <c r="BV46" s="147"/>
      <c r="BW46" s="147"/>
      <c r="BX46" s="147"/>
      <c r="BY46" s="147"/>
      <c r="BZ46" s="147"/>
      <c r="CA46" s="147"/>
      <c r="CB46" s="147"/>
      <c r="CC46" s="147"/>
      <c r="CD46" s="147"/>
      <c r="CE46" s="147"/>
      <c r="CF46" s="147"/>
      <c r="CG46" s="147"/>
      <c r="CH46" s="147"/>
      <c r="CI46" s="147"/>
      <c r="CJ46" s="147"/>
      <c r="CK46" s="147"/>
      <c r="CL46" s="147"/>
      <c r="CM46" s="147"/>
      <c r="CN46" s="147"/>
      <c r="CO46" s="147"/>
      <c r="CP46" s="147"/>
    </row>
    <row r="47" spans="1:94" s="153" customFormat="1" ht="21.75" customHeight="1" x14ac:dyDescent="0.25">
      <c r="A47" s="139"/>
      <c r="B47" s="202"/>
      <c r="C47" s="215"/>
      <c r="D47" s="215"/>
      <c r="E47" s="430"/>
      <c r="F47" s="431"/>
      <c r="G47" s="431"/>
      <c r="H47" s="431"/>
      <c r="I47" s="431"/>
      <c r="J47" s="432"/>
      <c r="K47" s="436"/>
      <c r="L47" s="437"/>
      <c r="M47" s="437"/>
      <c r="N47" s="438"/>
      <c r="O47"/>
      <c r="P47"/>
      <c r="Q47"/>
      <c r="R47"/>
      <c r="S47"/>
      <c r="T47"/>
      <c r="U47"/>
      <c r="V47"/>
      <c r="W47"/>
      <c r="X47"/>
      <c r="Y47"/>
      <c r="Z47" s="344"/>
      <c r="AA47" s="363"/>
      <c r="AB47" s="363"/>
      <c r="AC47" s="363"/>
      <c r="AD47" s="329"/>
      <c r="AE47" s="147"/>
      <c r="AF47" s="147"/>
      <c r="AG47" s="147"/>
      <c r="AH47" s="147"/>
      <c r="AI47" s="147"/>
      <c r="AJ47" s="147"/>
      <c r="AK47" s="147"/>
      <c r="AL47" s="147"/>
      <c r="AM47" s="147"/>
      <c r="AN47" s="147"/>
      <c r="AO47" s="147"/>
      <c r="AP47" s="147"/>
      <c r="AQ47" s="147"/>
      <c r="AR47" s="147"/>
      <c r="AS47" s="147"/>
      <c r="AT47" s="147"/>
      <c r="AU47" s="147"/>
      <c r="AV47" s="147"/>
      <c r="AW47" s="147"/>
      <c r="AX47" s="147"/>
      <c r="AY47" s="147"/>
      <c r="AZ47" s="147"/>
      <c r="BA47" s="147"/>
      <c r="BB47" s="147"/>
      <c r="BC47" s="147"/>
      <c r="BD47" s="147"/>
      <c r="BE47" s="147"/>
      <c r="BF47" s="147"/>
      <c r="BG47" s="147"/>
      <c r="BH47" s="147"/>
      <c r="BI47" s="147"/>
      <c r="BJ47" s="147"/>
      <c r="BK47" s="147"/>
      <c r="BL47" s="147"/>
      <c r="BM47" s="147"/>
      <c r="BN47" s="147"/>
      <c r="BO47" s="147"/>
      <c r="BP47" s="147"/>
      <c r="BQ47" s="147"/>
      <c r="BR47" s="147"/>
      <c r="BS47" s="147"/>
      <c r="BT47" s="147"/>
      <c r="BU47" s="147"/>
      <c r="BV47" s="147"/>
      <c r="BW47" s="147"/>
      <c r="BX47" s="147"/>
      <c r="BY47" s="147"/>
      <c r="BZ47" s="147"/>
      <c r="CA47" s="147"/>
      <c r="CB47" s="147"/>
      <c r="CC47" s="147"/>
      <c r="CD47" s="147"/>
      <c r="CE47" s="147"/>
      <c r="CF47" s="147"/>
      <c r="CG47" s="147"/>
      <c r="CH47" s="147"/>
      <c r="CI47" s="147"/>
      <c r="CJ47" s="147"/>
      <c r="CK47" s="147"/>
      <c r="CL47" s="147"/>
      <c r="CM47" s="147"/>
      <c r="CN47" s="147"/>
      <c r="CO47" s="147"/>
      <c r="CP47" s="147"/>
    </row>
    <row r="48" spans="1:94" s="214" customFormat="1" ht="8.25" customHeight="1" x14ac:dyDescent="0.25">
      <c r="A48" s="207"/>
      <c r="B48" s="208"/>
      <c r="C48" s="136"/>
      <c r="D48" s="136"/>
      <c r="E48" s="209"/>
      <c r="F48" s="210"/>
      <c r="G48" s="211"/>
      <c r="H48" s="211"/>
      <c r="I48" s="211"/>
      <c r="J48" s="211"/>
      <c r="K48" s="211"/>
      <c r="L48" s="137"/>
      <c r="M48" s="138"/>
      <c r="N48" s="212"/>
      <c r="O48"/>
      <c r="P48"/>
      <c r="Q48"/>
      <c r="R48"/>
      <c r="S48"/>
      <c r="T48"/>
      <c r="U48"/>
      <c r="V48"/>
      <c r="W48"/>
      <c r="X48"/>
      <c r="Y48"/>
      <c r="Z48" s="344"/>
      <c r="AA48" s="339"/>
      <c r="AB48" s="339"/>
      <c r="AC48" s="339"/>
      <c r="AD48" s="330"/>
      <c r="AE48" s="213"/>
      <c r="AF48" s="213"/>
      <c r="AG48" s="213"/>
      <c r="AH48" s="213"/>
      <c r="AI48" s="213"/>
      <c r="AJ48" s="213"/>
      <c r="AK48" s="213"/>
      <c r="AL48" s="213"/>
      <c r="AM48" s="213"/>
      <c r="AN48" s="213"/>
      <c r="AO48" s="213"/>
      <c r="AP48" s="213"/>
      <c r="AQ48" s="213"/>
      <c r="AR48" s="213"/>
      <c r="AS48" s="213"/>
      <c r="AT48" s="213"/>
      <c r="AU48" s="213"/>
      <c r="AV48" s="213"/>
      <c r="AW48" s="213"/>
      <c r="AX48" s="213"/>
      <c r="AY48" s="213"/>
      <c r="AZ48" s="213"/>
      <c r="BA48" s="213"/>
      <c r="BB48" s="213"/>
      <c r="BC48" s="213"/>
      <c r="BD48" s="213"/>
      <c r="BE48" s="213"/>
      <c r="BF48" s="213"/>
      <c r="BG48" s="213"/>
      <c r="BH48" s="213"/>
      <c r="BI48" s="213"/>
      <c r="BJ48" s="213"/>
      <c r="BK48" s="213"/>
      <c r="BL48" s="213"/>
      <c r="BM48" s="213"/>
      <c r="BN48" s="213"/>
      <c r="BO48" s="213"/>
      <c r="BP48" s="213"/>
      <c r="BQ48" s="213"/>
      <c r="BR48" s="213"/>
      <c r="BS48" s="213"/>
      <c r="BT48" s="213"/>
      <c r="BU48" s="213"/>
      <c r="BV48" s="213"/>
      <c r="BW48" s="213"/>
      <c r="BX48" s="213"/>
      <c r="BY48" s="213"/>
      <c r="BZ48" s="213"/>
      <c r="CA48" s="213"/>
      <c r="CB48" s="213"/>
      <c r="CC48" s="213"/>
      <c r="CD48" s="213"/>
      <c r="CE48" s="213"/>
      <c r="CF48" s="213"/>
      <c r="CG48" s="213"/>
      <c r="CH48" s="213"/>
      <c r="CI48" s="213"/>
      <c r="CJ48" s="213"/>
      <c r="CK48" s="213"/>
      <c r="CL48" s="213"/>
      <c r="CM48" s="213"/>
      <c r="CN48" s="213"/>
      <c r="CO48" s="213"/>
      <c r="CP48" s="213"/>
    </row>
    <row r="49" spans="1:94" s="53" customFormat="1" ht="6" customHeight="1" x14ac:dyDescent="0.25">
      <c r="A49" s="63"/>
      <c r="B49" s="64"/>
      <c r="C49" s="65"/>
      <c r="D49" s="66"/>
      <c r="E49" s="67"/>
      <c r="F49" s="68"/>
      <c r="G49" s="64"/>
      <c r="H49" s="64"/>
      <c r="I49" s="64"/>
      <c r="J49" s="64"/>
      <c r="K49" s="64"/>
      <c r="L49" s="69"/>
      <c r="M49" s="69"/>
      <c r="N49" s="70"/>
      <c r="O49"/>
      <c r="P49"/>
      <c r="Q49"/>
      <c r="R49"/>
      <c r="S49"/>
      <c r="T49"/>
      <c r="U49"/>
      <c r="V49"/>
      <c r="W49"/>
      <c r="X49"/>
      <c r="Y49"/>
      <c r="Z49" s="344"/>
      <c r="AA49" s="363"/>
      <c r="AB49" s="363"/>
      <c r="AC49" s="363"/>
      <c r="AD49" s="110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1"/>
      <c r="AV49" s="41"/>
      <c r="AW49" s="41"/>
      <c r="AX49" s="41"/>
      <c r="AY49" s="41"/>
      <c r="AZ49" s="41"/>
      <c r="BA49" s="41"/>
      <c r="BB49" s="41"/>
      <c r="BC49" s="41"/>
      <c r="BD49" s="41"/>
      <c r="BE49" s="41"/>
      <c r="BF49" s="41"/>
      <c r="BG49" s="41"/>
      <c r="BH49" s="41"/>
      <c r="BI49" s="41"/>
      <c r="BJ49" s="41"/>
      <c r="BK49" s="41"/>
      <c r="BL49" s="41"/>
      <c r="BM49" s="41"/>
      <c r="BN49" s="41"/>
      <c r="BO49" s="41"/>
      <c r="BP49" s="41"/>
      <c r="BQ49" s="41"/>
      <c r="BR49" s="41"/>
      <c r="BS49" s="41"/>
      <c r="BT49" s="41"/>
      <c r="BU49" s="41"/>
      <c r="BV49" s="41"/>
      <c r="BW49" s="41"/>
      <c r="BX49" s="41"/>
      <c r="BY49" s="41"/>
      <c r="BZ49" s="41"/>
      <c r="CA49" s="41"/>
      <c r="CB49" s="41"/>
      <c r="CC49" s="41"/>
      <c r="CD49" s="41"/>
      <c r="CE49" s="41"/>
      <c r="CF49" s="41"/>
      <c r="CG49" s="41"/>
      <c r="CH49" s="41"/>
      <c r="CI49" s="41"/>
      <c r="CJ49" s="41"/>
      <c r="CK49" s="41"/>
      <c r="CL49" s="41"/>
      <c r="CM49" s="41"/>
      <c r="CN49" s="41"/>
      <c r="CO49" s="41"/>
      <c r="CP49" s="41"/>
    </row>
    <row r="50" spans="1:94" s="53" customFormat="1" ht="24.75" customHeight="1" x14ac:dyDescent="0.25">
      <c r="A50" s="257" t="s">
        <v>42</v>
      </c>
      <c r="B50" s="71"/>
      <c r="C50" s="439"/>
      <c r="D50" s="440"/>
      <c r="E50" s="72" t="s">
        <v>43</v>
      </c>
      <c r="F50" s="73" t="s">
        <v>24</v>
      </c>
      <c r="G50" s="72" t="str">
        <f>"FY "&amp;M4-2001&amp;" Salary"</f>
        <v>FY 22 Salary</v>
      </c>
      <c r="H50" s="72" t="str">
        <f>"FY "&amp;M4-2001&amp;" Health Ben"</f>
        <v>FY 22 Health Ben</v>
      </c>
      <c r="I50" s="72" t="str">
        <f>"FY "&amp;M4-2001&amp;" Var Ben"</f>
        <v>FY 22 Var Ben</v>
      </c>
      <c r="J50" s="72" t="str">
        <f>"FY "&amp;M4-1&amp;" Total"</f>
        <v>FY 2022 Total</v>
      </c>
      <c r="K50" s="307" t="str">
        <f>"FY "&amp;FiscalYear&amp;" SALARY CHG"</f>
        <v>FY 2023 SALARY CHG</v>
      </c>
      <c r="L50" s="74" t="str">
        <f>"FY "&amp;M4-2000&amp;" Chg Health Bens"</f>
        <v>FY 23 Chg Health Bens</v>
      </c>
      <c r="M50" s="74" t="str">
        <f>"FY "&amp;M4-2000&amp;" Chg Var Bens"</f>
        <v>FY 23 Chg Var Bens</v>
      </c>
      <c r="N50" s="74" t="s">
        <v>44</v>
      </c>
      <c r="O50"/>
      <c r="P50"/>
      <c r="Q50"/>
      <c r="R50"/>
      <c r="S50"/>
      <c r="T50"/>
      <c r="U50"/>
      <c r="V50"/>
      <c r="W50"/>
      <c r="X50"/>
      <c r="Y50"/>
      <c r="Z50" s="344"/>
      <c r="AA50" s="363"/>
      <c r="AB50" s="363"/>
      <c r="AC50" s="363"/>
      <c r="AD50" s="110"/>
      <c r="AE50" s="41"/>
      <c r="AF50" s="41"/>
      <c r="AG50" s="41"/>
      <c r="AH50" s="41"/>
      <c r="AI50" s="41"/>
      <c r="AJ50" s="41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U50" s="41"/>
      <c r="AV50" s="41"/>
      <c r="AW50" s="41"/>
      <c r="AX50" s="41"/>
      <c r="AY50" s="41"/>
      <c r="AZ50" s="41"/>
      <c r="BA50" s="41"/>
      <c r="BB50" s="41"/>
      <c r="BC50" s="41"/>
      <c r="BD50" s="41"/>
      <c r="BE50" s="41"/>
      <c r="BF50" s="41"/>
      <c r="BG50" s="41"/>
      <c r="BH50" s="41"/>
      <c r="BI50" s="41"/>
      <c r="BJ50" s="41"/>
      <c r="BK50" s="41"/>
      <c r="BL50" s="41"/>
      <c r="BM50" s="41"/>
      <c r="BN50" s="41"/>
      <c r="BO50" s="41"/>
      <c r="BP50" s="41"/>
      <c r="BQ50" s="41"/>
      <c r="BR50" s="41"/>
      <c r="BS50" s="41"/>
      <c r="BT50" s="41"/>
      <c r="BU50" s="41"/>
      <c r="BV50" s="41"/>
      <c r="BW50" s="41"/>
      <c r="BX50" s="41"/>
      <c r="BY50" s="41"/>
      <c r="BZ50" s="41"/>
      <c r="CA50" s="41"/>
      <c r="CB50" s="41"/>
      <c r="CC50" s="41"/>
      <c r="CD50" s="41"/>
      <c r="CE50" s="41"/>
      <c r="CF50" s="41"/>
      <c r="CG50" s="41"/>
      <c r="CH50" s="41"/>
      <c r="CI50" s="41"/>
      <c r="CJ50" s="41"/>
      <c r="CK50" s="41"/>
      <c r="CL50" s="41"/>
      <c r="CM50" s="41"/>
      <c r="CN50" s="41"/>
      <c r="CO50" s="41"/>
      <c r="CP50" s="41"/>
    </row>
    <row r="51" spans="1:94" s="53" customFormat="1" ht="15.75" customHeight="1" x14ac:dyDescent="0.25">
      <c r="A51" s="75">
        <v>3</v>
      </c>
      <c r="B51" s="76" t="s">
        <v>45</v>
      </c>
      <c r="C51" s="54" t="str">
        <f>"FY "&amp;M4-1</f>
        <v>FY 2022</v>
      </c>
      <c r="D51" s="77" t="s">
        <v>31</v>
      </c>
      <c r="E51" s="78">
        <f>OrigApprop</f>
        <v>734100</v>
      </c>
      <c r="F51" s="272">
        <f>AppropFTP</f>
        <v>8.15</v>
      </c>
      <c r="G51" s="274">
        <f>IF(E51=0,0,(G41/$J$41)*$E$51)</f>
        <v>532717.96539180179</v>
      </c>
      <c r="H51" s="274">
        <f>IF(E51=0,0,(H41/$J$41)*$E$51)</f>
        <v>88658.940131608193</v>
      </c>
      <c r="I51" s="275">
        <f>IF(E51=0,0,(I41/$J$41)*$E$51)</f>
        <v>112723.09447659011</v>
      </c>
      <c r="J51" s="90">
        <f>SUM(G51:I51)</f>
        <v>734100</v>
      </c>
      <c r="K51" s="263"/>
      <c r="L51" s="61"/>
      <c r="M51" s="81"/>
      <c r="N51" s="81"/>
      <c r="O51"/>
      <c r="P51"/>
      <c r="Q51"/>
      <c r="R51"/>
      <c r="S51"/>
      <c r="T51"/>
      <c r="U51"/>
      <c r="V51"/>
      <c r="W51"/>
      <c r="X51"/>
      <c r="Y51"/>
      <c r="Z51" s="344"/>
      <c r="AA51" s="346"/>
      <c r="AB51" s="363"/>
      <c r="AC51" s="363"/>
      <c r="AD51" s="110"/>
      <c r="AE51" s="41"/>
      <c r="AF51" s="41"/>
      <c r="AG51" s="41"/>
      <c r="AH51" s="41"/>
      <c r="AI51" s="41"/>
      <c r="AJ51" s="41"/>
      <c r="AK51" s="41"/>
      <c r="AL51" s="41"/>
      <c r="AM51" s="41"/>
      <c r="AN51" s="41"/>
      <c r="AO51" s="41"/>
      <c r="AP51" s="41"/>
      <c r="AQ51" s="41"/>
      <c r="AR51" s="41"/>
      <c r="AS51" s="41"/>
      <c r="AT51" s="41"/>
      <c r="AU51" s="41"/>
      <c r="AV51" s="41"/>
      <c r="AW51" s="41"/>
      <c r="AX51" s="41"/>
      <c r="AY51" s="41"/>
      <c r="AZ51" s="41"/>
      <c r="BA51" s="41"/>
      <c r="BB51" s="41"/>
      <c r="BC51" s="41"/>
      <c r="BD51" s="41"/>
      <c r="BE51" s="41"/>
      <c r="BF51" s="41"/>
      <c r="BG51" s="41"/>
      <c r="BH51" s="41"/>
      <c r="BI51" s="41"/>
      <c r="BJ51" s="41"/>
      <c r="BK51" s="41"/>
      <c r="BL51" s="41"/>
      <c r="BM51" s="41"/>
      <c r="BN51" s="41"/>
      <c r="BO51" s="41"/>
      <c r="BP51" s="41"/>
      <c r="BQ51" s="41"/>
      <c r="BR51" s="41"/>
      <c r="BS51" s="41"/>
      <c r="BT51" s="41"/>
      <c r="BU51" s="41"/>
      <c r="BV51" s="41"/>
      <c r="BW51" s="41"/>
      <c r="BX51" s="41"/>
      <c r="BY51" s="41"/>
      <c r="BZ51" s="41"/>
      <c r="CA51" s="41"/>
      <c r="CB51" s="41"/>
      <c r="CC51" s="41"/>
      <c r="CD51" s="41"/>
      <c r="CE51" s="41"/>
      <c r="CF51" s="41"/>
      <c r="CG51" s="41"/>
      <c r="CH51" s="41"/>
      <c r="CI51" s="41"/>
      <c r="CJ51" s="41"/>
      <c r="CK51" s="41"/>
      <c r="CL51" s="41"/>
      <c r="CM51" s="41"/>
      <c r="CN51" s="41"/>
      <c r="CO51" s="41"/>
      <c r="CP51" s="41"/>
    </row>
    <row r="52" spans="1:94" s="53" customFormat="1" ht="15.75" customHeight="1" x14ac:dyDescent="0.25">
      <c r="A52" s="82"/>
      <c r="B52" s="83"/>
      <c r="C52" s="84"/>
      <c r="D52" s="132" t="s">
        <v>46</v>
      </c>
      <c r="E52" s="133"/>
      <c r="F52" s="55">
        <f>F51</f>
        <v>8.15</v>
      </c>
      <c r="G52" s="79">
        <f>ROUND(G51,-2)</f>
        <v>532700</v>
      </c>
      <c r="H52" s="79">
        <f>ROUND(H51,-2)</f>
        <v>88700</v>
      </c>
      <c r="I52" s="266">
        <f>ROUND(I51,-2)</f>
        <v>112700</v>
      </c>
      <c r="J52" s="80">
        <f>ROUND(J51,-2)</f>
        <v>734100</v>
      </c>
      <c r="K52" s="263"/>
      <c r="L52" s="61"/>
      <c r="M52" s="81"/>
      <c r="N52" s="81"/>
      <c r="O52"/>
      <c r="P52"/>
      <c r="Q52"/>
      <c r="R52"/>
      <c r="S52"/>
      <c r="T52"/>
      <c r="U52"/>
      <c r="V52"/>
      <c r="W52"/>
      <c r="X52"/>
      <c r="Y52"/>
      <c r="Z52" s="344"/>
      <c r="AA52" s="347"/>
      <c r="AB52" s="363"/>
      <c r="AC52" s="363"/>
      <c r="AD52" s="110"/>
      <c r="AE52" s="41"/>
      <c r="AF52" s="41"/>
      <c r="AG52" s="41"/>
      <c r="AH52" s="41"/>
      <c r="AI52" s="41"/>
      <c r="AJ52" s="41"/>
      <c r="AK52" s="41"/>
      <c r="AL52" s="41"/>
      <c r="AM52" s="41"/>
      <c r="AN52" s="41"/>
      <c r="AO52" s="41"/>
      <c r="AP52" s="41"/>
      <c r="AQ52" s="41"/>
      <c r="AR52" s="41"/>
      <c r="AS52" s="41"/>
      <c r="AT52" s="41"/>
      <c r="AU52" s="41"/>
      <c r="AV52" s="41"/>
      <c r="AW52" s="41"/>
      <c r="AX52" s="41"/>
      <c r="AY52" s="41"/>
      <c r="AZ52" s="41"/>
      <c r="BA52" s="41"/>
      <c r="BB52" s="41"/>
      <c r="BC52" s="41"/>
      <c r="BD52" s="41"/>
      <c r="BE52" s="41"/>
      <c r="BF52" s="41"/>
      <c r="BG52" s="41"/>
      <c r="BH52" s="41"/>
      <c r="BI52" s="41"/>
      <c r="BJ52" s="41"/>
      <c r="BK52" s="41"/>
      <c r="BL52" s="41"/>
      <c r="BM52" s="41"/>
      <c r="BN52" s="41"/>
      <c r="BO52" s="41"/>
      <c r="BP52" s="41"/>
      <c r="BQ52" s="41"/>
      <c r="BR52" s="41"/>
      <c r="BS52" s="41"/>
      <c r="BT52" s="41"/>
      <c r="BU52" s="41"/>
      <c r="BV52" s="41"/>
      <c r="BW52" s="41"/>
      <c r="BX52" s="41"/>
      <c r="BY52" s="41"/>
      <c r="BZ52" s="41"/>
      <c r="CA52" s="41"/>
      <c r="CB52" s="41"/>
      <c r="CC52" s="41"/>
      <c r="CD52" s="41"/>
      <c r="CE52" s="41"/>
      <c r="CF52" s="41"/>
      <c r="CG52" s="41"/>
      <c r="CH52" s="41"/>
      <c r="CI52" s="41"/>
      <c r="CJ52" s="41"/>
      <c r="CK52" s="41"/>
      <c r="CL52" s="41"/>
      <c r="CM52" s="41"/>
      <c r="CN52" s="41"/>
      <c r="CO52" s="41"/>
      <c r="CP52" s="41"/>
    </row>
    <row r="53" spans="1:94" s="53" customFormat="1" ht="15" x14ac:dyDescent="0.25">
      <c r="A53" s="85"/>
      <c r="B53" s="83"/>
      <c r="C53" s="441" t="s">
        <v>47</v>
      </c>
      <c r="D53" s="442"/>
      <c r="E53" s="271"/>
      <c r="F53" s="273"/>
      <c r="G53" s="62"/>
      <c r="H53" s="62"/>
      <c r="I53" s="62"/>
      <c r="J53" s="62"/>
      <c r="K53" s="62"/>
      <c r="L53" s="61"/>
      <c r="M53" s="86"/>
      <c r="N53" s="86"/>
      <c r="O53"/>
      <c r="P53"/>
      <c r="Q53"/>
      <c r="R53"/>
      <c r="S53"/>
      <c r="T53"/>
      <c r="U53"/>
      <c r="V53"/>
      <c r="W53"/>
      <c r="X53"/>
      <c r="Y53"/>
      <c r="Z53" s="344"/>
      <c r="AA53" s="363"/>
      <c r="AB53" s="363"/>
      <c r="AC53" s="363"/>
      <c r="AD53" s="110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U53" s="41"/>
      <c r="AV53" s="41"/>
      <c r="AW53" s="41"/>
      <c r="AX53" s="41"/>
      <c r="AY53" s="41"/>
      <c r="AZ53" s="41"/>
      <c r="BA53" s="41"/>
      <c r="BB53" s="41"/>
      <c r="BC53" s="41"/>
      <c r="BD53" s="41"/>
      <c r="BE53" s="41"/>
      <c r="BF53" s="41"/>
      <c r="BG53" s="41"/>
      <c r="BH53" s="41"/>
      <c r="BI53" s="41"/>
      <c r="BJ53" s="41"/>
      <c r="BK53" s="41"/>
      <c r="BL53" s="41"/>
      <c r="BM53" s="41"/>
      <c r="BN53" s="41"/>
      <c r="BO53" s="41"/>
      <c r="BP53" s="41"/>
      <c r="BQ53" s="41"/>
      <c r="BR53" s="41"/>
      <c r="BS53" s="41"/>
      <c r="BT53" s="41"/>
      <c r="BU53" s="41"/>
      <c r="BV53" s="41"/>
      <c r="BW53" s="41"/>
      <c r="BX53" s="41"/>
      <c r="BY53" s="41"/>
      <c r="BZ53" s="41"/>
      <c r="CA53" s="41"/>
      <c r="CB53" s="41"/>
      <c r="CC53" s="41"/>
      <c r="CD53" s="41"/>
      <c r="CE53" s="41"/>
      <c r="CF53" s="41"/>
      <c r="CG53" s="41"/>
      <c r="CH53" s="41"/>
      <c r="CI53" s="41"/>
      <c r="CJ53" s="41"/>
      <c r="CK53" s="41"/>
      <c r="CL53" s="41"/>
      <c r="CM53" s="41"/>
      <c r="CN53" s="41"/>
      <c r="CO53" s="41"/>
      <c r="CP53" s="41"/>
    </row>
    <row r="54" spans="1:94" s="53" customFormat="1" ht="15.75" customHeight="1" x14ac:dyDescent="0.25">
      <c r="A54" s="85">
        <v>4.1100000000000003</v>
      </c>
      <c r="B54" s="83"/>
      <c r="C54" s="408" t="s">
        <v>48</v>
      </c>
      <c r="D54" s="409"/>
      <c r="E54" s="59"/>
      <c r="F54" s="58">
        <v>0</v>
      </c>
      <c r="G54" s="88">
        <v>0</v>
      </c>
      <c r="H54" s="88">
        <v>0</v>
      </c>
      <c r="I54" s="265">
        <v>0</v>
      </c>
      <c r="J54" s="89">
        <f>SUM(G54:I54)</f>
        <v>0</v>
      </c>
      <c r="K54" s="62"/>
      <c r="L54" s="61"/>
      <c r="M54" s="86"/>
      <c r="N54" s="86"/>
      <c r="O54"/>
      <c r="P54"/>
      <c r="Q54"/>
      <c r="R54"/>
      <c r="S54"/>
      <c r="T54"/>
      <c r="U54"/>
      <c r="V54"/>
      <c r="W54"/>
      <c r="X54"/>
      <c r="Y54"/>
      <c r="Z54" s="344"/>
      <c r="AA54" s="363"/>
      <c r="AB54" s="363"/>
      <c r="AC54" s="363"/>
      <c r="AD54" s="110"/>
      <c r="AE54" s="41"/>
      <c r="AF54" s="41"/>
      <c r="AG54" s="41"/>
      <c r="AH54" s="41"/>
      <c r="AI54" s="41"/>
      <c r="AJ54" s="41"/>
      <c r="AK54" s="41"/>
      <c r="AL54" s="41"/>
      <c r="AM54" s="41"/>
      <c r="AN54" s="41"/>
      <c r="AO54" s="41"/>
      <c r="AP54" s="41"/>
      <c r="AQ54" s="41"/>
      <c r="AR54" s="41"/>
      <c r="AS54" s="41"/>
      <c r="AT54" s="41"/>
      <c r="AU54" s="41"/>
      <c r="AV54" s="41"/>
      <c r="AW54" s="41"/>
      <c r="AX54" s="41"/>
      <c r="AY54" s="41"/>
      <c r="AZ54" s="41"/>
      <c r="BA54" s="41"/>
      <c r="BB54" s="41"/>
      <c r="BC54" s="41"/>
      <c r="BD54" s="41"/>
      <c r="BE54" s="41"/>
      <c r="BF54" s="41"/>
      <c r="BG54" s="41"/>
      <c r="BH54" s="41"/>
      <c r="BI54" s="41"/>
      <c r="BJ54" s="41"/>
      <c r="BK54" s="41"/>
      <c r="BL54" s="41"/>
      <c r="BM54" s="41"/>
      <c r="BN54" s="41"/>
      <c r="BO54" s="41"/>
      <c r="BP54" s="41"/>
      <c r="BQ54" s="41"/>
      <c r="BR54" s="41"/>
      <c r="BS54" s="41"/>
      <c r="BT54" s="41"/>
      <c r="BU54" s="41"/>
      <c r="BV54" s="41"/>
      <c r="BW54" s="41"/>
      <c r="BX54" s="41"/>
      <c r="BY54" s="41"/>
      <c r="BZ54" s="41"/>
      <c r="CA54" s="41"/>
      <c r="CB54" s="41"/>
      <c r="CC54" s="41"/>
      <c r="CD54" s="41"/>
      <c r="CE54" s="41"/>
      <c r="CF54" s="41"/>
      <c r="CG54" s="41"/>
      <c r="CH54" s="41"/>
      <c r="CI54" s="41"/>
      <c r="CJ54" s="41"/>
      <c r="CK54" s="41"/>
      <c r="CL54" s="41"/>
      <c r="CM54" s="41"/>
      <c r="CN54" s="41"/>
      <c r="CO54" s="41"/>
      <c r="CP54" s="41"/>
    </row>
    <row r="55" spans="1:94" s="53" customFormat="1" ht="15.75" customHeight="1" x14ac:dyDescent="0.25">
      <c r="A55" s="85">
        <v>4.3099999999999996</v>
      </c>
      <c r="B55" s="83"/>
      <c r="C55" s="421" t="s">
        <v>49</v>
      </c>
      <c r="D55" s="422"/>
      <c r="E55" s="59"/>
      <c r="F55" s="277">
        <v>0</v>
      </c>
      <c r="G55" s="92">
        <v>0</v>
      </c>
      <c r="H55" s="92">
        <v>0</v>
      </c>
      <c r="I55" s="264">
        <v>0</v>
      </c>
      <c r="J55" s="287">
        <f>SUM(G55:I55)</f>
        <v>0</v>
      </c>
      <c r="K55" s="62"/>
      <c r="L55" s="88"/>
      <c r="M55" s="261"/>
      <c r="N55" s="89">
        <f>SUM(L55:M55)</f>
        <v>0</v>
      </c>
      <c r="O55"/>
      <c r="P55"/>
      <c r="Q55"/>
      <c r="R55"/>
      <c r="S55"/>
      <c r="T55"/>
      <c r="U55"/>
      <c r="V55"/>
      <c r="W55"/>
      <c r="X55"/>
      <c r="Y55"/>
      <c r="Z55" s="344"/>
      <c r="AA55" s="363"/>
      <c r="AB55" s="363"/>
      <c r="AC55" s="363"/>
      <c r="AD55" s="110"/>
      <c r="AE55" s="41"/>
      <c r="AF55" s="41"/>
      <c r="AG55" s="41"/>
      <c r="AH55" s="41"/>
      <c r="AI55" s="41"/>
      <c r="AJ55" s="41"/>
      <c r="AK55" s="41"/>
      <c r="AL55" s="41"/>
      <c r="AM55" s="41"/>
      <c r="AN55" s="41"/>
      <c r="AO55" s="41"/>
      <c r="AP55" s="41"/>
      <c r="AQ55" s="41"/>
      <c r="AR55" s="41"/>
      <c r="AS55" s="41"/>
      <c r="AT55" s="41"/>
      <c r="AU55" s="41"/>
      <c r="AV55" s="41"/>
      <c r="AW55" s="41"/>
      <c r="AX55" s="41"/>
      <c r="AY55" s="41"/>
      <c r="AZ55" s="41"/>
      <c r="BA55" s="41"/>
      <c r="BB55" s="41"/>
      <c r="BC55" s="41"/>
      <c r="BD55" s="41"/>
      <c r="BE55" s="41"/>
      <c r="BF55" s="41"/>
      <c r="BG55" s="41"/>
      <c r="BH55" s="41"/>
      <c r="BI55" s="41"/>
      <c r="BJ55" s="41"/>
      <c r="BK55" s="41"/>
      <c r="BL55" s="41"/>
      <c r="BM55" s="41"/>
      <c r="BN55" s="41"/>
      <c r="BO55" s="41"/>
      <c r="BP55" s="41"/>
      <c r="BQ55" s="41"/>
      <c r="BR55" s="41"/>
      <c r="BS55" s="41"/>
      <c r="BT55" s="41"/>
      <c r="BU55" s="41"/>
      <c r="BV55" s="41"/>
      <c r="BW55" s="41"/>
      <c r="BX55" s="41"/>
      <c r="BY55" s="41"/>
      <c r="BZ55" s="41"/>
      <c r="CA55" s="41"/>
      <c r="CB55" s="41"/>
      <c r="CC55" s="41"/>
      <c r="CD55" s="41"/>
      <c r="CE55" s="41"/>
      <c r="CF55" s="41"/>
      <c r="CG55" s="41"/>
      <c r="CH55" s="41"/>
      <c r="CI55" s="41"/>
      <c r="CJ55" s="41"/>
      <c r="CK55" s="41"/>
      <c r="CL55" s="41"/>
      <c r="CM55" s="41"/>
      <c r="CN55" s="41"/>
      <c r="CO55" s="41"/>
      <c r="CP55" s="41"/>
    </row>
    <row r="56" spans="1:94" s="53" customFormat="1" ht="15.75" customHeight="1" x14ac:dyDescent="0.25">
      <c r="A56" s="75">
        <v>5</v>
      </c>
      <c r="B56" s="76"/>
      <c r="C56" s="54" t="str">
        <f>"FY "&amp;M4-1</f>
        <v>FY 2022</v>
      </c>
      <c r="D56" s="131" t="s">
        <v>50</v>
      </c>
      <c r="E56" s="135"/>
      <c r="F56" s="55">
        <f>SUM(F52:F55)</f>
        <v>8.15</v>
      </c>
      <c r="G56" s="80">
        <f>SUM(G52:G55)</f>
        <v>532700</v>
      </c>
      <c r="H56" s="80">
        <f>SUM(H52:H55)</f>
        <v>88700</v>
      </c>
      <c r="I56" s="260">
        <f>SUM(I52:I55)</f>
        <v>112700</v>
      </c>
      <c r="J56" s="80">
        <f>SUM(J52:J55)</f>
        <v>734100</v>
      </c>
      <c r="K56" s="263"/>
      <c r="L56" s="61"/>
      <c r="M56" s="61"/>
      <c r="N56" s="61"/>
      <c r="O56"/>
      <c r="P56"/>
      <c r="Q56"/>
      <c r="R56"/>
      <c r="S56"/>
      <c r="T56"/>
      <c r="U56"/>
      <c r="V56"/>
      <c r="W56"/>
      <c r="X56"/>
      <c r="Y56"/>
      <c r="Z56" s="344"/>
      <c r="AA56" s="363"/>
      <c r="AB56" s="363"/>
      <c r="AC56" s="363"/>
      <c r="AD56" s="110"/>
      <c r="AE56" s="41"/>
      <c r="AF56" s="41"/>
      <c r="AG56" s="41"/>
      <c r="AH56" s="41"/>
      <c r="AI56" s="41"/>
      <c r="AJ56" s="41"/>
      <c r="AK56" s="41"/>
      <c r="AL56" s="41"/>
      <c r="AM56" s="41"/>
      <c r="AN56" s="41"/>
      <c r="AO56" s="41"/>
      <c r="AP56" s="41"/>
      <c r="AQ56" s="41"/>
      <c r="AR56" s="41"/>
      <c r="AS56" s="41"/>
      <c r="AT56" s="41"/>
      <c r="AU56" s="41"/>
      <c r="AV56" s="41"/>
      <c r="AW56" s="41"/>
      <c r="AX56" s="41"/>
      <c r="AY56" s="41"/>
      <c r="AZ56" s="41"/>
      <c r="BA56" s="41"/>
      <c r="BB56" s="41"/>
      <c r="BC56" s="41"/>
      <c r="BD56" s="41"/>
      <c r="BE56" s="41"/>
      <c r="BF56" s="41"/>
      <c r="BG56" s="41"/>
      <c r="BH56" s="41"/>
      <c r="BI56" s="41"/>
      <c r="BJ56" s="41"/>
      <c r="BK56" s="41"/>
      <c r="BL56" s="41"/>
      <c r="BM56" s="41"/>
      <c r="BN56" s="41"/>
      <c r="BO56" s="41"/>
      <c r="BP56" s="41"/>
      <c r="BQ56" s="41"/>
      <c r="BR56" s="41"/>
      <c r="BS56" s="41"/>
      <c r="BT56" s="41"/>
      <c r="BU56" s="41"/>
      <c r="BV56" s="41"/>
      <c r="BW56" s="41"/>
      <c r="BX56" s="41"/>
      <c r="BY56" s="41"/>
      <c r="BZ56" s="41"/>
      <c r="CA56" s="41"/>
      <c r="CB56" s="41"/>
      <c r="CC56" s="41"/>
      <c r="CD56" s="41"/>
      <c r="CE56" s="41"/>
      <c r="CF56" s="41"/>
      <c r="CG56" s="41"/>
      <c r="CH56" s="41"/>
      <c r="CI56" s="41"/>
      <c r="CJ56" s="41"/>
      <c r="CK56" s="41"/>
      <c r="CL56" s="41"/>
      <c r="CM56" s="41"/>
      <c r="CN56" s="41"/>
      <c r="CO56" s="41"/>
      <c r="CP56" s="41"/>
    </row>
    <row r="57" spans="1:94" s="53" customFormat="1" ht="15.75" customHeight="1" x14ac:dyDescent="0.25">
      <c r="A57" s="85"/>
      <c r="B57" s="83"/>
      <c r="C57" s="419" t="s">
        <v>51</v>
      </c>
      <c r="D57" s="423"/>
      <c r="E57" s="367"/>
      <c r="F57" s="273"/>
      <c r="G57" s="62"/>
      <c r="H57" s="62"/>
      <c r="I57" s="62"/>
      <c r="J57" s="62"/>
      <c r="K57" s="62"/>
      <c r="L57" s="61"/>
      <c r="M57" s="61"/>
      <c r="N57" s="61"/>
      <c r="O57"/>
      <c r="P57"/>
      <c r="Q57"/>
      <c r="R57"/>
      <c r="S57"/>
      <c r="T57"/>
      <c r="U57"/>
      <c r="V57"/>
      <c r="W57"/>
      <c r="X57"/>
      <c r="Y57"/>
      <c r="Z57" s="344"/>
      <c r="AA57" s="363"/>
      <c r="AB57" s="363"/>
      <c r="AC57" s="363"/>
      <c r="AD57" s="110"/>
      <c r="AE57" s="41"/>
      <c r="AF57" s="41"/>
      <c r="AG57" s="41"/>
      <c r="AH57" s="41"/>
      <c r="AI57" s="41"/>
      <c r="AJ57" s="41"/>
      <c r="AK57" s="41"/>
      <c r="AL57" s="41"/>
      <c r="AM57" s="41"/>
      <c r="AN57" s="41"/>
      <c r="AO57" s="41"/>
      <c r="AP57" s="41"/>
      <c r="AQ57" s="41"/>
      <c r="AR57" s="41"/>
      <c r="AS57" s="41"/>
      <c r="AT57" s="41"/>
      <c r="AU57" s="41"/>
      <c r="AV57" s="41"/>
      <c r="AW57" s="41"/>
      <c r="AX57" s="41"/>
      <c r="AY57" s="41"/>
      <c r="AZ57" s="41"/>
      <c r="BA57" s="41"/>
      <c r="BB57" s="41"/>
      <c r="BC57" s="41"/>
      <c r="BD57" s="41"/>
      <c r="BE57" s="41"/>
      <c r="BF57" s="41"/>
      <c r="BG57" s="41"/>
      <c r="BH57" s="41"/>
      <c r="BI57" s="41"/>
      <c r="BJ57" s="41"/>
      <c r="BK57" s="41"/>
      <c r="BL57" s="41"/>
      <c r="BM57" s="41"/>
      <c r="BN57" s="41"/>
      <c r="BO57" s="41"/>
      <c r="BP57" s="41"/>
      <c r="BQ57" s="41"/>
      <c r="BR57" s="41"/>
      <c r="BS57" s="41"/>
      <c r="BT57" s="41"/>
      <c r="BU57" s="41"/>
      <c r="BV57" s="41"/>
      <c r="BW57" s="41"/>
      <c r="BX57" s="41"/>
      <c r="BY57" s="41"/>
      <c r="BZ57" s="41"/>
      <c r="CA57" s="41"/>
      <c r="CB57" s="41"/>
      <c r="CC57" s="41"/>
      <c r="CD57" s="41"/>
      <c r="CE57" s="41"/>
      <c r="CF57" s="41"/>
      <c r="CG57" s="41"/>
      <c r="CH57" s="41"/>
      <c r="CI57" s="41"/>
      <c r="CJ57" s="41"/>
      <c r="CK57" s="41"/>
      <c r="CL57" s="41"/>
      <c r="CM57" s="41"/>
      <c r="CN57" s="41"/>
      <c r="CO57" s="41"/>
      <c r="CP57" s="41"/>
    </row>
    <row r="58" spans="1:94" s="53" customFormat="1" ht="15.75" customHeight="1" x14ac:dyDescent="0.25">
      <c r="A58" s="85">
        <v>6.31</v>
      </c>
      <c r="B58" s="83"/>
      <c r="C58" s="408" t="s">
        <v>52</v>
      </c>
      <c r="D58" s="409"/>
      <c r="E58" s="102"/>
      <c r="F58" s="58">
        <v>0</v>
      </c>
      <c r="G58" s="88">
        <v>0</v>
      </c>
      <c r="H58" s="88">
        <v>0</v>
      </c>
      <c r="I58" s="265">
        <v>0</v>
      </c>
      <c r="J58" s="89">
        <f>SUM(G58:I58)</f>
        <v>0</v>
      </c>
      <c r="K58" s="62"/>
      <c r="L58" s="88"/>
      <c r="M58" s="262"/>
      <c r="N58" s="89">
        <f>SUM(L58:M58)</f>
        <v>0</v>
      </c>
      <c r="O58"/>
      <c r="P58"/>
      <c r="Q58"/>
      <c r="R58"/>
      <c r="S58"/>
      <c r="T58"/>
      <c r="U58"/>
      <c r="V58"/>
      <c r="W58"/>
      <c r="X58"/>
      <c r="Y58"/>
      <c r="Z58" s="344"/>
      <c r="AA58" s="363"/>
      <c r="AB58" s="363"/>
      <c r="AC58" s="363"/>
      <c r="AD58" s="110"/>
      <c r="AE58" s="41"/>
      <c r="AF58" s="41"/>
      <c r="AG58" s="41"/>
      <c r="AH58" s="41"/>
      <c r="AI58" s="41"/>
      <c r="AJ58" s="41"/>
      <c r="AK58" s="41"/>
      <c r="AL58" s="41"/>
      <c r="AM58" s="41"/>
      <c r="AN58" s="41"/>
      <c r="AO58" s="41"/>
      <c r="AP58" s="41"/>
      <c r="AQ58" s="41"/>
      <c r="AR58" s="41"/>
      <c r="AS58" s="41"/>
      <c r="AT58" s="41"/>
      <c r="AU58" s="41"/>
      <c r="AV58" s="41"/>
      <c r="AW58" s="41"/>
      <c r="AX58" s="41"/>
      <c r="AY58" s="41"/>
      <c r="AZ58" s="41"/>
      <c r="BA58" s="41"/>
      <c r="BB58" s="41"/>
      <c r="BC58" s="41"/>
      <c r="BD58" s="41"/>
      <c r="BE58" s="41"/>
      <c r="BF58" s="41"/>
      <c r="BG58" s="41"/>
      <c r="BH58" s="41"/>
      <c r="BI58" s="41"/>
      <c r="BJ58" s="41"/>
      <c r="BK58" s="41"/>
      <c r="BL58" s="41"/>
      <c r="BM58" s="41"/>
      <c r="BN58" s="41"/>
      <c r="BO58" s="41"/>
      <c r="BP58" s="41"/>
      <c r="BQ58" s="41"/>
      <c r="BR58" s="41"/>
      <c r="BS58" s="41"/>
      <c r="BT58" s="41"/>
      <c r="BU58" s="41"/>
      <c r="BV58" s="41"/>
      <c r="BW58" s="41"/>
      <c r="BX58" s="41"/>
      <c r="BY58" s="41"/>
      <c r="BZ58" s="41"/>
      <c r="CA58" s="41"/>
      <c r="CB58" s="41"/>
      <c r="CC58" s="41"/>
      <c r="CD58" s="41"/>
      <c r="CE58" s="41"/>
      <c r="CF58" s="41"/>
      <c r="CG58" s="41"/>
      <c r="CH58" s="41"/>
      <c r="CI58" s="41"/>
      <c r="CJ58" s="41"/>
      <c r="CK58" s="41"/>
      <c r="CL58" s="41"/>
      <c r="CM58" s="41"/>
      <c r="CN58" s="41"/>
      <c r="CO58" s="41"/>
      <c r="CP58" s="41"/>
    </row>
    <row r="59" spans="1:94" s="53" customFormat="1" ht="15.75" customHeight="1" x14ac:dyDescent="0.25">
      <c r="A59" s="85">
        <v>6.51</v>
      </c>
      <c r="B59" s="83"/>
      <c r="C59" s="421" t="s">
        <v>66</v>
      </c>
      <c r="D59" s="422"/>
      <c r="E59" s="102"/>
      <c r="F59" s="58">
        <v>0</v>
      </c>
      <c r="G59" s="88">
        <v>0</v>
      </c>
      <c r="H59" s="92">
        <v>0</v>
      </c>
      <c r="I59" s="264">
        <v>0</v>
      </c>
      <c r="J59" s="267">
        <f>SUM(G59:I59)</f>
        <v>0</v>
      </c>
      <c r="K59" s="62"/>
      <c r="L59" s="88"/>
      <c r="M59" s="261"/>
      <c r="N59" s="89">
        <f>SUM(L59:M59)</f>
        <v>0</v>
      </c>
      <c r="O59"/>
      <c r="P59"/>
      <c r="Q59"/>
      <c r="R59"/>
      <c r="S59"/>
      <c r="T59"/>
      <c r="U59"/>
      <c r="V59"/>
      <c r="W59"/>
      <c r="X59"/>
      <c r="Y59"/>
      <c r="Z59" s="344"/>
      <c r="AA59" s="363"/>
      <c r="AB59" s="363"/>
      <c r="AC59" s="363"/>
      <c r="AD59" s="110"/>
      <c r="AE59" s="41"/>
      <c r="AF59" s="41"/>
      <c r="AG59" s="41"/>
      <c r="AH59" s="41"/>
      <c r="AI59" s="41"/>
      <c r="AJ59" s="41"/>
      <c r="AK59" s="41"/>
      <c r="AL59" s="41"/>
      <c r="AM59" s="41"/>
      <c r="AN59" s="41"/>
      <c r="AO59" s="41"/>
      <c r="AP59" s="41"/>
      <c r="AQ59" s="41"/>
      <c r="AR59" s="41"/>
      <c r="AS59" s="41"/>
      <c r="AT59" s="41"/>
      <c r="AU59" s="41"/>
      <c r="AV59" s="41"/>
      <c r="AW59" s="41"/>
      <c r="AX59" s="41"/>
      <c r="AY59" s="41"/>
      <c r="AZ59" s="41"/>
      <c r="BA59" s="41"/>
      <c r="BB59" s="41"/>
      <c r="BC59" s="41"/>
      <c r="BD59" s="41"/>
      <c r="BE59" s="41"/>
      <c r="BF59" s="41"/>
      <c r="BG59" s="41"/>
      <c r="BH59" s="41"/>
      <c r="BI59" s="41"/>
      <c r="BJ59" s="41"/>
      <c r="BK59" s="41"/>
      <c r="BL59" s="41"/>
      <c r="BM59" s="41"/>
      <c r="BN59" s="41"/>
      <c r="BO59" s="41"/>
      <c r="BP59" s="41"/>
      <c r="BQ59" s="41"/>
      <c r="BR59" s="41"/>
      <c r="BS59" s="41"/>
      <c r="BT59" s="41"/>
      <c r="BU59" s="41"/>
      <c r="BV59" s="41"/>
      <c r="BW59" s="41"/>
      <c r="BX59" s="41"/>
      <c r="BY59" s="41"/>
      <c r="BZ59" s="41"/>
      <c r="CA59" s="41"/>
      <c r="CB59" s="41"/>
      <c r="CC59" s="41"/>
      <c r="CD59" s="41"/>
      <c r="CE59" s="41"/>
      <c r="CF59" s="41"/>
      <c r="CG59" s="41"/>
      <c r="CH59" s="41"/>
      <c r="CI59" s="41"/>
      <c r="CJ59" s="41"/>
      <c r="CK59" s="41"/>
      <c r="CL59" s="41"/>
      <c r="CM59" s="41"/>
      <c r="CN59" s="41"/>
      <c r="CO59" s="41"/>
      <c r="CP59" s="41"/>
    </row>
    <row r="60" spans="1:94" s="53" customFormat="1" ht="15.75" customHeight="1" x14ac:dyDescent="0.25">
      <c r="A60" s="75">
        <v>7</v>
      </c>
      <c r="B60" s="76"/>
      <c r="C60" s="54" t="str">
        <f>"FY "&amp;M4-1</f>
        <v>FY 2022</v>
      </c>
      <c r="D60" s="131" t="s">
        <v>53</v>
      </c>
      <c r="E60" s="135"/>
      <c r="F60" s="55">
        <f>SUM(F56:F59)</f>
        <v>8.15</v>
      </c>
      <c r="G60" s="80">
        <f>SUM(G56:G59)</f>
        <v>532700</v>
      </c>
      <c r="H60" s="80">
        <f>SUM(H56:H59)</f>
        <v>88700</v>
      </c>
      <c r="I60" s="260">
        <f>SUM(I56:I59)</f>
        <v>112700</v>
      </c>
      <c r="J60" s="80">
        <f>SUM(J56:J59)</f>
        <v>734100</v>
      </c>
      <c r="K60" s="263"/>
      <c r="L60" s="61"/>
      <c r="M60" s="61"/>
      <c r="N60" s="60"/>
      <c r="O60"/>
      <c r="P60"/>
      <c r="Q60"/>
      <c r="R60"/>
      <c r="S60"/>
      <c r="T60"/>
      <c r="U60"/>
      <c r="V60"/>
      <c r="W60"/>
      <c r="X60"/>
      <c r="Y60"/>
      <c r="Z60" s="344"/>
      <c r="AA60" s="363"/>
      <c r="AB60" s="363"/>
      <c r="AC60" s="363"/>
      <c r="AD60" s="110"/>
      <c r="AE60" s="41"/>
      <c r="AF60" s="41"/>
      <c r="AG60" s="41"/>
      <c r="AH60" s="41"/>
      <c r="AI60" s="41"/>
      <c r="AJ60" s="41"/>
      <c r="AK60" s="41"/>
      <c r="AL60" s="41"/>
      <c r="AM60" s="41"/>
      <c r="AN60" s="41"/>
      <c r="AO60" s="41"/>
      <c r="AP60" s="41"/>
      <c r="AQ60" s="41"/>
      <c r="AR60" s="41"/>
      <c r="AS60" s="41"/>
      <c r="AT60" s="41"/>
      <c r="AU60" s="41"/>
      <c r="AV60" s="41"/>
      <c r="AW60" s="41"/>
      <c r="AX60" s="41"/>
      <c r="AY60" s="41"/>
      <c r="AZ60" s="41"/>
      <c r="BA60" s="41"/>
      <c r="BB60" s="41"/>
      <c r="BC60" s="41"/>
      <c r="BD60" s="41"/>
      <c r="BE60" s="41"/>
      <c r="BF60" s="41"/>
      <c r="BG60" s="41"/>
      <c r="BH60" s="41"/>
      <c r="BI60" s="41"/>
      <c r="BJ60" s="41"/>
      <c r="BK60" s="41"/>
      <c r="BL60" s="41"/>
      <c r="BM60" s="41"/>
      <c r="BN60" s="41"/>
      <c r="BO60" s="41"/>
      <c r="BP60" s="41"/>
      <c r="BQ60" s="41"/>
      <c r="BR60" s="41"/>
      <c r="BS60" s="41"/>
      <c r="BT60" s="41"/>
      <c r="BU60" s="41"/>
      <c r="BV60" s="41"/>
      <c r="BW60" s="41"/>
      <c r="BX60" s="41"/>
      <c r="BY60" s="41"/>
      <c r="BZ60" s="41"/>
      <c r="CA60" s="41"/>
      <c r="CB60" s="41"/>
      <c r="CC60" s="41"/>
      <c r="CD60" s="41"/>
      <c r="CE60" s="41"/>
      <c r="CF60" s="41"/>
      <c r="CG60" s="41"/>
      <c r="CH60" s="41"/>
      <c r="CI60" s="41"/>
      <c r="CJ60" s="41"/>
      <c r="CK60" s="41"/>
      <c r="CL60" s="41"/>
      <c r="CM60" s="41"/>
      <c r="CN60" s="41"/>
      <c r="CO60" s="41"/>
      <c r="CP60" s="41"/>
    </row>
    <row r="61" spans="1:94" s="53" customFormat="1" ht="15.75" customHeight="1" x14ac:dyDescent="0.25">
      <c r="A61" s="85"/>
      <c r="B61" s="83"/>
      <c r="C61" s="419" t="s">
        <v>54</v>
      </c>
      <c r="D61" s="423"/>
      <c r="E61" s="367"/>
      <c r="F61" s="273"/>
      <c r="G61" s="62"/>
      <c r="H61" s="62"/>
      <c r="I61" s="62"/>
      <c r="J61" s="62"/>
      <c r="K61" s="62"/>
      <c r="L61" s="61"/>
      <c r="M61" s="61"/>
      <c r="N61" s="60"/>
      <c r="O61"/>
      <c r="P61"/>
      <c r="Q61"/>
      <c r="R61"/>
      <c r="S61"/>
      <c r="T61"/>
      <c r="U61"/>
      <c r="V61"/>
      <c r="W61"/>
      <c r="X61"/>
      <c r="Y61"/>
      <c r="Z61" s="344"/>
      <c r="AA61" s="363"/>
      <c r="AB61" s="363"/>
      <c r="AC61" s="363"/>
      <c r="AD61" s="110"/>
      <c r="AE61" s="41"/>
      <c r="AF61" s="41"/>
      <c r="AG61" s="41"/>
      <c r="AH61" s="41"/>
      <c r="AI61" s="41"/>
      <c r="AJ61" s="41"/>
      <c r="AK61" s="41"/>
      <c r="AL61" s="41"/>
      <c r="AM61" s="41"/>
      <c r="AN61" s="41"/>
      <c r="AO61" s="41"/>
      <c r="AP61" s="41"/>
      <c r="AQ61" s="41"/>
      <c r="AR61" s="41"/>
      <c r="AS61" s="41"/>
      <c r="AT61" s="41"/>
      <c r="AU61" s="41"/>
      <c r="AV61" s="41"/>
      <c r="AW61" s="41"/>
      <c r="AX61" s="41"/>
      <c r="AY61" s="41"/>
      <c r="AZ61" s="41"/>
      <c r="BA61" s="41"/>
      <c r="BB61" s="41"/>
      <c r="BC61" s="41"/>
      <c r="BD61" s="41"/>
      <c r="BE61" s="41"/>
      <c r="BF61" s="41"/>
      <c r="BG61" s="41"/>
      <c r="BH61" s="41"/>
      <c r="BI61" s="41"/>
      <c r="BJ61" s="41"/>
      <c r="BK61" s="41"/>
      <c r="BL61" s="41"/>
      <c r="BM61" s="41"/>
      <c r="BN61" s="41"/>
      <c r="BO61" s="41"/>
      <c r="BP61" s="41"/>
      <c r="BQ61" s="41"/>
      <c r="BR61" s="41"/>
      <c r="BS61" s="41"/>
      <c r="BT61" s="41"/>
      <c r="BU61" s="41"/>
      <c r="BV61" s="41"/>
      <c r="BW61" s="41"/>
      <c r="BX61" s="41"/>
      <c r="BY61" s="41"/>
      <c r="BZ61" s="41"/>
      <c r="CA61" s="41"/>
      <c r="CB61" s="41"/>
      <c r="CC61" s="41"/>
      <c r="CD61" s="41"/>
      <c r="CE61" s="41"/>
      <c r="CF61" s="41"/>
      <c r="CG61" s="41"/>
      <c r="CH61" s="41"/>
      <c r="CI61" s="41"/>
      <c r="CJ61" s="41"/>
      <c r="CK61" s="41"/>
      <c r="CL61" s="41"/>
      <c r="CM61" s="41"/>
      <c r="CN61" s="41"/>
      <c r="CO61" s="41"/>
      <c r="CP61" s="41"/>
    </row>
    <row r="62" spans="1:94" s="53" customFormat="1" ht="15.75" customHeight="1" x14ac:dyDescent="0.25">
      <c r="A62" s="85">
        <v>8.31</v>
      </c>
      <c r="B62" s="83"/>
      <c r="C62" s="408" t="s">
        <v>67</v>
      </c>
      <c r="D62" s="409"/>
      <c r="E62" s="102"/>
      <c r="F62" s="58">
        <v>0</v>
      </c>
      <c r="G62" s="88">
        <v>0</v>
      </c>
      <c r="H62" s="91">
        <v>0</v>
      </c>
      <c r="I62" s="276">
        <v>0</v>
      </c>
      <c r="J62" s="89">
        <f>SUM(G62:I62)</f>
        <v>0</v>
      </c>
      <c r="K62" s="62"/>
      <c r="L62" s="88"/>
      <c r="M62" s="261"/>
      <c r="N62" s="89">
        <f>SUM(L62:M62)</f>
        <v>0</v>
      </c>
      <c r="O62"/>
      <c r="P62"/>
      <c r="Q62"/>
      <c r="R62"/>
      <c r="S62"/>
      <c r="T62"/>
      <c r="U62"/>
      <c r="V62"/>
      <c r="W62"/>
      <c r="X62"/>
      <c r="Y62"/>
      <c r="Z62" s="344"/>
      <c r="AA62" s="363"/>
      <c r="AB62" s="363"/>
      <c r="AC62" s="363"/>
      <c r="AD62" s="110"/>
      <c r="AE62" s="41"/>
      <c r="AF62" s="41"/>
      <c r="AG62" s="41"/>
      <c r="AH62" s="41"/>
      <c r="AI62" s="41"/>
      <c r="AJ62" s="41"/>
      <c r="AK62" s="41"/>
      <c r="AL62" s="41"/>
      <c r="AM62" s="41"/>
      <c r="AN62" s="41"/>
      <c r="AO62" s="41"/>
      <c r="AP62" s="41"/>
      <c r="AQ62" s="41"/>
      <c r="AR62" s="41"/>
      <c r="AS62" s="41"/>
      <c r="AT62" s="41"/>
      <c r="AU62" s="41"/>
      <c r="AV62" s="41"/>
      <c r="AW62" s="41"/>
      <c r="AX62" s="41"/>
      <c r="AY62" s="41"/>
      <c r="AZ62" s="41"/>
      <c r="BA62" s="41"/>
      <c r="BB62" s="41"/>
      <c r="BC62" s="41"/>
      <c r="BD62" s="41"/>
      <c r="BE62" s="41"/>
      <c r="BF62" s="41"/>
      <c r="BG62" s="41"/>
      <c r="BH62" s="41"/>
      <c r="BI62" s="41"/>
      <c r="BJ62" s="41"/>
      <c r="BK62" s="41"/>
      <c r="BL62" s="41"/>
      <c r="BM62" s="41"/>
      <c r="BN62" s="41"/>
      <c r="BO62" s="41"/>
      <c r="BP62" s="41"/>
      <c r="BQ62" s="41"/>
      <c r="BR62" s="41"/>
      <c r="BS62" s="41"/>
      <c r="BT62" s="41"/>
      <c r="BU62" s="41"/>
      <c r="BV62" s="41"/>
      <c r="BW62" s="41"/>
      <c r="BX62" s="41"/>
      <c r="BY62" s="41"/>
      <c r="BZ62" s="41"/>
      <c r="CA62" s="41"/>
      <c r="CB62" s="41"/>
      <c r="CC62" s="41"/>
      <c r="CD62" s="41"/>
      <c r="CE62" s="41"/>
      <c r="CF62" s="41"/>
      <c r="CG62" s="41"/>
      <c r="CH62" s="41"/>
      <c r="CI62" s="41"/>
      <c r="CJ62" s="41"/>
      <c r="CK62" s="41"/>
      <c r="CL62" s="41"/>
      <c r="CM62" s="41"/>
      <c r="CN62" s="41"/>
      <c r="CO62" s="41"/>
      <c r="CP62" s="41"/>
    </row>
    <row r="63" spans="1:94" s="53" customFormat="1" ht="15.75" customHeight="1" x14ac:dyDescent="0.25">
      <c r="A63" s="85">
        <v>8.41</v>
      </c>
      <c r="B63" s="83"/>
      <c r="C63" s="408" t="s">
        <v>55</v>
      </c>
      <c r="D63" s="409"/>
      <c r="E63" s="102"/>
      <c r="F63" s="58">
        <v>0</v>
      </c>
      <c r="G63" s="89">
        <f>ROUND((OneTimePC_Total-H63)/(1+(PermVB+Retire1)),-2)</f>
        <v>0</v>
      </c>
      <c r="H63" s="89">
        <f>ROUND(IF(AND(F63&lt;0,OneTimePC_Total&lt;0),F63*Health,0),-2)</f>
        <v>0</v>
      </c>
      <c r="I63" s="310">
        <f>OneTimePC_Total-G63-H63</f>
        <v>0</v>
      </c>
      <c r="J63" s="89">
        <v>0</v>
      </c>
      <c r="K63" s="308"/>
      <c r="L63" s="88"/>
      <c r="M63" s="261"/>
      <c r="N63" s="89">
        <f>SUM(L63:M63)</f>
        <v>0</v>
      </c>
      <c r="O63"/>
      <c r="P63"/>
      <c r="Q63"/>
      <c r="R63"/>
      <c r="S63"/>
      <c r="T63"/>
      <c r="U63"/>
      <c r="V63"/>
      <c r="W63"/>
      <c r="X63"/>
      <c r="Y63"/>
      <c r="Z63" s="344"/>
      <c r="AA63" s="363"/>
      <c r="AB63" s="363"/>
      <c r="AC63" s="363"/>
      <c r="AD63" s="110"/>
      <c r="AE63" s="41"/>
      <c r="AF63" s="41"/>
      <c r="AG63" s="41"/>
      <c r="AH63" s="41"/>
      <c r="AI63" s="41"/>
      <c r="AJ63" s="41"/>
      <c r="AK63" s="41"/>
      <c r="AL63" s="41"/>
      <c r="AM63" s="41"/>
      <c r="AN63" s="41"/>
      <c r="AO63" s="41"/>
      <c r="AP63" s="41"/>
      <c r="AQ63" s="41"/>
      <c r="AR63" s="41"/>
      <c r="AS63" s="41"/>
      <c r="AT63" s="41"/>
      <c r="AU63" s="41"/>
      <c r="AV63" s="41"/>
      <c r="AW63" s="41"/>
      <c r="AX63" s="41"/>
      <c r="AY63" s="41"/>
      <c r="AZ63" s="41"/>
      <c r="BA63" s="41"/>
      <c r="BB63" s="41"/>
      <c r="BC63" s="41"/>
      <c r="BD63" s="41"/>
      <c r="BE63" s="41"/>
      <c r="BF63" s="41"/>
      <c r="BG63" s="41"/>
      <c r="BH63" s="41"/>
      <c r="BI63" s="41"/>
      <c r="BJ63" s="41"/>
      <c r="BK63" s="41"/>
      <c r="BL63" s="41"/>
      <c r="BM63" s="41"/>
      <c r="BN63" s="41"/>
      <c r="BO63" s="41"/>
      <c r="BP63" s="41"/>
      <c r="BQ63" s="41"/>
      <c r="BR63" s="41"/>
      <c r="BS63" s="41"/>
      <c r="BT63" s="41"/>
      <c r="BU63" s="41"/>
      <c r="BV63" s="41"/>
      <c r="BW63" s="41"/>
      <c r="BX63" s="41"/>
      <c r="BY63" s="41"/>
      <c r="BZ63" s="41"/>
      <c r="CA63" s="41"/>
      <c r="CB63" s="41"/>
      <c r="CC63" s="41"/>
      <c r="CD63" s="41"/>
      <c r="CE63" s="41"/>
      <c r="CF63" s="41"/>
      <c r="CG63" s="41"/>
      <c r="CH63" s="41"/>
      <c r="CI63" s="41"/>
      <c r="CJ63" s="41"/>
      <c r="CK63" s="41"/>
      <c r="CL63" s="41"/>
      <c r="CM63" s="41"/>
      <c r="CN63" s="41"/>
      <c r="CO63" s="41"/>
      <c r="CP63" s="41"/>
    </row>
    <row r="64" spans="1:94" s="53" customFormat="1" ht="15.75" customHeight="1" thickBot="1" x14ac:dyDescent="0.3">
      <c r="A64" s="93">
        <v>8.51</v>
      </c>
      <c r="B64" s="93"/>
      <c r="C64" s="413" t="s">
        <v>56</v>
      </c>
      <c r="D64" s="414"/>
      <c r="E64" s="134"/>
      <c r="F64" s="58">
        <v>0</v>
      </c>
      <c r="G64" s="88"/>
      <c r="H64" s="88">
        <v>0</v>
      </c>
      <c r="I64" s="265"/>
      <c r="J64" s="89">
        <f>SUM(G64:I64)</f>
        <v>0</v>
      </c>
      <c r="K64" s="62"/>
      <c r="L64" s="88"/>
      <c r="M64" s="261"/>
      <c r="N64" s="89">
        <f>SUM(L64:M64)</f>
        <v>0</v>
      </c>
      <c r="O64"/>
      <c r="P64"/>
      <c r="Q64"/>
      <c r="R64"/>
      <c r="S64"/>
      <c r="T64"/>
      <c r="U64"/>
      <c r="V64"/>
      <c r="W64"/>
      <c r="X64"/>
      <c r="Y64"/>
      <c r="Z64" s="344"/>
      <c r="AA64" s="363"/>
      <c r="AB64" s="363"/>
      <c r="AC64" s="363"/>
      <c r="AD64" s="110"/>
      <c r="AE64" s="41"/>
      <c r="AF64" s="41"/>
      <c r="AG64" s="41"/>
      <c r="AH64" s="41"/>
      <c r="AI64" s="41"/>
      <c r="AJ64" s="41"/>
      <c r="AK64" s="41"/>
      <c r="AL64" s="41"/>
      <c r="AM64" s="41"/>
      <c r="AN64" s="41"/>
      <c r="AO64" s="41"/>
      <c r="AP64" s="41"/>
      <c r="AQ64" s="41"/>
      <c r="AR64" s="41"/>
      <c r="AS64" s="41"/>
      <c r="AT64" s="41"/>
      <c r="AU64" s="41"/>
      <c r="AV64" s="41"/>
      <c r="AW64" s="41"/>
      <c r="AX64" s="41"/>
      <c r="AY64" s="41"/>
      <c r="AZ64" s="41"/>
      <c r="BA64" s="41"/>
      <c r="BB64" s="41"/>
      <c r="BC64" s="41"/>
      <c r="BD64" s="41"/>
      <c r="BE64" s="41"/>
      <c r="BF64" s="41"/>
      <c r="BG64" s="41"/>
      <c r="BH64" s="41"/>
      <c r="BI64" s="41"/>
      <c r="BJ64" s="41"/>
      <c r="BK64" s="41"/>
      <c r="BL64" s="41"/>
      <c r="BM64" s="41"/>
      <c r="BN64" s="41"/>
      <c r="BO64" s="41"/>
      <c r="BP64" s="41"/>
      <c r="BQ64" s="41"/>
      <c r="BR64" s="41"/>
      <c r="BS64" s="41"/>
      <c r="BT64" s="41"/>
      <c r="BU64" s="41"/>
      <c r="BV64" s="41"/>
      <c r="BW64" s="41"/>
      <c r="BX64" s="41"/>
      <c r="BY64" s="41"/>
      <c r="BZ64" s="41"/>
      <c r="CA64" s="41"/>
      <c r="CB64" s="41"/>
      <c r="CC64" s="41"/>
      <c r="CD64" s="41"/>
      <c r="CE64" s="41"/>
      <c r="CF64" s="41"/>
      <c r="CG64" s="41"/>
      <c r="CH64" s="41"/>
      <c r="CI64" s="41"/>
      <c r="CJ64" s="41"/>
      <c r="CK64" s="41"/>
      <c r="CL64" s="41"/>
      <c r="CM64" s="41"/>
      <c r="CN64" s="41"/>
      <c r="CO64" s="41"/>
      <c r="CP64" s="41"/>
    </row>
    <row r="65" spans="1:94" s="53" customFormat="1" ht="6" customHeight="1" thickTop="1" x14ac:dyDescent="0.25">
      <c r="A65" s="94"/>
      <c r="B65" s="95"/>
      <c r="C65" s="415"/>
      <c r="D65" s="416"/>
      <c r="E65" s="96"/>
      <c r="F65" s="97"/>
      <c r="G65" s="98"/>
      <c r="H65" s="98"/>
      <c r="I65" s="98"/>
      <c r="J65" s="98"/>
      <c r="K65" s="98"/>
      <c r="L65" s="98"/>
      <c r="M65" s="99"/>
      <c r="N65" s="95"/>
      <c r="O65"/>
      <c r="P65"/>
      <c r="Q65"/>
      <c r="R65"/>
      <c r="S65"/>
      <c r="T65"/>
      <c r="U65"/>
      <c r="V65"/>
      <c r="W65"/>
      <c r="X65"/>
      <c r="Y65"/>
      <c r="Z65" s="344"/>
      <c r="AA65" s="363"/>
      <c r="AB65" s="363"/>
      <c r="AC65" s="363"/>
      <c r="AD65" s="110"/>
      <c r="AE65" s="41"/>
      <c r="AF65" s="41"/>
      <c r="AG65" s="41"/>
      <c r="AH65" s="41"/>
      <c r="AI65" s="41"/>
      <c r="AJ65" s="41"/>
      <c r="AK65" s="41"/>
      <c r="AL65" s="41"/>
      <c r="AM65" s="41"/>
      <c r="AN65" s="41"/>
      <c r="AO65" s="41"/>
      <c r="AP65" s="41"/>
      <c r="AQ65" s="41"/>
      <c r="AR65" s="41"/>
      <c r="AS65" s="41"/>
      <c r="AT65" s="41"/>
      <c r="AU65" s="41"/>
      <c r="AV65" s="41"/>
      <c r="AW65" s="41"/>
      <c r="AX65" s="41"/>
      <c r="AY65" s="41"/>
      <c r="AZ65" s="41"/>
      <c r="BA65" s="41"/>
      <c r="BB65" s="41"/>
      <c r="BC65" s="41"/>
      <c r="BD65" s="41"/>
      <c r="BE65" s="41"/>
      <c r="BF65" s="41"/>
      <c r="BG65" s="41"/>
      <c r="BH65" s="41"/>
      <c r="BI65" s="41"/>
      <c r="BJ65" s="41"/>
      <c r="BK65" s="41"/>
      <c r="BL65" s="41"/>
      <c r="BM65" s="41"/>
      <c r="BN65" s="41"/>
      <c r="BO65" s="41"/>
      <c r="BP65" s="41"/>
      <c r="BQ65" s="41"/>
      <c r="BR65" s="41"/>
      <c r="BS65" s="41"/>
      <c r="BT65" s="41"/>
      <c r="BU65" s="41"/>
      <c r="BV65" s="41"/>
      <c r="BW65" s="41"/>
      <c r="BX65" s="41"/>
      <c r="BY65" s="41"/>
      <c r="BZ65" s="41"/>
      <c r="CA65" s="41"/>
      <c r="CB65" s="41"/>
      <c r="CC65" s="41"/>
      <c r="CD65" s="41"/>
      <c r="CE65" s="41"/>
      <c r="CF65" s="41"/>
      <c r="CG65" s="41"/>
      <c r="CH65" s="41"/>
      <c r="CI65" s="41"/>
      <c r="CJ65" s="41"/>
      <c r="CK65" s="41"/>
      <c r="CL65" s="41"/>
      <c r="CM65" s="41"/>
      <c r="CN65" s="41"/>
      <c r="CO65" s="41"/>
      <c r="CP65" s="41"/>
    </row>
    <row r="66" spans="1:94" s="107" customFormat="1" ht="15" x14ac:dyDescent="0.25">
      <c r="A66" s="100"/>
      <c r="B66" s="101"/>
      <c r="C66" s="417"/>
      <c r="D66" s="418"/>
      <c r="E66" s="102"/>
      <c r="F66" s="103" t="s">
        <v>24</v>
      </c>
      <c r="G66" s="104" t="str">
        <f>"FY "&amp;M4-2000&amp;" Salary"</f>
        <v>FY 23 Salary</v>
      </c>
      <c r="H66" s="104" t="str">
        <f>"FY"&amp;M4-2000&amp;" Health Ben"</f>
        <v>FY23 Health Ben</v>
      </c>
      <c r="I66" s="104" t="str">
        <f>"FY "&amp;M4-2000&amp;" Var Ben"</f>
        <v>FY 23 Var Ben</v>
      </c>
      <c r="J66" s="104" t="str">
        <f>"FY "&amp;M4&amp;" Total"</f>
        <v>FY 2023 Total</v>
      </c>
      <c r="K66" s="104"/>
      <c r="L66" s="105"/>
      <c r="M66" s="105"/>
      <c r="N66" s="101"/>
      <c r="O66"/>
      <c r="P66"/>
      <c r="Q66"/>
      <c r="R66"/>
      <c r="S66"/>
      <c r="T66"/>
      <c r="U66"/>
      <c r="V66"/>
      <c r="W66"/>
      <c r="X66"/>
      <c r="Y66"/>
      <c r="Z66" s="344"/>
      <c r="AA66" s="339"/>
      <c r="AB66" s="339"/>
      <c r="AC66" s="339"/>
      <c r="AD66" s="105"/>
      <c r="AE66" s="106"/>
      <c r="AF66" s="106"/>
      <c r="AG66" s="106"/>
      <c r="AH66" s="106"/>
      <c r="AI66" s="106"/>
      <c r="AJ66" s="106"/>
      <c r="AK66" s="106"/>
      <c r="AL66" s="106"/>
      <c r="AM66" s="106"/>
      <c r="AN66" s="106"/>
      <c r="AO66" s="106"/>
      <c r="AP66" s="106"/>
      <c r="AQ66" s="106"/>
      <c r="AR66" s="106"/>
      <c r="AS66" s="106"/>
      <c r="AT66" s="106"/>
      <c r="AU66" s="106"/>
      <c r="AV66" s="106"/>
      <c r="AW66" s="106"/>
      <c r="AX66" s="106"/>
      <c r="AY66" s="106"/>
      <c r="AZ66" s="106"/>
      <c r="BA66" s="106"/>
      <c r="BB66" s="106"/>
      <c r="BC66" s="106"/>
      <c r="BD66" s="106"/>
      <c r="BE66" s="106"/>
      <c r="BF66" s="106"/>
      <c r="BG66" s="106"/>
      <c r="BH66" s="106"/>
      <c r="BI66" s="106"/>
      <c r="BJ66" s="106"/>
      <c r="BK66" s="106"/>
      <c r="BL66" s="106"/>
      <c r="BM66" s="106"/>
      <c r="BN66" s="106"/>
      <c r="BO66" s="106"/>
      <c r="BP66" s="106"/>
      <c r="BQ66" s="106"/>
      <c r="BR66" s="106"/>
      <c r="BS66" s="106"/>
      <c r="BT66" s="106"/>
      <c r="BU66" s="106"/>
      <c r="BV66" s="106"/>
      <c r="BW66" s="106"/>
      <c r="BX66" s="106"/>
      <c r="BY66" s="106"/>
      <c r="BZ66" s="106"/>
      <c r="CA66" s="106"/>
      <c r="CB66" s="106"/>
      <c r="CC66" s="106"/>
      <c r="CD66" s="106"/>
      <c r="CE66" s="106"/>
      <c r="CF66" s="106"/>
      <c r="CG66" s="106"/>
      <c r="CH66" s="106"/>
      <c r="CI66" s="106"/>
      <c r="CJ66" s="106"/>
      <c r="CK66" s="106"/>
      <c r="CL66" s="106"/>
      <c r="CM66" s="106"/>
      <c r="CN66" s="106"/>
      <c r="CO66" s="106"/>
      <c r="CP66" s="106"/>
    </row>
    <row r="67" spans="1:94" s="53" customFormat="1" ht="15" x14ac:dyDescent="0.25">
      <c r="A67" s="82">
        <v>9</v>
      </c>
      <c r="B67" s="83"/>
      <c r="C67" s="84" t="str">
        <f>"FY "&amp;M4</f>
        <v>FY 2023</v>
      </c>
      <c r="D67" s="108" t="s">
        <v>57</v>
      </c>
      <c r="E67" s="109"/>
      <c r="F67" s="55">
        <f>SUM(F60:F64)</f>
        <v>8.15</v>
      </c>
      <c r="G67" s="80">
        <f>SUM(G60:G64)</f>
        <v>532700</v>
      </c>
      <c r="H67" s="80">
        <f>SUM(H60:H64)</f>
        <v>88700</v>
      </c>
      <c r="I67" s="80">
        <f>SUM(I60:I64)</f>
        <v>112700</v>
      </c>
      <c r="J67" s="80">
        <f>SUM(J60:J64)</f>
        <v>734100</v>
      </c>
      <c r="K67" s="263"/>
      <c r="L67" s="110"/>
      <c r="M67" s="110"/>
      <c r="N67" s="111"/>
      <c r="O67"/>
      <c r="P67"/>
      <c r="Q67"/>
      <c r="R67"/>
      <c r="S67"/>
      <c r="T67"/>
      <c r="U67"/>
      <c r="V67"/>
      <c r="W67"/>
      <c r="X67"/>
      <c r="Y67"/>
      <c r="Z67" s="344"/>
      <c r="AA67" s="363"/>
      <c r="AB67" s="363"/>
      <c r="AC67" s="363"/>
      <c r="AD67" s="110"/>
      <c r="AE67" s="41"/>
      <c r="AF67" s="41"/>
      <c r="AG67" s="41"/>
      <c r="AH67" s="41"/>
      <c r="AI67" s="41"/>
      <c r="AJ67" s="41"/>
      <c r="AK67" s="41"/>
      <c r="AL67" s="41"/>
      <c r="AM67" s="41"/>
      <c r="AN67" s="41"/>
      <c r="AO67" s="41"/>
      <c r="AP67" s="41"/>
      <c r="AQ67" s="41"/>
      <c r="AR67" s="41"/>
      <c r="AS67" s="41"/>
      <c r="AT67" s="41"/>
      <c r="AU67" s="41"/>
      <c r="AV67" s="41"/>
      <c r="AW67" s="41"/>
      <c r="AX67" s="41"/>
      <c r="AY67" s="41"/>
      <c r="AZ67" s="41"/>
      <c r="BA67" s="41"/>
      <c r="BB67" s="41"/>
      <c r="BC67" s="41"/>
      <c r="BD67" s="41"/>
      <c r="BE67" s="41"/>
      <c r="BF67" s="41"/>
      <c r="BG67" s="41"/>
      <c r="BH67" s="41"/>
      <c r="BI67" s="41"/>
      <c r="BJ67" s="41"/>
      <c r="BK67" s="41"/>
      <c r="BL67" s="41"/>
      <c r="BM67" s="41"/>
      <c r="BN67" s="41"/>
      <c r="BO67" s="41"/>
      <c r="BP67" s="41"/>
      <c r="BQ67" s="41"/>
      <c r="BR67" s="41"/>
      <c r="BS67" s="41"/>
      <c r="BT67" s="41"/>
      <c r="BU67" s="41"/>
      <c r="BV67" s="41"/>
      <c r="BW67" s="41"/>
      <c r="BX67" s="41"/>
      <c r="BY67" s="41"/>
      <c r="BZ67" s="41"/>
      <c r="CA67" s="41"/>
      <c r="CB67" s="41"/>
      <c r="CC67" s="41"/>
      <c r="CD67" s="41"/>
      <c r="CE67" s="41"/>
      <c r="CF67" s="41"/>
      <c r="CG67" s="41"/>
      <c r="CH67" s="41"/>
      <c r="CI67" s="41"/>
      <c r="CJ67" s="41"/>
      <c r="CK67" s="41"/>
      <c r="CL67" s="41"/>
      <c r="CM67" s="41"/>
      <c r="CN67" s="41"/>
      <c r="CO67" s="41"/>
      <c r="CP67" s="41"/>
    </row>
    <row r="68" spans="1:94" s="53" customFormat="1" ht="15.75" customHeight="1" x14ac:dyDescent="0.25">
      <c r="A68" s="85">
        <v>10.11</v>
      </c>
      <c r="B68" s="83"/>
      <c r="C68" s="419" t="s">
        <v>58</v>
      </c>
      <c r="D68" s="420"/>
      <c r="E68" s="112"/>
      <c r="F68" s="288"/>
      <c r="G68" s="287"/>
      <c r="H68" s="113">
        <f>IF(DUNine=0,0,ROUND(SUM(L41:L65),-2))</f>
        <v>0</v>
      </c>
      <c r="I68" s="113"/>
      <c r="J68" s="287">
        <f>SUM(G68:I68)</f>
        <v>0</v>
      </c>
      <c r="K68" s="291"/>
      <c r="L68" s="292"/>
      <c r="M68" s="292"/>
      <c r="N68" s="293"/>
      <c r="O68"/>
      <c r="P68"/>
      <c r="Q68"/>
      <c r="R68"/>
      <c r="S68"/>
      <c r="T68"/>
      <c r="U68"/>
      <c r="V68"/>
      <c r="W68"/>
      <c r="X68"/>
      <c r="Y68"/>
      <c r="Z68" s="344"/>
      <c r="AA68" s="363"/>
      <c r="AB68" s="363"/>
      <c r="AC68" s="363"/>
      <c r="AD68" s="110"/>
      <c r="AE68" s="41"/>
      <c r="AF68" s="41"/>
      <c r="AG68" s="41"/>
      <c r="AH68" s="41"/>
      <c r="AI68" s="41"/>
      <c r="AJ68" s="41"/>
      <c r="AK68" s="41"/>
      <c r="AL68" s="41"/>
      <c r="AM68" s="41"/>
      <c r="AN68" s="41"/>
      <c r="AO68" s="41"/>
      <c r="AP68" s="41"/>
      <c r="AQ68" s="41"/>
      <c r="AR68" s="41"/>
      <c r="AS68" s="41"/>
      <c r="AT68" s="41"/>
      <c r="AU68" s="41"/>
      <c r="AV68" s="41"/>
      <c r="AW68" s="41"/>
      <c r="AX68" s="41"/>
      <c r="AY68" s="41"/>
      <c r="AZ68" s="41"/>
      <c r="BA68" s="41"/>
      <c r="BB68" s="41"/>
      <c r="BC68" s="41"/>
      <c r="BD68" s="41"/>
      <c r="BE68" s="41"/>
      <c r="BF68" s="41"/>
      <c r="BG68" s="41"/>
      <c r="BH68" s="41"/>
      <c r="BI68" s="41"/>
      <c r="BJ68" s="41"/>
      <c r="BK68" s="41"/>
      <c r="BL68" s="41"/>
      <c r="BM68" s="41"/>
      <c r="BN68" s="41"/>
      <c r="BO68" s="41"/>
      <c r="BP68" s="41"/>
      <c r="BQ68" s="41"/>
      <c r="BR68" s="41"/>
      <c r="BS68" s="41"/>
      <c r="BT68" s="41"/>
      <c r="BU68" s="41"/>
      <c r="BV68" s="41"/>
      <c r="BW68" s="41"/>
      <c r="BX68" s="41"/>
      <c r="BY68" s="41"/>
      <c r="BZ68" s="41"/>
      <c r="CA68" s="41"/>
      <c r="CB68" s="41"/>
      <c r="CC68" s="41"/>
      <c r="CD68" s="41"/>
      <c r="CE68" s="41"/>
      <c r="CF68" s="41"/>
      <c r="CG68" s="41"/>
      <c r="CH68" s="41"/>
      <c r="CI68" s="41"/>
      <c r="CJ68" s="41"/>
      <c r="CK68" s="41"/>
      <c r="CL68" s="41"/>
      <c r="CM68" s="41"/>
      <c r="CN68" s="41"/>
      <c r="CO68" s="41"/>
      <c r="CP68" s="41"/>
    </row>
    <row r="69" spans="1:94" s="53" customFormat="1" ht="15" x14ac:dyDescent="0.25">
      <c r="A69" s="85">
        <v>10.119999999999999</v>
      </c>
      <c r="B69" s="83"/>
      <c r="C69" s="419" t="s">
        <v>59</v>
      </c>
      <c r="D69" s="420"/>
      <c r="E69" s="112"/>
      <c r="F69" s="288"/>
      <c r="G69" s="113"/>
      <c r="H69" s="113"/>
      <c r="I69" s="113">
        <f>IF(DUNine=0,0,ROUND(SUM(M41:M64),-2))</f>
        <v>-1600</v>
      </c>
      <c r="J69" s="287">
        <f>SUM(G69:I69)</f>
        <v>-1600</v>
      </c>
      <c r="K69" s="291"/>
      <c r="L69" s="292"/>
      <c r="M69" s="292"/>
      <c r="N69" s="293"/>
      <c r="O69"/>
      <c r="P69"/>
      <c r="Q69"/>
      <c r="R69"/>
      <c r="S69"/>
      <c r="T69"/>
      <c r="U69"/>
      <c r="V69"/>
      <c r="W69"/>
      <c r="X69"/>
      <c r="Y69"/>
      <c r="Z69" s="344"/>
      <c r="AA69" s="363"/>
      <c r="AB69" s="363"/>
      <c r="AC69" s="363"/>
      <c r="AD69" s="110"/>
      <c r="AE69" s="41"/>
      <c r="AF69" s="41"/>
      <c r="AG69" s="41"/>
      <c r="AH69" s="41"/>
      <c r="AI69" s="41"/>
      <c r="AJ69" s="41"/>
      <c r="AK69" s="41"/>
      <c r="AL69" s="41"/>
      <c r="AM69" s="41"/>
      <c r="AN69" s="41"/>
      <c r="AO69" s="41"/>
      <c r="AP69" s="41"/>
      <c r="AQ69" s="41"/>
      <c r="AR69" s="41"/>
      <c r="AS69" s="41"/>
      <c r="AT69" s="41"/>
      <c r="AU69" s="41"/>
      <c r="AV69" s="41"/>
      <c r="AW69" s="41"/>
      <c r="AX69" s="41"/>
      <c r="AY69" s="41"/>
      <c r="AZ69" s="41"/>
      <c r="BA69" s="41"/>
      <c r="BB69" s="41"/>
      <c r="BC69" s="41"/>
      <c r="BD69" s="41"/>
      <c r="BE69" s="41"/>
      <c r="BF69" s="41"/>
      <c r="BG69" s="41"/>
      <c r="BH69" s="41"/>
      <c r="BI69" s="41"/>
      <c r="BJ69" s="41"/>
      <c r="BK69" s="41"/>
      <c r="BL69" s="41"/>
      <c r="BM69" s="41"/>
      <c r="BN69" s="41"/>
      <c r="BO69" s="41"/>
      <c r="BP69" s="41"/>
      <c r="BQ69" s="41"/>
      <c r="BR69" s="41"/>
      <c r="BS69" s="41"/>
      <c r="BT69" s="41"/>
      <c r="BU69" s="41"/>
      <c r="BV69" s="41"/>
      <c r="BW69" s="41"/>
      <c r="BX69" s="41"/>
      <c r="BY69" s="41"/>
      <c r="BZ69" s="41"/>
      <c r="CA69" s="41"/>
      <c r="CB69" s="41"/>
      <c r="CC69" s="41"/>
      <c r="CD69" s="41"/>
      <c r="CE69" s="41"/>
      <c r="CF69" s="41"/>
      <c r="CG69" s="41"/>
      <c r="CH69" s="41"/>
      <c r="CI69" s="41"/>
      <c r="CJ69" s="41"/>
      <c r="CK69" s="41"/>
      <c r="CL69" s="41"/>
      <c r="CM69" s="41"/>
      <c r="CN69" s="41"/>
      <c r="CO69" s="41"/>
      <c r="CP69" s="41"/>
    </row>
    <row r="70" spans="1:94" s="53" customFormat="1" ht="15" x14ac:dyDescent="0.25">
      <c r="A70" s="85"/>
      <c r="B70" s="83"/>
      <c r="C70" s="406"/>
      <c r="D70" s="407"/>
      <c r="E70" s="236" t="s">
        <v>23</v>
      </c>
      <c r="F70" s="288"/>
      <c r="G70" s="113"/>
      <c r="H70" s="113"/>
      <c r="I70" s="113"/>
      <c r="J70" s="287">
        <f>SUM(G70:I70)</f>
        <v>0</v>
      </c>
      <c r="K70" s="291"/>
      <c r="L70" s="292"/>
      <c r="M70" s="294"/>
      <c r="N70" s="295"/>
      <c r="O70"/>
      <c r="P70"/>
      <c r="Q70"/>
      <c r="R70"/>
      <c r="S70"/>
      <c r="T70"/>
      <c r="U70"/>
      <c r="V70"/>
      <c r="W70"/>
      <c r="X70"/>
      <c r="Y70"/>
      <c r="Z70" s="344"/>
      <c r="AA70" s="363"/>
      <c r="AB70" s="363"/>
      <c r="AC70" s="363"/>
      <c r="AD70" s="110"/>
      <c r="AE70" s="41"/>
      <c r="AF70" s="41"/>
      <c r="AG70" s="41"/>
      <c r="AH70" s="41"/>
      <c r="AI70" s="41"/>
      <c r="AJ70" s="41"/>
      <c r="AK70" s="41"/>
      <c r="AL70" s="41"/>
      <c r="AM70" s="41"/>
      <c r="AN70" s="41"/>
      <c r="AO70" s="41"/>
      <c r="AP70" s="41"/>
      <c r="AQ70" s="41"/>
      <c r="AR70" s="41"/>
      <c r="AS70" s="41"/>
      <c r="AT70" s="41"/>
      <c r="AU70" s="41"/>
      <c r="AV70" s="41"/>
      <c r="AW70" s="41"/>
      <c r="AX70" s="41"/>
      <c r="AY70" s="41"/>
      <c r="AZ70" s="41"/>
      <c r="BA70" s="41"/>
      <c r="BB70" s="41"/>
      <c r="BC70" s="41"/>
      <c r="BD70" s="41"/>
      <c r="BE70" s="41"/>
      <c r="BF70" s="41"/>
      <c r="BG70" s="41"/>
      <c r="BH70" s="41"/>
      <c r="BI70" s="41"/>
      <c r="BJ70" s="41"/>
      <c r="BK70" s="41"/>
      <c r="BL70" s="41"/>
      <c r="BM70" s="41"/>
      <c r="BN70" s="41"/>
      <c r="BO70" s="41"/>
      <c r="BP70" s="41"/>
      <c r="BQ70" s="41"/>
      <c r="BR70" s="41"/>
      <c r="BS70" s="41"/>
      <c r="BT70" s="41"/>
      <c r="BU70" s="41"/>
      <c r="BV70" s="41"/>
      <c r="BW70" s="41"/>
      <c r="BX70" s="41"/>
      <c r="BY70" s="41"/>
      <c r="BZ70" s="41"/>
      <c r="CA70" s="41"/>
      <c r="CB70" s="41"/>
      <c r="CC70" s="41"/>
      <c r="CD70" s="41"/>
      <c r="CE70" s="41"/>
      <c r="CF70" s="41"/>
      <c r="CG70" s="41"/>
      <c r="CH70" s="41"/>
      <c r="CI70" s="41"/>
      <c r="CJ70" s="41"/>
      <c r="CK70" s="41"/>
      <c r="CL70" s="41"/>
      <c r="CM70" s="41"/>
      <c r="CN70" s="41"/>
      <c r="CO70" s="41"/>
      <c r="CP70" s="41"/>
    </row>
    <row r="71" spans="1:94" s="53" customFormat="1" ht="15.75" customHeight="1" x14ac:dyDescent="0.25">
      <c r="A71" s="85">
        <v>10.51</v>
      </c>
      <c r="B71" s="83"/>
      <c r="C71" s="408" t="s">
        <v>60</v>
      </c>
      <c r="D71" s="409"/>
      <c r="E71" s="237"/>
      <c r="F71" s="288"/>
      <c r="G71" s="92">
        <v>0</v>
      </c>
      <c r="H71" s="92">
        <v>0</v>
      </c>
      <c r="I71" s="287">
        <f>ROUND(IF(AND($G71&lt;&gt;0,$E71=1),$G71*PermVBBY+$G71*Retire1BY,IF(AND($G71&lt;&gt;0,$E71=2),$G71*GroupVBBY,IF(AND($G71&lt;&gt;0,$E71=3),$G71*ElectVBBY+$G71*Retire1BY,0))),-2)</f>
        <v>0</v>
      </c>
      <c r="J71" s="113">
        <f t="shared" ref="J71:J74" si="11">SUM(G71:I71)</f>
        <v>0</v>
      </c>
      <c r="K71" s="296"/>
      <c r="L71" s="297"/>
      <c r="M71" s="348" t="s">
        <v>112</v>
      </c>
      <c r="N71" s="356"/>
      <c r="O71" s="357"/>
      <c r="P71" s="357"/>
      <c r="Q71"/>
      <c r="R71"/>
      <c r="S71"/>
      <c r="T71"/>
      <c r="U71"/>
      <c r="V71"/>
      <c r="W71"/>
      <c r="X71"/>
      <c r="Y71"/>
      <c r="Z71" s="344"/>
      <c r="AA71" s="363"/>
      <c r="AB71" s="363"/>
      <c r="AC71" s="363"/>
      <c r="AD71" s="110"/>
      <c r="AE71" s="41"/>
      <c r="AF71" s="41"/>
      <c r="AG71" s="41"/>
      <c r="AH71" s="41"/>
      <c r="AI71" s="41"/>
      <c r="AJ71" s="41"/>
      <c r="AK71" s="41"/>
      <c r="AL71" s="41"/>
      <c r="AM71" s="41"/>
      <c r="AN71" s="41"/>
      <c r="AO71" s="41"/>
      <c r="AP71" s="41"/>
      <c r="AQ71" s="41"/>
      <c r="AR71" s="41"/>
      <c r="AS71" s="41"/>
      <c r="AT71" s="41"/>
      <c r="AU71" s="41"/>
      <c r="AV71" s="41"/>
      <c r="AW71" s="41"/>
      <c r="AX71" s="41"/>
      <c r="AY71" s="41"/>
      <c r="AZ71" s="41"/>
      <c r="BA71" s="41"/>
      <c r="BB71" s="41"/>
      <c r="BC71" s="41"/>
      <c r="BD71" s="41"/>
      <c r="BE71" s="41"/>
      <c r="BF71" s="41"/>
      <c r="BG71" s="41"/>
      <c r="BH71" s="41"/>
      <c r="BI71" s="41"/>
      <c r="BJ71" s="41"/>
      <c r="BK71" s="41"/>
      <c r="BL71" s="41"/>
      <c r="BM71" s="41"/>
      <c r="BN71" s="41"/>
      <c r="BO71" s="41"/>
      <c r="BP71" s="41"/>
      <c r="BQ71" s="41"/>
      <c r="BR71" s="41"/>
      <c r="BS71" s="41"/>
      <c r="BT71" s="41"/>
      <c r="BU71" s="41"/>
      <c r="BV71" s="41"/>
      <c r="BW71" s="41"/>
      <c r="BX71" s="41"/>
      <c r="BY71" s="41"/>
      <c r="BZ71" s="41"/>
      <c r="CA71" s="41"/>
      <c r="CB71" s="41"/>
      <c r="CC71" s="41"/>
      <c r="CD71" s="41"/>
      <c r="CE71" s="41"/>
      <c r="CF71" s="41"/>
      <c r="CG71" s="41"/>
      <c r="CH71" s="41"/>
      <c r="CI71" s="41"/>
      <c r="CJ71" s="41"/>
      <c r="CK71" s="41"/>
      <c r="CL71" s="41"/>
      <c r="CM71" s="41"/>
      <c r="CN71" s="41"/>
      <c r="CO71" s="41"/>
      <c r="CP71" s="41"/>
    </row>
    <row r="72" spans="1:94" s="53" customFormat="1" ht="15.75" customHeight="1" x14ac:dyDescent="0.25">
      <c r="A72" s="85">
        <v>10.61</v>
      </c>
      <c r="B72" s="83"/>
      <c r="C72" s="408" t="s">
        <v>101</v>
      </c>
      <c r="D72" s="410"/>
      <c r="E72" s="290">
        <f>CECPerm</f>
        <v>0.01</v>
      </c>
      <c r="F72" s="288"/>
      <c r="G72" s="355">
        <f>IF(DUNine=0,0,IF(DUNine&lt;0,0,ROUND(AdjPermSalary*CECPerm,-2)))</f>
        <v>3500</v>
      </c>
      <c r="H72" s="287"/>
      <c r="I72" s="287">
        <f>ROUND(($G72*PermVBBY+$G72*Retire1BY),-2)</f>
        <v>700</v>
      </c>
      <c r="J72" s="113">
        <f>SUM(G72:I72)</f>
        <v>4200</v>
      </c>
      <c r="K72" s="296"/>
      <c r="L72" s="298"/>
      <c r="M72" s="349" t="e">
        <f>IF(DUNine=0,0,IF(((#REF!-G39-G40)*E72)&lt;0,0,ROUND(((#REF!-G39-G40)*E72),-2)))</f>
        <v>#REF!</v>
      </c>
      <c r="N72" s="358"/>
      <c r="O72" s="357" t="e">
        <f>IF(DUNine=0,0,IF(DUNine&lt;0,0,IF(SubCECBase&lt;RoundedAppropSalary,ROUND(AdjPermSalary*CECpermCalc,-2)+((SubCECBase-RoundedAppropSalary)*CECpermCalc),IF(SubCECBase&gt;RoundedAppropSalary,ROUND(AdjPermSalary*CECpermCalc,-2)+((SubCECBase-RoundedAppropSalary)*CECpermCalc),ROUND(AdjPermSalary*CECpermCalc,-2)))))</f>
        <v>#REF!</v>
      </c>
      <c r="P72" s="357"/>
      <c r="Q72"/>
      <c r="R72"/>
      <c r="S72"/>
      <c r="T72"/>
      <c r="U72"/>
      <c r="V72"/>
      <c r="W72"/>
      <c r="X72"/>
      <c r="Y72"/>
      <c r="Z72" s="344"/>
      <c r="AA72" s="363"/>
      <c r="AB72" s="363"/>
      <c r="AC72" s="363"/>
      <c r="AD72" s="110"/>
      <c r="AE72" s="41"/>
      <c r="AF72" s="41"/>
      <c r="AG72" s="41"/>
      <c r="AH72" s="41"/>
      <c r="AI72" s="41"/>
      <c r="AJ72" s="41"/>
      <c r="AK72" s="41"/>
      <c r="AL72" s="41"/>
      <c r="AM72" s="41"/>
      <c r="AN72" s="41"/>
      <c r="AO72" s="41"/>
      <c r="AP72" s="41"/>
      <c r="AQ72" s="41"/>
      <c r="AR72" s="41"/>
      <c r="AS72" s="41"/>
      <c r="AT72" s="41"/>
      <c r="AU72" s="41"/>
      <c r="AV72" s="41"/>
      <c r="AW72" s="41"/>
      <c r="AX72" s="41"/>
      <c r="AY72" s="41"/>
      <c r="AZ72" s="41"/>
      <c r="BA72" s="41"/>
      <c r="BB72" s="41"/>
      <c r="BC72" s="41"/>
      <c r="BD72" s="41"/>
      <c r="BE72" s="41"/>
      <c r="BF72" s="41"/>
      <c r="BG72" s="41"/>
      <c r="BH72" s="41"/>
      <c r="BI72" s="41"/>
      <c r="BJ72" s="41"/>
      <c r="BK72" s="41"/>
      <c r="BL72" s="41"/>
      <c r="BM72" s="41"/>
      <c r="BN72" s="41"/>
      <c r="BO72" s="41"/>
      <c r="BP72" s="41"/>
      <c r="BQ72" s="41"/>
      <c r="BR72" s="41"/>
      <c r="BS72" s="41"/>
      <c r="BT72" s="41"/>
      <c r="BU72" s="41"/>
      <c r="BV72" s="41"/>
      <c r="BW72" s="41"/>
      <c r="BX72" s="41"/>
      <c r="BY72" s="41"/>
      <c r="BZ72" s="41"/>
      <c r="CA72" s="41"/>
      <c r="CB72" s="41"/>
      <c r="CC72" s="41"/>
      <c r="CD72" s="41"/>
      <c r="CE72" s="41"/>
      <c r="CF72" s="41"/>
      <c r="CG72" s="41"/>
      <c r="CH72" s="41"/>
      <c r="CI72" s="41"/>
      <c r="CJ72" s="41"/>
      <c r="CK72" s="41"/>
      <c r="CL72" s="41"/>
      <c r="CM72" s="41"/>
      <c r="CN72" s="41"/>
      <c r="CO72" s="41"/>
      <c r="CP72" s="41"/>
    </row>
    <row r="73" spans="1:94" s="53" customFormat="1" ht="15.6" customHeight="1" x14ac:dyDescent="0.25">
      <c r="A73" s="85">
        <v>10.62</v>
      </c>
      <c r="B73" s="83"/>
      <c r="C73" s="408" t="s">
        <v>61</v>
      </c>
      <c r="D73" s="410"/>
      <c r="E73" s="289">
        <f>CECGroup</f>
        <v>0.01</v>
      </c>
      <c r="F73" s="288"/>
      <c r="G73" s="355">
        <f>IF(DUNine=0,0,IF(DUNine&lt;0,0,ROUND(AdjGroupSalary*CECGroup,-2)))</f>
        <v>0</v>
      </c>
      <c r="H73" s="287"/>
      <c r="I73" s="287">
        <f>ROUND(($G73*GroupVBBY),-2)</f>
        <v>0</v>
      </c>
      <c r="J73" s="113">
        <f t="shared" si="11"/>
        <v>0</v>
      </c>
      <c r="K73" s="301"/>
      <c r="L73" s="302"/>
      <c r="M73" s="359"/>
      <c r="N73" s="360"/>
      <c r="O73" s="357"/>
      <c r="P73" s="357"/>
      <c r="Q73"/>
      <c r="R73"/>
      <c r="S73"/>
      <c r="T73"/>
      <c r="U73"/>
      <c r="V73"/>
      <c r="W73"/>
      <c r="X73"/>
      <c r="Y73"/>
      <c r="Z73" s="344"/>
      <c r="AA73" s="363"/>
      <c r="AB73" s="363"/>
      <c r="AC73" s="363"/>
      <c r="AD73" s="110"/>
      <c r="AE73" s="41"/>
      <c r="AF73" s="41"/>
      <c r="AG73" s="41"/>
      <c r="AH73" s="41"/>
      <c r="AI73" s="41"/>
      <c r="AJ73" s="41"/>
      <c r="AK73" s="41"/>
      <c r="AL73" s="41"/>
      <c r="AM73" s="41"/>
      <c r="AN73" s="41"/>
      <c r="AO73" s="41"/>
      <c r="AP73" s="41"/>
      <c r="AQ73" s="41"/>
      <c r="AR73" s="41"/>
      <c r="AS73" s="41"/>
      <c r="AT73" s="41"/>
      <c r="AU73" s="41"/>
      <c r="AV73" s="41"/>
      <c r="AW73" s="41"/>
      <c r="AX73" s="41"/>
      <c r="AY73" s="41"/>
      <c r="AZ73" s="41"/>
      <c r="BA73" s="41"/>
      <c r="BB73" s="41"/>
      <c r="BC73" s="41"/>
      <c r="BD73" s="41"/>
      <c r="BE73" s="41"/>
      <c r="BF73" s="41"/>
      <c r="BG73" s="41"/>
      <c r="BH73" s="41"/>
      <c r="BI73" s="41"/>
      <c r="BJ73" s="41"/>
      <c r="BK73" s="41"/>
      <c r="BL73" s="41"/>
      <c r="BM73" s="41"/>
      <c r="BN73" s="41"/>
      <c r="BO73" s="41"/>
      <c r="BP73" s="41"/>
      <c r="BQ73" s="41"/>
      <c r="BR73" s="41"/>
      <c r="BS73" s="41"/>
      <c r="BT73" s="41"/>
      <c r="BU73" s="41"/>
      <c r="BV73" s="41"/>
      <c r="BW73" s="41"/>
      <c r="BX73" s="41"/>
      <c r="BY73" s="41"/>
      <c r="BZ73" s="41"/>
      <c r="CA73" s="41"/>
      <c r="CB73" s="41"/>
      <c r="CC73" s="41"/>
      <c r="CD73" s="41"/>
      <c r="CE73" s="41"/>
      <c r="CF73" s="41"/>
      <c r="CG73" s="41"/>
      <c r="CH73" s="41"/>
      <c r="CI73" s="41"/>
      <c r="CJ73" s="41"/>
      <c r="CK73" s="41"/>
      <c r="CL73" s="41"/>
      <c r="CM73" s="41"/>
      <c r="CN73" s="41"/>
      <c r="CO73" s="41"/>
      <c r="CP73" s="41"/>
    </row>
    <row r="74" spans="1:94" s="53" customFormat="1" ht="15.6" customHeight="1" x14ac:dyDescent="0.25">
      <c r="A74" s="85">
        <v>10.63</v>
      </c>
      <c r="B74" s="83"/>
      <c r="C74" s="366" t="s">
        <v>62</v>
      </c>
      <c r="D74" s="368"/>
      <c r="E74" s="112"/>
      <c r="F74" s="288"/>
      <c r="G74" s="92">
        <v>0</v>
      </c>
      <c r="H74" s="287"/>
      <c r="I74" s="287">
        <f>ROUND(($G74*ElectVBBY+$G74*Retire1BY),-2)</f>
        <v>0</v>
      </c>
      <c r="J74" s="113">
        <f t="shared" si="11"/>
        <v>0</v>
      </c>
      <c r="K74" s="301"/>
      <c r="L74" s="302"/>
      <c r="M74" s="303"/>
      <c r="N74" s="304"/>
      <c r="O74"/>
      <c r="P74"/>
      <c r="Q74"/>
      <c r="R74"/>
      <c r="S74"/>
      <c r="T74"/>
      <c r="U74"/>
      <c r="V74"/>
      <c r="W74"/>
      <c r="X74"/>
      <c r="Y74"/>
      <c r="Z74" s="344"/>
      <c r="AA74" s="363"/>
      <c r="AB74" s="363"/>
      <c r="AC74" s="363"/>
      <c r="AD74" s="110"/>
      <c r="AE74" s="41"/>
      <c r="AF74" s="41"/>
      <c r="AG74" s="41"/>
      <c r="AH74" s="41"/>
      <c r="AI74" s="41"/>
      <c r="AJ74" s="41"/>
      <c r="AK74" s="41"/>
      <c r="AL74" s="41"/>
      <c r="AM74" s="41"/>
      <c r="AN74" s="41"/>
      <c r="AO74" s="41"/>
      <c r="AP74" s="41"/>
      <c r="AQ74" s="41"/>
      <c r="AR74" s="41"/>
      <c r="AS74" s="41"/>
      <c r="AT74" s="41"/>
      <c r="AU74" s="41"/>
      <c r="AV74" s="41"/>
      <c r="AW74" s="41"/>
      <c r="AX74" s="41"/>
      <c r="AY74" s="41"/>
      <c r="AZ74" s="41"/>
      <c r="BA74" s="41"/>
      <c r="BB74" s="41"/>
      <c r="BC74" s="41"/>
      <c r="BD74" s="41"/>
      <c r="BE74" s="41"/>
      <c r="BF74" s="41"/>
      <c r="BG74" s="41"/>
      <c r="BH74" s="41"/>
      <c r="BI74" s="41"/>
      <c r="BJ74" s="41"/>
      <c r="BK74" s="41"/>
      <c r="BL74" s="41"/>
      <c r="BM74" s="41"/>
      <c r="BN74" s="41"/>
      <c r="BO74" s="41"/>
      <c r="BP74" s="41"/>
      <c r="BQ74" s="41"/>
      <c r="BR74" s="41"/>
      <c r="BS74" s="41"/>
      <c r="BT74" s="41"/>
      <c r="BU74" s="41"/>
      <c r="BV74" s="41"/>
      <c r="BW74" s="41"/>
      <c r="BX74" s="41"/>
      <c r="BY74" s="41"/>
      <c r="BZ74" s="41"/>
      <c r="CA74" s="41"/>
      <c r="CB74" s="41"/>
      <c r="CC74" s="41"/>
      <c r="CD74" s="41"/>
      <c r="CE74" s="41"/>
      <c r="CF74" s="41"/>
      <c r="CG74" s="41"/>
      <c r="CH74" s="41"/>
      <c r="CI74" s="41"/>
      <c r="CJ74" s="41"/>
      <c r="CK74" s="41"/>
      <c r="CL74" s="41"/>
      <c r="CM74" s="41"/>
      <c r="CN74" s="41"/>
      <c r="CO74" s="41"/>
      <c r="CP74" s="41"/>
    </row>
    <row r="75" spans="1:94" s="53" customFormat="1" ht="15.75" customHeight="1" x14ac:dyDescent="0.25">
      <c r="A75" s="75">
        <v>11</v>
      </c>
      <c r="B75" s="76"/>
      <c r="C75" s="54" t="str">
        <f>"FY "&amp;M4</f>
        <v>FY 2023</v>
      </c>
      <c r="D75" s="77" t="s">
        <v>63</v>
      </c>
      <c r="E75" s="112"/>
      <c r="F75" s="55">
        <f>SUM(F67:F74)</f>
        <v>8.15</v>
      </c>
      <c r="G75" s="80">
        <f>SUM(G67:G74)</f>
        <v>536200</v>
      </c>
      <c r="H75" s="80">
        <f>SUM(H67:H74)</f>
        <v>88700</v>
      </c>
      <c r="I75" s="80">
        <f>SUM(I67:I74)</f>
        <v>111800</v>
      </c>
      <c r="J75" s="80">
        <f>SUM(J67:K74)</f>
        <v>736700</v>
      </c>
      <c r="K75" s="296"/>
      <c r="L75" s="299"/>
      <c r="M75" s="299"/>
      <c r="N75" s="300"/>
      <c r="O75"/>
      <c r="P75"/>
      <c r="Q75"/>
      <c r="R75"/>
      <c r="S75"/>
      <c r="T75"/>
      <c r="U75"/>
      <c r="V75"/>
      <c r="W75"/>
      <c r="X75"/>
      <c r="Y75"/>
      <c r="Z75" s="344"/>
      <c r="AA75" s="363"/>
      <c r="AB75" s="363"/>
      <c r="AC75" s="363"/>
      <c r="AD75" s="110"/>
      <c r="AE75" s="41"/>
      <c r="AF75" s="41"/>
      <c r="AG75" s="41"/>
      <c r="AH75" s="41"/>
      <c r="AI75" s="41"/>
      <c r="AJ75" s="41"/>
      <c r="AK75" s="41"/>
      <c r="AL75" s="41"/>
      <c r="AM75" s="41"/>
      <c r="AN75" s="41"/>
      <c r="AO75" s="41"/>
      <c r="AP75" s="41"/>
      <c r="AQ75" s="41"/>
      <c r="AR75" s="41"/>
      <c r="AS75" s="41"/>
      <c r="AT75" s="41"/>
      <c r="AU75" s="41"/>
      <c r="AV75" s="41"/>
      <c r="AW75" s="41"/>
      <c r="AX75" s="41"/>
      <c r="AY75" s="41"/>
      <c r="AZ75" s="41"/>
      <c r="BA75" s="41"/>
      <c r="BB75" s="41"/>
      <c r="BC75" s="41"/>
      <c r="BD75" s="41"/>
      <c r="BE75" s="41"/>
      <c r="BF75" s="41"/>
      <c r="BG75" s="41"/>
      <c r="BH75" s="41"/>
      <c r="BI75" s="41"/>
      <c r="BJ75" s="41"/>
      <c r="BK75" s="41"/>
      <c r="BL75" s="41"/>
      <c r="BM75" s="41"/>
      <c r="BN75" s="41"/>
      <c r="BO75" s="41"/>
      <c r="BP75" s="41"/>
      <c r="BQ75" s="41"/>
      <c r="BR75" s="41"/>
      <c r="BS75" s="41"/>
      <c r="BT75" s="41"/>
      <c r="BU75" s="41"/>
      <c r="BV75" s="41"/>
      <c r="BW75" s="41"/>
      <c r="BX75" s="41"/>
      <c r="BY75" s="41"/>
      <c r="BZ75" s="41"/>
      <c r="CA75" s="41"/>
      <c r="CB75" s="41"/>
      <c r="CC75" s="41"/>
      <c r="CD75" s="41"/>
      <c r="CE75" s="41"/>
      <c r="CF75" s="41"/>
      <c r="CG75" s="41"/>
      <c r="CH75" s="41"/>
      <c r="CI75" s="41"/>
      <c r="CJ75" s="41"/>
      <c r="CK75" s="41"/>
      <c r="CL75" s="41"/>
      <c r="CM75" s="41"/>
      <c r="CN75" s="41"/>
      <c r="CO75" s="41"/>
      <c r="CP75" s="41"/>
    </row>
    <row r="76" spans="1:94" s="53" customFormat="1" ht="28.5" customHeight="1" x14ac:dyDescent="0.25">
      <c r="A76" s="85"/>
      <c r="B76" s="83"/>
      <c r="C76" s="411" t="s">
        <v>64</v>
      </c>
      <c r="D76" s="412"/>
      <c r="E76" s="59"/>
      <c r="F76" s="59"/>
      <c r="G76" s="61"/>
      <c r="H76" s="61"/>
      <c r="I76" s="61"/>
      <c r="J76" s="61"/>
      <c r="K76" s="291"/>
      <c r="L76" s="292"/>
      <c r="M76" s="305"/>
      <c r="N76" s="293"/>
      <c r="O76"/>
      <c r="P76"/>
      <c r="Q76"/>
      <c r="R76"/>
      <c r="S76"/>
      <c r="T76"/>
      <c r="U76"/>
      <c r="V76"/>
      <c r="W76"/>
      <c r="X76"/>
      <c r="Y76"/>
      <c r="Z76" s="344"/>
      <c r="AA76" s="363"/>
      <c r="AB76" s="363"/>
      <c r="AC76" s="363"/>
      <c r="AD76" s="110"/>
      <c r="AE76" s="41"/>
      <c r="AF76" s="41"/>
      <c r="AG76" s="41"/>
      <c r="AH76" s="41"/>
      <c r="AI76" s="41"/>
      <c r="AJ76" s="41"/>
      <c r="AK76" s="41"/>
      <c r="AL76" s="41"/>
      <c r="AM76" s="41"/>
      <c r="AN76" s="41"/>
      <c r="AO76" s="41"/>
      <c r="AP76" s="41"/>
      <c r="AQ76" s="41"/>
      <c r="AR76" s="41"/>
      <c r="AS76" s="41"/>
      <c r="AT76" s="41"/>
      <c r="AU76" s="41"/>
      <c r="AV76" s="41"/>
      <c r="AW76" s="41"/>
      <c r="AX76" s="41"/>
      <c r="AY76" s="41"/>
      <c r="AZ76" s="41"/>
      <c r="BA76" s="41"/>
      <c r="BB76" s="41"/>
      <c r="BC76" s="41"/>
      <c r="BD76" s="41"/>
      <c r="BE76" s="41"/>
      <c r="BF76" s="41"/>
      <c r="BG76" s="41"/>
      <c r="BH76" s="41"/>
      <c r="BI76" s="41"/>
      <c r="BJ76" s="41"/>
      <c r="BK76" s="41"/>
      <c r="BL76" s="41"/>
      <c r="BM76" s="41"/>
      <c r="BN76" s="41"/>
      <c r="BO76" s="41"/>
      <c r="BP76" s="41"/>
      <c r="BQ76" s="41"/>
      <c r="BR76" s="41"/>
      <c r="BS76" s="41"/>
      <c r="BT76" s="41"/>
      <c r="BU76" s="41"/>
      <c r="BV76" s="41"/>
      <c r="BW76" s="41"/>
      <c r="BX76" s="41"/>
      <c r="BY76" s="41"/>
      <c r="BZ76" s="41"/>
      <c r="CA76" s="41"/>
      <c r="CB76" s="41"/>
      <c r="CC76" s="41"/>
      <c r="CD76" s="41"/>
      <c r="CE76" s="41"/>
      <c r="CF76" s="41"/>
      <c r="CG76" s="41"/>
      <c r="CH76" s="41"/>
      <c r="CI76" s="41"/>
      <c r="CJ76" s="41"/>
      <c r="CK76" s="41"/>
      <c r="CL76" s="41"/>
      <c r="CM76" s="41"/>
      <c r="CN76" s="41"/>
      <c r="CO76" s="41"/>
      <c r="CP76" s="41"/>
    </row>
    <row r="77" spans="1:94" s="53" customFormat="1" ht="15" x14ac:dyDescent="0.25">
      <c r="A77" s="116">
        <v>12.01</v>
      </c>
      <c r="B77" s="57"/>
      <c r="C77" s="404"/>
      <c r="D77" s="405"/>
      <c r="E77" s="87"/>
      <c r="F77" s="58"/>
      <c r="G77" s="88"/>
      <c r="H77" s="88"/>
      <c r="I77" s="88"/>
      <c r="J77" s="80">
        <f>ROUND(SUM(G77:I77),-2)</f>
        <v>0</v>
      </c>
      <c r="K77" s="296"/>
      <c r="L77" s="292"/>
      <c r="M77" s="292"/>
      <c r="N77" s="293"/>
      <c r="O77"/>
      <c r="P77"/>
      <c r="Q77"/>
      <c r="R77"/>
      <c r="S77"/>
      <c r="T77"/>
      <c r="U77"/>
      <c r="V77"/>
      <c r="W77"/>
      <c r="X77"/>
      <c r="Y77"/>
      <c r="Z77" s="344"/>
      <c r="AA77" s="363"/>
      <c r="AB77" s="363"/>
      <c r="AC77" s="363"/>
      <c r="AD77" s="110"/>
      <c r="AE77" s="41"/>
      <c r="AF77" s="41"/>
      <c r="AG77" s="41"/>
      <c r="AH77" s="41"/>
      <c r="AI77" s="41"/>
      <c r="AJ77" s="41"/>
      <c r="AK77" s="41"/>
      <c r="AL77" s="41"/>
      <c r="AM77" s="41"/>
      <c r="AN77" s="41"/>
      <c r="AO77" s="41"/>
      <c r="AP77" s="41"/>
      <c r="AQ77" s="41"/>
      <c r="AR77" s="41"/>
      <c r="AS77" s="41"/>
      <c r="AT77" s="41"/>
      <c r="AU77" s="41"/>
      <c r="AV77" s="41"/>
      <c r="AW77" s="41"/>
      <c r="AX77" s="41"/>
      <c r="AY77" s="41"/>
      <c r="AZ77" s="41"/>
      <c r="BA77" s="41"/>
      <c r="BB77" s="41"/>
      <c r="BC77" s="41"/>
      <c r="BD77" s="41"/>
      <c r="BE77" s="41"/>
      <c r="BF77" s="41"/>
      <c r="BG77" s="41"/>
      <c r="BH77" s="41"/>
      <c r="BI77" s="41"/>
      <c r="BJ77" s="41"/>
      <c r="BK77" s="41"/>
      <c r="BL77" s="41"/>
      <c r="BM77" s="41"/>
      <c r="BN77" s="41"/>
      <c r="BO77" s="41"/>
      <c r="BP77" s="41"/>
      <c r="BQ77" s="41"/>
      <c r="BR77" s="41"/>
      <c r="BS77" s="41"/>
      <c r="BT77" s="41"/>
      <c r="BU77" s="41"/>
      <c r="BV77" s="41"/>
      <c r="BW77" s="41"/>
      <c r="BX77" s="41"/>
      <c r="BY77" s="41"/>
      <c r="BZ77" s="41"/>
      <c r="CA77" s="41"/>
      <c r="CB77" s="41"/>
      <c r="CC77" s="41"/>
      <c r="CD77" s="41"/>
      <c r="CE77" s="41"/>
      <c r="CF77" s="41"/>
      <c r="CG77" s="41"/>
      <c r="CH77" s="41"/>
      <c r="CI77" s="41"/>
      <c r="CJ77" s="41"/>
      <c r="CK77" s="41"/>
      <c r="CL77" s="41"/>
      <c r="CM77" s="41"/>
      <c r="CN77" s="41"/>
      <c r="CO77" s="41"/>
      <c r="CP77" s="41"/>
    </row>
    <row r="78" spans="1:94" s="53" customFormat="1" ht="15" x14ac:dyDescent="0.25">
      <c r="A78" s="116">
        <v>12.02</v>
      </c>
      <c r="B78" s="57"/>
      <c r="C78" s="404"/>
      <c r="D78" s="405"/>
      <c r="E78" s="87"/>
      <c r="F78" s="58"/>
      <c r="G78" s="88"/>
      <c r="H78" s="88"/>
      <c r="I78" s="88"/>
      <c r="J78" s="80">
        <f>ROUND(SUM(G78:I78),-2)</f>
        <v>0</v>
      </c>
      <c r="K78" s="296"/>
      <c r="L78" s="292"/>
      <c r="M78" s="292"/>
      <c r="N78" s="293"/>
      <c r="O78"/>
      <c r="P78"/>
      <c r="Q78"/>
      <c r="R78"/>
      <c r="S78"/>
      <c r="T78"/>
      <c r="U78"/>
      <c r="V78"/>
      <c r="W78"/>
      <c r="X78"/>
      <c r="Y78"/>
      <c r="Z78" s="344"/>
      <c r="AA78" s="363"/>
      <c r="AB78" s="363"/>
      <c r="AC78" s="363"/>
      <c r="AD78" s="110"/>
      <c r="AE78" s="41"/>
      <c r="AF78" s="41"/>
      <c r="AG78" s="41"/>
      <c r="AH78" s="41"/>
      <c r="AI78" s="41"/>
      <c r="AJ78" s="41"/>
      <c r="AK78" s="41"/>
      <c r="AL78" s="41"/>
      <c r="AM78" s="41"/>
      <c r="AN78" s="41"/>
      <c r="AO78" s="41"/>
      <c r="AP78" s="41"/>
      <c r="AQ78" s="41"/>
      <c r="AR78" s="41"/>
      <c r="AS78" s="41"/>
      <c r="AT78" s="41"/>
      <c r="AU78" s="41"/>
      <c r="AV78" s="41"/>
      <c r="AW78" s="41"/>
      <c r="AX78" s="41"/>
      <c r="AY78" s="41"/>
      <c r="AZ78" s="41"/>
      <c r="BA78" s="41"/>
      <c r="BB78" s="41"/>
      <c r="BC78" s="41"/>
      <c r="BD78" s="41"/>
      <c r="BE78" s="41"/>
      <c r="BF78" s="41"/>
      <c r="BG78" s="41"/>
      <c r="BH78" s="41"/>
      <c r="BI78" s="41"/>
      <c r="BJ78" s="41"/>
      <c r="BK78" s="41"/>
      <c r="BL78" s="41"/>
      <c r="BM78" s="41"/>
      <c r="BN78" s="41"/>
      <c r="BO78" s="41"/>
      <c r="BP78" s="41"/>
      <c r="BQ78" s="41"/>
      <c r="BR78" s="41"/>
      <c r="BS78" s="41"/>
      <c r="BT78" s="41"/>
      <c r="BU78" s="41"/>
      <c r="BV78" s="41"/>
      <c r="BW78" s="41"/>
      <c r="BX78" s="41"/>
      <c r="BY78" s="41"/>
      <c r="BZ78" s="41"/>
      <c r="CA78" s="41"/>
      <c r="CB78" s="41"/>
      <c r="CC78" s="41"/>
      <c r="CD78" s="41"/>
      <c r="CE78" s="41"/>
      <c r="CF78" s="41"/>
      <c r="CG78" s="41"/>
      <c r="CH78" s="41"/>
      <c r="CI78" s="41"/>
      <c r="CJ78" s="41"/>
      <c r="CK78" s="41"/>
      <c r="CL78" s="41"/>
      <c r="CM78" s="41"/>
      <c r="CN78" s="41"/>
      <c r="CO78" s="41"/>
      <c r="CP78" s="41"/>
    </row>
    <row r="79" spans="1:94" s="53" customFormat="1" ht="15" x14ac:dyDescent="0.25">
      <c r="A79" s="116">
        <v>12.03</v>
      </c>
      <c r="B79" s="57" t="s">
        <v>45</v>
      </c>
      <c r="C79" s="404"/>
      <c r="D79" s="405"/>
      <c r="E79" s="87"/>
      <c r="F79" s="58"/>
      <c r="G79" s="88"/>
      <c r="H79" s="88"/>
      <c r="I79" s="88"/>
      <c r="J79" s="80">
        <f>ROUND(SUM(G79:I79),-2)</f>
        <v>0</v>
      </c>
      <c r="K79" s="296"/>
      <c r="L79" s="292"/>
      <c r="M79" s="292"/>
      <c r="N79" s="293"/>
      <c r="O79"/>
      <c r="P79"/>
      <c r="Q79"/>
      <c r="R79"/>
      <c r="S79"/>
      <c r="T79"/>
      <c r="U79"/>
      <c r="V79"/>
      <c r="W79"/>
      <c r="X79"/>
      <c r="Y79"/>
      <c r="Z79" s="344"/>
      <c r="AA79" s="363"/>
      <c r="AB79" s="363"/>
      <c r="AC79" s="363"/>
      <c r="AD79" s="110"/>
      <c r="AE79" s="41"/>
      <c r="AF79" s="41"/>
      <c r="AG79" s="41"/>
      <c r="AH79" s="41"/>
      <c r="AI79" s="41"/>
      <c r="AJ79" s="41"/>
      <c r="AK79" s="41"/>
      <c r="AL79" s="41"/>
      <c r="AM79" s="41"/>
      <c r="AN79" s="41"/>
      <c r="AO79" s="41"/>
      <c r="AP79" s="41"/>
      <c r="AQ79" s="41"/>
      <c r="AR79" s="41"/>
      <c r="AS79" s="41"/>
      <c r="AT79" s="41"/>
      <c r="AU79" s="41"/>
      <c r="AV79" s="41"/>
      <c r="AW79" s="41"/>
      <c r="AX79" s="41"/>
      <c r="AY79" s="41"/>
      <c r="AZ79" s="41"/>
      <c r="BA79" s="41"/>
      <c r="BB79" s="41"/>
      <c r="BC79" s="41"/>
      <c r="BD79" s="41"/>
      <c r="BE79" s="41"/>
      <c r="BF79" s="41"/>
      <c r="BG79" s="41"/>
      <c r="BH79" s="41"/>
      <c r="BI79" s="41"/>
      <c r="BJ79" s="41"/>
      <c r="BK79" s="41"/>
      <c r="BL79" s="41"/>
      <c r="BM79" s="41"/>
      <c r="BN79" s="41"/>
      <c r="BO79" s="41"/>
      <c r="BP79" s="41"/>
      <c r="BQ79" s="41"/>
      <c r="BR79" s="41"/>
      <c r="BS79" s="41"/>
      <c r="BT79" s="41"/>
      <c r="BU79" s="41"/>
      <c r="BV79" s="41"/>
      <c r="BW79" s="41"/>
      <c r="BX79" s="41"/>
      <c r="BY79" s="41"/>
      <c r="BZ79" s="41"/>
      <c r="CA79" s="41"/>
      <c r="CB79" s="41"/>
      <c r="CC79" s="41"/>
      <c r="CD79" s="41"/>
      <c r="CE79" s="41"/>
      <c r="CF79" s="41"/>
      <c r="CG79" s="41"/>
      <c r="CH79" s="41"/>
      <c r="CI79" s="41"/>
      <c r="CJ79" s="41"/>
      <c r="CK79" s="41"/>
      <c r="CL79" s="41"/>
      <c r="CM79" s="41"/>
      <c r="CN79" s="41"/>
      <c r="CO79" s="41"/>
      <c r="CP79" s="41"/>
    </row>
    <row r="80" spans="1:94" s="53" customFormat="1" ht="15.75" customHeight="1" x14ac:dyDescent="0.25">
      <c r="A80" s="117">
        <v>13</v>
      </c>
      <c r="B80" s="118"/>
      <c r="C80" s="119" t="str">
        <f>"FY "&amp;M4</f>
        <v>FY 2023</v>
      </c>
      <c r="D80" s="120" t="s">
        <v>65</v>
      </c>
      <c r="E80" s="121"/>
      <c r="F80" s="55">
        <f>SUM(F75:F79)</f>
        <v>8.15</v>
      </c>
      <c r="G80" s="80">
        <f>SUM(G75:G79)</f>
        <v>536200</v>
      </c>
      <c r="H80" s="80">
        <f>SUM(H75:H79)</f>
        <v>88700</v>
      </c>
      <c r="I80" s="80">
        <f>SUM(I75:I79)</f>
        <v>111800</v>
      </c>
      <c r="J80" s="80">
        <f>SUM(J75:J79)</f>
        <v>736700</v>
      </c>
      <c r="K80" s="270"/>
      <c r="L80" s="122"/>
      <c r="M80" s="122"/>
      <c r="N80" s="123"/>
      <c r="O80"/>
      <c r="P80"/>
      <c r="Q80"/>
      <c r="R80"/>
      <c r="S80"/>
      <c r="T80"/>
      <c r="U80"/>
      <c r="V80"/>
      <c r="W80"/>
      <c r="X80"/>
      <c r="Y80"/>
      <c r="Z80" s="344"/>
      <c r="AA80" s="363"/>
      <c r="AB80" s="363"/>
      <c r="AC80" s="363"/>
      <c r="AD80" s="110"/>
      <c r="AE80" s="41"/>
      <c r="AF80" s="41"/>
      <c r="AG80" s="41"/>
      <c r="AH80" s="41"/>
      <c r="AI80" s="41"/>
      <c r="AJ80" s="41"/>
      <c r="AK80" s="41"/>
      <c r="AL80" s="41"/>
      <c r="AM80" s="41"/>
      <c r="AN80" s="41"/>
      <c r="AO80" s="41"/>
      <c r="AP80" s="41"/>
      <c r="AQ80" s="41"/>
      <c r="AR80" s="41"/>
      <c r="AS80" s="41"/>
      <c r="AT80" s="41"/>
      <c r="AU80" s="41"/>
      <c r="AV80" s="41"/>
      <c r="AW80" s="41"/>
      <c r="AX80" s="41"/>
      <c r="AY80" s="41"/>
      <c r="AZ80" s="41"/>
      <c r="BA80" s="41"/>
      <c r="BB80" s="41"/>
      <c r="BC80" s="41"/>
      <c r="BD80" s="41"/>
      <c r="BE80" s="41"/>
      <c r="BF80" s="41"/>
      <c r="BG80" s="41"/>
      <c r="BH80" s="41"/>
      <c r="BI80" s="41"/>
      <c r="BJ80" s="41"/>
      <c r="BK80" s="41"/>
      <c r="BL80" s="41"/>
      <c r="BM80" s="41"/>
      <c r="BN80" s="41"/>
      <c r="BO80" s="41"/>
      <c r="BP80" s="41"/>
      <c r="BQ80" s="41"/>
      <c r="BR80" s="41"/>
      <c r="BS80" s="41"/>
      <c r="BT80" s="41"/>
      <c r="BU80" s="41"/>
      <c r="BV80" s="41"/>
      <c r="BW80" s="41"/>
      <c r="BX80" s="41"/>
      <c r="BY80" s="41"/>
      <c r="BZ80" s="41"/>
      <c r="CA80" s="41"/>
      <c r="CB80" s="41"/>
      <c r="CC80" s="41"/>
      <c r="CD80" s="41"/>
      <c r="CE80" s="41"/>
      <c r="CF80" s="41"/>
      <c r="CG80" s="41"/>
      <c r="CH80" s="41"/>
      <c r="CI80" s="41"/>
      <c r="CJ80" s="41"/>
      <c r="CK80" s="41"/>
      <c r="CL80" s="41"/>
      <c r="CM80" s="41"/>
      <c r="CN80" s="41"/>
      <c r="CO80" s="41"/>
      <c r="CP80" s="41"/>
    </row>
  </sheetData>
  <mergeCells count="51">
    <mergeCell ref="C13:D13"/>
    <mergeCell ref="M1:N1"/>
    <mergeCell ref="M2:N2"/>
    <mergeCell ref="M3:N3"/>
    <mergeCell ref="M4:N4"/>
    <mergeCell ref="I5:L5"/>
    <mergeCell ref="C8:D8"/>
    <mergeCell ref="AA8:AC8"/>
    <mergeCell ref="C9:D9"/>
    <mergeCell ref="C10:D10"/>
    <mergeCell ref="C11:D11"/>
    <mergeCell ref="C12:D12"/>
    <mergeCell ref="K43:N43"/>
    <mergeCell ref="AA43:AC43"/>
    <mergeCell ref="K44:N44"/>
    <mergeCell ref="C16:D16"/>
    <mergeCell ref="C17:D17"/>
    <mergeCell ref="C18:D18"/>
    <mergeCell ref="C37:D37"/>
    <mergeCell ref="AA37:AC37"/>
    <mergeCell ref="C38:D38"/>
    <mergeCell ref="C54:D54"/>
    <mergeCell ref="C39:D39"/>
    <mergeCell ref="C41:D41"/>
    <mergeCell ref="C42:D42"/>
    <mergeCell ref="C43:D44"/>
    <mergeCell ref="K45:N45"/>
    <mergeCell ref="E46:J47"/>
    <mergeCell ref="K46:N47"/>
    <mergeCell ref="C50:D50"/>
    <mergeCell ref="C53:D53"/>
    <mergeCell ref="C69:D69"/>
    <mergeCell ref="C55:D55"/>
    <mergeCell ref="C57:D57"/>
    <mergeCell ref="C58:D58"/>
    <mergeCell ref="C59:D59"/>
    <mergeCell ref="C61:D61"/>
    <mergeCell ref="C62:D62"/>
    <mergeCell ref="C63:D63"/>
    <mergeCell ref="C64:D64"/>
    <mergeCell ref="C65:D65"/>
    <mergeCell ref="C66:D66"/>
    <mergeCell ref="C68:D68"/>
    <mergeCell ref="C78:D78"/>
    <mergeCell ref="C79:D79"/>
    <mergeCell ref="C70:D70"/>
    <mergeCell ref="C71:D71"/>
    <mergeCell ref="C72:D72"/>
    <mergeCell ref="C73:D73"/>
    <mergeCell ref="C76:D76"/>
    <mergeCell ref="C77:D77"/>
  </mergeCells>
  <conditionalFormatting sqref="K44">
    <cfRule type="expression" dxfId="78" priority="5">
      <formula>$J$44&lt;0</formula>
    </cfRule>
  </conditionalFormatting>
  <conditionalFormatting sqref="K43">
    <cfRule type="expression" dxfId="77" priority="4">
      <formula>$J$43&lt;0</formula>
    </cfRule>
  </conditionalFormatting>
  <conditionalFormatting sqref="L16">
    <cfRule type="expression" dxfId="76" priority="3">
      <formula>$J$16&lt;0</formula>
    </cfRule>
  </conditionalFormatting>
  <conditionalFormatting sqref="K45">
    <cfRule type="expression" dxfId="75" priority="2">
      <formula>$J$44&lt;0</formula>
    </cfRule>
  </conditionalFormatting>
  <conditionalFormatting sqref="K43:N45">
    <cfRule type="containsText" dxfId="74" priority="1" operator="containsText" text="underfunding">
      <formula>NOT(ISERROR(SEARCH("underfunding",K43)))</formula>
    </cfRule>
  </conditionalFormatting>
  <printOptions horizontalCentered="1"/>
  <pageMargins left="0.5" right="0.5" top="0.65" bottom="0.65" header="0.26" footer="0.31"/>
  <pageSetup scale="63" fitToHeight="2" orientation="landscape" r:id="rId1"/>
  <headerFooter>
    <oddHeader>&amp;L&amp;"Helv,Bold"FORM B6:  WAGE &amp;&amp; SALARY RECONCILIATION</oddHeader>
    <oddFooter>&amp;LPrinted: &amp;D, &amp;T&amp;RPage &amp;P of &amp;N</oddFooter>
  </headerFooter>
  <rowBreaks count="1" manualBreakCount="1">
    <brk id="64" max="12" man="1"/>
  </rowBreaks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6BFE5CBD-C6F1-4281-81AB-F79022F79274}">
          <x14:formula1>
            <xm:f>Benefits!$A$20:$A$26</xm:f>
          </x14:formula1>
          <xm:sqref>C20:C30 C32:C36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B187A1-1C07-443C-B734-46A324E97A1E}">
  <sheetPr>
    <tabColor rgb="FFFFC000"/>
    <pageSetUpPr fitToPage="1"/>
  </sheetPr>
  <dimension ref="A1:CP80"/>
  <sheetViews>
    <sheetView showGridLines="0" zoomScaleNormal="100" workbookViewId="0">
      <selection activeCell="C8" sqref="C8:N16"/>
    </sheetView>
  </sheetViews>
  <sheetFormatPr defaultColWidth="9.140625" defaultRowHeight="15.75" x14ac:dyDescent="0.25"/>
  <cols>
    <col min="1" max="1" width="7.85546875" style="124" customWidth="1"/>
    <col min="2" max="2" width="7.7109375" style="125" customWidth="1"/>
    <col min="3" max="3" width="9" style="125" customWidth="1"/>
    <col min="4" max="4" width="39.28515625" style="53" customWidth="1"/>
    <col min="5" max="5" width="13" style="126" customWidth="1"/>
    <col min="6" max="6" width="12.28515625" style="127" customWidth="1"/>
    <col min="7" max="7" width="12.140625" style="127" bestFit="1" customWidth="1"/>
    <col min="8" max="8" width="14.5703125" style="127" customWidth="1"/>
    <col min="9" max="9" width="19.5703125" style="128" bestFit="1" customWidth="1"/>
    <col min="10" max="10" width="13.7109375" style="129" customWidth="1"/>
    <col min="11" max="11" width="13.7109375" style="129" hidden="1" customWidth="1"/>
    <col min="12" max="12" width="18.42578125" style="129" customWidth="1"/>
    <col min="13" max="13" width="16.42578125" style="129" customWidth="1"/>
    <col min="14" max="14" width="16.140625" style="128" customWidth="1"/>
    <col min="15" max="25" width="16.140625" customWidth="1"/>
    <col min="26" max="26" width="16.140625" style="344" customWidth="1"/>
    <col min="27" max="27" width="22.140625" style="334" bestFit="1" customWidth="1"/>
    <col min="28" max="28" width="31.140625" style="334" bestFit="1" customWidth="1"/>
    <col min="29" max="29" width="7.85546875" style="334" bestFit="1" customWidth="1"/>
    <col min="30" max="30" width="9.140625" style="110" customWidth="1"/>
    <col min="31" max="94" width="9.140625" style="17"/>
    <col min="95" max="16384" width="9.140625" style="18"/>
  </cols>
  <sheetData>
    <row r="1" spans="1:94" x14ac:dyDescent="0.25">
      <c r="A1" s="12" t="s">
        <v>13</v>
      </c>
      <c r="B1" s="13"/>
      <c r="C1" s="13"/>
      <c r="D1" s="14" t="s">
        <v>1989</v>
      </c>
      <c r="E1" s="15"/>
      <c r="F1" s="15"/>
      <c r="G1" s="15"/>
      <c r="H1" s="15"/>
      <c r="I1" s="15"/>
      <c r="J1" s="15"/>
      <c r="K1" s="15"/>
      <c r="L1" s="16" t="s">
        <v>14</v>
      </c>
      <c r="M1" s="467">
        <v>352</v>
      </c>
      <c r="N1" s="468"/>
      <c r="AA1" s="363"/>
      <c r="AB1" s="333"/>
      <c r="AC1" s="333"/>
      <c r="AD1" s="325"/>
    </row>
    <row r="2" spans="1:94" ht="20.25" x14ac:dyDescent="0.25">
      <c r="A2" s="19" t="s">
        <v>116</v>
      </c>
      <c r="B2" s="20"/>
      <c r="C2" s="20"/>
      <c r="D2" s="14" t="s">
        <v>1990</v>
      </c>
      <c r="E2" s="21"/>
      <c r="F2" s="21"/>
      <c r="G2" s="21"/>
      <c r="H2" s="21"/>
      <c r="I2" s="21"/>
      <c r="J2" s="20"/>
      <c r="K2" s="20"/>
      <c r="L2" s="22" t="s">
        <v>113</v>
      </c>
      <c r="M2" s="469" t="s">
        <v>2033</v>
      </c>
      <c r="N2" s="470"/>
      <c r="AA2" s="333"/>
      <c r="AB2" s="333"/>
      <c r="AC2" s="333"/>
      <c r="AD2" s="325"/>
    </row>
    <row r="3" spans="1:94" x14ac:dyDescent="0.25">
      <c r="A3" s="19" t="s">
        <v>117</v>
      </c>
      <c r="B3" s="20"/>
      <c r="C3" s="20"/>
      <c r="D3" s="23" t="s">
        <v>1991</v>
      </c>
      <c r="E3" s="24"/>
      <c r="F3" s="25"/>
      <c r="G3" s="25"/>
      <c r="H3" s="25"/>
      <c r="I3" s="26"/>
      <c r="J3" s="20"/>
      <c r="K3" s="20"/>
      <c r="L3" s="22" t="s">
        <v>114</v>
      </c>
      <c r="M3" s="467" t="s">
        <v>1596</v>
      </c>
      <c r="N3" s="468"/>
      <c r="AA3" s="363"/>
      <c r="AB3" s="333"/>
      <c r="AC3" s="333"/>
      <c r="AD3" s="325"/>
    </row>
    <row r="4" spans="1:94" x14ac:dyDescent="0.25">
      <c r="A4" s="19"/>
      <c r="B4" s="20"/>
      <c r="C4" s="20"/>
      <c r="D4" s="27"/>
      <c r="E4" s="24"/>
      <c r="F4" s="25"/>
      <c r="G4" s="25"/>
      <c r="H4" s="25"/>
      <c r="I4" s="28"/>
      <c r="J4" s="26"/>
      <c r="K4" s="26"/>
      <c r="L4" s="22" t="s">
        <v>15</v>
      </c>
      <c r="M4" s="467">
        <v>2023</v>
      </c>
      <c r="N4" s="468"/>
      <c r="AA4" s="363"/>
      <c r="AB4" s="333"/>
      <c r="AC4" s="333"/>
      <c r="AD4" s="325"/>
    </row>
    <row r="5" spans="1:94" s="34" customFormat="1" ht="18" customHeight="1" x14ac:dyDescent="0.25">
      <c r="A5" s="19" t="s">
        <v>16</v>
      </c>
      <c r="B5" s="20"/>
      <c r="C5" s="20"/>
      <c r="D5" s="350">
        <v>44440</v>
      </c>
      <c r="E5" s="27"/>
      <c r="F5" s="30"/>
      <c r="G5" s="31"/>
      <c r="H5" s="31" t="s">
        <v>17</v>
      </c>
      <c r="I5" s="469" t="s">
        <v>2031</v>
      </c>
      <c r="J5" s="471"/>
      <c r="K5" s="471"/>
      <c r="L5" s="470"/>
      <c r="M5" s="351" t="s">
        <v>115</v>
      </c>
      <c r="N5" s="32" t="s">
        <v>2032</v>
      </c>
      <c r="O5"/>
      <c r="P5"/>
      <c r="Q5"/>
      <c r="R5"/>
      <c r="S5"/>
      <c r="T5"/>
      <c r="U5"/>
      <c r="V5"/>
      <c r="W5"/>
      <c r="X5"/>
      <c r="Y5"/>
      <c r="Z5" s="344"/>
      <c r="AA5" s="363"/>
      <c r="AB5" s="333"/>
      <c r="AC5" s="333"/>
      <c r="AD5" s="326"/>
      <c r="AE5" s="33"/>
      <c r="AF5" s="33"/>
      <c r="AG5" s="33"/>
      <c r="AH5" s="33"/>
      <c r="AI5" s="33"/>
      <c r="AJ5" s="33"/>
      <c r="AK5" s="33"/>
      <c r="AL5" s="33"/>
      <c r="AM5" s="33"/>
      <c r="AN5" s="33"/>
      <c r="AO5" s="33"/>
      <c r="AP5" s="33"/>
      <c r="AQ5" s="33"/>
      <c r="AR5" s="33"/>
      <c r="AS5" s="33"/>
      <c r="AT5" s="33"/>
      <c r="AU5" s="33"/>
      <c r="AV5" s="33"/>
      <c r="AW5" s="33"/>
      <c r="AX5" s="33"/>
      <c r="AY5" s="33"/>
      <c r="AZ5" s="33"/>
      <c r="BA5" s="33"/>
      <c r="BB5" s="33"/>
      <c r="BC5" s="33"/>
      <c r="BD5" s="33"/>
      <c r="BE5" s="33"/>
      <c r="BF5" s="33"/>
      <c r="BG5" s="33"/>
      <c r="BH5" s="33"/>
      <c r="BI5" s="33"/>
      <c r="BJ5" s="33"/>
      <c r="BK5" s="33"/>
      <c r="BL5" s="33"/>
      <c r="BM5" s="33"/>
      <c r="BN5" s="33"/>
      <c r="BO5" s="33"/>
      <c r="BP5" s="33"/>
      <c r="BQ5" s="33"/>
      <c r="BR5" s="33"/>
      <c r="BS5" s="33"/>
      <c r="BT5" s="33"/>
      <c r="BU5" s="33"/>
      <c r="BV5" s="33"/>
      <c r="BW5" s="33"/>
      <c r="BX5" s="33"/>
      <c r="BY5" s="33"/>
      <c r="BZ5" s="33"/>
      <c r="CA5" s="33"/>
      <c r="CB5" s="33"/>
      <c r="CC5" s="33"/>
      <c r="CD5" s="33"/>
      <c r="CE5" s="33"/>
      <c r="CF5" s="33"/>
      <c r="CG5" s="33"/>
      <c r="CH5" s="33"/>
      <c r="CI5" s="33"/>
      <c r="CJ5" s="33"/>
      <c r="CK5" s="33"/>
      <c r="CL5" s="33"/>
      <c r="CM5" s="33"/>
      <c r="CN5" s="33"/>
      <c r="CO5" s="33"/>
      <c r="CP5" s="33"/>
    </row>
    <row r="6" spans="1:94" ht="23.25" customHeight="1" x14ac:dyDescent="0.25">
      <c r="A6" s="19"/>
      <c r="B6" s="20" t="s">
        <v>18</v>
      </c>
      <c r="C6" s="20"/>
      <c r="D6" s="29"/>
      <c r="E6" s="35" t="s">
        <v>19</v>
      </c>
      <c r="F6" s="36"/>
      <c r="G6" s="25"/>
      <c r="H6" s="25"/>
      <c r="I6" s="37"/>
      <c r="J6" s="31" t="s">
        <v>84</v>
      </c>
      <c r="K6" s="31"/>
      <c r="L6" s="352"/>
      <c r="M6" s="353" t="s">
        <v>85</v>
      </c>
      <c r="N6" s="306"/>
      <c r="AA6" s="363"/>
      <c r="AB6" s="333"/>
      <c r="AC6" s="333"/>
      <c r="AD6" s="325"/>
    </row>
    <row r="7" spans="1:94" x14ac:dyDescent="0.25">
      <c r="A7" s="38"/>
      <c r="B7" s="39"/>
      <c r="C7" s="40"/>
      <c r="D7" s="41"/>
      <c r="E7" s="42"/>
      <c r="F7" s="40"/>
      <c r="G7" s="43"/>
      <c r="H7" s="44"/>
      <c r="I7" s="45"/>
      <c r="J7" s="46"/>
      <c r="K7" s="46"/>
      <c r="L7" s="46"/>
      <c r="M7" s="46"/>
      <c r="N7" s="47"/>
    </row>
    <row r="8" spans="1:94" s="52" customFormat="1" ht="40.5" customHeight="1" x14ac:dyDescent="0.25">
      <c r="A8" s="48" t="s">
        <v>20</v>
      </c>
      <c r="B8" s="369" t="s">
        <v>21</v>
      </c>
      <c r="C8" s="472" t="s">
        <v>22</v>
      </c>
      <c r="D8" s="473"/>
      <c r="E8" s="369" t="s">
        <v>23</v>
      </c>
      <c r="F8" s="49" t="s">
        <v>24</v>
      </c>
      <c r="G8" s="50" t="str">
        <f>"FY "&amp;'TAAI|0276-00'!FiscalYear-1&amp;" SALARY"</f>
        <v>FY 2022 SALARY</v>
      </c>
      <c r="H8" s="50" t="str">
        <f>"FY "&amp;'TAAI|0276-00'!FiscalYear-1&amp;" HEALTH BENEFITS"</f>
        <v>FY 2022 HEALTH BENEFITS</v>
      </c>
      <c r="I8" s="50" t="str">
        <f>"FY "&amp;'TAAI|0276-00'!FiscalYear-1&amp;" VAR BENEFITS"</f>
        <v>FY 2022 VAR BENEFITS</v>
      </c>
      <c r="J8" s="50" t="str">
        <f>"FY "&amp;'TAAI|0276-00'!FiscalYear-1&amp;" TOTAL"</f>
        <v>FY 2022 TOTAL</v>
      </c>
      <c r="K8" s="50" t="str">
        <f>"FY "&amp;'TAAI|0276-00'!FiscalYear&amp;" SALARY CHANGE"</f>
        <v>FY 2023 SALARY CHANGE</v>
      </c>
      <c r="L8" s="50" t="str">
        <f>"FY "&amp;'TAAI|0276-00'!FiscalYear&amp;" CHG HEALTH BENEFITS"</f>
        <v>FY 2023 CHG HEALTH BENEFITS</v>
      </c>
      <c r="M8" s="50" t="str">
        <f>"FY "&amp;'TAAI|0276-00'!FiscalYear&amp;" CHG VAR BENEFITS"</f>
        <v>FY 2023 CHG VAR BENEFITS</v>
      </c>
      <c r="N8" s="50" t="s">
        <v>25</v>
      </c>
      <c r="O8"/>
      <c r="P8"/>
      <c r="Q8"/>
      <c r="R8"/>
      <c r="S8"/>
      <c r="T8"/>
      <c r="U8"/>
      <c r="V8"/>
      <c r="W8"/>
      <c r="X8"/>
      <c r="Y8"/>
      <c r="Z8" s="344"/>
      <c r="AA8" s="463" t="s">
        <v>105</v>
      </c>
      <c r="AB8" s="463"/>
      <c r="AC8" s="463"/>
      <c r="AD8" s="327"/>
      <c r="AE8" s="51"/>
      <c r="AF8" s="51"/>
      <c r="AG8" s="51"/>
      <c r="AH8" s="51"/>
      <c r="AI8" s="51"/>
      <c r="AJ8" s="51"/>
      <c r="AK8" s="51"/>
      <c r="AL8" s="51"/>
      <c r="AM8" s="51"/>
      <c r="AN8" s="51"/>
      <c r="AO8" s="51"/>
      <c r="AP8" s="51"/>
      <c r="AQ8" s="51"/>
      <c r="AR8" s="51"/>
      <c r="AS8" s="51"/>
      <c r="AT8" s="51"/>
      <c r="AU8" s="51"/>
      <c r="AV8" s="51"/>
      <c r="AW8" s="51"/>
      <c r="AX8" s="51"/>
      <c r="AY8" s="51"/>
      <c r="AZ8" s="51"/>
      <c r="BA8" s="51"/>
      <c r="BB8" s="51"/>
      <c r="BC8" s="51"/>
      <c r="BD8" s="51"/>
      <c r="BE8" s="51"/>
      <c r="BF8" s="51"/>
      <c r="BG8" s="51"/>
      <c r="BH8" s="51"/>
      <c r="BI8" s="51"/>
      <c r="BJ8" s="51"/>
      <c r="BK8" s="51"/>
      <c r="BL8" s="51"/>
      <c r="BM8" s="51"/>
      <c r="BN8" s="51"/>
      <c r="BO8" s="51"/>
      <c r="BP8" s="51"/>
      <c r="BQ8" s="51"/>
      <c r="BR8" s="51"/>
      <c r="BS8" s="51"/>
      <c r="BT8" s="51"/>
      <c r="BU8" s="51"/>
      <c r="BV8" s="51"/>
      <c r="BW8" s="51"/>
      <c r="BX8" s="51"/>
      <c r="BY8" s="51"/>
      <c r="BZ8" s="51"/>
      <c r="CA8" s="51"/>
      <c r="CB8" s="51"/>
      <c r="CC8" s="51"/>
      <c r="CD8" s="51"/>
      <c r="CE8" s="51"/>
      <c r="CF8" s="51"/>
      <c r="CG8" s="51"/>
      <c r="CH8" s="51"/>
      <c r="CI8" s="51"/>
      <c r="CJ8" s="51"/>
      <c r="CK8" s="51"/>
      <c r="CL8" s="51"/>
      <c r="CM8" s="51"/>
      <c r="CN8" s="51"/>
      <c r="CO8" s="51"/>
      <c r="CP8" s="51"/>
    </row>
    <row r="9" spans="1:94" s="149" customFormat="1" x14ac:dyDescent="0.25">
      <c r="A9" s="139"/>
      <c r="B9" s="140"/>
      <c r="C9" s="464" t="s">
        <v>26</v>
      </c>
      <c r="D9" s="465"/>
      <c r="E9" s="141"/>
      <c r="F9" s="142"/>
      <c r="G9" s="143"/>
      <c r="H9" s="143"/>
      <c r="I9" s="143"/>
      <c r="J9" s="144"/>
      <c r="K9" s="144"/>
      <c r="L9" s="145"/>
      <c r="M9" s="146"/>
      <c r="N9" s="144"/>
      <c r="O9"/>
      <c r="P9"/>
      <c r="Q9"/>
      <c r="R9"/>
      <c r="S9"/>
      <c r="T9"/>
      <c r="U9"/>
      <c r="V9"/>
      <c r="W9"/>
      <c r="X9"/>
      <c r="Y9"/>
      <c r="Z9" s="344"/>
      <c r="AA9" s="363" t="s">
        <v>94</v>
      </c>
      <c r="AB9" s="333" t="s">
        <v>95</v>
      </c>
      <c r="AC9" s="333" t="s">
        <v>106</v>
      </c>
      <c r="AD9" s="328"/>
      <c r="AE9" s="148"/>
      <c r="AF9" s="148"/>
      <c r="AG9" s="148"/>
      <c r="AH9" s="148"/>
      <c r="AI9" s="148"/>
      <c r="AJ9" s="148"/>
      <c r="AK9" s="148"/>
      <c r="AL9" s="148"/>
      <c r="AM9" s="148"/>
      <c r="AN9" s="148"/>
      <c r="AO9" s="148"/>
      <c r="AP9" s="148"/>
      <c r="AQ9" s="148"/>
      <c r="AR9" s="148"/>
      <c r="AS9" s="148"/>
      <c r="AT9" s="148"/>
      <c r="AU9" s="148"/>
      <c r="AV9" s="148"/>
      <c r="AW9" s="148"/>
      <c r="AX9" s="148"/>
      <c r="AY9" s="148"/>
      <c r="AZ9" s="148"/>
      <c r="BA9" s="148"/>
      <c r="BB9" s="148"/>
      <c r="BC9" s="148"/>
      <c r="BD9" s="148"/>
      <c r="BE9" s="148"/>
      <c r="BF9" s="148"/>
      <c r="BG9" s="148"/>
      <c r="BH9" s="148"/>
      <c r="BI9" s="148"/>
      <c r="BJ9" s="148"/>
      <c r="BK9" s="148"/>
      <c r="BL9" s="148"/>
      <c r="BM9" s="148"/>
      <c r="BN9" s="148"/>
      <c r="BO9" s="148"/>
      <c r="BP9" s="148"/>
      <c r="BQ9" s="148"/>
      <c r="BR9" s="148"/>
      <c r="BS9" s="148"/>
      <c r="BT9" s="148"/>
      <c r="BU9" s="148"/>
      <c r="BV9" s="148"/>
      <c r="BW9" s="148"/>
      <c r="BX9" s="148"/>
      <c r="BY9" s="148"/>
      <c r="BZ9" s="148"/>
      <c r="CA9" s="148"/>
      <c r="CB9" s="148"/>
      <c r="CC9" s="148"/>
      <c r="CD9" s="148"/>
      <c r="CE9" s="148"/>
      <c r="CF9" s="148"/>
      <c r="CG9" s="148"/>
      <c r="CH9" s="148"/>
      <c r="CI9" s="148"/>
      <c r="CJ9" s="148"/>
      <c r="CK9" s="148"/>
      <c r="CL9" s="148"/>
      <c r="CM9" s="148"/>
      <c r="CN9" s="148"/>
      <c r="CO9" s="148"/>
      <c r="CP9" s="148"/>
    </row>
    <row r="10" spans="1:94" s="149" customFormat="1" x14ac:dyDescent="0.25">
      <c r="A10" s="139"/>
      <c r="B10" s="139"/>
      <c r="C10" s="443" t="s">
        <v>27</v>
      </c>
      <c r="D10" s="466"/>
      <c r="E10" s="217">
        <v>1</v>
      </c>
      <c r="F10" s="288">
        <f>[0]!TAAI027600col_INC_FTI</f>
        <v>0.5</v>
      </c>
      <c r="G10" s="218">
        <f>[0]!TAAI027600col_FTI_SALARY_PERM</f>
        <v>40466.400000000001</v>
      </c>
      <c r="H10" s="218">
        <f>[0]!TAAI027600col_HEALTH_PERM</f>
        <v>5825</v>
      </c>
      <c r="I10" s="218">
        <f>[0]!TAAI027600col_TOT_VB_PERM</f>
        <v>8638.3624080000009</v>
      </c>
      <c r="J10" s="219">
        <f>SUM(G10:I10)</f>
        <v>54929.762408000002</v>
      </c>
      <c r="K10" s="219">
        <f>[0]!TAAI027600col_1_27TH_PP</f>
        <v>0</v>
      </c>
      <c r="L10" s="218">
        <f>[0]!TAAI027600col_HEALTH_PERM_CHG</f>
        <v>0</v>
      </c>
      <c r="M10" s="218">
        <f>[0]!TAAI027600col_TOT_VB_PERM_CHG</f>
        <v>-194.23872</v>
      </c>
      <c r="N10" s="218">
        <f>SUM(L10:M10)</f>
        <v>-194.23872</v>
      </c>
      <c r="O10"/>
      <c r="P10"/>
      <c r="Q10"/>
      <c r="R10"/>
      <c r="S10"/>
      <c r="T10"/>
      <c r="U10"/>
      <c r="V10"/>
      <c r="W10"/>
      <c r="X10"/>
      <c r="Y10"/>
      <c r="Z10" s="344"/>
      <c r="AA10" s="338">
        <f>ROUND(CECPerm*PermSalary,-2)</f>
        <v>400</v>
      </c>
      <c r="AB10" s="335">
        <f>ROUND(PermVarBen*CECPerm+(CECPerm*PermVarBenChg),-2)</f>
        <v>100</v>
      </c>
      <c r="AC10" s="335">
        <f>SUM(AA10:AB10)</f>
        <v>500</v>
      </c>
      <c r="AD10" s="328"/>
      <c r="AE10" s="148"/>
      <c r="AF10" s="148"/>
      <c r="AG10" s="148"/>
      <c r="AH10" s="148"/>
      <c r="AI10" s="148"/>
      <c r="AJ10" s="148"/>
      <c r="AK10" s="148"/>
      <c r="AL10" s="148"/>
      <c r="AM10" s="148"/>
      <c r="AN10" s="148"/>
      <c r="AO10" s="148"/>
      <c r="AP10" s="148"/>
      <c r="AQ10" s="148"/>
      <c r="AR10" s="148"/>
      <c r="AS10" s="148"/>
      <c r="AT10" s="148"/>
      <c r="AU10" s="148"/>
      <c r="AV10" s="148"/>
      <c r="AW10" s="148"/>
      <c r="AX10" s="148"/>
      <c r="AY10" s="148"/>
      <c r="AZ10" s="148"/>
      <c r="BA10" s="148"/>
      <c r="BB10" s="148"/>
      <c r="BC10" s="148"/>
      <c r="BD10" s="148"/>
      <c r="BE10" s="148"/>
      <c r="BF10" s="148"/>
      <c r="BG10" s="148"/>
      <c r="BH10" s="148"/>
      <c r="BI10" s="148"/>
      <c r="BJ10" s="148"/>
      <c r="BK10" s="148"/>
      <c r="BL10" s="148"/>
      <c r="BM10" s="148"/>
      <c r="BN10" s="148"/>
      <c r="BO10" s="148"/>
      <c r="BP10" s="148"/>
      <c r="BQ10" s="148"/>
      <c r="BR10" s="148"/>
      <c r="BS10" s="148"/>
      <c r="BT10" s="148"/>
      <c r="BU10" s="148"/>
      <c r="BV10" s="148"/>
      <c r="BW10" s="148"/>
      <c r="BX10" s="148"/>
      <c r="BY10" s="148"/>
      <c r="BZ10" s="148"/>
      <c r="CA10" s="148"/>
      <c r="CB10" s="148"/>
      <c r="CC10" s="148"/>
      <c r="CD10" s="148"/>
      <c r="CE10" s="148"/>
      <c r="CF10" s="148"/>
      <c r="CG10" s="148"/>
      <c r="CH10" s="148"/>
      <c r="CI10" s="148"/>
      <c r="CJ10" s="148"/>
      <c r="CK10" s="148"/>
      <c r="CL10" s="148"/>
      <c r="CM10" s="148"/>
      <c r="CN10" s="148"/>
      <c r="CO10" s="148"/>
      <c r="CP10" s="148"/>
    </row>
    <row r="11" spans="1:94" s="149" customFormat="1" x14ac:dyDescent="0.25">
      <c r="A11" s="139"/>
      <c r="B11" s="139"/>
      <c r="C11" s="443" t="s">
        <v>28</v>
      </c>
      <c r="D11" s="466"/>
      <c r="E11" s="217">
        <v>2</v>
      </c>
      <c r="F11" s="288"/>
      <c r="G11" s="218">
        <f>[0]!TAAI027600col_Group_Salary</f>
        <v>0</v>
      </c>
      <c r="H11" s="218">
        <v>0</v>
      </c>
      <c r="I11" s="218">
        <f>[0]!TAAI027600col_Group_Ben</f>
        <v>0</v>
      </c>
      <c r="J11" s="219">
        <f>SUM(G11:I11)</f>
        <v>0</v>
      </c>
      <c r="K11" s="268"/>
      <c r="L11" s="218"/>
      <c r="M11" s="218"/>
      <c r="N11" s="218"/>
      <c r="O11"/>
      <c r="P11"/>
      <c r="Q11"/>
      <c r="R11"/>
      <c r="S11"/>
      <c r="T11"/>
      <c r="U11"/>
      <c r="V11"/>
      <c r="W11"/>
      <c r="X11"/>
      <c r="Y11"/>
      <c r="Z11" s="344"/>
      <c r="AA11" s="338">
        <f>ROUND(GroupSalary*CECGroup,-2)</f>
        <v>0</v>
      </c>
      <c r="AB11" s="335">
        <f>ROUND((GroupSalary*GroupVBBY)*CECGroup,-2)</f>
        <v>0</v>
      </c>
      <c r="AC11" s="335">
        <f>SUM(AA12:AB12)</f>
        <v>0</v>
      </c>
      <c r="AD11" s="328"/>
      <c r="AE11" s="148"/>
      <c r="AF11" s="148"/>
      <c r="AG11" s="148"/>
      <c r="AH11" s="148"/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148"/>
      <c r="AV11" s="148"/>
      <c r="AW11" s="148"/>
      <c r="AX11" s="148"/>
      <c r="AY11" s="148"/>
      <c r="AZ11" s="148"/>
      <c r="BA11" s="148"/>
      <c r="BB11" s="148"/>
      <c r="BC11" s="148"/>
      <c r="BD11" s="148"/>
      <c r="BE11" s="148"/>
      <c r="BF11" s="148"/>
      <c r="BG11" s="148"/>
      <c r="BH11" s="148"/>
      <c r="BI11" s="148"/>
      <c r="BJ11" s="148"/>
      <c r="BK11" s="148"/>
      <c r="BL11" s="148"/>
      <c r="BM11" s="148"/>
      <c r="BN11" s="148"/>
      <c r="BO11" s="148"/>
      <c r="BP11" s="148"/>
      <c r="BQ11" s="148"/>
      <c r="BR11" s="148"/>
      <c r="BS11" s="148"/>
      <c r="BT11" s="148"/>
      <c r="BU11" s="148"/>
      <c r="BV11" s="148"/>
      <c r="BW11" s="148"/>
      <c r="BX11" s="148"/>
      <c r="BY11" s="148"/>
      <c r="BZ11" s="148"/>
      <c r="CA11" s="148"/>
      <c r="CB11" s="148"/>
      <c r="CC11" s="148"/>
      <c r="CD11" s="148"/>
      <c r="CE11" s="148"/>
      <c r="CF11" s="148"/>
      <c r="CG11" s="148"/>
      <c r="CH11" s="148"/>
      <c r="CI11" s="148"/>
      <c r="CJ11" s="148"/>
      <c r="CK11" s="148"/>
      <c r="CL11" s="148"/>
      <c r="CM11" s="148"/>
      <c r="CN11" s="148"/>
      <c r="CO11" s="148"/>
      <c r="CP11" s="148"/>
    </row>
    <row r="12" spans="1:94" s="149" customFormat="1" x14ac:dyDescent="0.25">
      <c r="A12" s="139"/>
      <c r="B12" s="139"/>
      <c r="C12" s="443" t="s">
        <v>29</v>
      </c>
      <c r="D12" s="444"/>
      <c r="E12" s="217">
        <v>3</v>
      </c>
      <c r="F12" s="288">
        <f>[0]!TAAI027600col_TOTAL_ELECT_PCN_FTI</f>
        <v>0</v>
      </c>
      <c r="G12" s="218">
        <f>[0]!TAAI027600col_FTI_SALARY_ELECT</f>
        <v>0</v>
      </c>
      <c r="H12" s="218">
        <f>[0]!TAAI027600col_HEALTH_ELECT</f>
        <v>0</v>
      </c>
      <c r="I12" s="218">
        <f>[0]!TAAI027600col_TOT_VB_ELECT</f>
        <v>0</v>
      </c>
      <c r="J12" s="219">
        <f>SUM(G12:I12)</f>
        <v>0</v>
      </c>
      <c r="K12" s="268"/>
      <c r="L12" s="218">
        <f>[0]!TAAI027600col_HEALTH_ELECT_CHG</f>
        <v>0</v>
      </c>
      <c r="M12" s="218">
        <f>[0]!TAAI027600col_TOT_VB_ELECT_CHG</f>
        <v>0</v>
      </c>
      <c r="N12" s="219">
        <f>SUM(L12:M12)</f>
        <v>0</v>
      </c>
      <c r="O12"/>
      <c r="P12"/>
      <c r="Q12"/>
      <c r="R12"/>
      <c r="S12"/>
      <c r="T12"/>
      <c r="U12"/>
      <c r="V12"/>
      <c r="W12"/>
      <c r="X12"/>
      <c r="Y12"/>
      <c r="Z12" s="344"/>
      <c r="AA12" s="336"/>
      <c r="AB12" s="336"/>
      <c r="AC12" s="336"/>
      <c r="AD12" s="328"/>
      <c r="AE12" s="148"/>
      <c r="AF12" s="148"/>
      <c r="AG12" s="148"/>
      <c r="AH12" s="148"/>
      <c r="AI12" s="148"/>
      <c r="AJ12" s="148"/>
      <c r="AK12" s="148"/>
      <c r="AL12" s="148"/>
      <c r="AM12" s="148"/>
      <c r="AN12" s="148"/>
      <c r="AO12" s="148"/>
      <c r="AP12" s="148"/>
      <c r="AQ12" s="148"/>
      <c r="AR12" s="148"/>
      <c r="AS12" s="148"/>
      <c r="AT12" s="148"/>
      <c r="AU12" s="148"/>
      <c r="AV12" s="148"/>
      <c r="AW12" s="148"/>
      <c r="AX12" s="148"/>
      <c r="AY12" s="148"/>
      <c r="AZ12" s="148"/>
      <c r="BA12" s="148"/>
      <c r="BB12" s="148"/>
      <c r="BC12" s="148"/>
      <c r="BD12" s="148"/>
      <c r="BE12" s="148"/>
      <c r="BF12" s="148"/>
      <c r="BG12" s="148"/>
      <c r="BH12" s="148"/>
      <c r="BI12" s="148"/>
      <c r="BJ12" s="148"/>
      <c r="BK12" s="148"/>
      <c r="BL12" s="148"/>
      <c r="BM12" s="148"/>
      <c r="BN12" s="148"/>
      <c r="BO12" s="148"/>
      <c r="BP12" s="148"/>
      <c r="BQ12" s="148"/>
      <c r="BR12" s="148"/>
      <c r="BS12" s="148"/>
      <c r="BT12" s="148"/>
      <c r="BU12" s="148"/>
      <c r="BV12" s="148"/>
      <c r="BW12" s="148"/>
      <c r="BX12" s="148"/>
      <c r="BY12" s="148"/>
      <c r="BZ12" s="148"/>
      <c r="CA12" s="148"/>
      <c r="CB12" s="148"/>
      <c r="CC12" s="148"/>
      <c r="CD12" s="148"/>
      <c r="CE12" s="148"/>
      <c r="CF12" s="148"/>
      <c r="CG12" s="148"/>
      <c r="CH12" s="148"/>
      <c r="CI12" s="148"/>
      <c r="CJ12" s="148"/>
      <c r="CK12" s="148"/>
      <c r="CL12" s="148"/>
      <c r="CM12" s="148"/>
      <c r="CN12" s="148"/>
      <c r="CO12" s="148"/>
      <c r="CP12" s="148"/>
    </row>
    <row r="13" spans="1:94" s="153" customFormat="1" x14ac:dyDescent="0.25">
      <c r="A13" s="139"/>
      <c r="B13" s="139"/>
      <c r="C13" s="443" t="s">
        <v>30</v>
      </c>
      <c r="D13" s="466"/>
      <c r="E13" s="217"/>
      <c r="F13" s="220">
        <f>SUM(F10:F12)</f>
        <v>0.5</v>
      </c>
      <c r="G13" s="221">
        <f>SUM(G10:G12)</f>
        <v>40466.400000000001</v>
      </c>
      <c r="H13" s="221">
        <f>SUM(H10:H12)</f>
        <v>5825</v>
      </c>
      <c r="I13" s="221">
        <f>SUM(I10:I12)</f>
        <v>8638.3624080000009</v>
      </c>
      <c r="J13" s="219">
        <f>SUM(G13:I13)</f>
        <v>54929.762408000002</v>
      </c>
      <c r="K13" s="268"/>
      <c r="L13" s="219">
        <f>SUM(L10:L12)</f>
        <v>0</v>
      </c>
      <c r="M13" s="219">
        <f>SUM(M10:M12)</f>
        <v>-194.23872</v>
      </c>
      <c r="N13" s="219">
        <f>SUM(N10:N12)</f>
        <v>-194.23872</v>
      </c>
      <c r="O13"/>
      <c r="P13"/>
      <c r="Q13"/>
      <c r="R13"/>
      <c r="S13"/>
      <c r="T13"/>
      <c r="U13"/>
      <c r="V13"/>
      <c r="W13"/>
      <c r="X13"/>
      <c r="Y13"/>
      <c r="Z13" s="344"/>
      <c r="AA13" s="336"/>
      <c r="AB13" s="336"/>
      <c r="AC13" s="336"/>
      <c r="AD13" s="329"/>
      <c r="AE13" s="147"/>
      <c r="AF13" s="147"/>
      <c r="AG13" s="147"/>
      <c r="AH13" s="147"/>
      <c r="AI13" s="147"/>
      <c r="AJ13" s="147"/>
      <c r="AK13" s="147"/>
      <c r="AL13" s="147"/>
      <c r="AM13" s="147"/>
      <c r="AN13" s="147"/>
      <c r="AO13" s="147"/>
      <c r="AP13" s="147"/>
      <c r="AQ13" s="147"/>
      <c r="AR13" s="147"/>
      <c r="AS13" s="147"/>
      <c r="AT13" s="147"/>
      <c r="AU13" s="147"/>
      <c r="AV13" s="147"/>
      <c r="AW13" s="147"/>
      <c r="AX13" s="147"/>
      <c r="AY13" s="147"/>
      <c r="AZ13" s="147"/>
      <c r="BA13" s="147"/>
      <c r="BB13" s="147"/>
      <c r="BC13" s="147"/>
      <c r="BD13" s="147"/>
      <c r="BE13" s="147"/>
      <c r="BF13" s="147"/>
      <c r="BG13" s="147"/>
      <c r="BH13" s="147"/>
      <c r="BI13" s="147"/>
      <c r="BJ13" s="147"/>
      <c r="BK13" s="147"/>
      <c r="BL13" s="147"/>
      <c r="BM13" s="147"/>
      <c r="BN13" s="147"/>
      <c r="BO13" s="147"/>
      <c r="BP13" s="147"/>
      <c r="BQ13" s="147"/>
      <c r="BR13" s="147"/>
      <c r="BS13" s="147"/>
      <c r="BT13" s="147"/>
      <c r="BU13" s="147"/>
      <c r="BV13" s="147"/>
      <c r="BW13" s="147"/>
      <c r="BX13" s="147"/>
      <c r="BY13" s="147"/>
      <c r="BZ13" s="147"/>
      <c r="CA13" s="147"/>
      <c r="CB13" s="147"/>
      <c r="CC13" s="147"/>
      <c r="CD13" s="147"/>
      <c r="CE13" s="147"/>
      <c r="CF13" s="147"/>
      <c r="CG13" s="147"/>
      <c r="CH13" s="147"/>
      <c r="CI13" s="147"/>
      <c r="CJ13" s="147"/>
      <c r="CK13" s="147"/>
      <c r="CL13" s="147"/>
      <c r="CM13" s="147"/>
      <c r="CN13" s="147"/>
      <c r="CO13" s="147"/>
      <c r="CP13" s="147"/>
    </row>
    <row r="14" spans="1:94" s="153" customFormat="1" ht="5.45" customHeight="1" x14ac:dyDescent="0.25">
      <c r="A14" s="139"/>
      <c r="B14" s="139"/>
      <c r="C14" s="364"/>
      <c r="D14" s="370"/>
      <c r="E14" s="217"/>
      <c r="F14" s="220"/>
      <c r="G14" s="219"/>
      <c r="H14" s="219"/>
      <c r="I14" s="219"/>
      <c r="J14" s="219"/>
      <c r="K14" s="268"/>
      <c r="L14" s="219"/>
      <c r="M14" s="222"/>
      <c r="N14" s="222"/>
      <c r="O14"/>
      <c r="P14"/>
      <c r="Q14"/>
      <c r="R14"/>
      <c r="S14"/>
      <c r="T14"/>
      <c r="U14"/>
      <c r="V14"/>
      <c r="W14"/>
      <c r="X14"/>
      <c r="Y14"/>
      <c r="Z14" s="344"/>
      <c r="AA14" s="336"/>
      <c r="AB14" s="336"/>
      <c r="AC14" s="336"/>
      <c r="AD14" s="329"/>
      <c r="AE14" s="147"/>
      <c r="AF14" s="147"/>
      <c r="AG14" s="147"/>
      <c r="AH14" s="147"/>
      <c r="AI14" s="147"/>
      <c r="AJ14" s="147"/>
      <c r="AK14" s="147"/>
      <c r="AL14" s="147"/>
      <c r="AM14" s="147"/>
      <c r="AN14" s="147"/>
      <c r="AO14" s="147"/>
      <c r="AP14" s="147"/>
      <c r="AQ14" s="147"/>
      <c r="AR14" s="147"/>
      <c r="AS14" s="147"/>
      <c r="AT14" s="147"/>
      <c r="AU14" s="147"/>
      <c r="AV14" s="147"/>
      <c r="AW14" s="147"/>
      <c r="AX14" s="147"/>
      <c r="AY14" s="147"/>
      <c r="AZ14" s="147"/>
      <c r="BA14" s="147"/>
      <c r="BB14" s="147"/>
      <c r="BC14" s="147"/>
      <c r="BD14" s="147"/>
      <c r="BE14" s="147"/>
      <c r="BF14" s="147"/>
      <c r="BG14" s="147"/>
      <c r="BH14" s="147"/>
      <c r="BI14" s="147"/>
      <c r="BJ14" s="147"/>
      <c r="BK14" s="147"/>
      <c r="BL14" s="147"/>
      <c r="BM14" s="147"/>
      <c r="BN14" s="147"/>
      <c r="BO14" s="147"/>
      <c r="BP14" s="147"/>
      <c r="BQ14" s="147"/>
      <c r="BR14" s="147"/>
      <c r="BS14" s="147"/>
      <c r="BT14" s="147"/>
      <c r="BU14" s="147"/>
      <c r="BV14" s="147"/>
      <c r="BW14" s="147"/>
      <c r="BX14" s="147"/>
      <c r="BY14" s="147"/>
      <c r="BZ14" s="147"/>
      <c r="CA14" s="147"/>
      <c r="CB14" s="147"/>
      <c r="CC14" s="147"/>
      <c r="CD14" s="147"/>
      <c r="CE14" s="147"/>
      <c r="CF14" s="147"/>
      <c r="CG14" s="147"/>
      <c r="CH14" s="147"/>
      <c r="CI14" s="147"/>
      <c r="CJ14" s="147"/>
      <c r="CK14" s="147"/>
      <c r="CL14" s="147"/>
      <c r="CM14" s="147"/>
      <c r="CN14" s="147"/>
      <c r="CO14" s="147"/>
      <c r="CP14" s="147"/>
    </row>
    <row r="15" spans="1:94" s="153" customFormat="1" ht="15.75" customHeight="1" x14ac:dyDescent="0.25">
      <c r="A15" s="139"/>
      <c r="B15" s="156"/>
      <c r="C15" s="157" t="str">
        <f>"FY "&amp;'TAAI|0276-00'!FiscalYear-1</f>
        <v>FY 2022</v>
      </c>
      <c r="D15" s="158" t="s">
        <v>31</v>
      </c>
      <c r="E15" s="354">
        <v>121100</v>
      </c>
      <c r="F15" s="55">
        <v>1.2</v>
      </c>
      <c r="G15" s="223">
        <f>IF(OrigApprop=0,0,(G13/$J$13)*OrigApprop)</f>
        <v>89213.585225453149</v>
      </c>
      <c r="H15" s="223">
        <f>IF(OrigApprop=0,0,(H13/$J$13)*OrigApprop)</f>
        <v>12841.990736469379</v>
      </c>
      <c r="I15" s="223">
        <f>IF(G15=0,0,(I13/$J$13)*OrigApprop)</f>
        <v>19044.424038077483</v>
      </c>
      <c r="J15" s="223">
        <f>SUM(G15:I15)</f>
        <v>121100.00000000001</v>
      </c>
      <c r="K15" s="268"/>
      <c r="L15" s="224"/>
      <c r="M15" s="224"/>
      <c r="N15" s="224"/>
      <c r="O15"/>
      <c r="P15"/>
      <c r="Q15"/>
      <c r="R15"/>
      <c r="S15"/>
      <c r="T15"/>
      <c r="U15"/>
      <c r="V15"/>
      <c r="W15"/>
      <c r="X15"/>
      <c r="Y15"/>
      <c r="Z15" s="344"/>
      <c r="AA15" s="336"/>
      <c r="AB15" s="336"/>
      <c r="AC15" s="336"/>
      <c r="AD15" s="329"/>
      <c r="AE15" s="147"/>
      <c r="AF15" s="147"/>
      <c r="AG15" s="147"/>
      <c r="AH15" s="147"/>
      <c r="AI15" s="147"/>
      <c r="AJ15" s="147"/>
      <c r="AK15" s="147"/>
      <c r="AL15" s="147"/>
      <c r="AM15" s="147"/>
      <c r="AN15" s="147"/>
      <c r="AO15" s="147"/>
      <c r="AP15" s="147"/>
      <c r="AQ15" s="147"/>
      <c r="AR15" s="147"/>
      <c r="AS15" s="147"/>
      <c r="AT15" s="147"/>
      <c r="AU15" s="147"/>
      <c r="AV15" s="147"/>
      <c r="AW15" s="147"/>
      <c r="AX15" s="147"/>
      <c r="AY15" s="147"/>
      <c r="AZ15" s="147"/>
      <c r="BA15" s="147"/>
      <c r="BB15" s="147"/>
      <c r="BC15" s="147"/>
      <c r="BD15" s="147"/>
      <c r="BE15" s="147"/>
      <c r="BF15" s="147"/>
      <c r="BG15" s="147"/>
      <c r="BH15" s="147"/>
      <c r="BI15" s="147"/>
      <c r="BJ15" s="147"/>
      <c r="BK15" s="147"/>
      <c r="BL15" s="147"/>
      <c r="BM15" s="147"/>
      <c r="BN15" s="147"/>
      <c r="BO15" s="147"/>
      <c r="BP15" s="147"/>
      <c r="BQ15" s="147"/>
      <c r="BR15" s="147"/>
      <c r="BS15" s="147"/>
      <c r="BT15" s="147"/>
      <c r="BU15" s="147"/>
      <c r="BV15" s="147"/>
      <c r="BW15" s="147"/>
      <c r="BX15" s="147"/>
      <c r="BY15" s="147"/>
      <c r="BZ15" s="147"/>
      <c r="CA15" s="147"/>
      <c r="CB15" s="147"/>
      <c r="CC15" s="147"/>
      <c r="CD15" s="147"/>
      <c r="CE15" s="147"/>
      <c r="CF15" s="147"/>
      <c r="CG15" s="147"/>
      <c r="CH15" s="147"/>
      <c r="CI15" s="147"/>
      <c r="CJ15" s="147"/>
      <c r="CK15" s="147"/>
      <c r="CL15" s="147"/>
      <c r="CM15" s="147"/>
      <c r="CN15" s="147"/>
      <c r="CO15" s="147"/>
      <c r="CP15" s="147"/>
    </row>
    <row r="16" spans="1:94" s="153" customFormat="1" ht="15.75" customHeight="1" x14ac:dyDescent="0.25">
      <c r="A16" s="139"/>
      <c r="B16" s="139"/>
      <c r="C16" s="453" t="s">
        <v>32</v>
      </c>
      <c r="D16" s="454"/>
      <c r="E16" s="160" t="s">
        <v>33</v>
      </c>
      <c r="F16" s="161">
        <f>F15-F13</f>
        <v>0.7</v>
      </c>
      <c r="G16" s="162">
        <f>G15-G13</f>
        <v>48747.185225453148</v>
      </c>
      <c r="H16" s="162">
        <f>H15-H13</f>
        <v>7016.990736469379</v>
      </c>
      <c r="I16" s="162">
        <f>I15-I13</f>
        <v>10406.061630077482</v>
      </c>
      <c r="J16" s="162">
        <f>J15-J13</f>
        <v>66170.23759200002</v>
      </c>
      <c r="K16" s="269"/>
      <c r="L16" s="56" t="str">
        <f>IF('TAAI|0276-00'!OrigApprop=0,"ERROR! Enter Original Appropriation amount in DU 3.00!","Calculated "&amp;IF('TAAI|0276-00'!AdjustedTotal&gt;0,"overfunding ","underfunding ")&amp;"is "&amp;TEXT('TAAI|0276-00'!AdjustedTotal/'TAAI|0276-00'!AppropTotal,"#.0%;(#.0% );0% ;")&amp;" of Original Appropriation")</f>
        <v>Calculated overfunding is 54.6% of Original Appropriation</v>
      </c>
      <c r="M16" s="163"/>
      <c r="N16" s="164"/>
      <c r="O16"/>
      <c r="P16"/>
      <c r="Q16"/>
      <c r="R16"/>
      <c r="S16"/>
      <c r="T16"/>
      <c r="U16"/>
      <c r="V16"/>
      <c r="W16"/>
      <c r="X16"/>
      <c r="Y16"/>
      <c r="Z16" s="344"/>
      <c r="AA16" s="336"/>
      <c r="AB16" s="336"/>
      <c r="AC16" s="336"/>
      <c r="AD16" s="329"/>
      <c r="AE16" s="147"/>
      <c r="AF16" s="147"/>
      <c r="AG16" s="147"/>
      <c r="AH16" s="147"/>
      <c r="AI16" s="147"/>
      <c r="AJ16" s="147"/>
      <c r="AK16" s="147"/>
      <c r="AL16" s="147"/>
      <c r="AM16" s="147"/>
      <c r="AN16" s="147"/>
      <c r="AO16" s="147"/>
      <c r="AP16" s="147"/>
      <c r="AQ16" s="147"/>
      <c r="AR16" s="147"/>
      <c r="AS16" s="147"/>
      <c r="AT16" s="147"/>
      <c r="AU16" s="147"/>
      <c r="AV16" s="147"/>
      <c r="AW16" s="147"/>
      <c r="AX16" s="147"/>
      <c r="AY16" s="147"/>
      <c r="AZ16" s="147"/>
      <c r="BA16" s="147"/>
      <c r="BB16" s="147"/>
      <c r="BC16" s="147"/>
      <c r="BD16" s="147"/>
      <c r="BE16" s="147"/>
      <c r="BF16" s="147"/>
      <c r="BG16" s="147"/>
      <c r="BH16" s="147"/>
      <c r="BI16" s="147"/>
      <c r="BJ16" s="147"/>
      <c r="BK16" s="147"/>
      <c r="BL16" s="147"/>
      <c r="BM16" s="147"/>
      <c r="BN16" s="147"/>
      <c r="BO16" s="147"/>
      <c r="BP16" s="147"/>
      <c r="BQ16" s="147"/>
      <c r="BR16" s="147"/>
      <c r="BS16" s="147"/>
      <c r="BT16" s="147"/>
      <c r="BU16" s="147"/>
      <c r="BV16" s="147"/>
      <c r="BW16" s="147"/>
      <c r="BX16" s="147"/>
      <c r="BY16" s="147"/>
      <c r="BZ16" s="147"/>
      <c r="CA16" s="147"/>
      <c r="CB16" s="147"/>
      <c r="CC16" s="147"/>
      <c r="CD16" s="147"/>
      <c r="CE16" s="147"/>
      <c r="CF16" s="147"/>
      <c r="CG16" s="147"/>
      <c r="CH16" s="147"/>
      <c r="CI16" s="147"/>
      <c r="CJ16" s="147"/>
      <c r="CK16" s="147"/>
      <c r="CL16" s="147"/>
      <c r="CM16" s="147"/>
      <c r="CN16" s="147"/>
      <c r="CO16" s="147"/>
      <c r="CP16" s="147"/>
    </row>
    <row r="17" spans="1:94" s="153" customFormat="1" x14ac:dyDescent="0.25">
      <c r="A17" s="139"/>
      <c r="B17" s="139"/>
      <c r="C17" s="455" t="s">
        <v>34</v>
      </c>
      <c r="D17" s="456"/>
      <c r="E17" s="147"/>
      <c r="F17" s="258"/>
      <c r="G17" s="147"/>
      <c r="H17" s="166"/>
      <c r="I17" s="167"/>
      <c r="J17" s="166"/>
      <c r="K17" s="166"/>
      <c r="L17" s="166"/>
      <c r="M17" s="166"/>
      <c r="N17" s="166"/>
      <c r="O17"/>
      <c r="P17"/>
      <c r="Q17"/>
      <c r="R17"/>
      <c r="S17"/>
      <c r="T17"/>
      <c r="U17"/>
      <c r="V17"/>
      <c r="W17"/>
      <c r="X17"/>
      <c r="Y17"/>
      <c r="Z17" s="344"/>
      <c r="AA17" s="336"/>
      <c r="AB17" s="336"/>
      <c r="AC17" s="336"/>
      <c r="AD17" s="329"/>
      <c r="AE17" s="147"/>
      <c r="AF17" s="147"/>
      <c r="AG17" s="147"/>
      <c r="AH17" s="147"/>
      <c r="AI17" s="147"/>
      <c r="AJ17" s="147"/>
      <c r="AK17" s="147"/>
      <c r="AL17" s="147"/>
      <c r="AM17" s="147"/>
      <c r="AN17" s="147"/>
      <c r="AO17" s="147"/>
      <c r="AP17" s="147"/>
      <c r="AQ17" s="147"/>
      <c r="AR17" s="147"/>
      <c r="AS17" s="147"/>
      <c r="AT17" s="147"/>
      <c r="AU17" s="147"/>
      <c r="AV17" s="147"/>
      <c r="AW17" s="147"/>
      <c r="AX17" s="147"/>
      <c r="AY17" s="147"/>
      <c r="AZ17" s="147"/>
      <c r="BA17" s="147"/>
      <c r="BB17" s="147"/>
      <c r="BC17" s="147"/>
      <c r="BD17" s="147"/>
      <c r="BE17" s="147"/>
      <c r="BF17" s="147"/>
      <c r="BG17" s="147"/>
      <c r="BH17" s="147"/>
      <c r="BI17" s="147"/>
      <c r="BJ17" s="147"/>
      <c r="BK17" s="147"/>
      <c r="BL17" s="147"/>
      <c r="BM17" s="147"/>
      <c r="BN17" s="147"/>
      <c r="BO17" s="147"/>
      <c r="BP17" s="147"/>
      <c r="BQ17" s="147"/>
      <c r="BR17" s="147"/>
      <c r="BS17" s="147"/>
      <c r="BT17" s="147"/>
      <c r="BU17" s="147"/>
      <c r="BV17" s="147"/>
      <c r="BW17" s="147"/>
      <c r="BX17" s="147"/>
      <c r="BY17" s="147"/>
      <c r="BZ17" s="147"/>
      <c r="CA17" s="147"/>
      <c r="CB17" s="147"/>
      <c r="CC17" s="147"/>
      <c r="CD17" s="147"/>
      <c r="CE17" s="147"/>
      <c r="CF17" s="147"/>
      <c r="CG17" s="147"/>
      <c r="CH17" s="147"/>
      <c r="CI17" s="147"/>
      <c r="CJ17" s="147"/>
      <c r="CK17" s="147"/>
      <c r="CL17" s="147"/>
      <c r="CM17" s="147"/>
      <c r="CN17" s="147"/>
      <c r="CO17" s="147"/>
      <c r="CP17" s="147"/>
    </row>
    <row r="18" spans="1:94" s="153" customFormat="1" ht="26.25" customHeight="1" x14ac:dyDescent="0.25">
      <c r="A18" s="139"/>
      <c r="B18" s="168"/>
      <c r="C18" s="457" t="s">
        <v>35</v>
      </c>
      <c r="D18" s="458"/>
      <c r="E18" s="150"/>
      <c r="F18" s="165"/>
      <c r="G18" s="166"/>
      <c r="H18" s="169"/>
      <c r="I18" s="166"/>
      <c r="J18" s="166"/>
      <c r="K18" s="166"/>
      <c r="L18" s="166"/>
      <c r="M18" s="166"/>
      <c r="N18" s="166"/>
      <c r="O18"/>
      <c r="P18"/>
      <c r="Q18"/>
      <c r="R18"/>
      <c r="S18"/>
      <c r="T18"/>
      <c r="U18"/>
      <c r="V18"/>
      <c r="W18"/>
      <c r="X18"/>
      <c r="Y18"/>
      <c r="Z18" s="344"/>
      <c r="AA18" s="336"/>
      <c r="AB18" s="336"/>
      <c r="AC18" s="336"/>
      <c r="AD18" s="329"/>
      <c r="AE18" s="147"/>
      <c r="AF18" s="147"/>
      <c r="AG18" s="147"/>
      <c r="AH18" s="147"/>
      <c r="AI18" s="147"/>
      <c r="AJ18" s="147"/>
      <c r="AK18" s="147"/>
      <c r="AL18" s="147"/>
      <c r="AM18" s="147"/>
      <c r="AN18" s="147"/>
      <c r="AO18" s="147"/>
      <c r="AP18" s="147"/>
      <c r="AQ18" s="147"/>
      <c r="AR18" s="147"/>
      <c r="AS18" s="147"/>
      <c r="AT18" s="147"/>
      <c r="AU18" s="147"/>
      <c r="AV18" s="147"/>
      <c r="AW18" s="147"/>
      <c r="AX18" s="147"/>
      <c r="AY18" s="147"/>
      <c r="AZ18" s="147"/>
      <c r="BA18" s="147"/>
      <c r="BB18" s="147"/>
      <c r="BC18" s="147"/>
      <c r="BD18" s="147"/>
      <c r="BE18" s="147"/>
      <c r="BF18" s="147"/>
      <c r="BG18" s="147"/>
      <c r="BH18" s="147"/>
      <c r="BI18" s="147"/>
      <c r="BJ18" s="147"/>
      <c r="BK18" s="147"/>
      <c r="BL18" s="147"/>
      <c r="BM18" s="147"/>
      <c r="BN18" s="147"/>
      <c r="BO18" s="147"/>
      <c r="BP18" s="147"/>
      <c r="BQ18" s="147"/>
      <c r="BR18" s="147"/>
      <c r="BS18" s="147"/>
      <c r="BT18" s="147"/>
      <c r="BU18" s="147"/>
      <c r="BV18" s="147"/>
      <c r="BW18" s="147"/>
      <c r="BX18" s="147"/>
      <c r="BY18" s="147"/>
      <c r="BZ18" s="147"/>
      <c r="CA18" s="147"/>
      <c r="CB18" s="147"/>
      <c r="CC18" s="147"/>
      <c r="CD18" s="147"/>
      <c r="CE18" s="147"/>
      <c r="CF18" s="147"/>
      <c r="CG18" s="147"/>
      <c r="CH18" s="147"/>
      <c r="CI18" s="147"/>
      <c r="CJ18" s="147"/>
      <c r="CK18" s="147"/>
      <c r="CL18" s="147"/>
    </row>
    <row r="19" spans="1:94" s="153" customFormat="1" ht="25.5" x14ac:dyDescent="0.25">
      <c r="A19" s="238"/>
      <c r="B19" s="202"/>
      <c r="C19" s="239" t="s">
        <v>86</v>
      </c>
      <c r="D19" s="240" t="s">
        <v>87</v>
      </c>
      <c r="E19" s="241"/>
      <c r="F19" s="165"/>
      <c r="G19" s="166"/>
      <c r="H19" s="169"/>
      <c r="I19" s="170"/>
      <c r="J19" s="166"/>
      <c r="K19" s="166"/>
      <c r="L19" s="169"/>
      <c r="M19" s="166"/>
      <c r="N19" s="166"/>
      <c r="O19"/>
      <c r="P19"/>
      <c r="Q19"/>
      <c r="R19"/>
      <c r="S19"/>
      <c r="T19"/>
      <c r="U19"/>
      <c r="V19"/>
      <c r="W19"/>
      <c r="X19"/>
      <c r="Y19"/>
      <c r="Z19" s="344"/>
      <c r="AA19" s="363"/>
      <c r="AB19" s="363"/>
      <c r="AC19" s="363"/>
      <c r="AD19" s="329"/>
      <c r="AE19" s="147"/>
      <c r="AF19" s="147"/>
      <c r="AG19" s="147"/>
      <c r="AH19" s="147"/>
      <c r="AI19" s="147"/>
      <c r="AJ19" s="147"/>
      <c r="AK19" s="147"/>
      <c r="AL19" s="147"/>
      <c r="AM19" s="147"/>
      <c r="AN19" s="147"/>
      <c r="AO19" s="147"/>
      <c r="AP19" s="147"/>
      <c r="AQ19" s="147"/>
      <c r="AR19" s="147"/>
      <c r="AS19" s="147"/>
      <c r="AT19" s="147"/>
      <c r="AU19" s="147"/>
      <c r="AV19" s="147"/>
      <c r="AW19" s="147"/>
      <c r="AX19" s="147"/>
      <c r="AY19" s="147"/>
      <c r="AZ19" s="147"/>
      <c r="BA19" s="147"/>
      <c r="BB19" s="147"/>
      <c r="BC19" s="147"/>
      <c r="BD19" s="147"/>
      <c r="BE19" s="147"/>
      <c r="BF19" s="147"/>
      <c r="BG19" s="147"/>
      <c r="BH19" s="147"/>
      <c r="BI19" s="147"/>
      <c r="BJ19" s="147"/>
      <c r="BK19" s="147"/>
      <c r="BL19" s="147"/>
      <c r="BM19" s="147"/>
      <c r="BN19" s="147"/>
      <c r="BO19" s="147"/>
      <c r="BP19" s="147"/>
      <c r="BQ19" s="147"/>
      <c r="BR19" s="147"/>
      <c r="BS19" s="147"/>
      <c r="BT19" s="147"/>
      <c r="BU19" s="147"/>
      <c r="BV19" s="147"/>
      <c r="BW19" s="147"/>
      <c r="BX19" s="147"/>
      <c r="BY19" s="147"/>
      <c r="BZ19" s="147"/>
      <c r="CA19" s="147"/>
      <c r="CB19" s="147"/>
      <c r="CC19" s="147"/>
      <c r="CD19" s="147"/>
      <c r="CE19" s="147"/>
      <c r="CF19" s="147"/>
      <c r="CG19" s="147"/>
      <c r="CH19" s="147"/>
      <c r="CI19" s="147"/>
      <c r="CJ19" s="147"/>
      <c r="CK19" s="147"/>
      <c r="CL19" s="147"/>
      <c r="CM19" s="147"/>
      <c r="CN19" s="147"/>
      <c r="CO19" s="147"/>
      <c r="CP19" s="147"/>
    </row>
    <row r="20" spans="1:94" s="177" customFormat="1" ht="15" x14ac:dyDescent="0.25">
      <c r="A20" s="171"/>
      <c r="B20" s="172"/>
      <c r="C20" s="244"/>
      <c r="D20" s="242"/>
      <c r="E20" s="173"/>
      <c r="F20" s="174">
        <v>0</v>
      </c>
      <c r="G20" s="175">
        <v>0</v>
      </c>
      <c r="H20" s="176">
        <f t="shared" ref="H20:H30" si="0">IF(AND($F20&lt;&gt;0,$G20&lt;&gt;0,OR($E20=1,$E20=3)),$F20*Health,0)</f>
        <v>0</v>
      </c>
      <c r="I20" s="176">
        <f t="shared" ref="I20:I30" si="1">IF(AND($E20=1,$C20=""),$G20*PermVB+$G20*Retire1,IF($E20=1,$G20*PermVB+$G20*VLOOKUP($C20,Retirement_Rates,3,FALSE),IF($E20=2,$G20*GroupVB,IF(AND($E20=3,$C20=""),$G20*ElectVB+$G20*Retire1,IF($E20=3,$G20*ElectVB+$G20*VLOOKUP($C20,Retirement_Rates,3,FALSE),0)))))</f>
        <v>0</v>
      </c>
      <c r="J20" s="159">
        <f>IF($E20&gt;0,SUM($G20:$I20),0)</f>
        <v>0</v>
      </c>
      <c r="K20" s="166"/>
      <c r="L20" s="176">
        <f t="shared" ref="L20:L30" si="2">IF(AND($F20&lt;&gt;0,$G20&lt;&gt;0,OR($E20=1,$E20=3)),$F20*HealthCHG,0)</f>
        <v>0</v>
      </c>
      <c r="M20" s="176">
        <f>IF(AND($E20=1,$C20=""),$G20*PermVBCHG+$G20*Retire1CHG,IF($E20=1,$G20*PermVBCHG+$G20*VLOOKUP($C20,Retirement_Rates,5,FALSE),IF($E20=2,0,IF(AND($E20=3,$C20=""),$G20*ElectVBCHG+$G20*Retire1CHG,IF($E20=3,$G20*ElectVBCHG+$G20*VLOOKUP($C20,Retirement_Rates,5,FALSE),0)))))</f>
        <v>0</v>
      </c>
      <c r="N20" s="176">
        <f>SUM(L20:M20)</f>
        <v>0</v>
      </c>
      <c r="O20"/>
      <c r="P20"/>
      <c r="Q20"/>
      <c r="R20"/>
      <c r="S20"/>
      <c r="T20"/>
      <c r="U20"/>
      <c r="V20"/>
      <c r="W20"/>
      <c r="X20"/>
      <c r="Y20"/>
      <c r="Z20" s="344"/>
      <c r="AA20" s="363"/>
      <c r="AB20" s="363"/>
      <c r="AC20" s="363"/>
      <c r="AD20" s="329"/>
      <c r="AE20" s="147"/>
      <c r="AF20" s="147"/>
      <c r="AG20" s="147"/>
      <c r="AH20" s="147"/>
      <c r="AI20" s="147"/>
      <c r="AJ20" s="147"/>
      <c r="AK20" s="147"/>
      <c r="AL20" s="147"/>
      <c r="AM20" s="147"/>
      <c r="AN20" s="147"/>
      <c r="AO20" s="147"/>
      <c r="AP20" s="147"/>
      <c r="AQ20" s="147"/>
      <c r="AR20" s="147"/>
      <c r="AS20" s="147"/>
      <c r="AT20" s="147"/>
      <c r="AU20" s="147"/>
      <c r="AV20" s="147"/>
      <c r="AW20" s="147"/>
      <c r="AX20" s="147"/>
      <c r="AY20" s="147"/>
      <c r="AZ20" s="147"/>
      <c r="BA20" s="147"/>
      <c r="BB20" s="147"/>
      <c r="BC20" s="147"/>
      <c r="BD20" s="147"/>
      <c r="BE20" s="147"/>
      <c r="BF20" s="147"/>
      <c r="BG20" s="147"/>
      <c r="BH20" s="147"/>
      <c r="BI20" s="147"/>
      <c r="BJ20" s="147"/>
      <c r="BK20" s="147"/>
      <c r="BL20" s="147"/>
      <c r="BM20" s="147"/>
      <c r="BN20" s="147"/>
      <c r="BO20" s="147"/>
      <c r="BP20" s="147"/>
      <c r="BQ20" s="147"/>
      <c r="BR20" s="147"/>
      <c r="BS20" s="147"/>
      <c r="BT20" s="147"/>
      <c r="BU20" s="147"/>
      <c r="BV20" s="147"/>
      <c r="BW20" s="147"/>
      <c r="BX20" s="147"/>
      <c r="BY20" s="147"/>
      <c r="BZ20" s="147"/>
      <c r="CA20" s="147"/>
      <c r="CB20" s="147"/>
      <c r="CC20" s="147"/>
      <c r="CD20" s="147"/>
      <c r="CE20" s="147"/>
      <c r="CF20" s="147"/>
      <c r="CG20" s="147"/>
      <c r="CH20" s="147"/>
      <c r="CI20" s="147"/>
      <c r="CJ20" s="147"/>
      <c r="CK20" s="147"/>
      <c r="CL20" s="147"/>
      <c r="CM20" s="147"/>
      <c r="CN20" s="147"/>
      <c r="CO20" s="147"/>
      <c r="CP20" s="147"/>
    </row>
    <row r="21" spans="1:94" s="177" customFormat="1" ht="15" x14ac:dyDescent="0.25">
      <c r="A21" s="178"/>
      <c r="B21" s="179"/>
      <c r="C21" s="244"/>
      <c r="D21" s="242"/>
      <c r="E21" s="180"/>
      <c r="F21" s="181">
        <v>0</v>
      </c>
      <c r="G21" s="175">
        <v>0</v>
      </c>
      <c r="H21" s="176">
        <f t="shared" si="0"/>
        <v>0</v>
      </c>
      <c r="I21" s="176">
        <f t="shared" si="1"/>
        <v>0</v>
      </c>
      <c r="J21" s="159">
        <f t="shared" ref="J21:J35" si="3">IF($E21&gt;0,SUM($G21:$I21),0)</f>
        <v>0</v>
      </c>
      <c r="K21" s="166"/>
      <c r="L21" s="176">
        <f t="shared" si="2"/>
        <v>0</v>
      </c>
      <c r="M21" s="176">
        <f t="shared" ref="M21:M30" si="4">IF(AND($E21=1,$C21=""),$G21*PermVBCHG+$G21*Retire1CHG,IF($E21=1,$G21*PermVBCHG+$G21*VLOOKUP($C21,Retirement_Rates,5,FALSE),IF($E21=2,0,IF(AND($E21=3,$C21=""),$G21*ElectVBCHG+$G21*Retire1CHG,IF($E21=3,$G21*ElectVBCHG+$G21*VLOOKUP($C21,Retirement_Rates,5,FALSE),0)))))</f>
        <v>0</v>
      </c>
      <c r="N21" s="183">
        <f t="shared" ref="N21:N30" si="5">SUM(L21:M21)</f>
        <v>0</v>
      </c>
      <c r="O21"/>
      <c r="P21"/>
      <c r="Q21"/>
      <c r="R21"/>
      <c r="S21"/>
      <c r="T21"/>
      <c r="U21"/>
      <c r="V21"/>
      <c r="W21"/>
      <c r="X21"/>
      <c r="Y21"/>
      <c r="Z21" s="344"/>
      <c r="AA21" s="363"/>
      <c r="AB21" s="363"/>
      <c r="AC21" s="363"/>
      <c r="AD21" s="329"/>
      <c r="AE21" s="147"/>
      <c r="AF21" s="147"/>
      <c r="AG21" s="147"/>
      <c r="AH21" s="147"/>
      <c r="AI21" s="147"/>
      <c r="AJ21" s="147"/>
      <c r="AK21" s="147"/>
      <c r="AL21" s="147"/>
      <c r="AM21" s="147"/>
      <c r="AN21" s="147"/>
      <c r="AO21" s="147"/>
      <c r="AP21" s="147"/>
      <c r="AQ21" s="147"/>
      <c r="AR21" s="147"/>
      <c r="AS21" s="147"/>
      <c r="AT21" s="147"/>
      <c r="AU21" s="147"/>
      <c r="AV21" s="147"/>
      <c r="AW21" s="147"/>
      <c r="AX21" s="147"/>
      <c r="AY21" s="147"/>
      <c r="AZ21" s="147"/>
      <c r="BA21" s="147"/>
      <c r="BB21" s="147"/>
      <c r="BC21" s="147"/>
      <c r="BD21" s="147"/>
      <c r="BE21" s="147"/>
      <c r="BF21" s="147"/>
      <c r="BG21" s="147"/>
      <c r="BH21" s="147"/>
      <c r="BI21" s="147"/>
      <c r="BJ21" s="147"/>
      <c r="BK21" s="147"/>
      <c r="BL21" s="147"/>
      <c r="BM21" s="147"/>
      <c r="BN21" s="147"/>
      <c r="BO21" s="147"/>
      <c r="BP21" s="147"/>
      <c r="BQ21" s="147"/>
      <c r="BR21" s="147"/>
      <c r="BS21" s="147"/>
      <c r="BT21" s="147"/>
      <c r="BU21" s="147"/>
      <c r="BV21" s="147"/>
      <c r="BW21" s="147"/>
      <c r="BX21" s="147"/>
      <c r="BY21" s="147"/>
      <c r="BZ21" s="147"/>
      <c r="CA21" s="147"/>
      <c r="CB21" s="147"/>
      <c r="CC21" s="147"/>
      <c r="CD21" s="147"/>
      <c r="CE21" s="147"/>
      <c r="CF21" s="147"/>
      <c r="CG21" s="147"/>
      <c r="CH21" s="147"/>
      <c r="CI21" s="147"/>
      <c r="CJ21" s="147"/>
      <c r="CK21" s="147"/>
      <c r="CL21" s="147"/>
      <c r="CM21" s="147"/>
      <c r="CN21" s="147"/>
      <c r="CO21" s="147"/>
      <c r="CP21" s="147"/>
    </row>
    <row r="22" spans="1:94" s="177" customFormat="1" ht="15" x14ac:dyDescent="0.25">
      <c r="A22" s="178"/>
      <c r="B22" s="179"/>
      <c r="C22" s="244"/>
      <c r="D22" s="242"/>
      <c r="E22" s="180"/>
      <c r="F22" s="181">
        <v>0</v>
      </c>
      <c r="G22" s="175">
        <v>0</v>
      </c>
      <c r="H22" s="176">
        <f t="shared" si="0"/>
        <v>0</v>
      </c>
      <c r="I22" s="176">
        <f t="shared" si="1"/>
        <v>0</v>
      </c>
      <c r="J22" s="159">
        <f t="shared" si="3"/>
        <v>0</v>
      </c>
      <c r="K22" s="166"/>
      <c r="L22" s="176">
        <f t="shared" si="2"/>
        <v>0</v>
      </c>
      <c r="M22" s="176">
        <f t="shared" si="4"/>
        <v>0</v>
      </c>
      <c r="N22" s="183">
        <f t="shared" si="5"/>
        <v>0</v>
      </c>
      <c r="O22"/>
      <c r="P22"/>
      <c r="Q22"/>
      <c r="R22"/>
      <c r="S22"/>
      <c r="T22"/>
      <c r="U22"/>
      <c r="V22"/>
      <c r="W22"/>
      <c r="X22"/>
      <c r="Y22"/>
      <c r="Z22" s="344"/>
      <c r="AA22" s="363"/>
      <c r="AB22" s="363"/>
      <c r="AC22" s="363"/>
      <c r="AD22" s="329"/>
      <c r="AE22" s="147"/>
      <c r="AF22" s="147"/>
      <c r="AG22" s="147"/>
      <c r="AH22" s="147"/>
      <c r="AI22" s="147"/>
      <c r="AJ22" s="147"/>
      <c r="AK22" s="147"/>
      <c r="AL22" s="147"/>
      <c r="AM22" s="147"/>
      <c r="AN22" s="147"/>
      <c r="AO22" s="147"/>
      <c r="AP22" s="147"/>
      <c r="AQ22" s="147"/>
      <c r="AR22" s="147"/>
      <c r="AS22" s="147"/>
      <c r="AT22" s="147"/>
      <c r="AU22" s="147"/>
      <c r="AV22" s="147"/>
      <c r="AW22" s="147"/>
      <c r="AX22" s="147"/>
      <c r="AY22" s="147"/>
      <c r="AZ22" s="147"/>
      <c r="BA22" s="147"/>
      <c r="BB22" s="147"/>
      <c r="BC22" s="147"/>
      <c r="BD22" s="147"/>
      <c r="BE22" s="147"/>
      <c r="BF22" s="147"/>
      <c r="BG22" s="147"/>
      <c r="BH22" s="147"/>
      <c r="BI22" s="147"/>
      <c r="BJ22" s="147"/>
      <c r="BK22" s="147"/>
      <c r="BL22" s="147"/>
      <c r="BM22" s="147"/>
      <c r="BN22" s="147"/>
      <c r="BO22" s="147"/>
      <c r="BP22" s="147"/>
      <c r="BQ22" s="147"/>
      <c r="BR22" s="147"/>
      <c r="BS22" s="147"/>
      <c r="BT22" s="147"/>
      <c r="BU22" s="147"/>
      <c r="BV22" s="147"/>
      <c r="BW22" s="147"/>
      <c r="BX22" s="147"/>
      <c r="BY22" s="147"/>
      <c r="BZ22" s="147"/>
      <c r="CA22" s="147"/>
      <c r="CB22" s="147"/>
      <c r="CC22" s="147"/>
      <c r="CD22" s="147"/>
      <c r="CE22" s="147"/>
      <c r="CF22" s="147"/>
      <c r="CG22" s="147"/>
      <c r="CH22" s="147"/>
      <c r="CI22" s="147"/>
      <c r="CJ22" s="147"/>
      <c r="CK22" s="147"/>
      <c r="CL22" s="147"/>
      <c r="CM22" s="147"/>
      <c r="CN22" s="147"/>
      <c r="CO22" s="147"/>
      <c r="CP22" s="147"/>
    </row>
    <row r="23" spans="1:94" s="177" customFormat="1" ht="15" x14ac:dyDescent="0.25">
      <c r="A23" s="178"/>
      <c r="B23" s="179"/>
      <c r="C23" s="244"/>
      <c r="D23" s="242"/>
      <c r="E23" s="180"/>
      <c r="F23" s="181">
        <v>0</v>
      </c>
      <c r="G23" s="175">
        <v>0</v>
      </c>
      <c r="H23" s="176">
        <f t="shared" si="0"/>
        <v>0</v>
      </c>
      <c r="I23" s="176">
        <f t="shared" si="1"/>
        <v>0</v>
      </c>
      <c r="J23" s="159">
        <f t="shared" si="3"/>
        <v>0</v>
      </c>
      <c r="K23" s="166"/>
      <c r="L23" s="176">
        <f t="shared" si="2"/>
        <v>0</v>
      </c>
      <c r="M23" s="176">
        <f t="shared" si="4"/>
        <v>0</v>
      </c>
      <c r="N23" s="183">
        <f t="shared" si="5"/>
        <v>0</v>
      </c>
      <c r="O23"/>
      <c r="P23"/>
      <c r="Q23"/>
      <c r="R23"/>
      <c r="S23"/>
      <c r="T23"/>
      <c r="U23"/>
      <c r="V23"/>
      <c r="W23"/>
      <c r="X23"/>
      <c r="Y23"/>
      <c r="Z23" s="344"/>
      <c r="AA23" s="363"/>
      <c r="AB23" s="363"/>
      <c r="AC23" s="363"/>
      <c r="AD23" s="329"/>
      <c r="AE23" s="147"/>
      <c r="AF23" s="147"/>
      <c r="AG23" s="147"/>
      <c r="AH23" s="147"/>
      <c r="AI23" s="147"/>
      <c r="AJ23" s="147"/>
      <c r="AK23" s="147"/>
      <c r="AL23" s="147"/>
      <c r="AM23" s="147"/>
      <c r="AN23" s="147"/>
      <c r="AO23" s="147"/>
      <c r="AP23" s="147"/>
      <c r="AQ23" s="147"/>
      <c r="AR23" s="147"/>
      <c r="AS23" s="147"/>
      <c r="AT23" s="147"/>
      <c r="AU23" s="147"/>
      <c r="AV23" s="147"/>
      <c r="AW23" s="147"/>
      <c r="AX23" s="147"/>
      <c r="AY23" s="147"/>
      <c r="AZ23" s="147"/>
      <c r="BA23" s="147"/>
      <c r="BB23" s="147"/>
      <c r="BC23" s="147"/>
      <c r="BD23" s="147"/>
      <c r="BE23" s="147"/>
      <c r="BF23" s="147"/>
      <c r="BG23" s="147"/>
      <c r="BH23" s="147"/>
      <c r="BI23" s="147"/>
      <c r="BJ23" s="147"/>
      <c r="BK23" s="147"/>
      <c r="BL23" s="147"/>
      <c r="BM23" s="147"/>
      <c r="BN23" s="147"/>
      <c r="BO23" s="147"/>
      <c r="BP23" s="147"/>
      <c r="BQ23" s="147"/>
      <c r="BR23" s="147"/>
      <c r="BS23" s="147"/>
      <c r="BT23" s="147"/>
      <c r="BU23" s="147"/>
      <c r="BV23" s="147"/>
      <c r="BW23" s="147"/>
      <c r="BX23" s="147"/>
      <c r="BY23" s="147"/>
      <c r="BZ23" s="147"/>
      <c r="CA23" s="147"/>
      <c r="CB23" s="147"/>
      <c r="CC23" s="147"/>
      <c r="CD23" s="147"/>
      <c r="CE23" s="147"/>
      <c r="CF23" s="147"/>
      <c r="CG23" s="147"/>
      <c r="CH23" s="147"/>
      <c r="CI23" s="147"/>
      <c r="CJ23" s="147"/>
      <c r="CK23" s="147"/>
      <c r="CL23" s="147"/>
      <c r="CM23" s="147"/>
      <c r="CN23" s="147"/>
      <c r="CO23" s="147"/>
      <c r="CP23" s="147"/>
    </row>
    <row r="24" spans="1:94" s="177" customFormat="1" ht="15" x14ac:dyDescent="0.25">
      <c r="A24" s="178"/>
      <c r="B24" s="179"/>
      <c r="C24" s="244"/>
      <c r="D24" s="242"/>
      <c r="E24" s="180"/>
      <c r="F24" s="181">
        <v>0</v>
      </c>
      <c r="G24" s="175">
        <v>0</v>
      </c>
      <c r="H24" s="176">
        <f t="shared" si="0"/>
        <v>0</v>
      </c>
      <c r="I24" s="176">
        <f t="shared" si="1"/>
        <v>0</v>
      </c>
      <c r="J24" s="159">
        <f t="shared" si="3"/>
        <v>0</v>
      </c>
      <c r="K24" s="166"/>
      <c r="L24" s="176">
        <f t="shared" si="2"/>
        <v>0</v>
      </c>
      <c r="M24" s="176">
        <f t="shared" si="4"/>
        <v>0</v>
      </c>
      <c r="N24" s="183">
        <f t="shared" si="5"/>
        <v>0</v>
      </c>
      <c r="O24"/>
      <c r="P24"/>
      <c r="Q24"/>
      <c r="R24"/>
      <c r="S24"/>
      <c r="T24"/>
      <c r="U24"/>
      <c r="V24"/>
      <c r="W24"/>
      <c r="X24"/>
      <c r="Y24"/>
      <c r="Z24" s="344"/>
      <c r="AA24" s="345"/>
      <c r="AB24" s="363"/>
      <c r="AC24" s="363"/>
      <c r="AD24" s="329"/>
      <c r="AE24" s="147"/>
      <c r="AF24" s="147"/>
      <c r="AG24" s="147"/>
      <c r="AH24" s="147"/>
      <c r="AI24" s="147"/>
      <c r="AJ24" s="147"/>
      <c r="AK24" s="147"/>
      <c r="AL24" s="147"/>
      <c r="AM24" s="147"/>
      <c r="AN24" s="147"/>
      <c r="AO24" s="147"/>
      <c r="AP24" s="147"/>
      <c r="AQ24" s="147"/>
      <c r="AR24" s="147"/>
      <c r="AS24" s="147"/>
      <c r="AT24" s="147"/>
      <c r="AU24" s="147"/>
      <c r="AV24" s="147"/>
      <c r="AW24" s="147"/>
      <c r="AX24" s="147"/>
      <c r="AY24" s="147"/>
      <c r="AZ24" s="147"/>
      <c r="BA24" s="147"/>
      <c r="BB24" s="147"/>
      <c r="BC24" s="147"/>
      <c r="BD24" s="147"/>
      <c r="BE24" s="147"/>
      <c r="BF24" s="147"/>
      <c r="BG24" s="147"/>
      <c r="BH24" s="147"/>
      <c r="BI24" s="147"/>
      <c r="BJ24" s="147"/>
      <c r="BK24" s="147"/>
      <c r="BL24" s="147"/>
      <c r="BM24" s="147"/>
      <c r="BN24" s="147"/>
      <c r="BO24" s="147"/>
      <c r="BP24" s="147"/>
      <c r="BQ24" s="147"/>
      <c r="BR24" s="147"/>
      <c r="BS24" s="147"/>
      <c r="BT24" s="147"/>
      <c r="BU24" s="147"/>
      <c r="BV24" s="147"/>
      <c r="BW24" s="147"/>
      <c r="BX24" s="147"/>
      <c r="BY24" s="147"/>
      <c r="BZ24" s="147"/>
      <c r="CA24" s="147"/>
      <c r="CB24" s="147"/>
      <c r="CC24" s="147"/>
      <c r="CD24" s="147"/>
      <c r="CE24" s="147"/>
      <c r="CF24" s="147"/>
      <c r="CG24" s="147"/>
      <c r="CH24" s="147"/>
      <c r="CI24" s="147"/>
      <c r="CJ24" s="147"/>
      <c r="CK24" s="147"/>
      <c r="CL24" s="147"/>
      <c r="CM24" s="147"/>
      <c r="CN24" s="147"/>
      <c r="CO24" s="147"/>
      <c r="CP24" s="147"/>
    </row>
    <row r="25" spans="1:94" s="177" customFormat="1" ht="15" x14ac:dyDescent="0.25">
      <c r="A25" s="178"/>
      <c r="B25" s="179"/>
      <c r="C25" s="244"/>
      <c r="D25" s="242"/>
      <c r="E25" s="180"/>
      <c r="F25" s="181">
        <v>0</v>
      </c>
      <c r="G25" s="182">
        <v>0</v>
      </c>
      <c r="H25" s="176">
        <f t="shared" si="0"/>
        <v>0</v>
      </c>
      <c r="I25" s="176">
        <f t="shared" si="1"/>
        <v>0</v>
      </c>
      <c r="J25" s="159">
        <f t="shared" si="3"/>
        <v>0</v>
      </c>
      <c r="K25" s="166"/>
      <c r="L25" s="176">
        <f t="shared" si="2"/>
        <v>0</v>
      </c>
      <c r="M25" s="176">
        <f t="shared" si="4"/>
        <v>0</v>
      </c>
      <c r="N25" s="183">
        <f t="shared" si="5"/>
        <v>0</v>
      </c>
      <c r="O25"/>
      <c r="P25"/>
      <c r="Q25"/>
      <c r="R25"/>
      <c r="S25"/>
      <c r="T25"/>
      <c r="U25"/>
      <c r="V25"/>
      <c r="W25"/>
      <c r="X25"/>
      <c r="Y25"/>
      <c r="Z25" s="344"/>
      <c r="AA25" s="345"/>
      <c r="AB25" s="363"/>
      <c r="AC25" s="363"/>
      <c r="AD25" s="329"/>
      <c r="AE25" s="147"/>
      <c r="AF25" s="147"/>
      <c r="AG25" s="147"/>
      <c r="AH25" s="147"/>
      <c r="AI25" s="147"/>
      <c r="AJ25" s="147"/>
      <c r="AK25" s="147"/>
      <c r="AL25" s="147"/>
      <c r="AM25" s="147"/>
      <c r="AN25" s="147"/>
      <c r="AO25" s="147"/>
      <c r="AP25" s="147"/>
      <c r="AQ25" s="147"/>
      <c r="AR25" s="147"/>
      <c r="AS25" s="147"/>
      <c r="AT25" s="147"/>
      <c r="AU25" s="147"/>
      <c r="AV25" s="147"/>
      <c r="AW25" s="147"/>
      <c r="AX25" s="147"/>
      <c r="AY25" s="147"/>
      <c r="AZ25" s="147"/>
      <c r="BA25" s="147"/>
      <c r="BB25" s="147"/>
      <c r="BC25" s="147"/>
      <c r="BD25" s="147"/>
      <c r="BE25" s="147"/>
      <c r="BF25" s="147"/>
      <c r="BG25" s="147"/>
      <c r="BH25" s="147"/>
      <c r="BI25" s="147"/>
      <c r="BJ25" s="147"/>
      <c r="BK25" s="147"/>
      <c r="BL25" s="147"/>
      <c r="BM25" s="147"/>
      <c r="BN25" s="147"/>
      <c r="BO25" s="147"/>
      <c r="BP25" s="147"/>
      <c r="BQ25" s="147"/>
      <c r="BR25" s="147"/>
      <c r="BS25" s="147"/>
      <c r="BT25" s="147"/>
      <c r="BU25" s="147"/>
      <c r="BV25" s="147"/>
      <c r="BW25" s="147"/>
      <c r="BX25" s="147"/>
      <c r="BY25" s="147"/>
      <c r="BZ25" s="147"/>
      <c r="CA25" s="147"/>
      <c r="CB25" s="147"/>
      <c r="CC25" s="147"/>
      <c r="CD25" s="147"/>
      <c r="CE25" s="147"/>
      <c r="CF25" s="147"/>
      <c r="CG25" s="147"/>
      <c r="CH25" s="147"/>
      <c r="CI25" s="147"/>
      <c r="CJ25" s="147"/>
      <c r="CK25" s="147"/>
      <c r="CL25" s="147"/>
      <c r="CM25" s="147"/>
      <c r="CN25" s="147"/>
      <c r="CO25" s="147"/>
      <c r="CP25" s="147"/>
    </row>
    <row r="26" spans="1:94" s="177" customFormat="1" ht="15" x14ac:dyDescent="0.25">
      <c r="A26" s="178"/>
      <c r="B26" s="179"/>
      <c r="C26" s="244"/>
      <c r="D26" s="242"/>
      <c r="E26" s="180"/>
      <c r="F26" s="181">
        <v>0</v>
      </c>
      <c r="G26" s="182">
        <v>0</v>
      </c>
      <c r="H26" s="176">
        <f t="shared" si="0"/>
        <v>0</v>
      </c>
      <c r="I26" s="176">
        <f t="shared" si="1"/>
        <v>0</v>
      </c>
      <c r="J26" s="159">
        <f t="shared" si="3"/>
        <v>0</v>
      </c>
      <c r="K26" s="166"/>
      <c r="L26" s="176">
        <f t="shared" si="2"/>
        <v>0</v>
      </c>
      <c r="M26" s="176">
        <f t="shared" si="4"/>
        <v>0</v>
      </c>
      <c r="N26" s="183">
        <f t="shared" si="5"/>
        <v>0</v>
      </c>
      <c r="O26"/>
      <c r="P26"/>
      <c r="Q26"/>
      <c r="R26"/>
      <c r="S26"/>
      <c r="T26"/>
      <c r="U26"/>
      <c r="V26"/>
      <c r="W26"/>
      <c r="X26"/>
      <c r="Y26"/>
      <c r="Z26" s="344"/>
      <c r="AA26" s="345"/>
      <c r="AB26" s="363"/>
      <c r="AC26" s="363"/>
      <c r="AD26" s="329"/>
      <c r="AE26" s="147"/>
      <c r="AF26" s="147"/>
      <c r="AG26" s="147"/>
      <c r="AH26" s="147"/>
      <c r="AI26" s="147"/>
      <c r="AJ26" s="147"/>
      <c r="AK26" s="147"/>
      <c r="AL26" s="147"/>
      <c r="AM26" s="147"/>
      <c r="AN26" s="147"/>
      <c r="AO26" s="147"/>
      <c r="AP26" s="147"/>
      <c r="AQ26" s="147"/>
      <c r="AR26" s="147"/>
      <c r="AS26" s="147"/>
      <c r="AT26" s="147"/>
      <c r="AU26" s="147"/>
      <c r="AV26" s="147"/>
      <c r="AW26" s="147"/>
      <c r="AX26" s="147"/>
      <c r="AY26" s="147"/>
      <c r="AZ26" s="147"/>
      <c r="BA26" s="147"/>
      <c r="BB26" s="147"/>
      <c r="BC26" s="147"/>
      <c r="BD26" s="147"/>
      <c r="BE26" s="147"/>
      <c r="BF26" s="147"/>
      <c r="BG26" s="147"/>
      <c r="BH26" s="147"/>
      <c r="BI26" s="147"/>
      <c r="BJ26" s="147"/>
      <c r="BK26" s="147"/>
      <c r="BL26" s="147"/>
      <c r="BM26" s="147"/>
      <c r="BN26" s="147"/>
      <c r="BO26" s="147"/>
      <c r="BP26" s="147"/>
      <c r="BQ26" s="147"/>
      <c r="BR26" s="147"/>
      <c r="BS26" s="147"/>
      <c r="BT26" s="147"/>
      <c r="BU26" s="147"/>
      <c r="BV26" s="147"/>
      <c r="BW26" s="147"/>
      <c r="BX26" s="147"/>
      <c r="BY26" s="147"/>
      <c r="BZ26" s="147"/>
      <c r="CA26" s="147"/>
      <c r="CB26" s="147"/>
      <c r="CC26" s="147"/>
      <c r="CD26" s="147"/>
      <c r="CE26" s="147"/>
      <c r="CF26" s="147"/>
      <c r="CG26" s="147"/>
      <c r="CH26" s="147"/>
      <c r="CI26" s="147"/>
      <c r="CJ26" s="147"/>
      <c r="CK26" s="147"/>
      <c r="CL26" s="147"/>
      <c r="CM26" s="147"/>
      <c r="CN26" s="147"/>
      <c r="CO26" s="147"/>
      <c r="CP26" s="147"/>
    </row>
    <row r="27" spans="1:94" s="177" customFormat="1" ht="15" x14ac:dyDescent="0.25">
      <c r="A27" s="178"/>
      <c r="B27" s="179"/>
      <c r="C27" s="244"/>
      <c r="D27" s="242"/>
      <c r="E27" s="180"/>
      <c r="F27" s="181">
        <v>0</v>
      </c>
      <c r="G27" s="182">
        <v>0</v>
      </c>
      <c r="H27" s="176">
        <f t="shared" si="0"/>
        <v>0</v>
      </c>
      <c r="I27" s="176">
        <f t="shared" si="1"/>
        <v>0</v>
      </c>
      <c r="J27" s="159">
        <f t="shared" si="3"/>
        <v>0</v>
      </c>
      <c r="K27" s="166"/>
      <c r="L27" s="176">
        <f t="shared" si="2"/>
        <v>0</v>
      </c>
      <c r="M27" s="176">
        <f t="shared" si="4"/>
        <v>0</v>
      </c>
      <c r="N27" s="183">
        <f t="shared" si="5"/>
        <v>0</v>
      </c>
      <c r="O27"/>
      <c r="P27"/>
      <c r="Q27"/>
      <c r="R27"/>
      <c r="S27"/>
      <c r="T27"/>
      <c r="U27"/>
      <c r="V27"/>
      <c r="W27"/>
      <c r="X27"/>
      <c r="Y27"/>
      <c r="Z27" s="344"/>
      <c r="AA27" s="363"/>
      <c r="AB27" s="363"/>
      <c r="AC27" s="363"/>
      <c r="AD27" s="329"/>
      <c r="AE27" s="147"/>
      <c r="AF27" s="147"/>
      <c r="AG27" s="147"/>
      <c r="AH27" s="147"/>
      <c r="AI27" s="147"/>
      <c r="AJ27" s="147"/>
      <c r="AK27" s="147"/>
      <c r="AL27" s="147"/>
      <c r="AM27" s="147"/>
      <c r="AN27" s="147"/>
      <c r="AO27" s="147"/>
      <c r="AP27" s="147"/>
      <c r="AQ27" s="147"/>
      <c r="AR27" s="147"/>
      <c r="AS27" s="147"/>
      <c r="AT27" s="147"/>
      <c r="AU27" s="147"/>
      <c r="AV27" s="147"/>
      <c r="AW27" s="147"/>
      <c r="AX27" s="147"/>
      <c r="AY27" s="147"/>
      <c r="AZ27" s="147"/>
      <c r="BA27" s="147"/>
      <c r="BB27" s="147"/>
      <c r="BC27" s="147"/>
      <c r="BD27" s="147"/>
      <c r="BE27" s="147"/>
      <c r="BF27" s="147"/>
      <c r="BG27" s="147"/>
      <c r="BH27" s="147"/>
      <c r="BI27" s="147"/>
      <c r="BJ27" s="147"/>
      <c r="BK27" s="147"/>
      <c r="BL27" s="147"/>
      <c r="BM27" s="147"/>
      <c r="BN27" s="147"/>
      <c r="BO27" s="147"/>
      <c r="BP27" s="147"/>
      <c r="BQ27" s="147"/>
      <c r="BR27" s="147"/>
      <c r="BS27" s="147"/>
      <c r="BT27" s="147"/>
      <c r="BU27" s="147"/>
      <c r="BV27" s="147"/>
      <c r="BW27" s="147"/>
      <c r="BX27" s="147"/>
      <c r="BY27" s="147"/>
      <c r="BZ27" s="147"/>
      <c r="CA27" s="147"/>
      <c r="CB27" s="147"/>
      <c r="CC27" s="147"/>
      <c r="CD27" s="147"/>
      <c r="CE27" s="147"/>
      <c r="CF27" s="147"/>
      <c r="CG27" s="147"/>
      <c r="CH27" s="147"/>
      <c r="CI27" s="147"/>
      <c r="CJ27" s="147"/>
      <c r="CK27" s="147"/>
      <c r="CL27" s="147"/>
      <c r="CM27" s="147"/>
      <c r="CN27" s="147"/>
      <c r="CO27" s="147"/>
      <c r="CP27" s="147"/>
    </row>
    <row r="28" spans="1:94" s="177" customFormat="1" ht="15" x14ac:dyDescent="0.25">
      <c r="A28" s="178"/>
      <c r="B28" s="179"/>
      <c r="C28" s="244"/>
      <c r="D28" s="242"/>
      <c r="E28" s="180"/>
      <c r="F28" s="181">
        <v>0</v>
      </c>
      <c r="G28" s="182">
        <v>0</v>
      </c>
      <c r="H28" s="176">
        <f t="shared" si="0"/>
        <v>0</v>
      </c>
      <c r="I28" s="176">
        <f t="shared" si="1"/>
        <v>0</v>
      </c>
      <c r="J28" s="159">
        <f t="shared" si="3"/>
        <v>0</v>
      </c>
      <c r="K28" s="166"/>
      <c r="L28" s="176">
        <f t="shared" si="2"/>
        <v>0</v>
      </c>
      <c r="M28" s="176">
        <f t="shared" si="4"/>
        <v>0</v>
      </c>
      <c r="N28" s="183">
        <f t="shared" si="5"/>
        <v>0</v>
      </c>
      <c r="O28"/>
      <c r="P28"/>
      <c r="Q28"/>
      <c r="R28"/>
      <c r="S28"/>
      <c r="T28"/>
      <c r="U28"/>
      <c r="V28"/>
      <c r="W28"/>
      <c r="X28"/>
      <c r="Y28"/>
      <c r="Z28" s="344"/>
      <c r="AA28" s="363"/>
      <c r="AB28" s="363"/>
      <c r="AC28" s="363"/>
      <c r="AD28" s="329"/>
      <c r="AE28" s="147"/>
      <c r="AF28" s="147"/>
      <c r="AG28" s="147"/>
      <c r="AH28" s="147"/>
      <c r="AI28" s="147"/>
      <c r="AJ28" s="147"/>
      <c r="AK28" s="147"/>
      <c r="AL28" s="147"/>
      <c r="AM28" s="147"/>
      <c r="AN28" s="147"/>
      <c r="AO28" s="147"/>
      <c r="AP28" s="147"/>
      <c r="AQ28" s="147"/>
      <c r="AR28" s="147"/>
      <c r="AS28" s="147"/>
      <c r="AT28" s="147"/>
      <c r="AU28" s="147"/>
      <c r="AV28" s="147"/>
      <c r="AW28" s="147"/>
      <c r="AX28" s="147"/>
      <c r="AY28" s="147"/>
      <c r="AZ28" s="147"/>
      <c r="BA28" s="147"/>
      <c r="BB28" s="147"/>
      <c r="BC28" s="147"/>
      <c r="BD28" s="147"/>
      <c r="BE28" s="147"/>
      <c r="BF28" s="147"/>
      <c r="BG28" s="147"/>
      <c r="BH28" s="147"/>
      <c r="BI28" s="147"/>
      <c r="BJ28" s="147"/>
      <c r="BK28" s="147"/>
      <c r="BL28" s="147"/>
      <c r="BM28" s="147"/>
      <c r="BN28" s="147"/>
      <c r="BO28" s="147"/>
      <c r="BP28" s="147"/>
      <c r="BQ28" s="147"/>
      <c r="BR28" s="147"/>
      <c r="BS28" s="147"/>
      <c r="BT28" s="147"/>
      <c r="BU28" s="147"/>
      <c r="BV28" s="147"/>
      <c r="BW28" s="147"/>
      <c r="BX28" s="147"/>
      <c r="BY28" s="147"/>
      <c r="BZ28" s="147"/>
      <c r="CA28" s="147"/>
      <c r="CB28" s="147"/>
      <c r="CC28" s="147"/>
      <c r="CD28" s="147"/>
      <c r="CE28" s="147"/>
      <c r="CF28" s="147"/>
      <c r="CG28" s="147"/>
      <c r="CH28" s="147"/>
      <c r="CI28" s="147"/>
      <c r="CJ28" s="147"/>
      <c r="CK28" s="147"/>
      <c r="CL28" s="147"/>
      <c r="CM28" s="147"/>
      <c r="CN28" s="147"/>
      <c r="CO28" s="147"/>
      <c r="CP28" s="147"/>
    </row>
    <row r="29" spans="1:94" s="177" customFormat="1" ht="15" x14ac:dyDescent="0.25">
      <c r="A29" s="179"/>
      <c r="B29" s="179"/>
      <c r="C29" s="171"/>
      <c r="D29" s="243"/>
      <c r="E29" s="180"/>
      <c r="F29" s="181">
        <v>0</v>
      </c>
      <c r="G29" s="182">
        <v>0</v>
      </c>
      <c r="H29" s="176">
        <f t="shared" si="0"/>
        <v>0</v>
      </c>
      <c r="I29" s="176">
        <f t="shared" si="1"/>
        <v>0</v>
      </c>
      <c r="J29" s="159">
        <f t="shared" si="3"/>
        <v>0</v>
      </c>
      <c r="K29" s="166"/>
      <c r="L29" s="176">
        <f t="shared" si="2"/>
        <v>0</v>
      </c>
      <c r="M29" s="176">
        <f t="shared" si="4"/>
        <v>0</v>
      </c>
      <c r="N29" s="183">
        <f t="shared" si="5"/>
        <v>0</v>
      </c>
      <c r="O29"/>
      <c r="P29"/>
      <c r="Q29"/>
      <c r="R29"/>
      <c r="S29"/>
      <c r="T29"/>
      <c r="U29"/>
      <c r="V29"/>
      <c r="W29"/>
      <c r="X29"/>
      <c r="Y29"/>
      <c r="Z29" s="344"/>
      <c r="AA29" s="363"/>
      <c r="AB29" s="363"/>
      <c r="AC29" s="363"/>
      <c r="AD29" s="329"/>
      <c r="AE29" s="147"/>
      <c r="AF29" s="147"/>
      <c r="AG29" s="147"/>
      <c r="AH29" s="147"/>
      <c r="AI29" s="147"/>
      <c r="AJ29" s="147"/>
      <c r="AK29" s="147"/>
      <c r="AL29" s="147"/>
      <c r="AM29" s="147"/>
      <c r="AN29" s="147"/>
      <c r="AO29" s="147"/>
      <c r="AP29" s="147"/>
      <c r="AQ29" s="147"/>
      <c r="AR29" s="147"/>
      <c r="AS29" s="147"/>
      <c r="AT29" s="147"/>
      <c r="AU29" s="147"/>
      <c r="AV29" s="147"/>
      <c r="AW29" s="147"/>
      <c r="AX29" s="147"/>
      <c r="AY29" s="147"/>
      <c r="AZ29" s="147"/>
      <c r="BA29" s="147"/>
      <c r="BB29" s="147"/>
      <c r="BC29" s="147"/>
      <c r="BD29" s="147"/>
      <c r="BE29" s="147"/>
      <c r="BF29" s="147"/>
      <c r="BG29" s="147"/>
      <c r="BH29" s="147"/>
      <c r="BI29" s="147"/>
      <c r="BJ29" s="147"/>
      <c r="BK29" s="147"/>
      <c r="BL29" s="147"/>
      <c r="BM29" s="147"/>
      <c r="BN29" s="147"/>
      <c r="BO29" s="147"/>
      <c r="BP29" s="147"/>
      <c r="BQ29" s="147"/>
      <c r="BR29" s="147"/>
      <c r="BS29" s="147"/>
      <c r="BT29" s="147"/>
      <c r="BU29" s="147"/>
      <c r="BV29" s="147"/>
      <c r="BW29" s="147"/>
      <c r="BX29" s="147"/>
      <c r="BY29" s="147"/>
      <c r="BZ29" s="147"/>
      <c r="CA29" s="147"/>
      <c r="CB29" s="147"/>
      <c r="CC29" s="147"/>
      <c r="CD29" s="147"/>
      <c r="CE29" s="147"/>
      <c r="CF29" s="147"/>
      <c r="CG29" s="147"/>
      <c r="CH29" s="147"/>
      <c r="CI29" s="147"/>
      <c r="CJ29" s="147"/>
      <c r="CK29" s="147"/>
      <c r="CL29" s="147"/>
      <c r="CM29" s="147"/>
      <c r="CN29" s="147"/>
      <c r="CO29" s="147"/>
      <c r="CP29" s="147"/>
    </row>
    <row r="30" spans="1:94" s="177" customFormat="1" ht="15" x14ac:dyDescent="0.25">
      <c r="A30" s="179"/>
      <c r="B30" s="184"/>
      <c r="C30" s="171"/>
      <c r="D30" s="243"/>
      <c r="E30" s="180"/>
      <c r="F30" s="181">
        <v>0</v>
      </c>
      <c r="G30" s="182">
        <v>0</v>
      </c>
      <c r="H30" s="176">
        <f t="shared" si="0"/>
        <v>0</v>
      </c>
      <c r="I30" s="176">
        <f t="shared" si="1"/>
        <v>0</v>
      </c>
      <c r="J30" s="159">
        <f t="shared" si="3"/>
        <v>0</v>
      </c>
      <c r="K30" s="166"/>
      <c r="L30" s="176">
        <f t="shared" si="2"/>
        <v>0</v>
      </c>
      <c r="M30" s="176">
        <f t="shared" si="4"/>
        <v>0</v>
      </c>
      <c r="N30" s="183">
        <f t="shared" si="5"/>
        <v>0</v>
      </c>
      <c r="O30"/>
      <c r="P30"/>
      <c r="Q30"/>
      <c r="R30"/>
      <c r="S30"/>
      <c r="T30"/>
      <c r="U30"/>
      <c r="V30"/>
      <c r="W30"/>
      <c r="X30"/>
      <c r="Y30"/>
      <c r="Z30" s="344"/>
      <c r="AA30" s="363"/>
      <c r="AB30" s="363"/>
      <c r="AC30" s="363"/>
      <c r="AD30" s="329"/>
      <c r="AE30" s="147"/>
      <c r="AF30" s="147"/>
      <c r="AG30" s="147"/>
      <c r="AH30" s="147"/>
      <c r="AI30" s="147"/>
      <c r="AJ30" s="147"/>
      <c r="AK30" s="147"/>
      <c r="AL30" s="147"/>
      <c r="AM30" s="147"/>
      <c r="AN30" s="147"/>
      <c r="AO30" s="147"/>
      <c r="AP30" s="147"/>
      <c r="AQ30" s="147"/>
      <c r="AR30" s="147"/>
      <c r="AS30" s="147"/>
      <c r="AT30" s="147"/>
      <c r="AU30" s="147"/>
      <c r="AV30" s="147"/>
      <c r="AW30" s="147"/>
      <c r="AX30" s="147"/>
      <c r="AY30" s="147"/>
      <c r="AZ30" s="147"/>
      <c r="BA30" s="147"/>
      <c r="BB30" s="147"/>
      <c r="BC30" s="147"/>
      <c r="BD30" s="147"/>
      <c r="BE30" s="147"/>
      <c r="BF30" s="147"/>
      <c r="BG30" s="147"/>
      <c r="BH30" s="147"/>
      <c r="BI30" s="147"/>
      <c r="BJ30" s="147"/>
      <c r="BK30" s="147"/>
      <c r="BL30" s="147"/>
      <c r="BM30" s="147"/>
      <c r="BN30" s="147"/>
      <c r="BO30" s="147"/>
      <c r="BP30" s="147"/>
      <c r="BQ30" s="147"/>
      <c r="BR30" s="147"/>
      <c r="BS30" s="147"/>
      <c r="BT30" s="147"/>
      <c r="BU30" s="147"/>
      <c r="BV30" s="147"/>
      <c r="BW30" s="147"/>
      <c r="BX30" s="147"/>
      <c r="BY30" s="147"/>
      <c r="BZ30" s="147"/>
      <c r="CA30" s="147"/>
      <c r="CB30" s="147"/>
      <c r="CC30" s="147"/>
      <c r="CD30" s="147"/>
      <c r="CE30" s="147"/>
      <c r="CF30" s="147"/>
      <c r="CG30" s="147"/>
      <c r="CH30" s="147"/>
      <c r="CI30" s="147"/>
      <c r="CJ30" s="147"/>
      <c r="CK30" s="147"/>
      <c r="CL30" s="147"/>
      <c r="CM30" s="147"/>
      <c r="CN30" s="147"/>
      <c r="CO30" s="147"/>
      <c r="CP30" s="147"/>
    </row>
    <row r="31" spans="1:94" s="153" customFormat="1" ht="15" x14ac:dyDescent="0.25">
      <c r="A31" s="139"/>
      <c r="B31" s="168"/>
      <c r="C31" s="245"/>
      <c r="D31" s="246" t="s">
        <v>36</v>
      </c>
      <c r="E31" s="150"/>
      <c r="F31" s="165"/>
      <c r="G31" s="166"/>
      <c r="H31" s="166"/>
      <c r="I31" s="166"/>
      <c r="J31" s="166"/>
      <c r="K31" s="166"/>
      <c r="L31" s="166"/>
      <c r="M31" s="166"/>
      <c r="N31" s="166"/>
      <c r="O31"/>
      <c r="P31"/>
      <c r="Q31"/>
      <c r="R31"/>
      <c r="S31"/>
      <c r="T31"/>
      <c r="U31"/>
      <c r="V31"/>
      <c r="W31"/>
      <c r="X31"/>
      <c r="Y31"/>
      <c r="Z31" s="344"/>
      <c r="AA31" s="363"/>
      <c r="AB31" s="363"/>
      <c r="AC31" s="363"/>
      <c r="AD31" s="329"/>
      <c r="AE31" s="147"/>
      <c r="AF31" s="147"/>
      <c r="AG31" s="147"/>
      <c r="AH31" s="147"/>
      <c r="AI31" s="147"/>
      <c r="AJ31" s="147"/>
      <c r="AK31" s="147"/>
      <c r="AL31" s="147"/>
      <c r="AM31" s="147"/>
      <c r="AN31" s="147"/>
      <c r="AO31" s="147"/>
      <c r="AP31" s="147"/>
      <c r="AQ31" s="147"/>
      <c r="AR31" s="147"/>
      <c r="AS31" s="147"/>
      <c r="AT31" s="147"/>
      <c r="AU31" s="147"/>
      <c r="AV31" s="147"/>
      <c r="AW31" s="147"/>
      <c r="AX31" s="147"/>
      <c r="AY31" s="147"/>
      <c r="AZ31" s="147"/>
      <c r="BA31" s="147"/>
      <c r="BB31" s="147"/>
      <c r="BC31" s="147"/>
      <c r="BD31" s="147"/>
      <c r="BE31" s="147"/>
      <c r="BF31" s="147"/>
      <c r="BG31" s="147"/>
      <c r="BH31" s="147"/>
      <c r="BI31" s="147"/>
      <c r="BJ31" s="147"/>
      <c r="BK31" s="147"/>
      <c r="BL31" s="147"/>
      <c r="BM31" s="147"/>
      <c r="BN31" s="147"/>
      <c r="BO31" s="147"/>
      <c r="BP31" s="147"/>
      <c r="BQ31" s="147"/>
      <c r="BR31" s="147"/>
      <c r="BS31" s="147"/>
      <c r="BT31" s="147"/>
      <c r="BU31" s="147"/>
      <c r="BV31" s="147"/>
      <c r="BW31" s="147"/>
      <c r="BX31" s="147"/>
      <c r="BY31" s="147"/>
      <c r="BZ31" s="147"/>
      <c r="CA31" s="147"/>
      <c r="CB31" s="147"/>
      <c r="CC31" s="147"/>
      <c r="CD31" s="147"/>
      <c r="CE31" s="147"/>
      <c r="CF31" s="147"/>
      <c r="CG31" s="147"/>
      <c r="CH31" s="147"/>
      <c r="CI31" s="147"/>
      <c r="CJ31" s="147"/>
      <c r="CK31" s="147"/>
      <c r="CL31" s="147"/>
      <c r="CM31" s="147"/>
      <c r="CN31" s="147"/>
      <c r="CO31" s="147"/>
      <c r="CP31" s="147"/>
    </row>
    <row r="32" spans="1:94" s="177" customFormat="1" ht="15" x14ac:dyDescent="0.25">
      <c r="A32" s="185"/>
      <c r="B32" s="185"/>
      <c r="C32" s="244"/>
      <c r="D32" s="242"/>
      <c r="E32" s="173"/>
      <c r="F32" s="174">
        <v>0</v>
      </c>
      <c r="G32" s="175">
        <v>0</v>
      </c>
      <c r="H32" s="176">
        <f t="shared" ref="H32:H35" si="6">IF(AND($F32&lt;&gt;0,$G32&lt;&gt;0,OR($E32=1,$E32=3)),$F32*Health,0)</f>
        <v>0</v>
      </c>
      <c r="I32" s="176">
        <f t="shared" ref="I32:I34" si="7">IF(AND($E32=1,$C32=""),$G32*PermVB+$G32*Retire1,IF($E32=1,$G32*PermVB+$G32*VLOOKUP($C32,Retirement_Rates,3,FALSE),IF($E32=2,$G32*GroupVB,IF(AND($E32=3,$C32=""),$G32*ElectVB+$G32*Retire1,IF($E32=3,$G32*ElectVB+$G32*VLOOKUP($C32,Retirement_Rates,3,FALSE),0)))))</f>
        <v>0</v>
      </c>
      <c r="J32" s="279">
        <f t="shared" si="3"/>
        <v>0</v>
      </c>
      <c r="K32" s="166"/>
      <c r="L32" s="176">
        <f t="shared" ref="L32:L35" si="8">IF(AND($F32&lt;&gt;0,$G32&lt;&gt;0,OR($E32=1,$E32=3)),$F32*HealthCHG,0)</f>
        <v>0</v>
      </c>
      <c r="M32" s="176">
        <f t="shared" ref="M32:M35" si="9">IF(AND($E32=1,$C32=""),$G32*PermVBCHG+$G32*Retire1CHG,IF($E32=1,$G32*PermVBCHG+$G32*VLOOKUP($C32,Retirement_Rates,5,FALSE),IF($E32=2,0,IF(AND($E32=3,$C32=""),$G32*ElectVBCHG+$G32*Retire1CHG,IF($E32=3,$G32*ElectVBCHG+$G32*VLOOKUP($C32,Retirement_Rates,5,FALSE),0)))))</f>
        <v>0</v>
      </c>
      <c r="N32" s="176">
        <f t="shared" ref="N32:N35" si="10">SUM(L32:M32)</f>
        <v>0</v>
      </c>
      <c r="O32"/>
      <c r="P32"/>
      <c r="Q32"/>
      <c r="R32"/>
      <c r="S32"/>
      <c r="T32"/>
      <c r="U32"/>
      <c r="V32"/>
      <c r="W32"/>
      <c r="X32"/>
      <c r="Y32"/>
      <c r="Z32" s="344"/>
      <c r="AA32" s="363"/>
      <c r="AB32" s="363"/>
      <c r="AC32" s="363"/>
      <c r="AD32" s="329"/>
      <c r="AE32" s="147"/>
      <c r="AF32" s="147"/>
      <c r="AG32" s="147"/>
      <c r="AH32" s="147"/>
      <c r="AI32" s="147"/>
      <c r="AJ32" s="147"/>
      <c r="AK32" s="147"/>
      <c r="AL32" s="147"/>
      <c r="AM32" s="147"/>
      <c r="AN32" s="147"/>
      <c r="AO32" s="147"/>
      <c r="AP32" s="147"/>
      <c r="AQ32" s="147"/>
      <c r="AR32" s="147"/>
      <c r="AS32" s="147"/>
      <c r="AT32" s="147"/>
      <c r="AU32" s="147"/>
      <c r="AV32" s="147"/>
      <c r="AW32" s="147"/>
      <c r="AX32" s="147"/>
      <c r="AY32" s="147"/>
      <c r="AZ32" s="147"/>
      <c r="BA32" s="147"/>
      <c r="BB32" s="147"/>
      <c r="BC32" s="147"/>
      <c r="BD32" s="147"/>
      <c r="BE32" s="147"/>
      <c r="BF32" s="147"/>
      <c r="BG32" s="147"/>
      <c r="BH32" s="147"/>
      <c r="BI32" s="147"/>
      <c r="BJ32" s="147"/>
      <c r="BK32" s="147"/>
      <c r="BL32" s="147"/>
      <c r="BM32" s="147"/>
      <c r="BN32" s="147"/>
      <c r="BO32" s="147"/>
      <c r="BP32" s="147"/>
      <c r="BQ32" s="147"/>
      <c r="BR32" s="147"/>
      <c r="BS32" s="147"/>
      <c r="BT32" s="147"/>
      <c r="BU32" s="147"/>
      <c r="BV32" s="147"/>
      <c r="BW32" s="147"/>
      <c r="BX32" s="147"/>
      <c r="BY32" s="147"/>
      <c r="BZ32" s="147"/>
      <c r="CA32" s="147"/>
      <c r="CB32" s="147"/>
      <c r="CC32" s="147"/>
      <c r="CD32" s="147"/>
      <c r="CE32" s="147"/>
      <c r="CF32" s="147"/>
      <c r="CG32" s="147"/>
      <c r="CH32" s="147"/>
      <c r="CI32" s="147"/>
      <c r="CJ32" s="147"/>
      <c r="CK32" s="147"/>
      <c r="CL32" s="147"/>
      <c r="CM32" s="147"/>
      <c r="CN32" s="147"/>
      <c r="CO32" s="147"/>
      <c r="CP32" s="147"/>
    </row>
    <row r="33" spans="1:94" s="177" customFormat="1" ht="15" x14ac:dyDescent="0.25">
      <c r="A33" s="186"/>
      <c r="B33" s="187"/>
      <c r="C33" s="244"/>
      <c r="D33" s="242"/>
      <c r="E33" s="180"/>
      <c r="F33" s="181">
        <v>0</v>
      </c>
      <c r="G33" s="182">
        <v>0</v>
      </c>
      <c r="H33" s="176">
        <f t="shared" si="6"/>
        <v>0</v>
      </c>
      <c r="I33" s="176">
        <f t="shared" si="7"/>
        <v>0</v>
      </c>
      <c r="J33" s="279">
        <f t="shared" si="3"/>
        <v>0</v>
      </c>
      <c r="K33" s="166"/>
      <c r="L33" s="176">
        <f t="shared" si="8"/>
        <v>0</v>
      </c>
      <c r="M33" s="176">
        <f t="shared" si="9"/>
        <v>0</v>
      </c>
      <c r="N33" s="183">
        <f t="shared" si="10"/>
        <v>0</v>
      </c>
      <c r="O33"/>
      <c r="P33"/>
      <c r="Q33"/>
      <c r="R33"/>
      <c r="S33"/>
      <c r="T33"/>
      <c r="U33"/>
      <c r="V33"/>
      <c r="W33"/>
      <c r="X33"/>
      <c r="Y33"/>
      <c r="Z33" s="344"/>
      <c r="AA33" s="363"/>
      <c r="AB33" s="363"/>
      <c r="AC33" s="363"/>
      <c r="AD33" s="329"/>
      <c r="AE33" s="147"/>
      <c r="AF33" s="147"/>
      <c r="AG33" s="147"/>
      <c r="AH33" s="147"/>
      <c r="AI33" s="147"/>
      <c r="AJ33" s="147"/>
      <c r="AK33" s="147"/>
      <c r="AL33" s="147"/>
      <c r="AM33" s="147"/>
      <c r="AN33" s="147"/>
      <c r="AO33" s="147"/>
      <c r="AP33" s="147"/>
      <c r="AQ33" s="147"/>
      <c r="AR33" s="147"/>
      <c r="AS33" s="147"/>
      <c r="AT33" s="147"/>
      <c r="AU33" s="147"/>
      <c r="AV33" s="147"/>
      <c r="AW33" s="147"/>
      <c r="AX33" s="147"/>
      <c r="AY33" s="147"/>
      <c r="AZ33" s="147"/>
      <c r="BA33" s="147"/>
      <c r="BB33" s="147"/>
      <c r="BC33" s="147"/>
      <c r="BD33" s="147"/>
      <c r="BE33" s="147"/>
      <c r="BF33" s="147"/>
      <c r="BG33" s="147"/>
      <c r="BH33" s="147"/>
      <c r="BI33" s="147"/>
      <c r="BJ33" s="147"/>
      <c r="BK33" s="147"/>
      <c r="BL33" s="147"/>
      <c r="BM33" s="147"/>
      <c r="BN33" s="147"/>
      <c r="BO33" s="147"/>
      <c r="BP33" s="147"/>
      <c r="BQ33" s="147"/>
      <c r="BR33" s="147"/>
      <c r="BS33" s="147"/>
      <c r="BT33" s="147"/>
      <c r="BU33" s="147"/>
      <c r="BV33" s="147"/>
      <c r="BW33" s="147"/>
      <c r="BX33" s="147"/>
      <c r="BY33" s="147"/>
      <c r="BZ33" s="147"/>
      <c r="CA33" s="147"/>
      <c r="CB33" s="147"/>
      <c r="CC33" s="147"/>
      <c r="CD33" s="147"/>
      <c r="CE33" s="147"/>
      <c r="CF33" s="147"/>
      <c r="CG33" s="147"/>
      <c r="CH33" s="147"/>
      <c r="CI33" s="147"/>
      <c r="CJ33" s="147"/>
      <c r="CK33" s="147"/>
      <c r="CL33" s="147"/>
      <c r="CM33" s="147"/>
      <c r="CN33" s="147"/>
      <c r="CO33" s="147"/>
      <c r="CP33" s="147"/>
    </row>
    <row r="34" spans="1:94" s="177" customFormat="1" ht="15" x14ac:dyDescent="0.25">
      <c r="A34" s="186"/>
      <c r="B34" s="187"/>
      <c r="C34" s="244"/>
      <c r="D34" s="242"/>
      <c r="E34" s="180"/>
      <c r="F34" s="181">
        <v>0</v>
      </c>
      <c r="G34" s="182">
        <v>0</v>
      </c>
      <c r="H34" s="176">
        <f t="shared" si="6"/>
        <v>0</v>
      </c>
      <c r="I34" s="176">
        <f t="shared" si="7"/>
        <v>0</v>
      </c>
      <c r="J34" s="279">
        <f t="shared" si="3"/>
        <v>0</v>
      </c>
      <c r="K34" s="280"/>
      <c r="L34" s="176">
        <f t="shared" si="8"/>
        <v>0</v>
      </c>
      <c r="M34" s="176">
        <f t="shared" si="9"/>
        <v>0</v>
      </c>
      <c r="N34" s="183">
        <f t="shared" si="10"/>
        <v>0</v>
      </c>
      <c r="O34"/>
      <c r="P34"/>
      <c r="Q34"/>
      <c r="R34"/>
      <c r="S34"/>
      <c r="T34"/>
      <c r="U34"/>
      <c r="V34"/>
      <c r="W34"/>
      <c r="X34"/>
      <c r="Y34"/>
      <c r="Z34" s="344"/>
      <c r="AA34" s="363"/>
      <c r="AB34" s="363"/>
      <c r="AC34" s="363"/>
      <c r="AD34" s="329"/>
      <c r="AE34" s="147"/>
      <c r="AF34" s="147"/>
      <c r="AG34" s="147"/>
      <c r="AH34" s="147"/>
      <c r="AI34" s="147"/>
      <c r="AJ34" s="147"/>
      <c r="AK34" s="147"/>
      <c r="AL34" s="147"/>
      <c r="AM34" s="147"/>
      <c r="AN34" s="147"/>
      <c r="AO34" s="147"/>
      <c r="AP34" s="147"/>
      <c r="AQ34" s="147"/>
      <c r="AR34" s="147"/>
      <c r="AS34" s="147"/>
      <c r="AT34" s="147"/>
      <c r="AU34" s="147"/>
      <c r="AV34" s="147"/>
      <c r="AW34" s="147"/>
      <c r="AX34" s="147"/>
      <c r="AY34" s="147"/>
      <c r="AZ34" s="147"/>
      <c r="BA34" s="147"/>
      <c r="BB34" s="147"/>
      <c r="BC34" s="147"/>
      <c r="BD34" s="147"/>
      <c r="BE34" s="147"/>
      <c r="BF34" s="147"/>
      <c r="BG34" s="147"/>
      <c r="BH34" s="147"/>
      <c r="BI34" s="147"/>
      <c r="BJ34" s="147"/>
      <c r="BK34" s="147"/>
      <c r="BL34" s="147"/>
      <c r="BM34" s="147"/>
      <c r="BN34" s="147"/>
      <c r="BO34" s="147"/>
      <c r="BP34" s="147"/>
      <c r="BQ34" s="147"/>
      <c r="BR34" s="147"/>
      <c r="BS34" s="147"/>
      <c r="BT34" s="147"/>
      <c r="BU34" s="147"/>
      <c r="BV34" s="147"/>
      <c r="BW34" s="147"/>
      <c r="BX34" s="147"/>
      <c r="BY34" s="147"/>
      <c r="BZ34" s="147"/>
      <c r="CA34" s="147"/>
      <c r="CB34" s="147"/>
      <c r="CC34" s="147"/>
      <c r="CD34" s="147"/>
      <c r="CE34" s="147"/>
      <c r="CF34" s="147"/>
      <c r="CG34" s="147"/>
      <c r="CH34" s="147"/>
      <c r="CI34" s="147"/>
      <c r="CJ34" s="147"/>
      <c r="CK34" s="147"/>
      <c r="CL34" s="147"/>
      <c r="CM34" s="147"/>
      <c r="CN34" s="147"/>
      <c r="CO34" s="147"/>
      <c r="CP34" s="147"/>
    </row>
    <row r="35" spans="1:94" s="177" customFormat="1" ht="15" x14ac:dyDescent="0.25">
      <c r="A35" s="186"/>
      <c r="B35" s="187"/>
      <c r="C35" s="244"/>
      <c r="D35" s="242"/>
      <c r="E35" s="180"/>
      <c r="F35" s="181">
        <v>0</v>
      </c>
      <c r="G35" s="182">
        <v>0</v>
      </c>
      <c r="H35" s="176">
        <f t="shared" si="6"/>
        <v>0</v>
      </c>
      <c r="I35" s="176">
        <f>IF(AND($E35=1,$C35=""),$G35*(PermVB+Retire1),IF($E35=1,$G35*PermVB+$G35*VLOOKUP($C35,Retirement_Rates,3,FALSE),IF($E35=2,$G35*GroupVB,IF(AND($E35=3,$C35=""),$G35*ElectVB+$G35*Retire1,IF($E35=3,$G35*ElectVB+$G35*VLOOKUP($C35,Retirement_Rates,3,FALSE),0)))))</f>
        <v>0</v>
      </c>
      <c r="J35" s="279">
        <f t="shared" si="3"/>
        <v>0</v>
      </c>
      <c r="K35" s="309"/>
      <c r="L35" s="176">
        <f t="shared" si="8"/>
        <v>0</v>
      </c>
      <c r="M35" s="176">
        <f t="shared" si="9"/>
        <v>0</v>
      </c>
      <c r="N35" s="183">
        <f t="shared" si="10"/>
        <v>0</v>
      </c>
      <c r="O35"/>
      <c r="P35"/>
      <c r="Q35"/>
      <c r="R35"/>
      <c r="S35"/>
      <c r="T35"/>
      <c r="U35"/>
      <c r="V35"/>
      <c r="W35"/>
      <c r="X35"/>
      <c r="Y35"/>
      <c r="Z35" s="344"/>
      <c r="AA35" s="363"/>
      <c r="AB35" s="363"/>
      <c r="AC35" s="363"/>
      <c r="AD35" s="329"/>
      <c r="AE35" s="147"/>
      <c r="AF35" s="147"/>
      <c r="AG35" s="147"/>
      <c r="AH35" s="147"/>
      <c r="AI35" s="147"/>
      <c r="AJ35" s="147"/>
      <c r="AK35" s="147"/>
      <c r="AL35" s="147"/>
      <c r="AM35" s="147"/>
      <c r="AN35" s="147"/>
      <c r="AO35" s="147"/>
      <c r="AP35" s="147"/>
      <c r="AQ35" s="147"/>
      <c r="AR35" s="147"/>
      <c r="AS35" s="147"/>
      <c r="AT35" s="147"/>
      <c r="AU35" s="147"/>
      <c r="AV35" s="147"/>
      <c r="AW35" s="147"/>
      <c r="AX35" s="147"/>
      <c r="AY35" s="147"/>
      <c r="AZ35" s="147"/>
      <c r="BA35" s="147"/>
      <c r="BB35" s="147"/>
      <c r="BC35" s="147"/>
      <c r="BD35" s="147"/>
      <c r="BE35" s="147"/>
      <c r="BF35" s="147"/>
      <c r="BG35" s="147"/>
      <c r="BH35" s="147"/>
      <c r="BI35" s="147"/>
      <c r="BJ35" s="147"/>
      <c r="BK35" s="147"/>
      <c r="BL35" s="147"/>
      <c r="BM35" s="147"/>
      <c r="BN35" s="147"/>
      <c r="BO35" s="147"/>
      <c r="BP35" s="147"/>
      <c r="BQ35" s="147"/>
      <c r="BR35" s="147"/>
      <c r="BS35" s="147"/>
      <c r="BT35" s="147"/>
      <c r="BU35" s="147"/>
      <c r="BV35" s="147"/>
      <c r="BW35" s="147"/>
      <c r="BX35" s="147"/>
      <c r="BY35" s="147"/>
      <c r="BZ35" s="147"/>
      <c r="CA35" s="147"/>
      <c r="CB35" s="147"/>
      <c r="CC35" s="147"/>
      <c r="CD35" s="147"/>
      <c r="CE35" s="147"/>
      <c r="CF35" s="147"/>
      <c r="CG35" s="147"/>
      <c r="CH35" s="147"/>
      <c r="CI35" s="147"/>
      <c r="CJ35" s="147"/>
      <c r="CK35" s="147"/>
      <c r="CL35" s="147"/>
      <c r="CM35" s="147"/>
      <c r="CN35" s="147"/>
      <c r="CO35" s="147"/>
      <c r="CP35" s="147"/>
    </row>
    <row r="36" spans="1:94" s="213" customFormat="1" ht="15" x14ac:dyDescent="0.25">
      <c r="A36" s="281"/>
      <c r="B36" s="282"/>
      <c r="C36" s="283"/>
      <c r="D36" s="284"/>
      <c r="E36" s="285"/>
      <c r="F36" s="197"/>
      <c r="G36" s="259"/>
      <c r="H36" s="259"/>
      <c r="I36" s="259"/>
      <c r="J36" s="286"/>
      <c r="K36" s="280"/>
      <c r="L36" s="321"/>
      <c r="M36" s="259"/>
      <c r="N36" s="259"/>
      <c r="O36"/>
      <c r="P36"/>
      <c r="Q36"/>
      <c r="R36"/>
      <c r="S36"/>
      <c r="T36"/>
      <c r="U36"/>
      <c r="V36"/>
      <c r="W36"/>
      <c r="X36"/>
      <c r="Y36"/>
      <c r="Z36" s="344"/>
      <c r="AA36" s="363" t="s">
        <v>94</v>
      </c>
      <c r="AB36" s="333" t="s">
        <v>95</v>
      </c>
      <c r="AC36" s="333" t="s">
        <v>106</v>
      </c>
      <c r="AD36" s="330"/>
    </row>
    <row r="37" spans="1:94" s="153" customFormat="1" ht="17.25" customHeight="1" x14ac:dyDescent="0.25">
      <c r="A37" s="139"/>
      <c r="B37" s="188"/>
      <c r="C37" s="459" t="s">
        <v>37</v>
      </c>
      <c r="D37" s="460"/>
      <c r="E37" s="150"/>
      <c r="F37" s="165"/>
      <c r="G37" s="166"/>
      <c r="H37" s="166"/>
      <c r="I37" s="166"/>
      <c r="J37" s="322"/>
      <c r="K37" s="166"/>
      <c r="L37" s="166"/>
      <c r="M37" s="166"/>
      <c r="N37" s="166"/>
      <c r="O37"/>
      <c r="P37"/>
      <c r="Q37"/>
      <c r="R37"/>
      <c r="S37"/>
      <c r="T37"/>
      <c r="U37"/>
      <c r="V37"/>
      <c r="W37"/>
      <c r="X37"/>
      <c r="Y37"/>
      <c r="Z37" s="344"/>
      <c r="AA37" s="461" t="s">
        <v>107</v>
      </c>
      <c r="AB37" s="462"/>
      <c r="AC37" s="462"/>
      <c r="AD37" s="329"/>
      <c r="AE37" s="147"/>
      <c r="AF37" s="147"/>
      <c r="AG37" s="147"/>
      <c r="AH37" s="147"/>
      <c r="AI37" s="147"/>
      <c r="AJ37" s="147"/>
      <c r="AK37" s="147"/>
      <c r="AL37" s="147"/>
      <c r="AM37" s="147"/>
      <c r="AN37" s="147"/>
      <c r="AO37" s="147"/>
      <c r="AP37" s="147"/>
      <c r="AQ37" s="147"/>
      <c r="AR37" s="147"/>
      <c r="AS37" s="147"/>
      <c r="AT37" s="147"/>
      <c r="AU37" s="147"/>
      <c r="AV37" s="147"/>
      <c r="AW37" s="147"/>
      <c r="AX37" s="147"/>
      <c r="AY37" s="147"/>
      <c r="AZ37" s="147"/>
      <c r="BA37" s="147"/>
      <c r="BB37" s="147"/>
      <c r="BC37" s="147"/>
      <c r="BD37" s="147"/>
      <c r="BE37" s="147"/>
      <c r="BF37" s="147"/>
      <c r="BG37" s="147"/>
      <c r="BH37" s="147"/>
      <c r="BI37" s="147"/>
      <c r="BJ37" s="147"/>
      <c r="BK37" s="147"/>
      <c r="BL37" s="147"/>
      <c r="BM37" s="147"/>
      <c r="BN37" s="147"/>
      <c r="BO37" s="147"/>
      <c r="BP37" s="147"/>
      <c r="BQ37" s="147"/>
      <c r="BR37" s="147"/>
      <c r="BS37" s="147"/>
      <c r="BT37" s="147"/>
      <c r="BU37" s="147"/>
      <c r="BV37" s="147"/>
      <c r="BW37" s="147"/>
      <c r="BX37" s="147"/>
      <c r="BY37" s="147"/>
      <c r="BZ37" s="147"/>
      <c r="CA37" s="147"/>
      <c r="CB37" s="147"/>
      <c r="CC37" s="147"/>
      <c r="CD37" s="147"/>
      <c r="CE37" s="147"/>
      <c r="CF37" s="147"/>
      <c r="CG37" s="147"/>
      <c r="CH37" s="147"/>
      <c r="CI37" s="147"/>
      <c r="CJ37" s="147"/>
      <c r="CK37" s="147"/>
      <c r="CL37" s="147"/>
      <c r="CM37" s="147"/>
      <c r="CN37" s="147"/>
      <c r="CO37" s="147"/>
      <c r="CP37" s="147"/>
    </row>
    <row r="38" spans="1:94" s="153" customFormat="1" ht="15" x14ac:dyDescent="0.25">
      <c r="A38" s="139"/>
      <c r="B38" s="188"/>
      <c r="C38" s="443" t="str">
        <f>perm_name</f>
        <v>Permanent Positions</v>
      </c>
      <c r="D38" s="444"/>
      <c r="E38" s="189">
        <v>1</v>
      </c>
      <c r="F38" s="190">
        <f>SUMIF($E9:$E35,$E38,$F9:$F35)</f>
        <v>0.5</v>
      </c>
      <c r="G38" s="191">
        <f>SUMIF($E10:$E35,$E38,$G10:$G35)</f>
        <v>40466.400000000001</v>
      </c>
      <c r="H38" s="192">
        <f>SUMIF($E10:$E35,$E38,$H10:$H35)</f>
        <v>5825</v>
      </c>
      <c r="I38" s="192">
        <f>SUMIF($E10:$E35,$E38,$I10:$I35)</f>
        <v>8638.3624080000009</v>
      </c>
      <c r="J38" s="192">
        <f>SUM(G38:I38)</f>
        <v>54929.762408000002</v>
      </c>
      <c r="K38" s="166"/>
      <c r="L38" s="191">
        <f>SUMIF($E10:$E35,$E38,$L10:$L35)</f>
        <v>0</v>
      </c>
      <c r="M38" s="192">
        <f>SUMIF($E10:$E35,$E38,$M10:$M35)</f>
        <v>-194.23872</v>
      </c>
      <c r="N38" s="192">
        <f>SUM(L38:M38)</f>
        <v>-194.23872</v>
      </c>
      <c r="O38"/>
      <c r="P38"/>
      <c r="Q38"/>
      <c r="R38"/>
      <c r="S38"/>
      <c r="T38"/>
      <c r="U38"/>
      <c r="V38"/>
      <c r="W38"/>
      <c r="X38"/>
      <c r="Y38"/>
      <c r="Z38" s="344"/>
      <c r="AA38" s="338">
        <f>ROUND(AdjPermSalary*CECPerm,-2)</f>
        <v>400</v>
      </c>
      <c r="AB38" s="338">
        <f>ROUND((AdjPermVB*CECPerm+AdjPermVBBY*CECPerm),-2)</f>
        <v>100</v>
      </c>
      <c r="AC38" s="338">
        <f>SUM(AA38:AB38)</f>
        <v>500</v>
      </c>
      <c r="AD38" s="329"/>
      <c r="AE38" s="147"/>
      <c r="AF38" s="147"/>
      <c r="AG38" s="147"/>
      <c r="AH38" s="147"/>
      <c r="AI38" s="147"/>
      <c r="AJ38" s="147"/>
      <c r="AK38" s="147"/>
      <c r="AL38" s="147"/>
      <c r="AM38" s="147"/>
      <c r="AN38" s="147"/>
      <c r="AO38" s="147"/>
      <c r="AP38" s="147"/>
      <c r="AQ38" s="147"/>
      <c r="AR38" s="147"/>
      <c r="AS38" s="147"/>
      <c r="AT38" s="147"/>
      <c r="AU38" s="147"/>
      <c r="AV38" s="147"/>
      <c r="AW38" s="147"/>
      <c r="AX38" s="147"/>
      <c r="AY38" s="147"/>
      <c r="AZ38" s="147"/>
      <c r="BA38" s="147"/>
      <c r="BB38" s="147"/>
      <c r="BC38" s="147"/>
      <c r="BD38" s="147"/>
      <c r="BE38" s="147"/>
      <c r="BF38" s="147"/>
      <c r="BG38" s="147"/>
      <c r="BH38" s="147"/>
      <c r="BI38" s="147"/>
      <c r="BJ38" s="147"/>
      <c r="BK38" s="147"/>
      <c r="BL38" s="147"/>
      <c r="BM38" s="147"/>
      <c r="BN38" s="147"/>
      <c r="BO38" s="147"/>
      <c r="BP38" s="147"/>
      <c r="BQ38" s="147"/>
      <c r="BR38" s="147"/>
      <c r="BS38" s="147"/>
      <c r="BT38" s="147"/>
      <c r="BU38" s="147"/>
      <c r="BV38" s="147"/>
      <c r="BW38" s="147"/>
      <c r="BX38" s="147"/>
      <c r="BY38" s="147"/>
      <c r="BZ38" s="147"/>
      <c r="CA38" s="147"/>
      <c r="CB38" s="147"/>
      <c r="CC38" s="147"/>
      <c r="CD38" s="147"/>
      <c r="CE38" s="147"/>
      <c r="CF38" s="147"/>
      <c r="CG38" s="147"/>
      <c r="CH38" s="147"/>
      <c r="CI38" s="147"/>
      <c r="CJ38" s="147"/>
      <c r="CK38" s="147"/>
      <c r="CL38" s="147"/>
      <c r="CM38" s="147"/>
      <c r="CN38" s="147"/>
      <c r="CO38" s="147"/>
      <c r="CP38" s="147"/>
    </row>
    <row r="39" spans="1:94" s="153" customFormat="1" ht="15" x14ac:dyDescent="0.25">
      <c r="A39" s="139"/>
      <c r="B39" s="188"/>
      <c r="C39" s="443" t="str">
        <f>Group_name</f>
        <v>Board &amp; Group Positions</v>
      </c>
      <c r="D39" s="444"/>
      <c r="E39" s="189">
        <v>2</v>
      </c>
      <c r="F39" s="151">
        <f>SUMIF($E9:$E35,$E39,$F9:$F35)</f>
        <v>0</v>
      </c>
      <c r="G39" s="193">
        <f>SUMIF($E10:$E35,$E39,$G10:$G35)</f>
        <v>0</v>
      </c>
      <c r="H39" s="152">
        <f>SUMIF($E10:$E35,$E39,$H10:$H35)</f>
        <v>0</v>
      </c>
      <c r="I39" s="152">
        <f>SUMIF($E10:$E35,$E39,$I10:$I35)</f>
        <v>0</v>
      </c>
      <c r="J39" s="152">
        <f>SUM(G39:I39)</f>
        <v>0</v>
      </c>
      <c r="K39" s="259"/>
      <c r="L39" s="193">
        <f>SUMIF($E10:$E35,$E39,$L10:$L35)</f>
        <v>0</v>
      </c>
      <c r="M39" s="152">
        <f>SUMIF($E11:$E37,$E39,$M11:$M37)</f>
        <v>0</v>
      </c>
      <c r="N39" s="152">
        <f>SUM(L39:M39)</f>
        <v>0</v>
      </c>
      <c r="O39"/>
      <c r="P39"/>
      <c r="Q39"/>
      <c r="R39"/>
      <c r="S39"/>
      <c r="T39"/>
      <c r="U39"/>
      <c r="V39"/>
      <c r="W39"/>
      <c r="X39"/>
      <c r="Y39"/>
      <c r="Z39" s="344"/>
      <c r="AA39" s="338">
        <f>ROUND(AdjGroupSalary*CECGroup,-2)</f>
        <v>0</v>
      </c>
      <c r="AB39" s="338">
        <f>ROUND(AdjGroupVB*CECGroup,-2)</f>
        <v>0</v>
      </c>
      <c r="AC39" s="338">
        <f>SUM(AA39:AB39)</f>
        <v>0</v>
      </c>
      <c r="AD39" s="329"/>
      <c r="AE39" s="147"/>
      <c r="AF39" s="147"/>
      <c r="AG39" s="147"/>
      <c r="AH39" s="147"/>
      <c r="AI39" s="147"/>
      <c r="AJ39" s="147"/>
      <c r="AK39" s="147"/>
      <c r="AL39" s="147"/>
      <c r="AM39" s="147"/>
      <c r="AN39" s="147"/>
      <c r="AO39" s="147"/>
      <c r="AP39" s="147"/>
      <c r="AQ39" s="147"/>
      <c r="AR39" s="147"/>
      <c r="AS39" s="147"/>
      <c r="AT39" s="147"/>
      <c r="AU39" s="147"/>
      <c r="AV39" s="147"/>
      <c r="AW39" s="147"/>
      <c r="AX39" s="147"/>
      <c r="AY39" s="147"/>
      <c r="AZ39" s="147"/>
      <c r="BA39" s="147"/>
      <c r="BB39" s="147"/>
      <c r="BC39" s="147"/>
      <c r="BD39" s="147"/>
      <c r="BE39" s="147"/>
      <c r="BF39" s="147"/>
      <c r="BG39" s="147"/>
      <c r="BH39" s="147"/>
      <c r="BI39" s="147"/>
      <c r="BJ39" s="147"/>
      <c r="BK39" s="147"/>
      <c r="BL39" s="147"/>
      <c r="BM39" s="147"/>
      <c r="BN39" s="147"/>
      <c r="BO39" s="147"/>
      <c r="BP39" s="147"/>
      <c r="BQ39" s="147"/>
      <c r="BR39" s="147"/>
      <c r="BS39" s="147"/>
      <c r="BT39" s="147"/>
      <c r="BU39" s="147"/>
      <c r="BV39" s="147"/>
      <c r="BW39" s="147"/>
      <c r="BX39" s="147"/>
      <c r="BY39" s="147"/>
      <c r="BZ39" s="147"/>
      <c r="CA39" s="147"/>
      <c r="CB39" s="147"/>
      <c r="CC39" s="147"/>
      <c r="CD39" s="147"/>
      <c r="CE39" s="147"/>
      <c r="CF39" s="147"/>
      <c r="CG39" s="147"/>
      <c r="CH39" s="147"/>
      <c r="CI39" s="147"/>
      <c r="CJ39" s="147"/>
      <c r="CK39" s="147"/>
      <c r="CL39" s="147"/>
      <c r="CM39" s="147"/>
      <c r="CN39" s="147"/>
      <c r="CO39" s="147"/>
      <c r="CP39" s="147"/>
    </row>
    <row r="40" spans="1:94" s="153" customFormat="1" ht="15" x14ac:dyDescent="0.25">
      <c r="A40" s="139"/>
      <c r="B40" s="188"/>
      <c r="C40" s="364" t="str">
        <f>Elect_name</f>
        <v>Elected Officials &amp; Full Time Commissioners</v>
      </c>
      <c r="D40" s="365"/>
      <c r="E40" s="189">
        <v>3</v>
      </c>
      <c r="F40" s="151">
        <f>SUMIF($E9:$E35,$E40,$F9:$F35)</f>
        <v>0</v>
      </c>
      <c r="G40" s="193">
        <f>SUMIF($E10:$E35,$E40,$G10:$G35)</f>
        <v>0</v>
      </c>
      <c r="H40" s="152">
        <f>SUMIF($E10:$E35,$E40,$H10:$H35)</f>
        <v>0</v>
      </c>
      <c r="I40" s="152">
        <f>SUMIF($E10:$E35,$E40,$I10:$I35)</f>
        <v>0</v>
      </c>
      <c r="J40" s="152">
        <f>SUM(G40:I40)</f>
        <v>0</v>
      </c>
      <c r="K40" s="259"/>
      <c r="L40" s="193">
        <f>SUMIF($E10:$E35,$E40,$L10:$L35)</f>
        <v>0</v>
      </c>
      <c r="M40" s="152">
        <f>SUMIF($E10:$E35,$E40,$M10:$M35)</f>
        <v>0</v>
      </c>
      <c r="N40" s="152">
        <f>SUM(L40:M40)</f>
        <v>0</v>
      </c>
      <c r="O40"/>
      <c r="P40"/>
      <c r="Q40"/>
      <c r="R40"/>
      <c r="S40"/>
      <c r="T40"/>
      <c r="U40"/>
      <c r="V40"/>
      <c r="W40"/>
      <c r="X40"/>
      <c r="Y40"/>
      <c r="Z40" s="344"/>
      <c r="AA40" s="363"/>
      <c r="AB40" s="363"/>
      <c r="AC40" s="363"/>
      <c r="AD40" s="329"/>
      <c r="AE40" s="147"/>
      <c r="AF40" s="147"/>
      <c r="AG40" s="147"/>
      <c r="AH40" s="147"/>
      <c r="AI40" s="147"/>
      <c r="AJ40" s="147"/>
      <c r="AK40" s="147"/>
      <c r="AL40" s="147"/>
      <c r="AM40" s="147"/>
      <c r="AN40" s="147"/>
      <c r="AO40" s="147"/>
      <c r="AP40" s="147"/>
      <c r="AQ40" s="147"/>
      <c r="AR40" s="147"/>
      <c r="AS40" s="147"/>
      <c r="AT40" s="147"/>
      <c r="AU40" s="147"/>
      <c r="AV40" s="147"/>
      <c r="AW40" s="147"/>
      <c r="AX40" s="147"/>
      <c r="AY40" s="147"/>
      <c r="AZ40" s="147"/>
      <c r="BA40" s="147"/>
      <c r="BB40" s="147"/>
      <c r="BC40" s="147"/>
      <c r="BD40" s="147"/>
      <c r="BE40" s="147"/>
      <c r="BF40" s="147"/>
      <c r="BG40" s="147"/>
      <c r="BH40" s="147"/>
      <c r="BI40" s="147"/>
      <c r="BJ40" s="147"/>
      <c r="BK40" s="147"/>
      <c r="BL40" s="147"/>
      <c r="BM40" s="147"/>
      <c r="BN40" s="147"/>
      <c r="BO40" s="147"/>
      <c r="BP40" s="147"/>
      <c r="BQ40" s="147"/>
      <c r="BR40" s="147"/>
      <c r="BS40" s="147"/>
      <c r="BT40" s="147"/>
      <c r="BU40" s="147"/>
      <c r="BV40" s="147"/>
      <c r="BW40" s="147"/>
      <c r="BX40" s="147"/>
      <c r="BY40" s="147"/>
      <c r="BZ40" s="147"/>
      <c r="CA40" s="147"/>
      <c r="CB40" s="147"/>
      <c r="CC40" s="147"/>
      <c r="CD40" s="147"/>
      <c r="CE40" s="147"/>
      <c r="CF40" s="147"/>
      <c r="CG40" s="147"/>
      <c r="CH40" s="147"/>
      <c r="CI40" s="147"/>
      <c r="CJ40" s="147"/>
      <c r="CK40" s="147"/>
      <c r="CL40" s="147"/>
      <c r="CM40" s="147"/>
      <c r="CN40" s="147"/>
      <c r="CO40" s="147"/>
      <c r="CP40" s="147"/>
    </row>
    <row r="41" spans="1:94" s="153" customFormat="1" ht="15" x14ac:dyDescent="0.25">
      <c r="A41" s="139"/>
      <c r="B41" s="188"/>
      <c r="C41" s="443" t="s">
        <v>38</v>
      </c>
      <c r="D41" s="444"/>
      <c r="E41" s="189"/>
      <c r="F41" s="161">
        <f>SUM(F38:F40)</f>
        <v>0.5</v>
      </c>
      <c r="G41" s="195">
        <f>SUM($G$38:$G$40)</f>
        <v>40466.400000000001</v>
      </c>
      <c r="H41" s="162">
        <f>SUM($H$38:$H$40)</f>
        <v>5825</v>
      </c>
      <c r="I41" s="162">
        <f>SUM($I$38:$I$40)</f>
        <v>8638.3624080000009</v>
      </c>
      <c r="J41" s="162">
        <f>SUM($J$38:$J$40)</f>
        <v>54929.762408000002</v>
      </c>
      <c r="K41" s="259"/>
      <c r="L41" s="195">
        <f>SUM($L$38:$L$40)</f>
        <v>0</v>
      </c>
      <c r="M41" s="162">
        <f>SUM($M$38:$M$40)</f>
        <v>-194.23872</v>
      </c>
      <c r="N41" s="162">
        <f>SUM(L41:M41)</f>
        <v>-194.23872</v>
      </c>
      <c r="O41"/>
      <c r="P41"/>
      <c r="Q41"/>
      <c r="R41"/>
      <c r="S41"/>
      <c r="T41"/>
      <c r="U41"/>
      <c r="V41"/>
      <c r="W41"/>
      <c r="X41"/>
      <c r="Y41"/>
      <c r="Z41" s="344"/>
      <c r="AA41" s="363" t="s">
        <v>94</v>
      </c>
      <c r="AB41" s="333" t="s">
        <v>95</v>
      </c>
      <c r="AC41" s="333" t="s">
        <v>106</v>
      </c>
      <c r="AD41" s="329"/>
      <c r="AE41" s="147"/>
      <c r="AF41" s="147"/>
      <c r="AG41" s="147"/>
      <c r="AH41" s="147"/>
      <c r="AI41" s="147"/>
      <c r="AJ41" s="147"/>
      <c r="AK41" s="147"/>
      <c r="AL41" s="147"/>
      <c r="AM41" s="147"/>
      <c r="AN41" s="147"/>
      <c r="AO41" s="147"/>
      <c r="AP41" s="147"/>
      <c r="AQ41" s="147"/>
      <c r="AR41" s="147"/>
      <c r="AS41" s="147"/>
      <c r="AT41" s="147"/>
      <c r="AU41" s="147"/>
      <c r="AV41" s="147"/>
      <c r="AW41" s="147"/>
      <c r="AX41" s="147"/>
      <c r="AY41" s="147"/>
      <c r="AZ41" s="147"/>
      <c r="BA41" s="147"/>
      <c r="BB41" s="147"/>
      <c r="BC41" s="147"/>
      <c r="BD41" s="147"/>
      <c r="BE41" s="147"/>
      <c r="BF41" s="147"/>
      <c r="BG41" s="147"/>
      <c r="BH41" s="147"/>
      <c r="BI41" s="147"/>
      <c r="BJ41" s="147"/>
      <c r="BK41" s="147"/>
      <c r="BL41" s="147"/>
      <c r="BM41" s="147"/>
      <c r="BN41" s="147"/>
      <c r="BO41" s="147"/>
      <c r="BP41" s="147"/>
      <c r="BQ41" s="147"/>
      <c r="BR41" s="147"/>
      <c r="BS41" s="147"/>
      <c r="BT41" s="147"/>
      <c r="BU41" s="147"/>
      <c r="BV41" s="147"/>
      <c r="BW41" s="147"/>
      <c r="BX41" s="147"/>
      <c r="BY41" s="147"/>
      <c r="BZ41" s="147"/>
      <c r="CA41" s="147"/>
      <c r="CB41" s="147"/>
      <c r="CC41" s="147"/>
      <c r="CD41" s="147"/>
      <c r="CE41" s="147"/>
      <c r="CF41" s="147"/>
      <c r="CG41" s="147"/>
      <c r="CH41" s="147"/>
      <c r="CI41" s="147"/>
      <c r="CJ41" s="147"/>
      <c r="CK41" s="147"/>
      <c r="CL41" s="147"/>
      <c r="CM41" s="147"/>
      <c r="CN41" s="147"/>
      <c r="CO41" s="147"/>
      <c r="CP41" s="147"/>
    </row>
    <row r="42" spans="1:94" s="153" customFormat="1" ht="4.5" customHeight="1" x14ac:dyDescent="0.25">
      <c r="A42" s="139"/>
      <c r="B42" s="188"/>
      <c r="C42" s="445"/>
      <c r="D42" s="446"/>
      <c r="E42" s="196"/>
      <c r="F42" s="197"/>
      <c r="G42" s="198"/>
      <c r="H42" s="199"/>
      <c r="I42" s="199"/>
      <c r="J42" s="324"/>
      <c r="K42" s="200"/>
      <c r="L42" s="323"/>
      <c r="M42" s="323"/>
      <c r="N42" s="201"/>
      <c r="O42"/>
      <c r="P42"/>
      <c r="Q42"/>
      <c r="R42"/>
      <c r="S42"/>
      <c r="T42"/>
      <c r="U42"/>
      <c r="V42"/>
      <c r="W42"/>
      <c r="X42"/>
      <c r="Y42"/>
      <c r="Z42" s="344"/>
      <c r="AA42" s="363"/>
      <c r="AB42" s="363"/>
      <c r="AC42" s="363"/>
      <c r="AD42" s="329"/>
      <c r="AE42" s="147"/>
      <c r="AF42" s="147"/>
      <c r="AG42" s="147"/>
      <c r="AH42" s="147"/>
      <c r="AI42" s="147"/>
      <c r="AJ42" s="147"/>
      <c r="AK42" s="147"/>
      <c r="AL42" s="147"/>
      <c r="AM42" s="147"/>
      <c r="AN42" s="147"/>
      <c r="AO42" s="147"/>
      <c r="AP42" s="147"/>
      <c r="AQ42" s="147"/>
      <c r="AR42" s="147"/>
      <c r="AS42" s="147"/>
      <c r="AT42" s="147"/>
      <c r="AU42" s="147"/>
      <c r="AV42" s="147"/>
      <c r="AW42" s="147"/>
      <c r="AX42" s="147"/>
      <c r="AY42" s="147"/>
      <c r="AZ42" s="147"/>
      <c r="BA42" s="147"/>
      <c r="BB42" s="147"/>
      <c r="BC42" s="147"/>
      <c r="BD42" s="147"/>
      <c r="BE42" s="147"/>
      <c r="BF42" s="147"/>
      <c r="BG42" s="147"/>
      <c r="BH42" s="147"/>
      <c r="BI42" s="147"/>
      <c r="BJ42" s="147"/>
      <c r="BK42" s="147"/>
      <c r="BL42" s="147"/>
      <c r="BM42" s="147"/>
      <c r="BN42" s="147"/>
      <c r="BO42" s="147"/>
      <c r="BP42" s="147"/>
      <c r="BQ42" s="147"/>
      <c r="BR42" s="147"/>
      <c r="BS42" s="147"/>
      <c r="BT42" s="147"/>
      <c r="BU42" s="147"/>
      <c r="BV42" s="147"/>
      <c r="BW42" s="147"/>
      <c r="BX42" s="147"/>
      <c r="BY42" s="147"/>
      <c r="BZ42" s="147"/>
      <c r="CA42" s="147"/>
      <c r="CB42" s="147"/>
      <c r="CC42" s="147"/>
      <c r="CD42" s="147"/>
      <c r="CE42" s="147"/>
      <c r="CF42" s="147"/>
      <c r="CG42" s="147"/>
      <c r="CH42" s="147"/>
      <c r="CI42" s="147"/>
      <c r="CJ42" s="147"/>
      <c r="CK42" s="147"/>
      <c r="CL42" s="147"/>
      <c r="CM42" s="147"/>
      <c r="CN42" s="147"/>
      <c r="CO42" s="147"/>
      <c r="CP42" s="147"/>
    </row>
    <row r="43" spans="1:94" s="153" customFormat="1" ht="15.75" customHeight="1" x14ac:dyDescent="0.25">
      <c r="A43" s="139"/>
      <c r="B43" s="202"/>
      <c r="C43" s="447" t="s">
        <v>39</v>
      </c>
      <c r="D43" s="448"/>
      <c r="E43" s="203" t="s">
        <v>40</v>
      </c>
      <c r="F43" s="205">
        <f>ROUND(F51-F41,2)</f>
        <v>0.7</v>
      </c>
      <c r="G43" s="206">
        <f>ROUND(G51-G41,-2)</f>
        <v>48700</v>
      </c>
      <c r="H43" s="159">
        <f>ROUND(H51-H41,-2)</f>
        <v>7000</v>
      </c>
      <c r="I43" s="159">
        <f>ROUND(I51-I41,-2)</f>
        <v>10400</v>
      </c>
      <c r="J43" s="159">
        <f>SUM(G43:I43)</f>
        <v>66100</v>
      </c>
      <c r="K43" s="424" t="str">
        <f>IF(E51=0,"ERROR! Enter Original Appropriation amount in DU 3.00!","Calculated "&amp;IF(J43&gt;0,"overfunding ","underfunding ")&amp;"is "&amp;TEXT(J43/J51,"#.0%;(#.0% );0% ;")&amp;" of Original Appropriation")</f>
        <v>Calculated overfunding is 54.6% of Original Appropriation</v>
      </c>
      <c r="L43" s="425"/>
      <c r="M43" s="425"/>
      <c r="N43" s="426"/>
      <c r="O43"/>
      <c r="P43"/>
      <c r="Q43"/>
      <c r="R43"/>
      <c r="S43"/>
      <c r="T43"/>
      <c r="U43"/>
      <c r="V43"/>
      <c r="W43"/>
      <c r="X43"/>
      <c r="Y43"/>
      <c r="Z43" s="344"/>
      <c r="AA43" s="451" t="s">
        <v>108</v>
      </c>
      <c r="AB43" s="452"/>
      <c r="AC43" s="452"/>
      <c r="AD43" s="329"/>
      <c r="AE43" s="147"/>
      <c r="AF43" s="147"/>
      <c r="AG43" s="147"/>
      <c r="AH43" s="147"/>
      <c r="AI43" s="147"/>
      <c r="AJ43" s="147"/>
      <c r="AK43" s="147"/>
      <c r="AL43" s="147"/>
      <c r="AM43" s="147"/>
      <c r="AN43" s="147"/>
      <c r="AO43" s="147"/>
      <c r="AP43" s="147"/>
      <c r="AQ43" s="147"/>
      <c r="AR43" s="147"/>
      <c r="AS43" s="147"/>
      <c r="AT43" s="147"/>
      <c r="AU43" s="147"/>
      <c r="AV43" s="147"/>
      <c r="AW43" s="147"/>
      <c r="AX43" s="147"/>
      <c r="AY43" s="147"/>
      <c r="AZ43" s="147"/>
      <c r="BA43" s="147"/>
      <c r="BB43" s="147"/>
      <c r="BC43" s="147"/>
      <c r="BD43" s="147"/>
      <c r="BE43" s="147"/>
      <c r="BF43" s="147"/>
      <c r="BG43" s="147"/>
      <c r="BH43" s="147"/>
      <c r="BI43" s="147"/>
      <c r="BJ43" s="147"/>
      <c r="BK43" s="147"/>
      <c r="BL43" s="147"/>
      <c r="BM43" s="147"/>
      <c r="BN43" s="147"/>
      <c r="BO43" s="147"/>
      <c r="BP43" s="147"/>
      <c r="BQ43" s="147"/>
      <c r="BR43" s="147"/>
      <c r="BS43" s="147"/>
      <c r="BT43" s="147"/>
      <c r="BU43" s="147"/>
      <c r="BV43" s="147"/>
      <c r="BW43" s="147"/>
      <c r="BX43" s="147"/>
      <c r="BY43" s="147"/>
      <c r="BZ43" s="147"/>
      <c r="CA43" s="147"/>
      <c r="CB43" s="147"/>
      <c r="CC43" s="147"/>
      <c r="CD43" s="147"/>
      <c r="CE43" s="147"/>
      <c r="CF43" s="147"/>
      <c r="CG43" s="147"/>
      <c r="CH43" s="147"/>
      <c r="CI43" s="147"/>
      <c r="CJ43" s="147"/>
      <c r="CK43" s="147"/>
      <c r="CL43" s="147"/>
      <c r="CM43" s="147"/>
      <c r="CN43" s="147"/>
      <c r="CO43" s="147"/>
      <c r="CP43" s="147"/>
    </row>
    <row r="44" spans="1:94" s="153" customFormat="1" ht="15.75" customHeight="1" x14ac:dyDescent="0.25">
      <c r="A44" s="139"/>
      <c r="B44" s="202"/>
      <c r="C44" s="449"/>
      <c r="D44" s="450"/>
      <c r="E44" s="204" t="s">
        <v>41</v>
      </c>
      <c r="F44" s="205">
        <f>ROUND(F60-F41,2)</f>
        <v>0.7</v>
      </c>
      <c r="G44" s="206">
        <f>ROUND(G60-G41,-2)</f>
        <v>48700</v>
      </c>
      <c r="H44" s="159">
        <f>ROUND(H60-H41,-2)</f>
        <v>7000</v>
      </c>
      <c r="I44" s="159">
        <f>ROUND(I60-I41,-2)</f>
        <v>10400</v>
      </c>
      <c r="J44" s="159">
        <f>SUM(G44:I44)</f>
        <v>66100</v>
      </c>
      <c r="K44" s="424" t="str">
        <f>IF(E51=0,"ERROR! Enter Original Appropriation amount in DU 3.00!","Calculated "&amp;IF(J44&gt;0,"overfunding ","underfunding ")&amp;"is "&amp;TEXT(J44/J60,"#.0%;(#.0% );0% ;")&amp;" of Estimated Expenditures")</f>
        <v>Calculated overfunding is 54.6% of Estimated Expenditures</v>
      </c>
      <c r="L44" s="425"/>
      <c r="M44" s="425"/>
      <c r="N44" s="426"/>
      <c r="O44"/>
      <c r="P44"/>
      <c r="Q44"/>
      <c r="R44"/>
      <c r="S44"/>
      <c r="T44"/>
      <c r="U44"/>
      <c r="V44"/>
      <c r="W44"/>
      <c r="X44"/>
      <c r="Y44"/>
      <c r="Z44" s="344"/>
      <c r="AA44" s="338">
        <f>NEW_AdjPermSalary-NEW_PermSalaryFilled</f>
        <v>0</v>
      </c>
      <c r="AB44" s="338">
        <f>NEW_AdjPermVB-NEW_PermVBFilled</f>
        <v>0</v>
      </c>
      <c r="AC44" s="338">
        <f>SUM(AA44:AB44)</f>
        <v>0</v>
      </c>
      <c r="AD44" s="329"/>
      <c r="AE44" s="147"/>
      <c r="AF44" s="147"/>
      <c r="AG44" s="147"/>
      <c r="AH44" s="147"/>
      <c r="AI44" s="147"/>
      <c r="AJ44" s="147"/>
      <c r="AK44" s="147"/>
      <c r="AL44" s="147"/>
      <c r="AM44" s="147"/>
      <c r="AN44" s="147"/>
      <c r="AO44" s="147"/>
      <c r="AP44" s="147"/>
      <c r="AQ44" s="147"/>
      <c r="AR44" s="147"/>
      <c r="AS44" s="147"/>
      <c r="AT44" s="147"/>
      <c r="AU44" s="147"/>
      <c r="AV44" s="147"/>
      <c r="AW44" s="147"/>
      <c r="AX44" s="147"/>
      <c r="AY44" s="147"/>
      <c r="AZ44" s="147"/>
      <c r="BA44" s="147"/>
      <c r="BB44" s="147"/>
      <c r="BC44" s="147"/>
      <c r="BD44" s="147"/>
      <c r="BE44" s="147"/>
      <c r="BF44" s="147"/>
      <c r="BG44" s="147"/>
      <c r="BH44" s="147"/>
      <c r="BI44" s="147"/>
      <c r="BJ44" s="147"/>
      <c r="BK44" s="147"/>
      <c r="BL44" s="147"/>
      <c r="BM44" s="147"/>
      <c r="BN44" s="147"/>
      <c r="BO44" s="147"/>
      <c r="BP44" s="147"/>
      <c r="BQ44" s="147"/>
      <c r="BR44" s="147"/>
      <c r="BS44" s="147"/>
      <c r="BT44" s="147"/>
      <c r="BU44" s="147"/>
      <c r="BV44" s="147"/>
      <c r="BW44" s="147"/>
      <c r="BX44" s="147"/>
      <c r="BY44" s="147"/>
      <c r="BZ44" s="147"/>
      <c r="CA44" s="147"/>
      <c r="CB44" s="147"/>
      <c r="CC44" s="147"/>
      <c r="CD44" s="147"/>
      <c r="CE44" s="147"/>
      <c r="CF44" s="147"/>
      <c r="CG44" s="147"/>
      <c r="CH44" s="147"/>
      <c r="CI44" s="147"/>
      <c r="CJ44" s="147"/>
      <c r="CK44" s="147"/>
      <c r="CL44" s="147"/>
      <c r="CM44" s="147"/>
      <c r="CN44" s="147"/>
      <c r="CO44" s="147"/>
      <c r="CP44" s="147"/>
    </row>
    <row r="45" spans="1:94" s="153" customFormat="1" ht="15.75" customHeight="1" x14ac:dyDescent="0.25">
      <c r="A45" s="139"/>
      <c r="B45" s="202"/>
      <c r="C45" s="215"/>
      <c r="D45" s="215"/>
      <c r="E45" s="204" t="s">
        <v>99</v>
      </c>
      <c r="F45" s="205">
        <f>ROUND(F67-F41-F63,2)</f>
        <v>0.7</v>
      </c>
      <c r="G45" s="206">
        <f>ROUND(G67-G41-G63,-2)</f>
        <v>48700</v>
      </c>
      <c r="H45" s="206">
        <f>ROUND(H67-H41-H63,-2)</f>
        <v>7000</v>
      </c>
      <c r="I45" s="206">
        <f>ROUND(I67-I41-I63,-2)</f>
        <v>10400</v>
      </c>
      <c r="J45" s="159">
        <f>SUM(G45:I45)</f>
        <v>66100</v>
      </c>
      <c r="K45" s="424" t="str">
        <f>IF(J67=0,"Program has a zero base",IF(E51=0,"ERROR! Enter Original Appropriation amount in DU 3.00!","Calculated "&amp;IF(J45&gt;0,"overfunding ","underfunding ")&amp;"is "&amp;TEXT(J45/J67,"#.0%;(#.0% );0% ;")&amp;" of the Base"))</f>
        <v>Calculated overfunding is 54.6% of the Base</v>
      </c>
      <c r="L45" s="425"/>
      <c r="M45" s="425"/>
      <c r="N45" s="426"/>
      <c r="O45"/>
      <c r="P45"/>
      <c r="Q45"/>
      <c r="R45"/>
      <c r="S45"/>
      <c r="T45"/>
      <c r="U45"/>
      <c r="V45"/>
      <c r="W45"/>
      <c r="X45"/>
      <c r="Y45"/>
      <c r="Z45" s="344"/>
      <c r="AA45" s="338">
        <f>NEW_AdjGroupSalary-NEW_GroupSalaryFilled</f>
        <v>0</v>
      </c>
      <c r="AB45" s="338">
        <f>NEW_AdjGroupVB-NEW_GroupVBFilled</f>
        <v>0</v>
      </c>
      <c r="AC45" s="338">
        <f>SUM(AA45:AB45)</f>
        <v>0</v>
      </c>
      <c r="AD45" s="329"/>
      <c r="AE45" s="147"/>
      <c r="AF45" s="147"/>
      <c r="AG45" s="147"/>
      <c r="AH45" s="147"/>
      <c r="AI45" s="147"/>
      <c r="AJ45" s="147"/>
      <c r="AK45" s="147"/>
      <c r="AL45" s="147"/>
      <c r="AM45" s="147"/>
      <c r="AN45" s="147"/>
      <c r="AO45" s="147"/>
      <c r="AP45" s="147"/>
      <c r="AQ45" s="147"/>
      <c r="AR45" s="147"/>
      <c r="AS45" s="147"/>
      <c r="AT45" s="147"/>
      <c r="AU45" s="147"/>
      <c r="AV45" s="147"/>
      <c r="AW45" s="147"/>
      <c r="AX45" s="147"/>
      <c r="AY45" s="147"/>
      <c r="AZ45" s="147"/>
      <c r="BA45" s="147"/>
      <c r="BB45" s="147"/>
      <c r="BC45" s="147"/>
      <c r="BD45" s="147"/>
      <c r="BE45" s="147"/>
      <c r="BF45" s="147"/>
      <c r="BG45" s="147"/>
      <c r="BH45" s="147"/>
      <c r="BI45" s="147"/>
      <c r="BJ45" s="147"/>
      <c r="BK45" s="147"/>
      <c r="BL45" s="147"/>
      <c r="BM45" s="147"/>
      <c r="BN45" s="147"/>
      <c r="BO45" s="147"/>
      <c r="BP45" s="147"/>
      <c r="BQ45" s="147"/>
      <c r="BR45" s="147"/>
      <c r="BS45" s="147"/>
      <c r="BT45" s="147"/>
      <c r="BU45" s="147"/>
      <c r="BV45" s="147"/>
      <c r="BW45" s="147"/>
      <c r="BX45" s="147"/>
      <c r="BY45" s="147"/>
      <c r="BZ45" s="147"/>
      <c r="CA45" s="147"/>
      <c r="CB45" s="147"/>
      <c r="CC45" s="147"/>
      <c r="CD45" s="147"/>
      <c r="CE45" s="147"/>
      <c r="CF45" s="147"/>
      <c r="CG45" s="147"/>
      <c r="CH45" s="147"/>
      <c r="CI45" s="147"/>
      <c r="CJ45" s="147"/>
      <c r="CK45" s="147"/>
      <c r="CL45" s="147"/>
      <c r="CM45" s="147"/>
      <c r="CN45" s="147"/>
      <c r="CO45" s="147"/>
      <c r="CP45" s="147"/>
    </row>
    <row r="46" spans="1:94" s="153" customFormat="1" ht="28.5" customHeight="1" x14ac:dyDescent="0.25">
      <c r="A46" s="139"/>
      <c r="B46" s="202"/>
      <c r="C46" s="215"/>
      <c r="D46" s="215"/>
      <c r="E46" s="427" t="s">
        <v>100</v>
      </c>
      <c r="F46" s="428"/>
      <c r="G46" s="428"/>
      <c r="H46" s="428"/>
      <c r="I46" s="428"/>
      <c r="J46" s="429"/>
      <c r="K46" s="433" t="str">
        <f>IF(OR(J45&lt;0,F45&lt;0),"You may not have sufficient funding or authorized FTP, and may need to make additional adjustments to finalize this form.  Please contact both your DFM and LSO analysts.","")</f>
        <v/>
      </c>
      <c r="L46" s="434"/>
      <c r="M46" s="434"/>
      <c r="N46" s="435"/>
      <c r="O46"/>
      <c r="P46"/>
      <c r="Q46"/>
      <c r="R46"/>
      <c r="S46"/>
      <c r="T46"/>
      <c r="U46"/>
      <c r="V46"/>
      <c r="W46"/>
      <c r="X46"/>
      <c r="Y46"/>
      <c r="Z46" s="344"/>
      <c r="AA46" s="363"/>
      <c r="AB46" s="363"/>
      <c r="AC46" s="363"/>
      <c r="AD46" s="329"/>
      <c r="AE46" s="147"/>
      <c r="AF46" s="147"/>
      <c r="AG46" s="147"/>
      <c r="AH46" s="147"/>
      <c r="AI46" s="147"/>
      <c r="AJ46" s="147"/>
      <c r="AK46" s="147"/>
      <c r="AL46" s="147"/>
      <c r="AM46" s="147"/>
      <c r="AN46" s="147"/>
      <c r="AO46" s="147"/>
      <c r="AP46" s="147"/>
      <c r="AQ46" s="147"/>
      <c r="AR46" s="147"/>
      <c r="AS46" s="147"/>
      <c r="AT46" s="147"/>
      <c r="AU46" s="147"/>
      <c r="AV46" s="147"/>
      <c r="AW46" s="147"/>
      <c r="AX46" s="147"/>
      <c r="AY46" s="147"/>
      <c r="AZ46" s="147"/>
      <c r="BA46" s="147"/>
      <c r="BB46" s="147"/>
      <c r="BC46" s="147"/>
      <c r="BD46" s="147"/>
      <c r="BE46" s="147"/>
      <c r="BF46" s="147"/>
      <c r="BG46" s="147"/>
      <c r="BH46" s="147"/>
      <c r="BI46" s="147"/>
      <c r="BJ46" s="147"/>
      <c r="BK46" s="147"/>
      <c r="BL46" s="147"/>
      <c r="BM46" s="147"/>
      <c r="BN46" s="147"/>
      <c r="BO46" s="147"/>
      <c r="BP46" s="147"/>
      <c r="BQ46" s="147"/>
      <c r="BR46" s="147"/>
      <c r="BS46" s="147"/>
      <c r="BT46" s="147"/>
      <c r="BU46" s="147"/>
      <c r="BV46" s="147"/>
      <c r="BW46" s="147"/>
      <c r="BX46" s="147"/>
      <c r="BY46" s="147"/>
      <c r="BZ46" s="147"/>
      <c r="CA46" s="147"/>
      <c r="CB46" s="147"/>
      <c r="CC46" s="147"/>
      <c r="CD46" s="147"/>
      <c r="CE46" s="147"/>
      <c r="CF46" s="147"/>
      <c r="CG46" s="147"/>
      <c r="CH46" s="147"/>
      <c r="CI46" s="147"/>
      <c r="CJ46" s="147"/>
      <c r="CK46" s="147"/>
      <c r="CL46" s="147"/>
      <c r="CM46" s="147"/>
      <c r="CN46" s="147"/>
      <c r="CO46" s="147"/>
      <c r="CP46" s="147"/>
    </row>
    <row r="47" spans="1:94" s="153" customFormat="1" ht="21.75" customHeight="1" x14ac:dyDescent="0.25">
      <c r="A47" s="139"/>
      <c r="B47" s="202"/>
      <c r="C47" s="215"/>
      <c r="D47" s="215"/>
      <c r="E47" s="430"/>
      <c r="F47" s="431"/>
      <c r="G47" s="431"/>
      <c r="H47" s="431"/>
      <c r="I47" s="431"/>
      <c r="J47" s="432"/>
      <c r="K47" s="436"/>
      <c r="L47" s="437"/>
      <c r="M47" s="437"/>
      <c r="N47" s="438"/>
      <c r="O47"/>
      <c r="P47"/>
      <c r="Q47"/>
      <c r="R47"/>
      <c r="S47"/>
      <c r="T47"/>
      <c r="U47"/>
      <c r="V47"/>
      <c r="W47"/>
      <c r="X47"/>
      <c r="Y47"/>
      <c r="Z47" s="344"/>
      <c r="AA47" s="363"/>
      <c r="AB47" s="363"/>
      <c r="AC47" s="363"/>
      <c r="AD47" s="329"/>
      <c r="AE47" s="147"/>
      <c r="AF47" s="147"/>
      <c r="AG47" s="147"/>
      <c r="AH47" s="147"/>
      <c r="AI47" s="147"/>
      <c r="AJ47" s="147"/>
      <c r="AK47" s="147"/>
      <c r="AL47" s="147"/>
      <c r="AM47" s="147"/>
      <c r="AN47" s="147"/>
      <c r="AO47" s="147"/>
      <c r="AP47" s="147"/>
      <c r="AQ47" s="147"/>
      <c r="AR47" s="147"/>
      <c r="AS47" s="147"/>
      <c r="AT47" s="147"/>
      <c r="AU47" s="147"/>
      <c r="AV47" s="147"/>
      <c r="AW47" s="147"/>
      <c r="AX47" s="147"/>
      <c r="AY47" s="147"/>
      <c r="AZ47" s="147"/>
      <c r="BA47" s="147"/>
      <c r="BB47" s="147"/>
      <c r="BC47" s="147"/>
      <c r="BD47" s="147"/>
      <c r="BE47" s="147"/>
      <c r="BF47" s="147"/>
      <c r="BG47" s="147"/>
      <c r="BH47" s="147"/>
      <c r="BI47" s="147"/>
      <c r="BJ47" s="147"/>
      <c r="BK47" s="147"/>
      <c r="BL47" s="147"/>
      <c r="BM47" s="147"/>
      <c r="BN47" s="147"/>
      <c r="BO47" s="147"/>
      <c r="BP47" s="147"/>
      <c r="BQ47" s="147"/>
      <c r="BR47" s="147"/>
      <c r="BS47" s="147"/>
      <c r="BT47" s="147"/>
      <c r="BU47" s="147"/>
      <c r="BV47" s="147"/>
      <c r="BW47" s="147"/>
      <c r="BX47" s="147"/>
      <c r="BY47" s="147"/>
      <c r="BZ47" s="147"/>
      <c r="CA47" s="147"/>
      <c r="CB47" s="147"/>
      <c r="CC47" s="147"/>
      <c r="CD47" s="147"/>
      <c r="CE47" s="147"/>
      <c r="CF47" s="147"/>
      <c r="CG47" s="147"/>
      <c r="CH47" s="147"/>
      <c r="CI47" s="147"/>
      <c r="CJ47" s="147"/>
      <c r="CK47" s="147"/>
      <c r="CL47" s="147"/>
      <c r="CM47" s="147"/>
      <c r="CN47" s="147"/>
      <c r="CO47" s="147"/>
      <c r="CP47" s="147"/>
    </row>
    <row r="48" spans="1:94" s="214" customFormat="1" ht="8.25" customHeight="1" x14ac:dyDescent="0.25">
      <c r="A48" s="207"/>
      <c r="B48" s="208"/>
      <c r="C48" s="136"/>
      <c r="D48" s="136"/>
      <c r="E48" s="209"/>
      <c r="F48" s="210"/>
      <c r="G48" s="211"/>
      <c r="H48" s="211"/>
      <c r="I48" s="211"/>
      <c r="J48" s="211"/>
      <c r="K48" s="211"/>
      <c r="L48" s="137"/>
      <c r="M48" s="138"/>
      <c r="N48" s="212"/>
      <c r="O48"/>
      <c r="P48"/>
      <c r="Q48"/>
      <c r="R48"/>
      <c r="S48"/>
      <c r="T48"/>
      <c r="U48"/>
      <c r="V48"/>
      <c r="W48"/>
      <c r="X48"/>
      <c r="Y48"/>
      <c r="Z48" s="344"/>
      <c r="AA48" s="339"/>
      <c r="AB48" s="339"/>
      <c r="AC48" s="339"/>
      <c r="AD48" s="330"/>
      <c r="AE48" s="213"/>
      <c r="AF48" s="213"/>
      <c r="AG48" s="213"/>
      <c r="AH48" s="213"/>
      <c r="AI48" s="213"/>
      <c r="AJ48" s="213"/>
      <c r="AK48" s="213"/>
      <c r="AL48" s="213"/>
      <c r="AM48" s="213"/>
      <c r="AN48" s="213"/>
      <c r="AO48" s="213"/>
      <c r="AP48" s="213"/>
      <c r="AQ48" s="213"/>
      <c r="AR48" s="213"/>
      <c r="AS48" s="213"/>
      <c r="AT48" s="213"/>
      <c r="AU48" s="213"/>
      <c r="AV48" s="213"/>
      <c r="AW48" s="213"/>
      <c r="AX48" s="213"/>
      <c r="AY48" s="213"/>
      <c r="AZ48" s="213"/>
      <c r="BA48" s="213"/>
      <c r="BB48" s="213"/>
      <c r="BC48" s="213"/>
      <c r="BD48" s="213"/>
      <c r="BE48" s="213"/>
      <c r="BF48" s="213"/>
      <c r="BG48" s="213"/>
      <c r="BH48" s="213"/>
      <c r="BI48" s="213"/>
      <c r="BJ48" s="213"/>
      <c r="BK48" s="213"/>
      <c r="BL48" s="213"/>
      <c r="BM48" s="213"/>
      <c r="BN48" s="213"/>
      <c r="BO48" s="213"/>
      <c r="BP48" s="213"/>
      <c r="BQ48" s="213"/>
      <c r="BR48" s="213"/>
      <c r="BS48" s="213"/>
      <c r="BT48" s="213"/>
      <c r="BU48" s="213"/>
      <c r="BV48" s="213"/>
      <c r="BW48" s="213"/>
      <c r="BX48" s="213"/>
      <c r="BY48" s="213"/>
      <c r="BZ48" s="213"/>
      <c r="CA48" s="213"/>
      <c r="CB48" s="213"/>
      <c r="CC48" s="213"/>
      <c r="CD48" s="213"/>
      <c r="CE48" s="213"/>
      <c r="CF48" s="213"/>
      <c r="CG48" s="213"/>
      <c r="CH48" s="213"/>
      <c r="CI48" s="213"/>
      <c r="CJ48" s="213"/>
      <c r="CK48" s="213"/>
      <c r="CL48" s="213"/>
      <c r="CM48" s="213"/>
      <c r="CN48" s="213"/>
      <c r="CO48" s="213"/>
      <c r="CP48" s="213"/>
    </row>
    <row r="49" spans="1:94" s="53" customFormat="1" ht="6" customHeight="1" x14ac:dyDescent="0.25">
      <c r="A49" s="63"/>
      <c r="B49" s="64"/>
      <c r="C49" s="65"/>
      <c r="D49" s="66"/>
      <c r="E49" s="67"/>
      <c r="F49" s="68"/>
      <c r="G49" s="64"/>
      <c r="H49" s="64"/>
      <c r="I49" s="64"/>
      <c r="J49" s="64"/>
      <c r="K49" s="64"/>
      <c r="L49" s="69"/>
      <c r="M49" s="69"/>
      <c r="N49" s="70"/>
      <c r="O49"/>
      <c r="P49"/>
      <c r="Q49"/>
      <c r="R49"/>
      <c r="S49"/>
      <c r="T49"/>
      <c r="U49"/>
      <c r="V49"/>
      <c r="W49"/>
      <c r="X49"/>
      <c r="Y49"/>
      <c r="Z49" s="344"/>
      <c r="AA49" s="363"/>
      <c r="AB49" s="363"/>
      <c r="AC49" s="363"/>
      <c r="AD49" s="110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1"/>
      <c r="AV49" s="41"/>
      <c r="AW49" s="41"/>
      <c r="AX49" s="41"/>
      <c r="AY49" s="41"/>
      <c r="AZ49" s="41"/>
      <c r="BA49" s="41"/>
      <c r="BB49" s="41"/>
      <c r="BC49" s="41"/>
      <c r="BD49" s="41"/>
      <c r="BE49" s="41"/>
      <c r="BF49" s="41"/>
      <c r="BG49" s="41"/>
      <c r="BH49" s="41"/>
      <c r="BI49" s="41"/>
      <c r="BJ49" s="41"/>
      <c r="BK49" s="41"/>
      <c r="BL49" s="41"/>
      <c r="BM49" s="41"/>
      <c r="BN49" s="41"/>
      <c r="BO49" s="41"/>
      <c r="BP49" s="41"/>
      <c r="BQ49" s="41"/>
      <c r="BR49" s="41"/>
      <c r="BS49" s="41"/>
      <c r="BT49" s="41"/>
      <c r="BU49" s="41"/>
      <c r="BV49" s="41"/>
      <c r="BW49" s="41"/>
      <c r="BX49" s="41"/>
      <c r="BY49" s="41"/>
      <c r="BZ49" s="41"/>
      <c r="CA49" s="41"/>
      <c r="CB49" s="41"/>
      <c r="CC49" s="41"/>
      <c r="CD49" s="41"/>
      <c r="CE49" s="41"/>
      <c r="CF49" s="41"/>
      <c r="CG49" s="41"/>
      <c r="CH49" s="41"/>
      <c r="CI49" s="41"/>
      <c r="CJ49" s="41"/>
      <c r="CK49" s="41"/>
      <c r="CL49" s="41"/>
      <c r="CM49" s="41"/>
      <c r="CN49" s="41"/>
      <c r="CO49" s="41"/>
      <c r="CP49" s="41"/>
    </row>
    <row r="50" spans="1:94" s="53" customFormat="1" ht="24.75" customHeight="1" x14ac:dyDescent="0.25">
      <c r="A50" s="257" t="s">
        <v>42</v>
      </c>
      <c r="B50" s="71"/>
      <c r="C50" s="439"/>
      <c r="D50" s="440"/>
      <c r="E50" s="72" t="s">
        <v>43</v>
      </c>
      <c r="F50" s="73" t="s">
        <v>24</v>
      </c>
      <c r="G50" s="72" t="str">
        <f>"FY "&amp;M4-2001&amp;" Salary"</f>
        <v>FY 22 Salary</v>
      </c>
      <c r="H50" s="72" t="str">
        <f>"FY "&amp;M4-2001&amp;" Health Ben"</f>
        <v>FY 22 Health Ben</v>
      </c>
      <c r="I50" s="72" t="str">
        <f>"FY "&amp;M4-2001&amp;" Var Ben"</f>
        <v>FY 22 Var Ben</v>
      </c>
      <c r="J50" s="72" t="str">
        <f>"FY "&amp;M4-1&amp;" Total"</f>
        <v>FY 2022 Total</v>
      </c>
      <c r="K50" s="307" t="str">
        <f>"FY "&amp;FiscalYear&amp;" SALARY CHG"</f>
        <v>FY 2023 SALARY CHG</v>
      </c>
      <c r="L50" s="74" t="str">
        <f>"FY "&amp;M4-2000&amp;" Chg Health Bens"</f>
        <v>FY 23 Chg Health Bens</v>
      </c>
      <c r="M50" s="74" t="str">
        <f>"FY "&amp;M4-2000&amp;" Chg Var Bens"</f>
        <v>FY 23 Chg Var Bens</v>
      </c>
      <c r="N50" s="74" t="s">
        <v>44</v>
      </c>
      <c r="O50"/>
      <c r="P50"/>
      <c r="Q50"/>
      <c r="R50"/>
      <c r="S50"/>
      <c r="T50"/>
      <c r="U50"/>
      <c r="V50"/>
      <c r="W50"/>
      <c r="X50"/>
      <c r="Y50"/>
      <c r="Z50" s="344"/>
      <c r="AA50" s="363"/>
      <c r="AB50" s="363"/>
      <c r="AC50" s="363"/>
      <c r="AD50" s="110"/>
      <c r="AE50" s="41"/>
      <c r="AF50" s="41"/>
      <c r="AG50" s="41"/>
      <c r="AH50" s="41"/>
      <c r="AI50" s="41"/>
      <c r="AJ50" s="41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U50" s="41"/>
      <c r="AV50" s="41"/>
      <c r="AW50" s="41"/>
      <c r="AX50" s="41"/>
      <c r="AY50" s="41"/>
      <c r="AZ50" s="41"/>
      <c r="BA50" s="41"/>
      <c r="BB50" s="41"/>
      <c r="BC50" s="41"/>
      <c r="BD50" s="41"/>
      <c r="BE50" s="41"/>
      <c r="BF50" s="41"/>
      <c r="BG50" s="41"/>
      <c r="BH50" s="41"/>
      <c r="BI50" s="41"/>
      <c r="BJ50" s="41"/>
      <c r="BK50" s="41"/>
      <c r="BL50" s="41"/>
      <c r="BM50" s="41"/>
      <c r="BN50" s="41"/>
      <c r="BO50" s="41"/>
      <c r="BP50" s="41"/>
      <c r="BQ50" s="41"/>
      <c r="BR50" s="41"/>
      <c r="BS50" s="41"/>
      <c r="BT50" s="41"/>
      <c r="BU50" s="41"/>
      <c r="BV50" s="41"/>
      <c r="BW50" s="41"/>
      <c r="BX50" s="41"/>
      <c r="BY50" s="41"/>
      <c r="BZ50" s="41"/>
      <c r="CA50" s="41"/>
      <c r="CB50" s="41"/>
      <c r="CC50" s="41"/>
      <c r="CD50" s="41"/>
      <c r="CE50" s="41"/>
      <c r="CF50" s="41"/>
      <c r="CG50" s="41"/>
      <c r="CH50" s="41"/>
      <c r="CI50" s="41"/>
      <c r="CJ50" s="41"/>
      <c r="CK50" s="41"/>
      <c r="CL50" s="41"/>
      <c r="CM50" s="41"/>
      <c r="CN50" s="41"/>
      <c r="CO50" s="41"/>
      <c r="CP50" s="41"/>
    </row>
    <row r="51" spans="1:94" s="53" customFormat="1" ht="15.75" customHeight="1" x14ac:dyDescent="0.25">
      <c r="A51" s="75">
        <v>3</v>
      </c>
      <c r="B51" s="76" t="s">
        <v>45</v>
      </c>
      <c r="C51" s="54" t="str">
        <f>"FY "&amp;M4-1</f>
        <v>FY 2022</v>
      </c>
      <c r="D51" s="77" t="s">
        <v>31</v>
      </c>
      <c r="E51" s="78">
        <f>OrigApprop</f>
        <v>121100</v>
      </c>
      <c r="F51" s="272">
        <f>AppropFTP</f>
        <v>1.2</v>
      </c>
      <c r="G51" s="274">
        <f>IF(E51=0,0,(G41/$J$41)*$E$51)</f>
        <v>89213.585225453149</v>
      </c>
      <c r="H51" s="274">
        <f>IF(E51=0,0,(H41/$J$41)*$E$51)</f>
        <v>12841.990736469379</v>
      </c>
      <c r="I51" s="275">
        <f>IF(E51=0,0,(I41/$J$41)*$E$51)</f>
        <v>19044.424038077483</v>
      </c>
      <c r="J51" s="90">
        <f>SUM(G51:I51)</f>
        <v>121100.00000000001</v>
      </c>
      <c r="K51" s="263"/>
      <c r="L51" s="61"/>
      <c r="M51" s="81"/>
      <c r="N51" s="81"/>
      <c r="O51"/>
      <c r="P51"/>
      <c r="Q51"/>
      <c r="R51"/>
      <c r="S51"/>
      <c r="T51"/>
      <c r="U51"/>
      <c r="V51"/>
      <c r="W51"/>
      <c r="X51"/>
      <c r="Y51"/>
      <c r="Z51" s="344"/>
      <c r="AA51" s="346"/>
      <c r="AB51" s="363"/>
      <c r="AC51" s="363"/>
      <c r="AD51" s="110"/>
      <c r="AE51" s="41"/>
      <c r="AF51" s="41"/>
      <c r="AG51" s="41"/>
      <c r="AH51" s="41"/>
      <c r="AI51" s="41"/>
      <c r="AJ51" s="41"/>
      <c r="AK51" s="41"/>
      <c r="AL51" s="41"/>
      <c r="AM51" s="41"/>
      <c r="AN51" s="41"/>
      <c r="AO51" s="41"/>
      <c r="AP51" s="41"/>
      <c r="AQ51" s="41"/>
      <c r="AR51" s="41"/>
      <c r="AS51" s="41"/>
      <c r="AT51" s="41"/>
      <c r="AU51" s="41"/>
      <c r="AV51" s="41"/>
      <c r="AW51" s="41"/>
      <c r="AX51" s="41"/>
      <c r="AY51" s="41"/>
      <c r="AZ51" s="41"/>
      <c r="BA51" s="41"/>
      <c r="BB51" s="41"/>
      <c r="BC51" s="41"/>
      <c r="BD51" s="41"/>
      <c r="BE51" s="41"/>
      <c r="BF51" s="41"/>
      <c r="BG51" s="41"/>
      <c r="BH51" s="41"/>
      <c r="BI51" s="41"/>
      <c r="BJ51" s="41"/>
      <c r="BK51" s="41"/>
      <c r="BL51" s="41"/>
      <c r="BM51" s="41"/>
      <c r="BN51" s="41"/>
      <c r="BO51" s="41"/>
      <c r="BP51" s="41"/>
      <c r="BQ51" s="41"/>
      <c r="BR51" s="41"/>
      <c r="BS51" s="41"/>
      <c r="BT51" s="41"/>
      <c r="BU51" s="41"/>
      <c r="BV51" s="41"/>
      <c r="BW51" s="41"/>
      <c r="BX51" s="41"/>
      <c r="BY51" s="41"/>
      <c r="BZ51" s="41"/>
      <c r="CA51" s="41"/>
      <c r="CB51" s="41"/>
      <c r="CC51" s="41"/>
      <c r="CD51" s="41"/>
      <c r="CE51" s="41"/>
      <c r="CF51" s="41"/>
      <c r="CG51" s="41"/>
      <c r="CH51" s="41"/>
      <c r="CI51" s="41"/>
      <c r="CJ51" s="41"/>
      <c r="CK51" s="41"/>
      <c r="CL51" s="41"/>
      <c r="CM51" s="41"/>
      <c r="CN51" s="41"/>
      <c r="CO51" s="41"/>
      <c r="CP51" s="41"/>
    </row>
    <row r="52" spans="1:94" s="53" customFormat="1" ht="15.75" customHeight="1" x14ac:dyDescent="0.25">
      <c r="A52" s="82"/>
      <c r="B52" s="83"/>
      <c r="C52" s="84"/>
      <c r="D52" s="132" t="s">
        <v>46</v>
      </c>
      <c r="E52" s="133"/>
      <c r="F52" s="55">
        <f>F51</f>
        <v>1.2</v>
      </c>
      <c r="G52" s="79">
        <f>ROUND(G51,-2)</f>
        <v>89200</v>
      </c>
      <c r="H52" s="79">
        <f>ROUND(H51,-2)</f>
        <v>12800</v>
      </c>
      <c r="I52" s="266">
        <f>ROUND(I51,-2)</f>
        <v>19000</v>
      </c>
      <c r="J52" s="80">
        <f>ROUND(J51,-2)</f>
        <v>121100</v>
      </c>
      <c r="K52" s="263"/>
      <c r="L52" s="61"/>
      <c r="M52" s="81"/>
      <c r="N52" s="81"/>
      <c r="O52"/>
      <c r="P52"/>
      <c r="Q52"/>
      <c r="R52"/>
      <c r="S52"/>
      <c r="T52"/>
      <c r="U52"/>
      <c r="V52"/>
      <c r="W52"/>
      <c r="X52"/>
      <c r="Y52"/>
      <c r="Z52" s="344"/>
      <c r="AA52" s="347"/>
      <c r="AB52" s="363"/>
      <c r="AC52" s="363"/>
      <c r="AD52" s="110"/>
      <c r="AE52" s="41"/>
      <c r="AF52" s="41"/>
      <c r="AG52" s="41"/>
      <c r="AH52" s="41"/>
      <c r="AI52" s="41"/>
      <c r="AJ52" s="41"/>
      <c r="AK52" s="41"/>
      <c r="AL52" s="41"/>
      <c r="AM52" s="41"/>
      <c r="AN52" s="41"/>
      <c r="AO52" s="41"/>
      <c r="AP52" s="41"/>
      <c r="AQ52" s="41"/>
      <c r="AR52" s="41"/>
      <c r="AS52" s="41"/>
      <c r="AT52" s="41"/>
      <c r="AU52" s="41"/>
      <c r="AV52" s="41"/>
      <c r="AW52" s="41"/>
      <c r="AX52" s="41"/>
      <c r="AY52" s="41"/>
      <c r="AZ52" s="41"/>
      <c r="BA52" s="41"/>
      <c r="BB52" s="41"/>
      <c r="BC52" s="41"/>
      <c r="BD52" s="41"/>
      <c r="BE52" s="41"/>
      <c r="BF52" s="41"/>
      <c r="BG52" s="41"/>
      <c r="BH52" s="41"/>
      <c r="BI52" s="41"/>
      <c r="BJ52" s="41"/>
      <c r="BK52" s="41"/>
      <c r="BL52" s="41"/>
      <c r="BM52" s="41"/>
      <c r="BN52" s="41"/>
      <c r="BO52" s="41"/>
      <c r="BP52" s="41"/>
      <c r="BQ52" s="41"/>
      <c r="BR52" s="41"/>
      <c r="BS52" s="41"/>
      <c r="BT52" s="41"/>
      <c r="BU52" s="41"/>
      <c r="BV52" s="41"/>
      <c r="BW52" s="41"/>
      <c r="BX52" s="41"/>
      <c r="BY52" s="41"/>
      <c r="BZ52" s="41"/>
      <c r="CA52" s="41"/>
      <c r="CB52" s="41"/>
      <c r="CC52" s="41"/>
      <c r="CD52" s="41"/>
      <c r="CE52" s="41"/>
      <c r="CF52" s="41"/>
      <c r="CG52" s="41"/>
      <c r="CH52" s="41"/>
      <c r="CI52" s="41"/>
      <c r="CJ52" s="41"/>
      <c r="CK52" s="41"/>
      <c r="CL52" s="41"/>
      <c r="CM52" s="41"/>
      <c r="CN52" s="41"/>
      <c r="CO52" s="41"/>
      <c r="CP52" s="41"/>
    </row>
    <row r="53" spans="1:94" s="53" customFormat="1" ht="15" x14ac:dyDescent="0.25">
      <c r="A53" s="85"/>
      <c r="B53" s="83"/>
      <c r="C53" s="441" t="s">
        <v>47</v>
      </c>
      <c r="D53" s="442"/>
      <c r="E53" s="271"/>
      <c r="F53" s="273"/>
      <c r="G53" s="62"/>
      <c r="H53" s="62"/>
      <c r="I53" s="62"/>
      <c r="J53" s="62"/>
      <c r="K53" s="62"/>
      <c r="L53" s="61"/>
      <c r="M53" s="86"/>
      <c r="N53" s="86"/>
      <c r="O53"/>
      <c r="P53"/>
      <c r="Q53"/>
      <c r="R53"/>
      <c r="S53"/>
      <c r="T53"/>
      <c r="U53"/>
      <c r="V53"/>
      <c r="W53"/>
      <c r="X53"/>
      <c r="Y53"/>
      <c r="Z53" s="344"/>
      <c r="AA53" s="363"/>
      <c r="AB53" s="363"/>
      <c r="AC53" s="363"/>
      <c r="AD53" s="110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U53" s="41"/>
      <c r="AV53" s="41"/>
      <c r="AW53" s="41"/>
      <c r="AX53" s="41"/>
      <c r="AY53" s="41"/>
      <c r="AZ53" s="41"/>
      <c r="BA53" s="41"/>
      <c r="BB53" s="41"/>
      <c r="BC53" s="41"/>
      <c r="BD53" s="41"/>
      <c r="BE53" s="41"/>
      <c r="BF53" s="41"/>
      <c r="BG53" s="41"/>
      <c r="BH53" s="41"/>
      <c r="BI53" s="41"/>
      <c r="BJ53" s="41"/>
      <c r="BK53" s="41"/>
      <c r="BL53" s="41"/>
      <c r="BM53" s="41"/>
      <c r="BN53" s="41"/>
      <c r="BO53" s="41"/>
      <c r="BP53" s="41"/>
      <c r="BQ53" s="41"/>
      <c r="BR53" s="41"/>
      <c r="BS53" s="41"/>
      <c r="BT53" s="41"/>
      <c r="BU53" s="41"/>
      <c r="BV53" s="41"/>
      <c r="BW53" s="41"/>
      <c r="BX53" s="41"/>
      <c r="BY53" s="41"/>
      <c r="BZ53" s="41"/>
      <c r="CA53" s="41"/>
      <c r="CB53" s="41"/>
      <c r="CC53" s="41"/>
      <c r="CD53" s="41"/>
      <c r="CE53" s="41"/>
      <c r="CF53" s="41"/>
      <c r="CG53" s="41"/>
      <c r="CH53" s="41"/>
      <c r="CI53" s="41"/>
      <c r="CJ53" s="41"/>
      <c r="CK53" s="41"/>
      <c r="CL53" s="41"/>
      <c r="CM53" s="41"/>
      <c r="CN53" s="41"/>
      <c r="CO53" s="41"/>
      <c r="CP53" s="41"/>
    </row>
    <row r="54" spans="1:94" s="53" customFormat="1" ht="15.75" customHeight="1" x14ac:dyDescent="0.25">
      <c r="A54" s="85">
        <v>4.1100000000000003</v>
      </c>
      <c r="B54" s="83"/>
      <c r="C54" s="408" t="s">
        <v>48</v>
      </c>
      <c r="D54" s="409"/>
      <c r="E54" s="59"/>
      <c r="F54" s="58">
        <v>0</v>
      </c>
      <c r="G54" s="88">
        <v>0</v>
      </c>
      <c r="H54" s="88">
        <v>0</v>
      </c>
      <c r="I54" s="265">
        <v>0</v>
      </c>
      <c r="J54" s="89">
        <f>SUM(G54:I54)</f>
        <v>0</v>
      </c>
      <c r="K54" s="62"/>
      <c r="L54" s="61"/>
      <c r="M54" s="86"/>
      <c r="N54" s="86"/>
      <c r="O54"/>
      <c r="P54"/>
      <c r="Q54"/>
      <c r="R54"/>
      <c r="S54"/>
      <c r="T54"/>
      <c r="U54"/>
      <c r="V54"/>
      <c r="W54"/>
      <c r="X54"/>
      <c r="Y54"/>
      <c r="Z54" s="344"/>
      <c r="AA54" s="363"/>
      <c r="AB54" s="363"/>
      <c r="AC54" s="363"/>
      <c r="AD54" s="110"/>
      <c r="AE54" s="41"/>
      <c r="AF54" s="41"/>
      <c r="AG54" s="41"/>
      <c r="AH54" s="41"/>
      <c r="AI54" s="41"/>
      <c r="AJ54" s="41"/>
      <c r="AK54" s="41"/>
      <c r="AL54" s="41"/>
      <c r="AM54" s="41"/>
      <c r="AN54" s="41"/>
      <c r="AO54" s="41"/>
      <c r="AP54" s="41"/>
      <c r="AQ54" s="41"/>
      <c r="AR54" s="41"/>
      <c r="AS54" s="41"/>
      <c r="AT54" s="41"/>
      <c r="AU54" s="41"/>
      <c r="AV54" s="41"/>
      <c r="AW54" s="41"/>
      <c r="AX54" s="41"/>
      <c r="AY54" s="41"/>
      <c r="AZ54" s="41"/>
      <c r="BA54" s="41"/>
      <c r="BB54" s="41"/>
      <c r="BC54" s="41"/>
      <c r="BD54" s="41"/>
      <c r="BE54" s="41"/>
      <c r="BF54" s="41"/>
      <c r="BG54" s="41"/>
      <c r="BH54" s="41"/>
      <c r="BI54" s="41"/>
      <c r="BJ54" s="41"/>
      <c r="BK54" s="41"/>
      <c r="BL54" s="41"/>
      <c r="BM54" s="41"/>
      <c r="BN54" s="41"/>
      <c r="BO54" s="41"/>
      <c r="BP54" s="41"/>
      <c r="BQ54" s="41"/>
      <c r="BR54" s="41"/>
      <c r="BS54" s="41"/>
      <c r="BT54" s="41"/>
      <c r="BU54" s="41"/>
      <c r="BV54" s="41"/>
      <c r="BW54" s="41"/>
      <c r="BX54" s="41"/>
      <c r="BY54" s="41"/>
      <c r="BZ54" s="41"/>
      <c r="CA54" s="41"/>
      <c r="CB54" s="41"/>
      <c r="CC54" s="41"/>
      <c r="CD54" s="41"/>
      <c r="CE54" s="41"/>
      <c r="CF54" s="41"/>
      <c r="CG54" s="41"/>
      <c r="CH54" s="41"/>
      <c r="CI54" s="41"/>
      <c r="CJ54" s="41"/>
      <c r="CK54" s="41"/>
      <c r="CL54" s="41"/>
      <c r="CM54" s="41"/>
      <c r="CN54" s="41"/>
      <c r="CO54" s="41"/>
      <c r="CP54" s="41"/>
    </row>
    <row r="55" spans="1:94" s="53" customFormat="1" ht="15.75" customHeight="1" x14ac:dyDescent="0.25">
      <c r="A55" s="85">
        <v>4.3099999999999996</v>
      </c>
      <c r="B55" s="83"/>
      <c r="C55" s="421" t="s">
        <v>49</v>
      </c>
      <c r="D55" s="422"/>
      <c r="E55" s="59"/>
      <c r="F55" s="277">
        <v>0</v>
      </c>
      <c r="G55" s="92">
        <v>0</v>
      </c>
      <c r="H55" s="92">
        <v>0</v>
      </c>
      <c r="I55" s="264">
        <v>0</v>
      </c>
      <c r="J55" s="287">
        <f>SUM(G55:I55)</f>
        <v>0</v>
      </c>
      <c r="K55" s="62"/>
      <c r="L55" s="88"/>
      <c r="M55" s="261"/>
      <c r="N55" s="89">
        <f>SUM(L55:M55)</f>
        <v>0</v>
      </c>
      <c r="O55"/>
      <c r="P55"/>
      <c r="Q55"/>
      <c r="R55"/>
      <c r="S55"/>
      <c r="T55"/>
      <c r="U55"/>
      <c r="V55"/>
      <c r="W55"/>
      <c r="X55"/>
      <c r="Y55"/>
      <c r="Z55" s="344"/>
      <c r="AA55" s="363"/>
      <c r="AB55" s="363"/>
      <c r="AC55" s="363"/>
      <c r="AD55" s="110"/>
      <c r="AE55" s="41"/>
      <c r="AF55" s="41"/>
      <c r="AG55" s="41"/>
      <c r="AH55" s="41"/>
      <c r="AI55" s="41"/>
      <c r="AJ55" s="41"/>
      <c r="AK55" s="41"/>
      <c r="AL55" s="41"/>
      <c r="AM55" s="41"/>
      <c r="AN55" s="41"/>
      <c r="AO55" s="41"/>
      <c r="AP55" s="41"/>
      <c r="AQ55" s="41"/>
      <c r="AR55" s="41"/>
      <c r="AS55" s="41"/>
      <c r="AT55" s="41"/>
      <c r="AU55" s="41"/>
      <c r="AV55" s="41"/>
      <c r="AW55" s="41"/>
      <c r="AX55" s="41"/>
      <c r="AY55" s="41"/>
      <c r="AZ55" s="41"/>
      <c r="BA55" s="41"/>
      <c r="BB55" s="41"/>
      <c r="BC55" s="41"/>
      <c r="BD55" s="41"/>
      <c r="BE55" s="41"/>
      <c r="BF55" s="41"/>
      <c r="BG55" s="41"/>
      <c r="BH55" s="41"/>
      <c r="BI55" s="41"/>
      <c r="BJ55" s="41"/>
      <c r="BK55" s="41"/>
      <c r="BL55" s="41"/>
      <c r="BM55" s="41"/>
      <c r="BN55" s="41"/>
      <c r="BO55" s="41"/>
      <c r="BP55" s="41"/>
      <c r="BQ55" s="41"/>
      <c r="BR55" s="41"/>
      <c r="BS55" s="41"/>
      <c r="BT55" s="41"/>
      <c r="BU55" s="41"/>
      <c r="BV55" s="41"/>
      <c r="BW55" s="41"/>
      <c r="BX55" s="41"/>
      <c r="BY55" s="41"/>
      <c r="BZ55" s="41"/>
      <c r="CA55" s="41"/>
      <c r="CB55" s="41"/>
      <c r="CC55" s="41"/>
      <c r="CD55" s="41"/>
      <c r="CE55" s="41"/>
      <c r="CF55" s="41"/>
      <c r="CG55" s="41"/>
      <c r="CH55" s="41"/>
      <c r="CI55" s="41"/>
      <c r="CJ55" s="41"/>
      <c r="CK55" s="41"/>
      <c r="CL55" s="41"/>
      <c r="CM55" s="41"/>
      <c r="CN55" s="41"/>
      <c r="CO55" s="41"/>
      <c r="CP55" s="41"/>
    </row>
    <row r="56" spans="1:94" s="53" customFormat="1" ht="15.75" customHeight="1" x14ac:dyDescent="0.25">
      <c r="A56" s="75">
        <v>5</v>
      </c>
      <c r="B56" s="76"/>
      <c r="C56" s="54" t="str">
        <f>"FY "&amp;M4-1</f>
        <v>FY 2022</v>
      </c>
      <c r="D56" s="131" t="s">
        <v>50</v>
      </c>
      <c r="E56" s="135"/>
      <c r="F56" s="55">
        <f>SUM(F52:F55)</f>
        <v>1.2</v>
      </c>
      <c r="G56" s="80">
        <f>SUM(G52:G55)</f>
        <v>89200</v>
      </c>
      <c r="H56" s="80">
        <f>SUM(H52:H55)</f>
        <v>12800</v>
      </c>
      <c r="I56" s="260">
        <f>SUM(I52:I55)</f>
        <v>19000</v>
      </c>
      <c r="J56" s="80">
        <f>SUM(J52:J55)</f>
        <v>121100</v>
      </c>
      <c r="K56" s="263"/>
      <c r="L56" s="61"/>
      <c r="M56" s="61"/>
      <c r="N56" s="61"/>
      <c r="O56"/>
      <c r="P56"/>
      <c r="Q56"/>
      <c r="R56"/>
      <c r="S56"/>
      <c r="T56"/>
      <c r="U56"/>
      <c r="V56"/>
      <c r="W56"/>
      <c r="X56"/>
      <c r="Y56"/>
      <c r="Z56" s="344"/>
      <c r="AA56" s="363"/>
      <c r="AB56" s="363"/>
      <c r="AC56" s="363"/>
      <c r="AD56" s="110"/>
      <c r="AE56" s="41"/>
      <c r="AF56" s="41"/>
      <c r="AG56" s="41"/>
      <c r="AH56" s="41"/>
      <c r="AI56" s="41"/>
      <c r="AJ56" s="41"/>
      <c r="AK56" s="41"/>
      <c r="AL56" s="41"/>
      <c r="AM56" s="41"/>
      <c r="AN56" s="41"/>
      <c r="AO56" s="41"/>
      <c r="AP56" s="41"/>
      <c r="AQ56" s="41"/>
      <c r="AR56" s="41"/>
      <c r="AS56" s="41"/>
      <c r="AT56" s="41"/>
      <c r="AU56" s="41"/>
      <c r="AV56" s="41"/>
      <c r="AW56" s="41"/>
      <c r="AX56" s="41"/>
      <c r="AY56" s="41"/>
      <c r="AZ56" s="41"/>
      <c r="BA56" s="41"/>
      <c r="BB56" s="41"/>
      <c r="BC56" s="41"/>
      <c r="BD56" s="41"/>
      <c r="BE56" s="41"/>
      <c r="BF56" s="41"/>
      <c r="BG56" s="41"/>
      <c r="BH56" s="41"/>
      <c r="BI56" s="41"/>
      <c r="BJ56" s="41"/>
      <c r="BK56" s="41"/>
      <c r="BL56" s="41"/>
      <c r="BM56" s="41"/>
      <c r="BN56" s="41"/>
      <c r="BO56" s="41"/>
      <c r="BP56" s="41"/>
      <c r="BQ56" s="41"/>
      <c r="BR56" s="41"/>
      <c r="BS56" s="41"/>
      <c r="BT56" s="41"/>
      <c r="BU56" s="41"/>
      <c r="BV56" s="41"/>
      <c r="BW56" s="41"/>
      <c r="BX56" s="41"/>
      <c r="BY56" s="41"/>
      <c r="BZ56" s="41"/>
      <c r="CA56" s="41"/>
      <c r="CB56" s="41"/>
      <c r="CC56" s="41"/>
      <c r="CD56" s="41"/>
      <c r="CE56" s="41"/>
      <c r="CF56" s="41"/>
      <c r="CG56" s="41"/>
      <c r="CH56" s="41"/>
      <c r="CI56" s="41"/>
      <c r="CJ56" s="41"/>
      <c r="CK56" s="41"/>
      <c r="CL56" s="41"/>
      <c r="CM56" s="41"/>
      <c r="CN56" s="41"/>
      <c r="CO56" s="41"/>
      <c r="CP56" s="41"/>
    </row>
    <row r="57" spans="1:94" s="53" customFormat="1" ht="15.75" customHeight="1" x14ac:dyDescent="0.25">
      <c r="A57" s="85"/>
      <c r="B57" s="83"/>
      <c r="C57" s="419" t="s">
        <v>51</v>
      </c>
      <c r="D57" s="423"/>
      <c r="E57" s="367"/>
      <c r="F57" s="273"/>
      <c r="G57" s="62"/>
      <c r="H57" s="62"/>
      <c r="I57" s="62"/>
      <c r="J57" s="62"/>
      <c r="K57" s="62"/>
      <c r="L57" s="61"/>
      <c r="M57" s="61"/>
      <c r="N57" s="61"/>
      <c r="O57"/>
      <c r="P57"/>
      <c r="Q57"/>
      <c r="R57"/>
      <c r="S57"/>
      <c r="T57"/>
      <c r="U57"/>
      <c r="V57"/>
      <c r="W57"/>
      <c r="X57"/>
      <c r="Y57"/>
      <c r="Z57" s="344"/>
      <c r="AA57" s="363"/>
      <c r="AB57" s="363"/>
      <c r="AC57" s="363"/>
      <c r="AD57" s="110"/>
      <c r="AE57" s="41"/>
      <c r="AF57" s="41"/>
      <c r="AG57" s="41"/>
      <c r="AH57" s="41"/>
      <c r="AI57" s="41"/>
      <c r="AJ57" s="41"/>
      <c r="AK57" s="41"/>
      <c r="AL57" s="41"/>
      <c r="AM57" s="41"/>
      <c r="AN57" s="41"/>
      <c r="AO57" s="41"/>
      <c r="AP57" s="41"/>
      <c r="AQ57" s="41"/>
      <c r="AR57" s="41"/>
      <c r="AS57" s="41"/>
      <c r="AT57" s="41"/>
      <c r="AU57" s="41"/>
      <c r="AV57" s="41"/>
      <c r="AW57" s="41"/>
      <c r="AX57" s="41"/>
      <c r="AY57" s="41"/>
      <c r="AZ57" s="41"/>
      <c r="BA57" s="41"/>
      <c r="BB57" s="41"/>
      <c r="BC57" s="41"/>
      <c r="BD57" s="41"/>
      <c r="BE57" s="41"/>
      <c r="BF57" s="41"/>
      <c r="BG57" s="41"/>
      <c r="BH57" s="41"/>
      <c r="BI57" s="41"/>
      <c r="BJ57" s="41"/>
      <c r="BK57" s="41"/>
      <c r="BL57" s="41"/>
      <c r="BM57" s="41"/>
      <c r="BN57" s="41"/>
      <c r="BO57" s="41"/>
      <c r="BP57" s="41"/>
      <c r="BQ57" s="41"/>
      <c r="BR57" s="41"/>
      <c r="BS57" s="41"/>
      <c r="BT57" s="41"/>
      <c r="BU57" s="41"/>
      <c r="BV57" s="41"/>
      <c r="BW57" s="41"/>
      <c r="BX57" s="41"/>
      <c r="BY57" s="41"/>
      <c r="BZ57" s="41"/>
      <c r="CA57" s="41"/>
      <c r="CB57" s="41"/>
      <c r="CC57" s="41"/>
      <c r="CD57" s="41"/>
      <c r="CE57" s="41"/>
      <c r="CF57" s="41"/>
      <c r="CG57" s="41"/>
      <c r="CH57" s="41"/>
      <c r="CI57" s="41"/>
      <c r="CJ57" s="41"/>
      <c r="CK57" s="41"/>
      <c r="CL57" s="41"/>
      <c r="CM57" s="41"/>
      <c r="CN57" s="41"/>
      <c r="CO57" s="41"/>
      <c r="CP57" s="41"/>
    </row>
    <row r="58" spans="1:94" s="53" customFormat="1" ht="15.75" customHeight="1" x14ac:dyDescent="0.25">
      <c r="A58" s="85">
        <v>6.31</v>
      </c>
      <c r="B58" s="83"/>
      <c r="C58" s="408" t="s">
        <v>52</v>
      </c>
      <c r="D58" s="409"/>
      <c r="E58" s="102"/>
      <c r="F58" s="58">
        <v>0</v>
      </c>
      <c r="G58" s="88">
        <v>0</v>
      </c>
      <c r="H58" s="88">
        <v>0</v>
      </c>
      <c r="I58" s="265">
        <v>0</v>
      </c>
      <c r="J58" s="89">
        <f>SUM(G58:I58)</f>
        <v>0</v>
      </c>
      <c r="K58" s="62"/>
      <c r="L58" s="88"/>
      <c r="M58" s="262"/>
      <c r="N58" s="89">
        <f>SUM(L58:M58)</f>
        <v>0</v>
      </c>
      <c r="O58"/>
      <c r="P58"/>
      <c r="Q58"/>
      <c r="R58"/>
      <c r="S58"/>
      <c r="T58"/>
      <c r="U58"/>
      <c r="V58"/>
      <c r="W58"/>
      <c r="X58"/>
      <c r="Y58"/>
      <c r="Z58" s="344"/>
      <c r="AA58" s="363"/>
      <c r="AB58" s="363"/>
      <c r="AC58" s="363"/>
      <c r="AD58" s="110"/>
      <c r="AE58" s="41"/>
      <c r="AF58" s="41"/>
      <c r="AG58" s="41"/>
      <c r="AH58" s="41"/>
      <c r="AI58" s="41"/>
      <c r="AJ58" s="41"/>
      <c r="AK58" s="41"/>
      <c r="AL58" s="41"/>
      <c r="AM58" s="41"/>
      <c r="AN58" s="41"/>
      <c r="AO58" s="41"/>
      <c r="AP58" s="41"/>
      <c r="AQ58" s="41"/>
      <c r="AR58" s="41"/>
      <c r="AS58" s="41"/>
      <c r="AT58" s="41"/>
      <c r="AU58" s="41"/>
      <c r="AV58" s="41"/>
      <c r="AW58" s="41"/>
      <c r="AX58" s="41"/>
      <c r="AY58" s="41"/>
      <c r="AZ58" s="41"/>
      <c r="BA58" s="41"/>
      <c r="BB58" s="41"/>
      <c r="BC58" s="41"/>
      <c r="BD58" s="41"/>
      <c r="BE58" s="41"/>
      <c r="BF58" s="41"/>
      <c r="BG58" s="41"/>
      <c r="BH58" s="41"/>
      <c r="BI58" s="41"/>
      <c r="BJ58" s="41"/>
      <c r="BK58" s="41"/>
      <c r="BL58" s="41"/>
      <c r="BM58" s="41"/>
      <c r="BN58" s="41"/>
      <c r="BO58" s="41"/>
      <c r="BP58" s="41"/>
      <c r="BQ58" s="41"/>
      <c r="BR58" s="41"/>
      <c r="BS58" s="41"/>
      <c r="BT58" s="41"/>
      <c r="BU58" s="41"/>
      <c r="BV58" s="41"/>
      <c r="BW58" s="41"/>
      <c r="BX58" s="41"/>
      <c r="BY58" s="41"/>
      <c r="BZ58" s="41"/>
      <c r="CA58" s="41"/>
      <c r="CB58" s="41"/>
      <c r="CC58" s="41"/>
      <c r="CD58" s="41"/>
      <c r="CE58" s="41"/>
      <c r="CF58" s="41"/>
      <c r="CG58" s="41"/>
      <c r="CH58" s="41"/>
      <c r="CI58" s="41"/>
      <c r="CJ58" s="41"/>
      <c r="CK58" s="41"/>
      <c r="CL58" s="41"/>
      <c r="CM58" s="41"/>
      <c r="CN58" s="41"/>
      <c r="CO58" s="41"/>
      <c r="CP58" s="41"/>
    </row>
    <row r="59" spans="1:94" s="53" customFormat="1" ht="15.75" customHeight="1" x14ac:dyDescent="0.25">
      <c r="A59" s="85">
        <v>6.51</v>
      </c>
      <c r="B59" s="83"/>
      <c r="C59" s="421" t="s">
        <v>66</v>
      </c>
      <c r="D59" s="422"/>
      <c r="E59" s="102"/>
      <c r="F59" s="58">
        <v>0</v>
      </c>
      <c r="G59" s="88">
        <v>0</v>
      </c>
      <c r="H59" s="92">
        <v>0</v>
      </c>
      <c r="I59" s="264">
        <v>0</v>
      </c>
      <c r="J59" s="267">
        <f>SUM(G59:I59)</f>
        <v>0</v>
      </c>
      <c r="K59" s="62"/>
      <c r="L59" s="88"/>
      <c r="M59" s="261"/>
      <c r="N59" s="89">
        <f>SUM(L59:M59)</f>
        <v>0</v>
      </c>
      <c r="O59"/>
      <c r="P59"/>
      <c r="Q59"/>
      <c r="R59"/>
      <c r="S59"/>
      <c r="T59"/>
      <c r="U59"/>
      <c r="V59"/>
      <c r="W59"/>
      <c r="X59"/>
      <c r="Y59"/>
      <c r="Z59" s="344"/>
      <c r="AA59" s="363"/>
      <c r="AB59" s="363"/>
      <c r="AC59" s="363"/>
      <c r="AD59" s="110"/>
      <c r="AE59" s="41"/>
      <c r="AF59" s="41"/>
      <c r="AG59" s="41"/>
      <c r="AH59" s="41"/>
      <c r="AI59" s="41"/>
      <c r="AJ59" s="41"/>
      <c r="AK59" s="41"/>
      <c r="AL59" s="41"/>
      <c r="AM59" s="41"/>
      <c r="AN59" s="41"/>
      <c r="AO59" s="41"/>
      <c r="AP59" s="41"/>
      <c r="AQ59" s="41"/>
      <c r="AR59" s="41"/>
      <c r="AS59" s="41"/>
      <c r="AT59" s="41"/>
      <c r="AU59" s="41"/>
      <c r="AV59" s="41"/>
      <c r="AW59" s="41"/>
      <c r="AX59" s="41"/>
      <c r="AY59" s="41"/>
      <c r="AZ59" s="41"/>
      <c r="BA59" s="41"/>
      <c r="BB59" s="41"/>
      <c r="BC59" s="41"/>
      <c r="BD59" s="41"/>
      <c r="BE59" s="41"/>
      <c r="BF59" s="41"/>
      <c r="BG59" s="41"/>
      <c r="BH59" s="41"/>
      <c r="BI59" s="41"/>
      <c r="BJ59" s="41"/>
      <c r="BK59" s="41"/>
      <c r="BL59" s="41"/>
      <c r="BM59" s="41"/>
      <c r="BN59" s="41"/>
      <c r="BO59" s="41"/>
      <c r="BP59" s="41"/>
      <c r="BQ59" s="41"/>
      <c r="BR59" s="41"/>
      <c r="BS59" s="41"/>
      <c r="BT59" s="41"/>
      <c r="BU59" s="41"/>
      <c r="BV59" s="41"/>
      <c r="BW59" s="41"/>
      <c r="BX59" s="41"/>
      <c r="BY59" s="41"/>
      <c r="BZ59" s="41"/>
      <c r="CA59" s="41"/>
      <c r="CB59" s="41"/>
      <c r="CC59" s="41"/>
      <c r="CD59" s="41"/>
      <c r="CE59" s="41"/>
      <c r="CF59" s="41"/>
      <c r="CG59" s="41"/>
      <c r="CH59" s="41"/>
      <c r="CI59" s="41"/>
      <c r="CJ59" s="41"/>
      <c r="CK59" s="41"/>
      <c r="CL59" s="41"/>
      <c r="CM59" s="41"/>
      <c r="CN59" s="41"/>
      <c r="CO59" s="41"/>
      <c r="CP59" s="41"/>
    </row>
    <row r="60" spans="1:94" s="53" customFormat="1" ht="15.75" customHeight="1" x14ac:dyDescent="0.25">
      <c r="A60" s="75">
        <v>7</v>
      </c>
      <c r="B60" s="76"/>
      <c r="C60" s="54" t="str">
        <f>"FY "&amp;M4-1</f>
        <v>FY 2022</v>
      </c>
      <c r="D60" s="131" t="s">
        <v>53</v>
      </c>
      <c r="E60" s="135"/>
      <c r="F60" s="55">
        <f>SUM(F56:F59)</f>
        <v>1.2</v>
      </c>
      <c r="G60" s="80">
        <f>SUM(G56:G59)</f>
        <v>89200</v>
      </c>
      <c r="H60" s="80">
        <f>SUM(H56:H59)</f>
        <v>12800</v>
      </c>
      <c r="I60" s="260">
        <f>SUM(I56:I59)</f>
        <v>19000</v>
      </c>
      <c r="J60" s="80">
        <f>SUM(J56:J59)</f>
        <v>121100</v>
      </c>
      <c r="K60" s="263"/>
      <c r="L60" s="61"/>
      <c r="M60" s="61"/>
      <c r="N60" s="60"/>
      <c r="O60"/>
      <c r="P60"/>
      <c r="Q60"/>
      <c r="R60"/>
      <c r="S60"/>
      <c r="T60"/>
      <c r="U60"/>
      <c r="V60"/>
      <c r="W60"/>
      <c r="X60"/>
      <c r="Y60"/>
      <c r="Z60" s="344"/>
      <c r="AA60" s="363"/>
      <c r="AB60" s="363"/>
      <c r="AC60" s="363"/>
      <c r="AD60" s="110"/>
      <c r="AE60" s="41"/>
      <c r="AF60" s="41"/>
      <c r="AG60" s="41"/>
      <c r="AH60" s="41"/>
      <c r="AI60" s="41"/>
      <c r="AJ60" s="41"/>
      <c r="AK60" s="41"/>
      <c r="AL60" s="41"/>
      <c r="AM60" s="41"/>
      <c r="AN60" s="41"/>
      <c r="AO60" s="41"/>
      <c r="AP60" s="41"/>
      <c r="AQ60" s="41"/>
      <c r="AR60" s="41"/>
      <c r="AS60" s="41"/>
      <c r="AT60" s="41"/>
      <c r="AU60" s="41"/>
      <c r="AV60" s="41"/>
      <c r="AW60" s="41"/>
      <c r="AX60" s="41"/>
      <c r="AY60" s="41"/>
      <c r="AZ60" s="41"/>
      <c r="BA60" s="41"/>
      <c r="BB60" s="41"/>
      <c r="BC60" s="41"/>
      <c r="BD60" s="41"/>
      <c r="BE60" s="41"/>
      <c r="BF60" s="41"/>
      <c r="BG60" s="41"/>
      <c r="BH60" s="41"/>
      <c r="BI60" s="41"/>
      <c r="BJ60" s="41"/>
      <c r="BK60" s="41"/>
      <c r="BL60" s="41"/>
      <c r="BM60" s="41"/>
      <c r="BN60" s="41"/>
      <c r="BO60" s="41"/>
      <c r="BP60" s="41"/>
      <c r="BQ60" s="41"/>
      <c r="BR60" s="41"/>
      <c r="BS60" s="41"/>
      <c r="BT60" s="41"/>
      <c r="BU60" s="41"/>
      <c r="BV60" s="41"/>
      <c r="BW60" s="41"/>
      <c r="BX60" s="41"/>
      <c r="BY60" s="41"/>
      <c r="BZ60" s="41"/>
      <c r="CA60" s="41"/>
      <c r="CB60" s="41"/>
      <c r="CC60" s="41"/>
      <c r="CD60" s="41"/>
      <c r="CE60" s="41"/>
      <c r="CF60" s="41"/>
      <c r="CG60" s="41"/>
      <c r="CH60" s="41"/>
      <c r="CI60" s="41"/>
      <c r="CJ60" s="41"/>
      <c r="CK60" s="41"/>
      <c r="CL60" s="41"/>
      <c r="CM60" s="41"/>
      <c r="CN60" s="41"/>
      <c r="CO60" s="41"/>
      <c r="CP60" s="41"/>
    </row>
    <row r="61" spans="1:94" s="53" customFormat="1" ht="15.75" customHeight="1" x14ac:dyDescent="0.25">
      <c r="A61" s="85"/>
      <c r="B61" s="83"/>
      <c r="C61" s="419" t="s">
        <v>54</v>
      </c>
      <c r="D61" s="423"/>
      <c r="E61" s="367"/>
      <c r="F61" s="273"/>
      <c r="G61" s="62"/>
      <c r="H61" s="62"/>
      <c r="I61" s="62"/>
      <c r="J61" s="62"/>
      <c r="K61" s="62"/>
      <c r="L61" s="61"/>
      <c r="M61" s="61"/>
      <c r="N61" s="60"/>
      <c r="O61"/>
      <c r="P61"/>
      <c r="Q61"/>
      <c r="R61"/>
      <c r="S61"/>
      <c r="T61"/>
      <c r="U61"/>
      <c r="V61"/>
      <c r="W61"/>
      <c r="X61"/>
      <c r="Y61"/>
      <c r="Z61" s="344"/>
      <c r="AA61" s="363"/>
      <c r="AB61" s="363"/>
      <c r="AC61" s="363"/>
      <c r="AD61" s="110"/>
      <c r="AE61" s="41"/>
      <c r="AF61" s="41"/>
      <c r="AG61" s="41"/>
      <c r="AH61" s="41"/>
      <c r="AI61" s="41"/>
      <c r="AJ61" s="41"/>
      <c r="AK61" s="41"/>
      <c r="AL61" s="41"/>
      <c r="AM61" s="41"/>
      <c r="AN61" s="41"/>
      <c r="AO61" s="41"/>
      <c r="AP61" s="41"/>
      <c r="AQ61" s="41"/>
      <c r="AR61" s="41"/>
      <c r="AS61" s="41"/>
      <c r="AT61" s="41"/>
      <c r="AU61" s="41"/>
      <c r="AV61" s="41"/>
      <c r="AW61" s="41"/>
      <c r="AX61" s="41"/>
      <c r="AY61" s="41"/>
      <c r="AZ61" s="41"/>
      <c r="BA61" s="41"/>
      <c r="BB61" s="41"/>
      <c r="BC61" s="41"/>
      <c r="BD61" s="41"/>
      <c r="BE61" s="41"/>
      <c r="BF61" s="41"/>
      <c r="BG61" s="41"/>
      <c r="BH61" s="41"/>
      <c r="BI61" s="41"/>
      <c r="BJ61" s="41"/>
      <c r="BK61" s="41"/>
      <c r="BL61" s="41"/>
      <c r="BM61" s="41"/>
      <c r="BN61" s="41"/>
      <c r="BO61" s="41"/>
      <c r="BP61" s="41"/>
      <c r="BQ61" s="41"/>
      <c r="BR61" s="41"/>
      <c r="BS61" s="41"/>
      <c r="BT61" s="41"/>
      <c r="BU61" s="41"/>
      <c r="BV61" s="41"/>
      <c r="BW61" s="41"/>
      <c r="BX61" s="41"/>
      <c r="BY61" s="41"/>
      <c r="BZ61" s="41"/>
      <c r="CA61" s="41"/>
      <c r="CB61" s="41"/>
      <c r="CC61" s="41"/>
      <c r="CD61" s="41"/>
      <c r="CE61" s="41"/>
      <c r="CF61" s="41"/>
      <c r="CG61" s="41"/>
      <c r="CH61" s="41"/>
      <c r="CI61" s="41"/>
      <c r="CJ61" s="41"/>
      <c r="CK61" s="41"/>
      <c r="CL61" s="41"/>
      <c r="CM61" s="41"/>
      <c r="CN61" s="41"/>
      <c r="CO61" s="41"/>
      <c r="CP61" s="41"/>
    </row>
    <row r="62" spans="1:94" s="53" customFormat="1" ht="15.75" customHeight="1" x14ac:dyDescent="0.25">
      <c r="A62" s="85">
        <v>8.31</v>
      </c>
      <c r="B62" s="83"/>
      <c r="C62" s="408" t="s">
        <v>67</v>
      </c>
      <c r="D62" s="409"/>
      <c r="E62" s="102"/>
      <c r="F62" s="58">
        <v>0</v>
      </c>
      <c r="G62" s="88">
        <v>0</v>
      </c>
      <c r="H62" s="91">
        <v>0</v>
      </c>
      <c r="I62" s="276">
        <v>0</v>
      </c>
      <c r="J62" s="89">
        <f>SUM(G62:I62)</f>
        <v>0</v>
      </c>
      <c r="K62" s="62"/>
      <c r="L62" s="88"/>
      <c r="M62" s="261"/>
      <c r="N62" s="89">
        <f>SUM(L62:M62)</f>
        <v>0</v>
      </c>
      <c r="O62"/>
      <c r="P62"/>
      <c r="Q62"/>
      <c r="R62"/>
      <c r="S62"/>
      <c r="T62"/>
      <c r="U62"/>
      <c r="V62"/>
      <c r="W62"/>
      <c r="X62"/>
      <c r="Y62"/>
      <c r="Z62" s="344"/>
      <c r="AA62" s="363"/>
      <c r="AB62" s="363"/>
      <c r="AC62" s="363"/>
      <c r="AD62" s="110"/>
      <c r="AE62" s="41"/>
      <c r="AF62" s="41"/>
      <c r="AG62" s="41"/>
      <c r="AH62" s="41"/>
      <c r="AI62" s="41"/>
      <c r="AJ62" s="41"/>
      <c r="AK62" s="41"/>
      <c r="AL62" s="41"/>
      <c r="AM62" s="41"/>
      <c r="AN62" s="41"/>
      <c r="AO62" s="41"/>
      <c r="AP62" s="41"/>
      <c r="AQ62" s="41"/>
      <c r="AR62" s="41"/>
      <c r="AS62" s="41"/>
      <c r="AT62" s="41"/>
      <c r="AU62" s="41"/>
      <c r="AV62" s="41"/>
      <c r="AW62" s="41"/>
      <c r="AX62" s="41"/>
      <c r="AY62" s="41"/>
      <c r="AZ62" s="41"/>
      <c r="BA62" s="41"/>
      <c r="BB62" s="41"/>
      <c r="BC62" s="41"/>
      <c r="BD62" s="41"/>
      <c r="BE62" s="41"/>
      <c r="BF62" s="41"/>
      <c r="BG62" s="41"/>
      <c r="BH62" s="41"/>
      <c r="BI62" s="41"/>
      <c r="BJ62" s="41"/>
      <c r="BK62" s="41"/>
      <c r="BL62" s="41"/>
      <c r="BM62" s="41"/>
      <c r="BN62" s="41"/>
      <c r="BO62" s="41"/>
      <c r="BP62" s="41"/>
      <c r="BQ62" s="41"/>
      <c r="BR62" s="41"/>
      <c r="BS62" s="41"/>
      <c r="BT62" s="41"/>
      <c r="BU62" s="41"/>
      <c r="BV62" s="41"/>
      <c r="BW62" s="41"/>
      <c r="BX62" s="41"/>
      <c r="BY62" s="41"/>
      <c r="BZ62" s="41"/>
      <c r="CA62" s="41"/>
      <c r="CB62" s="41"/>
      <c r="CC62" s="41"/>
      <c r="CD62" s="41"/>
      <c r="CE62" s="41"/>
      <c r="CF62" s="41"/>
      <c r="CG62" s="41"/>
      <c r="CH62" s="41"/>
      <c r="CI62" s="41"/>
      <c r="CJ62" s="41"/>
      <c r="CK62" s="41"/>
      <c r="CL62" s="41"/>
      <c r="CM62" s="41"/>
      <c r="CN62" s="41"/>
      <c r="CO62" s="41"/>
      <c r="CP62" s="41"/>
    </row>
    <row r="63" spans="1:94" s="53" customFormat="1" ht="15.75" customHeight="1" x14ac:dyDescent="0.25">
      <c r="A63" s="85">
        <v>8.41</v>
      </c>
      <c r="B63" s="83"/>
      <c r="C63" s="408" t="s">
        <v>55</v>
      </c>
      <c r="D63" s="409"/>
      <c r="E63" s="102"/>
      <c r="F63" s="58">
        <v>0</v>
      </c>
      <c r="G63" s="89">
        <f>ROUND((OneTimePC_Total-H63)/(1+(PermVB+Retire1)),-2)</f>
        <v>0</v>
      </c>
      <c r="H63" s="89">
        <f>ROUND(IF(AND(F63&lt;0,OneTimePC_Total&lt;0),F63*Health,0),-2)</f>
        <v>0</v>
      </c>
      <c r="I63" s="310">
        <f>OneTimePC_Total-G63-H63</f>
        <v>0</v>
      </c>
      <c r="J63" s="89">
        <v>0</v>
      </c>
      <c r="K63" s="308"/>
      <c r="L63" s="88"/>
      <c r="M63" s="261"/>
      <c r="N63" s="89">
        <f>SUM(L63:M63)</f>
        <v>0</v>
      </c>
      <c r="O63"/>
      <c r="P63"/>
      <c r="Q63"/>
      <c r="R63"/>
      <c r="S63"/>
      <c r="T63"/>
      <c r="U63"/>
      <c r="V63"/>
      <c r="W63"/>
      <c r="X63"/>
      <c r="Y63"/>
      <c r="Z63" s="344"/>
      <c r="AA63" s="363"/>
      <c r="AB63" s="363"/>
      <c r="AC63" s="363"/>
      <c r="AD63" s="110"/>
      <c r="AE63" s="41"/>
      <c r="AF63" s="41"/>
      <c r="AG63" s="41"/>
      <c r="AH63" s="41"/>
      <c r="AI63" s="41"/>
      <c r="AJ63" s="41"/>
      <c r="AK63" s="41"/>
      <c r="AL63" s="41"/>
      <c r="AM63" s="41"/>
      <c r="AN63" s="41"/>
      <c r="AO63" s="41"/>
      <c r="AP63" s="41"/>
      <c r="AQ63" s="41"/>
      <c r="AR63" s="41"/>
      <c r="AS63" s="41"/>
      <c r="AT63" s="41"/>
      <c r="AU63" s="41"/>
      <c r="AV63" s="41"/>
      <c r="AW63" s="41"/>
      <c r="AX63" s="41"/>
      <c r="AY63" s="41"/>
      <c r="AZ63" s="41"/>
      <c r="BA63" s="41"/>
      <c r="BB63" s="41"/>
      <c r="BC63" s="41"/>
      <c r="BD63" s="41"/>
      <c r="BE63" s="41"/>
      <c r="BF63" s="41"/>
      <c r="BG63" s="41"/>
      <c r="BH63" s="41"/>
      <c r="BI63" s="41"/>
      <c r="BJ63" s="41"/>
      <c r="BK63" s="41"/>
      <c r="BL63" s="41"/>
      <c r="BM63" s="41"/>
      <c r="BN63" s="41"/>
      <c r="BO63" s="41"/>
      <c r="BP63" s="41"/>
      <c r="BQ63" s="41"/>
      <c r="BR63" s="41"/>
      <c r="BS63" s="41"/>
      <c r="BT63" s="41"/>
      <c r="BU63" s="41"/>
      <c r="BV63" s="41"/>
      <c r="BW63" s="41"/>
      <c r="BX63" s="41"/>
      <c r="BY63" s="41"/>
      <c r="BZ63" s="41"/>
      <c r="CA63" s="41"/>
      <c r="CB63" s="41"/>
      <c r="CC63" s="41"/>
      <c r="CD63" s="41"/>
      <c r="CE63" s="41"/>
      <c r="CF63" s="41"/>
      <c r="CG63" s="41"/>
      <c r="CH63" s="41"/>
      <c r="CI63" s="41"/>
      <c r="CJ63" s="41"/>
      <c r="CK63" s="41"/>
      <c r="CL63" s="41"/>
      <c r="CM63" s="41"/>
      <c r="CN63" s="41"/>
      <c r="CO63" s="41"/>
      <c r="CP63" s="41"/>
    </row>
    <row r="64" spans="1:94" s="53" customFormat="1" ht="15.75" customHeight="1" thickBot="1" x14ac:dyDescent="0.3">
      <c r="A64" s="93">
        <v>8.51</v>
      </c>
      <c r="B64" s="93"/>
      <c r="C64" s="413" t="s">
        <v>56</v>
      </c>
      <c r="D64" s="414"/>
      <c r="E64" s="134"/>
      <c r="F64" s="58">
        <v>0</v>
      </c>
      <c r="G64" s="88"/>
      <c r="H64" s="88">
        <v>0</v>
      </c>
      <c r="I64" s="265"/>
      <c r="J64" s="89">
        <f>SUM(G64:I64)</f>
        <v>0</v>
      </c>
      <c r="K64" s="62"/>
      <c r="L64" s="88"/>
      <c r="M64" s="261"/>
      <c r="N64" s="89">
        <f>SUM(L64:M64)</f>
        <v>0</v>
      </c>
      <c r="O64"/>
      <c r="P64"/>
      <c r="Q64"/>
      <c r="R64"/>
      <c r="S64"/>
      <c r="T64"/>
      <c r="U64"/>
      <c r="V64"/>
      <c r="W64"/>
      <c r="X64"/>
      <c r="Y64"/>
      <c r="Z64" s="344"/>
      <c r="AA64" s="363"/>
      <c r="AB64" s="363"/>
      <c r="AC64" s="363"/>
      <c r="AD64" s="110"/>
      <c r="AE64" s="41"/>
      <c r="AF64" s="41"/>
      <c r="AG64" s="41"/>
      <c r="AH64" s="41"/>
      <c r="AI64" s="41"/>
      <c r="AJ64" s="41"/>
      <c r="AK64" s="41"/>
      <c r="AL64" s="41"/>
      <c r="AM64" s="41"/>
      <c r="AN64" s="41"/>
      <c r="AO64" s="41"/>
      <c r="AP64" s="41"/>
      <c r="AQ64" s="41"/>
      <c r="AR64" s="41"/>
      <c r="AS64" s="41"/>
      <c r="AT64" s="41"/>
      <c r="AU64" s="41"/>
      <c r="AV64" s="41"/>
      <c r="AW64" s="41"/>
      <c r="AX64" s="41"/>
      <c r="AY64" s="41"/>
      <c r="AZ64" s="41"/>
      <c r="BA64" s="41"/>
      <c r="BB64" s="41"/>
      <c r="BC64" s="41"/>
      <c r="BD64" s="41"/>
      <c r="BE64" s="41"/>
      <c r="BF64" s="41"/>
      <c r="BG64" s="41"/>
      <c r="BH64" s="41"/>
      <c r="BI64" s="41"/>
      <c r="BJ64" s="41"/>
      <c r="BK64" s="41"/>
      <c r="BL64" s="41"/>
      <c r="BM64" s="41"/>
      <c r="BN64" s="41"/>
      <c r="BO64" s="41"/>
      <c r="BP64" s="41"/>
      <c r="BQ64" s="41"/>
      <c r="BR64" s="41"/>
      <c r="BS64" s="41"/>
      <c r="BT64" s="41"/>
      <c r="BU64" s="41"/>
      <c r="BV64" s="41"/>
      <c r="BW64" s="41"/>
      <c r="BX64" s="41"/>
      <c r="BY64" s="41"/>
      <c r="BZ64" s="41"/>
      <c r="CA64" s="41"/>
      <c r="CB64" s="41"/>
      <c r="CC64" s="41"/>
      <c r="CD64" s="41"/>
      <c r="CE64" s="41"/>
      <c r="CF64" s="41"/>
      <c r="CG64" s="41"/>
      <c r="CH64" s="41"/>
      <c r="CI64" s="41"/>
      <c r="CJ64" s="41"/>
      <c r="CK64" s="41"/>
      <c r="CL64" s="41"/>
      <c r="CM64" s="41"/>
      <c r="CN64" s="41"/>
      <c r="CO64" s="41"/>
      <c r="CP64" s="41"/>
    </row>
    <row r="65" spans="1:94" s="53" customFormat="1" ht="6" customHeight="1" thickTop="1" x14ac:dyDescent="0.25">
      <c r="A65" s="94"/>
      <c r="B65" s="95"/>
      <c r="C65" s="415"/>
      <c r="D65" s="416"/>
      <c r="E65" s="96"/>
      <c r="F65" s="97"/>
      <c r="G65" s="98"/>
      <c r="H65" s="98"/>
      <c r="I65" s="98"/>
      <c r="J65" s="98"/>
      <c r="K65" s="98"/>
      <c r="L65" s="98"/>
      <c r="M65" s="99"/>
      <c r="N65" s="95"/>
      <c r="O65"/>
      <c r="P65"/>
      <c r="Q65"/>
      <c r="R65"/>
      <c r="S65"/>
      <c r="T65"/>
      <c r="U65"/>
      <c r="V65"/>
      <c r="W65"/>
      <c r="X65"/>
      <c r="Y65"/>
      <c r="Z65" s="344"/>
      <c r="AA65" s="363"/>
      <c r="AB65" s="363"/>
      <c r="AC65" s="363"/>
      <c r="AD65" s="110"/>
      <c r="AE65" s="41"/>
      <c r="AF65" s="41"/>
      <c r="AG65" s="41"/>
      <c r="AH65" s="41"/>
      <c r="AI65" s="41"/>
      <c r="AJ65" s="41"/>
      <c r="AK65" s="41"/>
      <c r="AL65" s="41"/>
      <c r="AM65" s="41"/>
      <c r="AN65" s="41"/>
      <c r="AO65" s="41"/>
      <c r="AP65" s="41"/>
      <c r="AQ65" s="41"/>
      <c r="AR65" s="41"/>
      <c r="AS65" s="41"/>
      <c r="AT65" s="41"/>
      <c r="AU65" s="41"/>
      <c r="AV65" s="41"/>
      <c r="AW65" s="41"/>
      <c r="AX65" s="41"/>
      <c r="AY65" s="41"/>
      <c r="AZ65" s="41"/>
      <c r="BA65" s="41"/>
      <c r="BB65" s="41"/>
      <c r="BC65" s="41"/>
      <c r="BD65" s="41"/>
      <c r="BE65" s="41"/>
      <c r="BF65" s="41"/>
      <c r="BG65" s="41"/>
      <c r="BH65" s="41"/>
      <c r="BI65" s="41"/>
      <c r="BJ65" s="41"/>
      <c r="BK65" s="41"/>
      <c r="BL65" s="41"/>
      <c r="BM65" s="41"/>
      <c r="BN65" s="41"/>
      <c r="BO65" s="41"/>
      <c r="BP65" s="41"/>
      <c r="BQ65" s="41"/>
      <c r="BR65" s="41"/>
      <c r="BS65" s="41"/>
      <c r="BT65" s="41"/>
      <c r="BU65" s="41"/>
      <c r="BV65" s="41"/>
      <c r="BW65" s="41"/>
      <c r="BX65" s="41"/>
      <c r="BY65" s="41"/>
      <c r="BZ65" s="41"/>
      <c r="CA65" s="41"/>
      <c r="CB65" s="41"/>
      <c r="CC65" s="41"/>
      <c r="CD65" s="41"/>
      <c r="CE65" s="41"/>
      <c r="CF65" s="41"/>
      <c r="CG65" s="41"/>
      <c r="CH65" s="41"/>
      <c r="CI65" s="41"/>
      <c r="CJ65" s="41"/>
      <c r="CK65" s="41"/>
      <c r="CL65" s="41"/>
      <c r="CM65" s="41"/>
      <c r="CN65" s="41"/>
      <c r="CO65" s="41"/>
      <c r="CP65" s="41"/>
    </row>
    <row r="66" spans="1:94" s="107" customFormat="1" ht="15" x14ac:dyDescent="0.25">
      <c r="A66" s="100"/>
      <c r="B66" s="101"/>
      <c r="C66" s="417"/>
      <c r="D66" s="418"/>
      <c r="E66" s="102"/>
      <c r="F66" s="103" t="s">
        <v>24</v>
      </c>
      <c r="G66" s="104" t="str">
        <f>"FY "&amp;M4-2000&amp;" Salary"</f>
        <v>FY 23 Salary</v>
      </c>
      <c r="H66" s="104" t="str">
        <f>"FY"&amp;M4-2000&amp;" Health Ben"</f>
        <v>FY23 Health Ben</v>
      </c>
      <c r="I66" s="104" t="str">
        <f>"FY "&amp;M4-2000&amp;" Var Ben"</f>
        <v>FY 23 Var Ben</v>
      </c>
      <c r="J66" s="104" t="str">
        <f>"FY "&amp;M4&amp;" Total"</f>
        <v>FY 2023 Total</v>
      </c>
      <c r="K66" s="104"/>
      <c r="L66" s="105"/>
      <c r="M66" s="105"/>
      <c r="N66" s="101"/>
      <c r="O66"/>
      <c r="P66"/>
      <c r="Q66"/>
      <c r="R66"/>
      <c r="S66"/>
      <c r="T66"/>
      <c r="U66"/>
      <c r="V66"/>
      <c r="W66"/>
      <c r="X66"/>
      <c r="Y66"/>
      <c r="Z66" s="344"/>
      <c r="AA66" s="339"/>
      <c r="AB66" s="339"/>
      <c r="AC66" s="339"/>
      <c r="AD66" s="105"/>
      <c r="AE66" s="106"/>
      <c r="AF66" s="106"/>
      <c r="AG66" s="106"/>
      <c r="AH66" s="106"/>
      <c r="AI66" s="106"/>
      <c r="AJ66" s="106"/>
      <c r="AK66" s="106"/>
      <c r="AL66" s="106"/>
      <c r="AM66" s="106"/>
      <c r="AN66" s="106"/>
      <c r="AO66" s="106"/>
      <c r="AP66" s="106"/>
      <c r="AQ66" s="106"/>
      <c r="AR66" s="106"/>
      <c r="AS66" s="106"/>
      <c r="AT66" s="106"/>
      <c r="AU66" s="106"/>
      <c r="AV66" s="106"/>
      <c r="AW66" s="106"/>
      <c r="AX66" s="106"/>
      <c r="AY66" s="106"/>
      <c r="AZ66" s="106"/>
      <c r="BA66" s="106"/>
      <c r="BB66" s="106"/>
      <c r="BC66" s="106"/>
      <c r="BD66" s="106"/>
      <c r="BE66" s="106"/>
      <c r="BF66" s="106"/>
      <c r="BG66" s="106"/>
      <c r="BH66" s="106"/>
      <c r="BI66" s="106"/>
      <c r="BJ66" s="106"/>
      <c r="BK66" s="106"/>
      <c r="BL66" s="106"/>
      <c r="BM66" s="106"/>
      <c r="BN66" s="106"/>
      <c r="BO66" s="106"/>
      <c r="BP66" s="106"/>
      <c r="BQ66" s="106"/>
      <c r="BR66" s="106"/>
      <c r="BS66" s="106"/>
      <c r="BT66" s="106"/>
      <c r="BU66" s="106"/>
      <c r="BV66" s="106"/>
      <c r="BW66" s="106"/>
      <c r="BX66" s="106"/>
      <c r="BY66" s="106"/>
      <c r="BZ66" s="106"/>
      <c r="CA66" s="106"/>
      <c r="CB66" s="106"/>
      <c r="CC66" s="106"/>
      <c r="CD66" s="106"/>
      <c r="CE66" s="106"/>
      <c r="CF66" s="106"/>
      <c r="CG66" s="106"/>
      <c r="CH66" s="106"/>
      <c r="CI66" s="106"/>
      <c r="CJ66" s="106"/>
      <c r="CK66" s="106"/>
      <c r="CL66" s="106"/>
      <c r="CM66" s="106"/>
      <c r="CN66" s="106"/>
      <c r="CO66" s="106"/>
      <c r="CP66" s="106"/>
    </row>
    <row r="67" spans="1:94" s="53" customFormat="1" ht="15" x14ac:dyDescent="0.25">
      <c r="A67" s="82">
        <v>9</v>
      </c>
      <c r="B67" s="83"/>
      <c r="C67" s="84" t="str">
        <f>"FY "&amp;M4</f>
        <v>FY 2023</v>
      </c>
      <c r="D67" s="108" t="s">
        <v>57</v>
      </c>
      <c r="E67" s="109"/>
      <c r="F67" s="55">
        <f>SUM(F60:F64)</f>
        <v>1.2</v>
      </c>
      <c r="G67" s="80">
        <f>SUM(G60:G64)</f>
        <v>89200</v>
      </c>
      <c r="H67" s="80">
        <f>SUM(H60:H64)</f>
        <v>12800</v>
      </c>
      <c r="I67" s="80">
        <f>SUM(I60:I64)</f>
        <v>19000</v>
      </c>
      <c r="J67" s="80">
        <f>SUM(J60:J64)</f>
        <v>121100</v>
      </c>
      <c r="K67" s="263"/>
      <c r="L67" s="110"/>
      <c r="M67" s="110"/>
      <c r="N67" s="111"/>
      <c r="O67"/>
      <c r="P67"/>
      <c r="Q67"/>
      <c r="R67"/>
      <c r="S67"/>
      <c r="T67"/>
      <c r="U67"/>
      <c r="V67"/>
      <c r="W67"/>
      <c r="X67"/>
      <c r="Y67"/>
      <c r="Z67" s="344"/>
      <c r="AA67" s="363"/>
      <c r="AB67" s="363"/>
      <c r="AC67" s="363"/>
      <c r="AD67" s="110"/>
      <c r="AE67" s="41"/>
      <c r="AF67" s="41"/>
      <c r="AG67" s="41"/>
      <c r="AH67" s="41"/>
      <c r="AI67" s="41"/>
      <c r="AJ67" s="41"/>
      <c r="AK67" s="41"/>
      <c r="AL67" s="41"/>
      <c r="AM67" s="41"/>
      <c r="AN67" s="41"/>
      <c r="AO67" s="41"/>
      <c r="AP67" s="41"/>
      <c r="AQ67" s="41"/>
      <c r="AR67" s="41"/>
      <c r="AS67" s="41"/>
      <c r="AT67" s="41"/>
      <c r="AU67" s="41"/>
      <c r="AV67" s="41"/>
      <c r="AW67" s="41"/>
      <c r="AX67" s="41"/>
      <c r="AY67" s="41"/>
      <c r="AZ67" s="41"/>
      <c r="BA67" s="41"/>
      <c r="BB67" s="41"/>
      <c r="BC67" s="41"/>
      <c r="BD67" s="41"/>
      <c r="BE67" s="41"/>
      <c r="BF67" s="41"/>
      <c r="BG67" s="41"/>
      <c r="BH67" s="41"/>
      <c r="BI67" s="41"/>
      <c r="BJ67" s="41"/>
      <c r="BK67" s="41"/>
      <c r="BL67" s="41"/>
      <c r="BM67" s="41"/>
      <c r="BN67" s="41"/>
      <c r="BO67" s="41"/>
      <c r="BP67" s="41"/>
      <c r="BQ67" s="41"/>
      <c r="BR67" s="41"/>
      <c r="BS67" s="41"/>
      <c r="BT67" s="41"/>
      <c r="BU67" s="41"/>
      <c r="BV67" s="41"/>
      <c r="BW67" s="41"/>
      <c r="BX67" s="41"/>
      <c r="BY67" s="41"/>
      <c r="BZ67" s="41"/>
      <c r="CA67" s="41"/>
      <c r="CB67" s="41"/>
      <c r="CC67" s="41"/>
      <c r="CD67" s="41"/>
      <c r="CE67" s="41"/>
      <c r="CF67" s="41"/>
      <c r="CG67" s="41"/>
      <c r="CH67" s="41"/>
      <c r="CI67" s="41"/>
      <c r="CJ67" s="41"/>
      <c r="CK67" s="41"/>
      <c r="CL67" s="41"/>
      <c r="CM67" s="41"/>
      <c r="CN67" s="41"/>
      <c r="CO67" s="41"/>
      <c r="CP67" s="41"/>
    </row>
    <row r="68" spans="1:94" s="53" customFormat="1" ht="15.75" customHeight="1" x14ac:dyDescent="0.25">
      <c r="A68" s="85">
        <v>10.11</v>
      </c>
      <c r="B68" s="83"/>
      <c r="C68" s="419" t="s">
        <v>58</v>
      </c>
      <c r="D68" s="420"/>
      <c r="E68" s="112"/>
      <c r="F68" s="288"/>
      <c r="G68" s="287"/>
      <c r="H68" s="113">
        <f>IF(DUNine=0,0,ROUND(SUM(L41:L65),-2))</f>
        <v>0</v>
      </c>
      <c r="I68" s="113"/>
      <c r="J68" s="287">
        <f>SUM(G68:I68)</f>
        <v>0</v>
      </c>
      <c r="K68" s="291"/>
      <c r="L68" s="292"/>
      <c r="M68" s="292"/>
      <c r="N68" s="293"/>
      <c r="O68"/>
      <c r="P68"/>
      <c r="Q68"/>
      <c r="R68"/>
      <c r="S68"/>
      <c r="T68"/>
      <c r="U68"/>
      <c r="V68"/>
      <c r="W68"/>
      <c r="X68"/>
      <c r="Y68"/>
      <c r="Z68" s="344"/>
      <c r="AA68" s="363"/>
      <c r="AB68" s="363"/>
      <c r="AC68" s="363"/>
      <c r="AD68" s="110"/>
      <c r="AE68" s="41"/>
      <c r="AF68" s="41"/>
      <c r="AG68" s="41"/>
      <c r="AH68" s="41"/>
      <c r="AI68" s="41"/>
      <c r="AJ68" s="41"/>
      <c r="AK68" s="41"/>
      <c r="AL68" s="41"/>
      <c r="AM68" s="41"/>
      <c r="AN68" s="41"/>
      <c r="AO68" s="41"/>
      <c r="AP68" s="41"/>
      <c r="AQ68" s="41"/>
      <c r="AR68" s="41"/>
      <c r="AS68" s="41"/>
      <c r="AT68" s="41"/>
      <c r="AU68" s="41"/>
      <c r="AV68" s="41"/>
      <c r="AW68" s="41"/>
      <c r="AX68" s="41"/>
      <c r="AY68" s="41"/>
      <c r="AZ68" s="41"/>
      <c r="BA68" s="41"/>
      <c r="BB68" s="41"/>
      <c r="BC68" s="41"/>
      <c r="BD68" s="41"/>
      <c r="BE68" s="41"/>
      <c r="BF68" s="41"/>
      <c r="BG68" s="41"/>
      <c r="BH68" s="41"/>
      <c r="BI68" s="41"/>
      <c r="BJ68" s="41"/>
      <c r="BK68" s="41"/>
      <c r="BL68" s="41"/>
      <c r="BM68" s="41"/>
      <c r="BN68" s="41"/>
      <c r="BO68" s="41"/>
      <c r="BP68" s="41"/>
      <c r="BQ68" s="41"/>
      <c r="BR68" s="41"/>
      <c r="BS68" s="41"/>
      <c r="BT68" s="41"/>
      <c r="BU68" s="41"/>
      <c r="BV68" s="41"/>
      <c r="BW68" s="41"/>
      <c r="BX68" s="41"/>
      <c r="BY68" s="41"/>
      <c r="BZ68" s="41"/>
      <c r="CA68" s="41"/>
      <c r="CB68" s="41"/>
      <c r="CC68" s="41"/>
      <c r="CD68" s="41"/>
      <c r="CE68" s="41"/>
      <c r="CF68" s="41"/>
      <c r="CG68" s="41"/>
      <c r="CH68" s="41"/>
      <c r="CI68" s="41"/>
      <c r="CJ68" s="41"/>
      <c r="CK68" s="41"/>
      <c r="CL68" s="41"/>
      <c r="CM68" s="41"/>
      <c r="CN68" s="41"/>
      <c r="CO68" s="41"/>
      <c r="CP68" s="41"/>
    </row>
    <row r="69" spans="1:94" s="53" customFormat="1" ht="15" x14ac:dyDescent="0.25">
      <c r="A69" s="85">
        <v>10.119999999999999</v>
      </c>
      <c r="B69" s="83"/>
      <c r="C69" s="419" t="s">
        <v>59</v>
      </c>
      <c r="D69" s="420"/>
      <c r="E69" s="112"/>
      <c r="F69" s="288"/>
      <c r="G69" s="113"/>
      <c r="H69" s="113"/>
      <c r="I69" s="113">
        <f>IF(DUNine=0,0,ROUND(SUM(M41:M64),-2))</f>
        <v>-200</v>
      </c>
      <c r="J69" s="287">
        <f>SUM(G69:I69)</f>
        <v>-200</v>
      </c>
      <c r="K69" s="291"/>
      <c r="L69" s="292"/>
      <c r="M69" s="292"/>
      <c r="N69" s="293"/>
      <c r="O69"/>
      <c r="P69"/>
      <c r="Q69"/>
      <c r="R69"/>
      <c r="S69"/>
      <c r="T69"/>
      <c r="U69"/>
      <c r="V69"/>
      <c r="W69"/>
      <c r="X69"/>
      <c r="Y69"/>
      <c r="Z69" s="344"/>
      <c r="AA69" s="363"/>
      <c r="AB69" s="363"/>
      <c r="AC69" s="363"/>
      <c r="AD69" s="110"/>
      <c r="AE69" s="41"/>
      <c r="AF69" s="41"/>
      <c r="AG69" s="41"/>
      <c r="AH69" s="41"/>
      <c r="AI69" s="41"/>
      <c r="AJ69" s="41"/>
      <c r="AK69" s="41"/>
      <c r="AL69" s="41"/>
      <c r="AM69" s="41"/>
      <c r="AN69" s="41"/>
      <c r="AO69" s="41"/>
      <c r="AP69" s="41"/>
      <c r="AQ69" s="41"/>
      <c r="AR69" s="41"/>
      <c r="AS69" s="41"/>
      <c r="AT69" s="41"/>
      <c r="AU69" s="41"/>
      <c r="AV69" s="41"/>
      <c r="AW69" s="41"/>
      <c r="AX69" s="41"/>
      <c r="AY69" s="41"/>
      <c r="AZ69" s="41"/>
      <c r="BA69" s="41"/>
      <c r="BB69" s="41"/>
      <c r="BC69" s="41"/>
      <c r="BD69" s="41"/>
      <c r="BE69" s="41"/>
      <c r="BF69" s="41"/>
      <c r="BG69" s="41"/>
      <c r="BH69" s="41"/>
      <c r="BI69" s="41"/>
      <c r="BJ69" s="41"/>
      <c r="BK69" s="41"/>
      <c r="BL69" s="41"/>
      <c r="BM69" s="41"/>
      <c r="BN69" s="41"/>
      <c r="BO69" s="41"/>
      <c r="BP69" s="41"/>
      <c r="BQ69" s="41"/>
      <c r="BR69" s="41"/>
      <c r="BS69" s="41"/>
      <c r="BT69" s="41"/>
      <c r="BU69" s="41"/>
      <c r="BV69" s="41"/>
      <c r="BW69" s="41"/>
      <c r="BX69" s="41"/>
      <c r="BY69" s="41"/>
      <c r="BZ69" s="41"/>
      <c r="CA69" s="41"/>
      <c r="CB69" s="41"/>
      <c r="CC69" s="41"/>
      <c r="CD69" s="41"/>
      <c r="CE69" s="41"/>
      <c r="CF69" s="41"/>
      <c r="CG69" s="41"/>
      <c r="CH69" s="41"/>
      <c r="CI69" s="41"/>
      <c r="CJ69" s="41"/>
      <c r="CK69" s="41"/>
      <c r="CL69" s="41"/>
      <c r="CM69" s="41"/>
      <c r="CN69" s="41"/>
      <c r="CO69" s="41"/>
      <c r="CP69" s="41"/>
    </row>
    <row r="70" spans="1:94" s="53" customFormat="1" ht="15" x14ac:dyDescent="0.25">
      <c r="A70" s="85"/>
      <c r="B70" s="83"/>
      <c r="C70" s="406"/>
      <c r="D70" s="407"/>
      <c r="E70" s="236" t="s">
        <v>23</v>
      </c>
      <c r="F70" s="288"/>
      <c r="G70" s="113"/>
      <c r="H70" s="113"/>
      <c r="I70" s="113"/>
      <c r="J70" s="287">
        <f>SUM(G70:I70)</f>
        <v>0</v>
      </c>
      <c r="K70" s="291"/>
      <c r="L70" s="292"/>
      <c r="M70" s="294"/>
      <c r="N70" s="295"/>
      <c r="O70"/>
      <c r="P70"/>
      <c r="Q70"/>
      <c r="R70"/>
      <c r="S70"/>
      <c r="T70"/>
      <c r="U70"/>
      <c r="V70"/>
      <c r="W70"/>
      <c r="X70"/>
      <c r="Y70"/>
      <c r="Z70" s="344"/>
      <c r="AA70" s="363"/>
      <c r="AB70" s="363"/>
      <c r="AC70" s="363"/>
      <c r="AD70" s="110"/>
      <c r="AE70" s="41"/>
      <c r="AF70" s="41"/>
      <c r="AG70" s="41"/>
      <c r="AH70" s="41"/>
      <c r="AI70" s="41"/>
      <c r="AJ70" s="41"/>
      <c r="AK70" s="41"/>
      <c r="AL70" s="41"/>
      <c r="AM70" s="41"/>
      <c r="AN70" s="41"/>
      <c r="AO70" s="41"/>
      <c r="AP70" s="41"/>
      <c r="AQ70" s="41"/>
      <c r="AR70" s="41"/>
      <c r="AS70" s="41"/>
      <c r="AT70" s="41"/>
      <c r="AU70" s="41"/>
      <c r="AV70" s="41"/>
      <c r="AW70" s="41"/>
      <c r="AX70" s="41"/>
      <c r="AY70" s="41"/>
      <c r="AZ70" s="41"/>
      <c r="BA70" s="41"/>
      <c r="BB70" s="41"/>
      <c r="BC70" s="41"/>
      <c r="BD70" s="41"/>
      <c r="BE70" s="41"/>
      <c r="BF70" s="41"/>
      <c r="BG70" s="41"/>
      <c r="BH70" s="41"/>
      <c r="BI70" s="41"/>
      <c r="BJ70" s="41"/>
      <c r="BK70" s="41"/>
      <c r="BL70" s="41"/>
      <c r="BM70" s="41"/>
      <c r="BN70" s="41"/>
      <c r="BO70" s="41"/>
      <c r="BP70" s="41"/>
      <c r="BQ70" s="41"/>
      <c r="BR70" s="41"/>
      <c r="BS70" s="41"/>
      <c r="BT70" s="41"/>
      <c r="BU70" s="41"/>
      <c r="BV70" s="41"/>
      <c r="BW70" s="41"/>
      <c r="BX70" s="41"/>
      <c r="BY70" s="41"/>
      <c r="BZ70" s="41"/>
      <c r="CA70" s="41"/>
      <c r="CB70" s="41"/>
      <c r="CC70" s="41"/>
      <c r="CD70" s="41"/>
      <c r="CE70" s="41"/>
      <c r="CF70" s="41"/>
      <c r="CG70" s="41"/>
      <c r="CH70" s="41"/>
      <c r="CI70" s="41"/>
      <c r="CJ70" s="41"/>
      <c r="CK70" s="41"/>
      <c r="CL70" s="41"/>
      <c r="CM70" s="41"/>
      <c r="CN70" s="41"/>
      <c r="CO70" s="41"/>
      <c r="CP70" s="41"/>
    </row>
    <row r="71" spans="1:94" s="53" customFormat="1" ht="15.75" customHeight="1" x14ac:dyDescent="0.25">
      <c r="A71" s="85">
        <v>10.51</v>
      </c>
      <c r="B71" s="83"/>
      <c r="C71" s="408" t="s">
        <v>60</v>
      </c>
      <c r="D71" s="409"/>
      <c r="E71" s="237"/>
      <c r="F71" s="288"/>
      <c r="G71" s="92">
        <v>0</v>
      </c>
      <c r="H71" s="92">
        <v>0</v>
      </c>
      <c r="I71" s="287">
        <f>ROUND(IF(AND($G71&lt;&gt;0,$E71=1),$G71*PermVBBY+$G71*Retire1BY,IF(AND($G71&lt;&gt;0,$E71=2),$G71*GroupVBBY,IF(AND($G71&lt;&gt;0,$E71=3),$G71*ElectVBBY+$G71*Retire1BY,0))),-2)</f>
        <v>0</v>
      </c>
      <c r="J71" s="113">
        <f t="shared" ref="J71:J74" si="11">SUM(G71:I71)</f>
        <v>0</v>
      </c>
      <c r="K71" s="296"/>
      <c r="L71" s="297"/>
      <c r="M71" s="348" t="s">
        <v>112</v>
      </c>
      <c r="N71" s="356"/>
      <c r="O71" s="357"/>
      <c r="P71" s="357"/>
      <c r="Q71"/>
      <c r="R71"/>
      <c r="S71"/>
      <c r="T71"/>
      <c r="U71"/>
      <c r="V71"/>
      <c r="W71"/>
      <c r="X71"/>
      <c r="Y71"/>
      <c r="Z71" s="344"/>
      <c r="AA71" s="363"/>
      <c r="AB71" s="363"/>
      <c r="AC71" s="363"/>
      <c r="AD71" s="110"/>
      <c r="AE71" s="41"/>
      <c r="AF71" s="41"/>
      <c r="AG71" s="41"/>
      <c r="AH71" s="41"/>
      <c r="AI71" s="41"/>
      <c r="AJ71" s="41"/>
      <c r="AK71" s="41"/>
      <c r="AL71" s="41"/>
      <c r="AM71" s="41"/>
      <c r="AN71" s="41"/>
      <c r="AO71" s="41"/>
      <c r="AP71" s="41"/>
      <c r="AQ71" s="41"/>
      <c r="AR71" s="41"/>
      <c r="AS71" s="41"/>
      <c r="AT71" s="41"/>
      <c r="AU71" s="41"/>
      <c r="AV71" s="41"/>
      <c r="AW71" s="41"/>
      <c r="AX71" s="41"/>
      <c r="AY71" s="41"/>
      <c r="AZ71" s="41"/>
      <c r="BA71" s="41"/>
      <c r="BB71" s="41"/>
      <c r="BC71" s="41"/>
      <c r="BD71" s="41"/>
      <c r="BE71" s="41"/>
      <c r="BF71" s="41"/>
      <c r="BG71" s="41"/>
      <c r="BH71" s="41"/>
      <c r="BI71" s="41"/>
      <c r="BJ71" s="41"/>
      <c r="BK71" s="41"/>
      <c r="BL71" s="41"/>
      <c r="BM71" s="41"/>
      <c r="BN71" s="41"/>
      <c r="BO71" s="41"/>
      <c r="BP71" s="41"/>
      <c r="BQ71" s="41"/>
      <c r="BR71" s="41"/>
      <c r="BS71" s="41"/>
      <c r="BT71" s="41"/>
      <c r="BU71" s="41"/>
      <c r="BV71" s="41"/>
      <c r="BW71" s="41"/>
      <c r="BX71" s="41"/>
      <c r="BY71" s="41"/>
      <c r="BZ71" s="41"/>
      <c r="CA71" s="41"/>
      <c r="CB71" s="41"/>
      <c r="CC71" s="41"/>
      <c r="CD71" s="41"/>
      <c r="CE71" s="41"/>
      <c r="CF71" s="41"/>
      <c r="CG71" s="41"/>
      <c r="CH71" s="41"/>
      <c r="CI71" s="41"/>
      <c r="CJ71" s="41"/>
      <c r="CK71" s="41"/>
      <c r="CL71" s="41"/>
      <c r="CM71" s="41"/>
      <c r="CN71" s="41"/>
      <c r="CO71" s="41"/>
      <c r="CP71" s="41"/>
    </row>
    <row r="72" spans="1:94" s="53" customFormat="1" ht="15.75" customHeight="1" x14ac:dyDescent="0.25">
      <c r="A72" s="85">
        <v>10.61</v>
      </c>
      <c r="B72" s="83"/>
      <c r="C72" s="408" t="s">
        <v>101</v>
      </c>
      <c r="D72" s="410"/>
      <c r="E72" s="290">
        <f>CECPerm</f>
        <v>0.01</v>
      </c>
      <c r="F72" s="288"/>
      <c r="G72" s="355">
        <f>IF(DUNine=0,0,IF(DUNine&lt;0,0,ROUND(AdjPermSalary*CECPerm,-2)))</f>
        <v>400</v>
      </c>
      <c r="H72" s="287"/>
      <c r="I72" s="287">
        <f>ROUND(($G72*PermVBBY+$G72*Retire1BY),-2)</f>
        <v>100</v>
      </c>
      <c r="J72" s="113">
        <f>SUM(G72:I72)</f>
        <v>500</v>
      </c>
      <c r="K72" s="296"/>
      <c r="L72" s="298"/>
      <c r="M72" s="349" t="e">
        <f>IF(DUNine=0,0,IF(((#REF!-G39-G40)*E72)&lt;0,0,ROUND(((#REF!-G39-G40)*E72),-2)))</f>
        <v>#REF!</v>
      </c>
      <c r="N72" s="358"/>
      <c r="O72" s="357" t="e">
        <f>IF(DUNine=0,0,IF(DUNine&lt;0,0,IF(SubCECBase&lt;RoundedAppropSalary,ROUND(AdjPermSalary*CECpermCalc,-2)+((SubCECBase-RoundedAppropSalary)*CECpermCalc),IF(SubCECBase&gt;RoundedAppropSalary,ROUND(AdjPermSalary*CECpermCalc,-2)+((SubCECBase-RoundedAppropSalary)*CECpermCalc),ROUND(AdjPermSalary*CECpermCalc,-2)))))</f>
        <v>#REF!</v>
      </c>
      <c r="P72" s="357"/>
      <c r="Q72"/>
      <c r="R72"/>
      <c r="S72"/>
      <c r="T72"/>
      <c r="U72"/>
      <c r="V72"/>
      <c r="W72"/>
      <c r="X72"/>
      <c r="Y72"/>
      <c r="Z72" s="344"/>
      <c r="AA72" s="363"/>
      <c r="AB72" s="363"/>
      <c r="AC72" s="363"/>
      <c r="AD72" s="110"/>
      <c r="AE72" s="41"/>
      <c r="AF72" s="41"/>
      <c r="AG72" s="41"/>
      <c r="AH72" s="41"/>
      <c r="AI72" s="41"/>
      <c r="AJ72" s="41"/>
      <c r="AK72" s="41"/>
      <c r="AL72" s="41"/>
      <c r="AM72" s="41"/>
      <c r="AN72" s="41"/>
      <c r="AO72" s="41"/>
      <c r="AP72" s="41"/>
      <c r="AQ72" s="41"/>
      <c r="AR72" s="41"/>
      <c r="AS72" s="41"/>
      <c r="AT72" s="41"/>
      <c r="AU72" s="41"/>
      <c r="AV72" s="41"/>
      <c r="AW72" s="41"/>
      <c r="AX72" s="41"/>
      <c r="AY72" s="41"/>
      <c r="AZ72" s="41"/>
      <c r="BA72" s="41"/>
      <c r="BB72" s="41"/>
      <c r="BC72" s="41"/>
      <c r="BD72" s="41"/>
      <c r="BE72" s="41"/>
      <c r="BF72" s="41"/>
      <c r="BG72" s="41"/>
      <c r="BH72" s="41"/>
      <c r="BI72" s="41"/>
      <c r="BJ72" s="41"/>
      <c r="BK72" s="41"/>
      <c r="BL72" s="41"/>
      <c r="BM72" s="41"/>
      <c r="BN72" s="41"/>
      <c r="BO72" s="41"/>
      <c r="BP72" s="41"/>
      <c r="BQ72" s="41"/>
      <c r="BR72" s="41"/>
      <c r="BS72" s="41"/>
      <c r="BT72" s="41"/>
      <c r="BU72" s="41"/>
      <c r="BV72" s="41"/>
      <c r="BW72" s="41"/>
      <c r="BX72" s="41"/>
      <c r="BY72" s="41"/>
      <c r="BZ72" s="41"/>
      <c r="CA72" s="41"/>
      <c r="CB72" s="41"/>
      <c r="CC72" s="41"/>
      <c r="CD72" s="41"/>
      <c r="CE72" s="41"/>
      <c r="CF72" s="41"/>
      <c r="CG72" s="41"/>
      <c r="CH72" s="41"/>
      <c r="CI72" s="41"/>
      <c r="CJ72" s="41"/>
      <c r="CK72" s="41"/>
      <c r="CL72" s="41"/>
      <c r="CM72" s="41"/>
      <c r="CN72" s="41"/>
      <c r="CO72" s="41"/>
      <c r="CP72" s="41"/>
    </row>
    <row r="73" spans="1:94" s="53" customFormat="1" ht="15.6" customHeight="1" x14ac:dyDescent="0.25">
      <c r="A73" s="85">
        <v>10.62</v>
      </c>
      <c r="B73" s="83"/>
      <c r="C73" s="408" t="s">
        <v>61</v>
      </c>
      <c r="D73" s="410"/>
      <c r="E73" s="289">
        <f>CECGroup</f>
        <v>0.01</v>
      </c>
      <c r="F73" s="288"/>
      <c r="G73" s="355">
        <f>IF(DUNine=0,0,IF(DUNine&lt;0,0,ROUND(AdjGroupSalary*CECGroup,-2)))</f>
        <v>0</v>
      </c>
      <c r="H73" s="287"/>
      <c r="I73" s="287">
        <f>ROUND(($G73*GroupVBBY),-2)</f>
        <v>0</v>
      </c>
      <c r="J73" s="113">
        <f t="shared" si="11"/>
        <v>0</v>
      </c>
      <c r="K73" s="301"/>
      <c r="L73" s="302"/>
      <c r="M73" s="359"/>
      <c r="N73" s="360"/>
      <c r="O73" s="357"/>
      <c r="P73" s="357"/>
      <c r="Q73"/>
      <c r="R73"/>
      <c r="S73"/>
      <c r="T73"/>
      <c r="U73"/>
      <c r="V73"/>
      <c r="W73"/>
      <c r="X73"/>
      <c r="Y73"/>
      <c r="Z73" s="344"/>
      <c r="AA73" s="363"/>
      <c r="AB73" s="363"/>
      <c r="AC73" s="363"/>
      <c r="AD73" s="110"/>
      <c r="AE73" s="41"/>
      <c r="AF73" s="41"/>
      <c r="AG73" s="41"/>
      <c r="AH73" s="41"/>
      <c r="AI73" s="41"/>
      <c r="AJ73" s="41"/>
      <c r="AK73" s="41"/>
      <c r="AL73" s="41"/>
      <c r="AM73" s="41"/>
      <c r="AN73" s="41"/>
      <c r="AO73" s="41"/>
      <c r="AP73" s="41"/>
      <c r="AQ73" s="41"/>
      <c r="AR73" s="41"/>
      <c r="AS73" s="41"/>
      <c r="AT73" s="41"/>
      <c r="AU73" s="41"/>
      <c r="AV73" s="41"/>
      <c r="AW73" s="41"/>
      <c r="AX73" s="41"/>
      <c r="AY73" s="41"/>
      <c r="AZ73" s="41"/>
      <c r="BA73" s="41"/>
      <c r="BB73" s="41"/>
      <c r="BC73" s="41"/>
      <c r="BD73" s="41"/>
      <c r="BE73" s="41"/>
      <c r="BF73" s="41"/>
      <c r="BG73" s="41"/>
      <c r="BH73" s="41"/>
      <c r="BI73" s="41"/>
      <c r="BJ73" s="41"/>
      <c r="BK73" s="41"/>
      <c r="BL73" s="41"/>
      <c r="BM73" s="41"/>
      <c r="BN73" s="41"/>
      <c r="BO73" s="41"/>
      <c r="BP73" s="41"/>
      <c r="BQ73" s="41"/>
      <c r="BR73" s="41"/>
      <c r="BS73" s="41"/>
      <c r="BT73" s="41"/>
      <c r="BU73" s="41"/>
      <c r="BV73" s="41"/>
      <c r="BW73" s="41"/>
      <c r="BX73" s="41"/>
      <c r="BY73" s="41"/>
      <c r="BZ73" s="41"/>
      <c r="CA73" s="41"/>
      <c r="CB73" s="41"/>
      <c r="CC73" s="41"/>
      <c r="CD73" s="41"/>
      <c r="CE73" s="41"/>
      <c r="CF73" s="41"/>
      <c r="CG73" s="41"/>
      <c r="CH73" s="41"/>
      <c r="CI73" s="41"/>
      <c r="CJ73" s="41"/>
      <c r="CK73" s="41"/>
      <c r="CL73" s="41"/>
      <c r="CM73" s="41"/>
      <c r="CN73" s="41"/>
      <c r="CO73" s="41"/>
      <c r="CP73" s="41"/>
    </row>
    <row r="74" spans="1:94" s="53" customFormat="1" ht="15.6" customHeight="1" x14ac:dyDescent="0.25">
      <c r="A74" s="85">
        <v>10.63</v>
      </c>
      <c r="B74" s="83"/>
      <c r="C74" s="366" t="s">
        <v>62</v>
      </c>
      <c r="D74" s="368"/>
      <c r="E74" s="112"/>
      <c r="F74" s="288"/>
      <c r="G74" s="92">
        <v>0</v>
      </c>
      <c r="H74" s="287"/>
      <c r="I74" s="287">
        <f>ROUND(($G74*ElectVBBY+$G74*Retire1BY),-2)</f>
        <v>0</v>
      </c>
      <c r="J74" s="113">
        <f t="shared" si="11"/>
        <v>0</v>
      </c>
      <c r="K74" s="301"/>
      <c r="L74" s="302"/>
      <c r="M74" s="303"/>
      <c r="N74" s="304"/>
      <c r="O74"/>
      <c r="P74"/>
      <c r="Q74"/>
      <c r="R74"/>
      <c r="S74"/>
      <c r="T74"/>
      <c r="U74"/>
      <c r="V74"/>
      <c r="W74"/>
      <c r="X74"/>
      <c r="Y74"/>
      <c r="Z74" s="344"/>
      <c r="AA74" s="363"/>
      <c r="AB74" s="363"/>
      <c r="AC74" s="363"/>
      <c r="AD74" s="110"/>
      <c r="AE74" s="41"/>
      <c r="AF74" s="41"/>
      <c r="AG74" s="41"/>
      <c r="AH74" s="41"/>
      <c r="AI74" s="41"/>
      <c r="AJ74" s="41"/>
      <c r="AK74" s="41"/>
      <c r="AL74" s="41"/>
      <c r="AM74" s="41"/>
      <c r="AN74" s="41"/>
      <c r="AO74" s="41"/>
      <c r="AP74" s="41"/>
      <c r="AQ74" s="41"/>
      <c r="AR74" s="41"/>
      <c r="AS74" s="41"/>
      <c r="AT74" s="41"/>
      <c r="AU74" s="41"/>
      <c r="AV74" s="41"/>
      <c r="AW74" s="41"/>
      <c r="AX74" s="41"/>
      <c r="AY74" s="41"/>
      <c r="AZ74" s="41"/>
      <c r="BA74" s="41"/>
      <c r="BB74" s="41"/>
      <c r="BC74" s="41"/>
      <c r="BD74" s="41"/>
      <c r="BE74" s="41"/>
      <c r="BF74" s="41"/>
      <c r="BG74" s="41"/>
      <c r="BH74" s="41"/>
      <c r="BI74" s="41"/>
      <c r="BJ74" s="41"/>
      <c r="BK74" s="41"/>
      <c r="BL74" s="41"/>
      <c r="BM74" s="41"/>
      <c r="BN74" s="41"/>
      <c r="BO74" s="41"/>
      <c r="BP74" s="41"/>
      <c r="BQ74" s="41"/>
      <c r="BR74" s="41"/>
      <c r="BS74" s="41"/>
      <c r="BT74" s="41"/>
      <c r="BU74" s="41"/>
      <c r="BV74" s="41"/>
      <c r="BW74" s="41"/>
      <c r="BX74" s="41"/>
      <c r="BY74" s="41"/>
      <c r="BZ74" s="41"/>
      <c r="CA74" s="41"/>
      <c r="CB74" s="41"/>
      <c r="CC74" s="41"/>
      <c r="CD74" s="41"/>
      <c r="CE74" s="41"/>
      <c r="CF74" s="41"/>
      <c r="CG74" s="41"/>
      <c r="CH74" s="41"/>
      <c r="CI74" s="41"/>
      <c r="CJ74" s="41"/>
      <c r="CK74" s="41"/>
      <c r="CL74" s="41"/>
      <c r="CM74" s="41"/>
      <c r="CN74" s="41"/>
      <c r="CO74" s="41"/>
      <c r="CP74" s="41"/>
    </row>
    <row r="75" spans="1:94" s="53" customFormat="1" ht="15.75" customHeight="1" x14ac:dyDescent="0.25">
      <c r="A75" s="75">
        <v>11</v>
      </c>
      <c r="B75" s="76"/>
      <c r="C75" s="54" t="str">
        <f>"FY "&amp;M4</f>
        <v>FY 2023</v>
      </c>
      <c r="D75" s="77" t="s">
        <v>63</v>
      </c>
      <c r="E75" s="112"/>
      <c r="F75" s="55">
        <f>SUM(F67:F74)</f>
        <v>1.2</v>
      </c>
      <c r="G75" s="80">
        <f>SUM(G67:G74)</f>
        <v>89600</v>
      </c>
      <c r="H75" s="80">
        <f>SUM(H67:H74)</f>
        <v>12800</v>
      </c>
      <c r="I75" s="80">
        <f>SUM(I67:I74)</f>
        <v>18900</v>
      </c>
      <c r="J75" s="80">
        <f>SUM(J67:K74)</f>
        <v>121400</v>
      </c>
      <c r="K75" s="296"/>
      <c r="L75" s="299"/>
      <c r="M75" s="299"/>
      <c r="N75" s="300"/>
      <c r="O75"/>
      <c r="P75"/>
      <c r="Q75"/>
      <c r="R75"/>
      <c r="S75"/>
      <c r="T75"/>
      <c r="U75"/>
      <c r="V75"/>
      <c r="W75"/>
      <c r="X75"/>
      <c r="Y75"/>
      <c r="Z75" s="344"/>
      <c r="AA75" s="363"/>
      <c r="AB75" s="363"/>
      <c r="AC75" s="363"/>
      <c r="AD75" s="110"/>
      <c r="AE75" s="41"/>
      <c r="AF75" s="41"/>
      <c r="AG75" s="41"/>
      <c r="AH75" s="41"/>
      <c r="AI75" s="41"/>
      <c r="AJ75" s="41"/>
      <c r="AK75" s="41"/>
      <c r="AL75" s="41"/>
      <c r="AM75" s="41"/>
      <c r="AN75" s="41"/>
      <c r="AO75" s="41"/>
      <c r="AP75" s="41"/>
      <c r="AQ75" s="41"/>
      <c r="AR75" s="41"/>
      <c r="AS75" s="41"/>
      <c r="AT75" s="41"/>
      <c r="AU75" s="41"/>
      <c r="AV75" s="41"/>
      <c r="AW75" s="41"/>
      <c r="AX75" s="41"/>
      <c r="AY75" s="41"/>
      <c r="AZ75" s="41"/>
      <c r="BA75" s="41"/>
      <c r="BB75" s="41"/>
      <c r="BC75" s="41"/>
      <c r="BD75" s="41"/>
      <c r="BE75" s="41"/>
      <c r="BF75" s="41"/>
      <c r="BG75" s="41"/>
      <c r="BH75" s="41"/>
      <c r="BI75" s="41"/>
      <c r="BJ75" s="41"/>
      <c r="BK75" s="41"/>
      <c r="BL75" s="41"/>
      <c r="BM75" s="41"/>
      <c r="BN75" s="41"/>
      <c r="BO75" s="41"/>
      <c r="BP75" s="41"/>
      <c r="BQ75" s="41"/>
      <c r="BR75" s="41"/>
      <c r="BS75" s="41"/>
      <c r="BT75" s="41"/>
      <c r="BU75" s="41"/>
      <c r="BV75" s="41"/>
      <c r="BW75" s="41"/>
      <c r="BX75" s="41"/>
      <c r="BY75" s="41"/>
      <c r="BZ75" s="41"/>
      <c r="CA75" s="41"/>
      <c r="CB75" s="41"/>
      <c r="CC75" s="41"/>
      <c r="CD75" s="41"/>
      <c r="CE75" s="41"/>
      <c r="CF75" s="41"/>
      <c r="CG75" s="41"/>
      <c r="CH75" s="41"/>
      <c r="CI75" s="41"/>
      <c r="CJ75" s="41"/>
      <c r="CK75" s="41"/>
      <c r="CL75" s="41"/>
      <c r="CM75" s="41"/>
      <c r="CN75" s="41"/>
      <c r="CO75" s="41"/>
      <c r="CP75" s="41"/>
    </row>
    <row r="76" spans="1:94" s="53" customFormat="1" ht="28.5" customHeight="1" x14ac:dyDescent="0.25">
      <c r="A76" s="85"/>
      <c r="B76" s="83"/>
      <c r="C76" s="411" t="s">
        <v>64</v>
      </c>
      <c r="D76" s="412"/>
      <c r="E76" s="59"/>
      <c r="F76" s="59"/>
      <c r="G76" s="61"/>
      <c r="H76" s="61"/>
      <c r="I76" s="61"/>
      <c r="J76" s="61"/>
      <c r="K76" s="291"/>
      <c r="L76" s="292"/>
      <c r="M76" s="305"/>
      <c r="N76" s="293"/>
      <c r="O76"/>
      <c r="P76"/>
      <c r="Q76"/>
      <c r="R76"/>
      <c r="S76"/>
      <c r="T76"/>
      <c r="U76"/>
      <c r="V76"/>
      <c r="W76"/>
      <c r="X76"/>
      <c r="Y76"/>
      <c r="Z76" s="344"/>
      <c r="AA76" s="363"/>
      <c r="AB76" s="363"/>
      <c r="AC76" s="363"/>
      <c r="AD76" s="110"/>
      <c r="AE76" s="41"/>
      <c r="AF76" s="41"/>
      <c r="AG76" s="41"/>
      <c r="AH76" s="41"/>
      <c r="AI76" s="41"/>
      <c r="AJ76" s="41"/>
      <c r="AK76" s="41"/>
      <c r="AL76" s="41"/>
      <c r="AM76" s="41"/>
      <c r="AN76" s="41"/>
      <c r="AO76" s="41"/>
      <c r="AP76" s="41"/>
      <c r="AQ76" s="41"/>
      <c r="AR76" s="41"/>
      <c r="AS76" s="41"/>
      <c r="AT76" s="41"/>
      <c r="AU76" s="41"/>
      <c r="AV76" s="41"/>
      <c r="AW76" s="41"/>
      <c r="AX76" s="41"/>
      <c r="AY76" s="41"/>
      <c r="AZ76" s="41"/>
      <c r="BA76" s="41"/>
      <c r="BB76" s="41"/>
      <c r="BC76" s="41"/>
      <c r="BD76" s="41"/>
      <c r="BE76" s="41"/>
      <c r="BF76" s="41"/>
      <c r="BG76" s="41"/>
      <c r="BH76" s="41"/>
      <c r="BI76" s="41"/>
      <c r="BJ76" s="41"/>
      <c r="BK76" s="41"/>
      <c r="BL76" s="41"/>
      <c r="BM76" s="41"/>
      <c r="BN76" s="41"/>
      <c r="BO76" s="41"/>
      <c r="BP76" s="41"/>
      <c r="BQ76" s="41"/>
      <c r="BR76" s="41"/>
      <c r="BS76" s="41"/>
      <c r="BT76" s="41"/>
      <c r="BU76" s="41"/>
      <c r="BV76" s="41"/>
      <c r="BW76" s="41"/>
      <c r="BX76" s="41"/>
      <c r="BY76" s="41"/>
      <c r="BZ76" s="41"/>
      <c r="CA76" s="41"/>
      <c r="CB76" s="41"/>
      <c r="CC76" s="41"/>
      <c r="CD76" s="41"/>
      <c r="CE76" s="41"/>
      <c r="CF76" s="41"/>
      <c r="CG76" s="41"/>
      <c r="CH76" s="41"/>
      <c r="CI76" s="41"/>
      <c r="CJ76" s="41"/>
      <c r="CK76" s="41"/>
      <c r="CL76" s="41"/>
      <c r="CM76" s="41"/>
      <c r="CN76" s="41"/>
      <c r="CO76" s="41"/>
      <c r="CP76" s="41"/>
    </row>
    <row r="77" spans="1:94" s="53" customFormat="1" ht="15" x14ac:dyDescent="0.25">
      <c r="A77" s="116">
        <v>12.01</v>
      </c>
      <c r="B77" s="57"/>
      <c r="C77" s="404"/>
      <c r="D77" s="405"/>
      <c r="E77" s="87"/>
      <c r="F77" s="58"/>
      <c r="G77" s="88"/>
      <c r="H77" s="88"/>
      <c r="I77" s="88"/>
      <c r="J77" s="80">
        <f>ROUND(SUM(G77:I77),-2)</f>
        <v>0</v>
      </c>
      <c r="K77" s="296"/>
      <c r="L77" s="292"/>
      <c r="M77" s="292"/>
      <c r="N77" s="293"/>
      <c r="O77"/>
      <c r="P77"/>
      <c r="Q77"/>
      <c r="R77"/>
      <c r="S77"/>
      <c r="T77"/>
      <c r="U77"/>
      <c r="V77"/>
      <c r="W77"/>
      <c r="X77"/>
      <c r="Y77"/>
      <c r="Z77" s="344"/>
      <c r="AA77" s="363"/>
      <c r="AB77" s="363"/>
      <c r="AC77" s="363"/>
      <c r="AD77" s="110"/>
      <c r="AE77" s="41"/>
      <c r="AF77" s="41"/>
      <c r="AG77" s="41"/>
      <c r="AH77" s="41"/>
      <c r="AI77" s="41"/>
      <c r="AJ77" s="41"/>
      <c r="AK77" s="41"/>
      <c r="AL77" s="41"/>
      <c r="AM77" s="41"/>
      <c r="AN77" s="41"/>
      <c r="AO77" s="41"/>
      <c r="AP77" s="41"/>
      <c r="AQ77" s="41"/>
      <c r="AR77" s="41"/>
      <c r="AS77" s="41"/>
      <c r="AT77" s="41"/>
      <c r="AU77" s="41"/>
      <c r="AV77" s="41"/>
      <c r="AW77" s="41"/>
      <c r="AX77" s="41"/>
      <c r="AY77" s="41"/>
      <c r="AZ77" s="41"/>
      <c r="BA77" s="41"/>
      <c r="BB77" s="41"/>
      <c r="BC77" s="41"/>
      <c r="BD77" s="41"/>
      <c r="BE77" s="41"/>
      <c r="BF77" s="41"/>
      <c r="BG77" s="41"/>
      <c r="BH77" s="41"/>
      <c r="BI77" s="41"/>
      <c r="BJ77" s="41"/>
      <c r="BK77" s="41"/>
      <c r="BL77" s="41"/>
      <c r="BM77" s="41"/>
      <c r="BN77" s="41"/>
      <c r="BO77" s="41"/>
      <c r="BP77" s="41"/>
      <c r="BQ77" s="41"/>
      <c r="BR77" s="41"/>
      <c r="BS77" s="41"/>
      <c r="BT77" s="41"/>
      <c r="BU77" s="41"/>
      <c r="BV77" s="41"/>
      <c r="BW77" s="41"/>
      <c r="BX77" s="41"/>
      <c r="BY77" s="41"/>
      <c r="BZ77" s="41"/>
      <c r="CA77" s="41"/>
      <c r="CB77" s="41"/>
      <c r="CC77" s="41"/>
      <c r="CD77" s="41"/>
      <c r="CE77" s="41"/>
      <c r="CF77" s="41"/>
      <c r="CG77" s="41"/>
      <c r="CH77" s="41"/>
      <c r="CI77" s="41"/>
      <c r="CJ77" s="41"/>
      <c r="CK77" s="41"/>
      <c r="CL77" s="41"/>
      <c r="CM77" s="41"/>
      <c r="CN77" s="41"/>
      <c r="CO77" s="41"/>
      <c r="CP77" s="41"/>
    </row>
    <row r="78" spans="1:94" s="53" customFormat="1" ht="15" x14ac:dyDescent="0.25">
      <c r="A78" s="116">
        <v>12.02</v>
      </c>
      <c r="B78" s="57"/>
      <c r="C78" s="404"/>
      <c r="D78" s="405"/>
      <c r="E78" s="87"/>
      <c r="F78" s="58"/>
      <c r="G78" s="88"/>
      <c r="H78" s="88"/>
      <c r="I78" s="88"/>
      <c r="J78" s="80">
        <f>ROUND(SUM(G78:I78),-2)</f>
        <v>0</v>
      </c>
      <c r="K78" s="296"/>
      <c r="L78" s="292"/>
      <c r="M78" s="292"/>
      <c r="N78" s="293"/>
      <c r="O78"/>
      <c r="P78"/>
      <c r="Q78"/>
      <c r="R78"/>
      <c r="S78"/>
      <c r="T78"/>
      <c r="U78"/>
      <c r="V78"/>
      <c r="W78"/>
      <c r="X78"/>
      <c r="Y78"/>
      <c r="Z78" s="344"/>
      <c r="AA78" s="363"/>
      <c r="AB78" s="363"/>
      <c r="AC78" s="363"/>
      <c r="AD78" s="110"/>
      <c r="AE78" s="41"/>
      <c r="AF78" s="41"/>
      <c r="AG78" s="41"/>
      <c r="AH78" s="41"/>
      <c r="AI78" s="41"/>
      <c r="AJ78" s="41"/>
      <c r="AK78" s="41"/>
      <c r="AL78" s="41"/>
      <c r="AM78" s="41"/>
      <c r="AN78" s="41"/>
      <c r="AO78" s="41"/>
      <c r="AP78" s="41"/>
      <c r="AQ78" s="41"/>
      <c r="AR78" s="41"/>
      <c r="AS78" s="41"/>
      <c r="AT78" s="41"/>
      <c r="AU78" s="41"/>
      <c r="AV78" s="41"/>
      <c r="AW78" s="41"/>
      <c r="AX78" s="41"/>
      <c r="AY78" s="41"/>
      <c r="AZ78" s="41"/>
      <c r="BA78" s="41"/>
      <c r="BB78" s="41"/>
      <c r="BC78" s="41"/>
      <c r="BD78" s="41"/>
      <c r="BE78" s="41"/>
      <c r="BF78" s="41"/>
      <c r="BG78" s="41"/>
      <c r="BH78" s="41"/>
      <c r="BI78" s="41"/>
      <c r="BJ78" s="41"/>
      <c r="BK78" s="41"/>
      <c r="BL78" s="41"/>
      <c r="BM78" s="41"/>
      <c r="BN78" s="41"/>
      <c r="BO78" s="41"/>
      <c r="BP78" s="41"/>
      <c r="BQ78" s="41"/>
      <c r="BR78" s="41"/>
      <c r="BS78" s="41"/>
      <c r="BT78" s="41"/>
      <c r="BU78" s="41"/>
      <c r="BV78" s="41"/>
      <c r="BW78" s="41"/>
      <c r="BX78" s="41"/>
      <c r="BY78" s="41"/>
      <c r="BZ78" s="41"/>
      <c r="CA78" s="41"/>
      <c r="CB78" s="41"/>
      <c r="CC78" s="41"/>
      <c r="CD78" s="41"/>
      <c r="CE78" s="41"/>
      <c r="CF78" s="41"/>
      <c r="CG78" s="41"/>
      <c r="CH78" s="41"/>
      <c r="CI78" s="41"/>
      <c r="CJ78" s="41"/>
      <c r="CK78" s="41"/>
      <c r="CL78" s="41"/>
      <c r="CM78" s="41"/>
      <c r="CN78" s="41"/>
      <c r="CO78" s="41"/>
      <c r="CP78" s="41"/>
    </row>
    <row r="79" spans="1:94" s="53" customFormat="1" ht="15" x14ac:dyDescent="0.25">
      <c r="A79" s="116">
        <v>12.03</v>
      </c>
      <c r="B79" s="57" t="s">
        <v>45</v>
      </c>
      <c r="C79" s="404"/>
      <c r="D79" s="405"/>
      <c r="E79" s="87"/>
      <c r="F79" s="58"/>
      <c r="G79" s="88"/>
      <c r="H79" s="88"/>
      <c r="I79" s="88"/>
      <c r="J79" s="80">
        <f>ROUND(SUM(G79:I79),-2)</f>
        <v>0</v>
      </c>
      <c r="K79" s="296"/>
      <c r="L79" s="292"/>
      <c r="M79" s="292"/>
      <c r="N79" s="293"/>
      <c r="O79"/>
      <c r="P79"/>
      <c r="Q79"/>
      <c r="R79"/>
      <c r="S79"/>
      <c r="T79"/>
      <c r="U79"/>
      <c r="V79"/>
      <c r="W79"/>
      <c r="X79"/>
      <c r="Y79"/>
      <c r="Z79" s="344"/>
      <c r="AA79" s="363"/>
      <c r="AB79" s="363"/>
      <c r="AC79" s="363"/>
      <c r="AD79" s="110"/>
      <c r="AE79" s="41"/>
      <c r="AF79" s="41"/>
      <c r="AG79" s="41"/>
      <c r="AH79" s="41"/>
      <c r="AI79" s="41"/>
      <c r="AJ79" s="41"/>
      <c r="AK79" s="41"/>
      <c r="AL79" s="41"/>
      <c r="AM79" s="41"/>
      <c r="AN79" s="41"/>
      <c r="AO79" s="41"/>
      <c r="AP79" s="41"/>
      <c r="AQ79" s="41"/>
      <c r="AR79" s="41"/>
      <c r="AS79" s="41"/>
      <c r="AT79" s="41"/>
      <c r="AU79" s="41"/>
      <c r="AV79" s="41"/>
      <c r="AW79" s="41"/>
      <c r="AX79" s="41"/>
      <c r="AY79" s="41"/>
      <c r="AZ79" s="41"/>
      <c r="BA79" s="41"/>
      <c r="BB79" s="41"/>
      <c r="BC79" s="41"/>
      <c r="BD79" s="41"/>
      <c r="BE79" s="41"/>
      <c r="BF79" s="41"/>
      <c r="BG79" s="41"/>
      <c r="BH79" s="41"/>
      <c r="BI79" s="41"/>
      <c r="BJ79" s="41"/>
      <c r="BK79" s="41"/>
      <c r="BL79" s="41"/>
      <c r="BM79" s="41"/>
      <c r="BN79" s="41"/>
      <c r="BO79" s="41"/>
      <c r="BP79" s="41"/>
      <c r="BQ79" s="41"/>
      <c r="BR79" s="41"/>
      <c r="BS79" s="41"/>
      <c r="BT79" s="41"/>
      <c r="BU79" s="41"/>
      <c r="BV79" s="41"/>
      <c r="BW79" s="41"/>
      <c r="BX79" s="41"/>
      <c r="BY79" s="41"/>
      <c r="BZ79" s="41"/>
      <c r="CA79" s="41"/>
      <c r="CB79" s="41"/>
      <c r="CC79" s="41"/>
      <c r="CD79" s="41"/>
      <c r="CE79" s="41"/>
      <c r="CF79" s="41"/>
      <c r="CG79" s="41"/>
      <c r="CH79" s="41"/>
      <c r="CI79" s="41"/>
      <c r="CJ79" s="41"/>
      <c r="CK79" s="41"/>
      <c r="CL79" s="41"/>
      <c r="CM79" s="41"/>
      <c r="CN79" s="41"/>
      <c r="CO79" s="41"/>
      <c r="CP79" s="41"/>
    </row>
    <row r="80" spans="1:94" s="53" customFormat="1" ht="15.75" customHeight="1" x14ac:dyDescent="0.25">
      <c r="A80" s="117">
        <v>13</v>
      </c>
      <c r="B80" s="118"/>
      <c r="C80" s="119" t="str">
        <f>"FY "&amp;M4</f>
        <v>FY 2023</v>
      </c>
      <c r="D80" s="120" t="s">
        <v>65</v>
      </c>
      <c r="E80" s="121"/>
      <c r="F80" s="55">
        <f>SUM(F75:F79)</f>
        <v>1.2</v>
      </c>
      <c r="G80" s="80">
        <f>SUM(G75:G79)</f>
        <v>89600</v>
      </c>
      <c r="H80" s="80">
        <f>SUM(H75:H79)</f>
        <v>12800</v>
      </c>
      <c r="I80" s="80">
        <f>SUM(I75:I79)</f>
        <v>18900</v>
      </c>
      <c r="J80" s="80">
        <f>SUM(J75:J79)</f>
        <v>121400</v>
      </c>
      <c r="K80" s="270"/>
      <c r="L80" s="122"/>
      <c r="M80" s="122"/>
      <c r="N80" s="123"/>
      <c r="O80"/>
      <c r="P80"/>
      <c r="Q80"/>
      <c r="R80"/>
      <c r="S80"/>
      <c r="T80"/>
      <c r="U80"/>
      <c r="V80"/>
      <c r="W80"/>
      <c r="X80"/>
      <c r="Y80"/>
      <c r="Z80" s="344"/>
      <c r="AA80" s="363"/>
      <c r="AB80" s="363"/>
      <c r="AC80" s="363"/>
      <c r="AD80" s="110"/>
      <c r="AE80" s="41"/>
      <c r="AF80" s="41"/>
      <c r="AG80" s="41"/>
      <c r="AH80" s="41"/>
      <c r="AI80" s="41"/>
      <c r="AJ80" s="41"/>
      <c r="AK80" s="41"/>
      <c r="AL80" s="41"/>
      <c r="AM80" s="41"/>
      <c r="AN80" s="41"/>
      <c r="AO80" s="41"/>
      <c r="AP80" s="41"/>
      <c r="AQ80" s="41"/>
      <c r="AR80" s="41"/>
      <c r="AS80" s="41"/>
      <c r="AT80" s="41"/>
      <c r="AU80" s="41"/>
      <c r="AV80" s="41"/>
      <c r="AW80" s="41"/>
      <c r="AX80" s="41"/>
      <c r="AY80" s="41"/>
      <c r="AZ80" s="41"/>
      <c r="BA80" s="41"/>
      <c r="BB80" s="41"/>
      <c r="BC80" s="41"/>
      <c r="BD80" s="41"/>
      <c r="BE80" s="41"/>
      <c r="BF80" s="41"/>
      <c r="BG80" s="41"/>
      <c r="BH80" s="41"/>
      <c r="BI80" s="41"/>
      <c r="BJ80" s="41"/>
      <c r="BK80" s="41"/>
      <c r="BL80" s="41"/>
      <c r="BM80" s="41"/>
      <c r="BN80" s="41"/>
      <c r="BO80" s="41"/>
      <c r="BP80" s="41"/>
      <c r="BQ80" s="41"/>
      <c r="BR80" s="41"/>
      <c r="BS80" s="41"/>
      <c r="BT80" s="41"/>
      <c r="BU80" s="41"/>
      <c r="BV80" s="41"/>
      <c r="BW80" s="41"/>
      <c r="BX80" s="41"/>
      <c r="BY80" s="41"/>
      <c r="BZ80" s="41"/>
      <c r="CA80" s="41"/>
      <c r="CB80" s="41"/>
      <c r="CC80" s="41"/>
      <c r="CD80" s="41"/>
      <c r="CE80" s="41"/>
      <c r="CF80" s="41"/>
      <c r="CG80" s="41"/>
      <c r="CH80" s="41"/>
      <c r="CI80" s="41"/>
      <c r="CJ80" s="41"/>
      <c r="CK80" s="41"/>
      <c r="CL80" s="41"/>
      <c r="CM80" s="41"/>
      <c r="CN80" s="41"/>
      <c r="CO80" s="41"/>
      <c r="CP80" s="41"/>
    </row>
  </sheetData>
  <mergeCells count="51">
    <mergeCell ref="C13:D13"/>
    <mergeCell ref="M1:N1"/>
    <mergeCell ref="M2:N2"/>
    <mergeCell ref="M3:N3"/>
    <mergeCell ref="M4:N4"/>
    <mergeCell ref="I5:L5"/>
    <mergeCell ref="C8:D8"/>
    <mergeCell ref="AA8:AC8"/>
    <mergeCell ref="C9:D9"/>
    <mergeCell ref="C10:D10"/>
    <mergeCell ref="C11:D11"/>
    <mergeCell ref="C12:D12"/>
    <mergeCell ref="K43:N43"/>
    <mergeCell ref="AA43:AC43"/>
    <mergeCell ref="K44:N44"/>
    <mergeCell ref="C16:D16"/>
    <mergeCell ref="C17:D17"/>
    <mergeCell ref="C18:D18"/>
    <mergeCell ref="C37:D37"/>
    <mergeCell ref="AA37:AC37"/>
    <mergeCell ref="C38:D38"/>
    <mergeCell ref="C54:D54"/>
    <mergeCell ref="C39:D39"/>
    <mergeCell ref="C41:D41"/>
    <mergeCell ref="C42:D42"/>
    <mergeCell ref="C43:D44"/>
    <mergeCell ref="K45:N45"/>
    <mergeCell ref="E46:J47"/>
    <mergeCell ref="K46:N47"/>
    <mergeCell ref="C50:D50"/>
    <mergeCell ref="C53:D53"/>
    <mergeCell ref="C69:D69"/>
    <mergeCell ref="C55:D55"/>
    <mergeCell ref="C57:D57"/>
    <mergeCell ref="C58:D58"/>
    <mergeCell ref="C59:D59"/>
    <mergeCell ref="C61:D61"/>
    <mergeCell ref="C62:D62"/>
    <mergeCell ref="C63:D63"/>
    <mergeCell ref="C64:D64"/>
    <mergeCell ref="C65:D65"/>
    <mergeCell ref="C66:D66"/>
    <mergeCell ref="C68:D68"/>
    <mergeCell ref="C78:D78"/>
    <mergeCell ref="C79:D79"/>
    <mergeCell ref="C70:D70"/>
    <mergeCell ref="C71:D71"/>
    <mergeCell ref="C72:D72"/>
    <mergeCell ref="C73:D73"/>
    <mergeCell ref="C76:D76"/>
    <mergeCell ref="C77:D77"/>
  </mergeCells>
  <conditionalFormatting sqref="K44">
    <cfRule type="expression" dxfId="33" priority="5">
      <formula>$J$44&lt;0</formula>
    </cfRule>
  </conditionalFormatting>
  <conditionalFormatting sqref="K43">
    <cfRule type="expression" dxfId="32" priority="4">
      <formula>$J$43&lt;0</formula>
    </cfRule>
  </conditionalFormatting>
  <conditionalFormatting sqref="L16">
    <cfRule type="expression" dxfId="31" priority="3">
      <formula>$J$16&lt;0</formula>
    </cfRule>
  </conditionalFormatting>
  <conditionalFormatting sqref="K45">
    <cfRule type="expression" dxfId="30" priority="2">
      <formula>$J$44&lt;0</formula>
    </cfRule>
  </conditionalFormatting>
  <conditionalFormatting sqref="K43:N45">
    <cfRule type="containsText" dxfId="29" priority="1" operator="containsText" text="underfunding">
      <formula>NOT(ISERROR(SEARCH("underfunding",K43)))</formula>
    </cfRule>
  </conditionalFormatting>
  <printOptions horizontalCentered="1"/>
  <pageMargins left="0.5" right="0.5" top="0.65" bottom="0.65" header="0.26" footer="0.31"/>
  <pageSetup scale="63" fitToHeight="2" orientation="landscape" r:id="rId1"/>
  <headerFooter>
    <oddHeader>&amp;L&amp;"Helv,Bold"FORM B6:  WAGE &amp;&amp; SALARY RECONCILIATION</oddHeader>
    <oddFooter>&amp;LPrinted: &amp;D, &amp;T&amp;RPage &amp;P of &amp;N</oddFooter>
  </headerFooter>
  <rowBreaks count="1" manualBreakCount="1">
    <brk id="64" max="12" man="1"/>
  </rowBreaks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A2E0D61-B74C-41AD-853D-9DFABDFE4E47}">
          <x14:formula1>
            <xm:f>Benefits!$A$20:$A$26</xm:f>
          </x14:formula1>
          <xm:sqref>C20:C30 C32:C36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0C48B4-0356-4A1D-9D26-F849D99CFD22}">
  <sheetPr>
    <tabColor rgb="FF00B0F0"/>
    <pageSetUpPr fitToPage="1"/>
  </sheetPr>
  <dimension ref="A1:CP80"/>
  <sheetViews>
    <sheetView showGridLines="0" zoomScaleNormal="100" workbookViewId="0">
      <selection activeCell="C8" sqref="C8:N16"/>
    </sheetView>
  </sheetViews>
  <sheetFormatPr defaultColWidth="9.140625" defaultRowHeight="15.75" x14ac:dyDescent="0.25"/>
  <cols>
    <col min="1" max="1" width="7.85546875" style="124" customWidth="1"/>
    <col min="2" max="2" width="7.7109375" style="125" customWidth="1"/>
    <col min="3" max="3" width="9" style="125" customWidth="1"/>
    <col min="4" max="4" width="39.28515625" style="53" customWidth="1"/>
    <col min="5" max="5" width="13" style="126" customWidth="1"/>
    <col min="6" max="6" width="12.28515625" style="127" customWidth="1"/>
    <col min="7" max="7" width="12.140625" style="127" bestFit="1" customWidth="1"/>
    <col min="8" max="8" width="14.5703125" style="127" customWidth="1"/>
    <col min="9" max="9" width="19.5703125" style="128" bestFit="1" customWidth="1"/>
    <col min="10" max="10" width="13.7109375" style="129" customWidth="1"/>
    <col min="11" max="11" width="13.7109375" style="129" hidden="1" customWidth="1"/>
    <col min="12" max="12" width="18.42578125" style="129" customWidth="1"/>
    <col min="13" max="13" width="16.42578125" style="129" customWidth="1"/>
    <col min="14" max="14" width="16.140625" style="128" customWidth="1"/>
    <col min="15" max="25" width="16.140625" customWidth="1"/>
    <col min="26" max="26" width="16.140625" style="344" customWidth="1"/>
    <col min="27" max="27" width="22.140625" style="334" bestFit="1" customWidth="1"/>
    <col min="28" max="28" width="31.140625" style="334" bestFit="1" customWidth="1"/>
    <col min="29" max="29" width="7.85546875" style="334" bestFit="1" customWidth="1"/>
    <col min="30" max="30" width="9.140625" style="110" customWidth="1"/>
    <col min="31" max="94" width="9.140625" style="17"/>
    <col min="95" max="16384" width="9.140625" style="18"/>
  </cols>
  <sheetData>
    <row r="1" spans="1:94" x14ac:dyDescent="0.25">
      <c r="A1" s="12" t="s">
        <v>13</v>
      </c>
      <c r="B1" s="13"/>
      <c r="C1" s="13"/>
      <c r="D1" s="14" t="s">
        <v>1989</v>
      </c>
      <c r="E1" s="15"/>
      <c r="F1" s="15"/>
      <c r="G1" s="15"/>
      <c r="H1" s="15"/>
      <c r="I1" s="15"/>
      <c r="J1" s="15"/>
      <c r="K1" s="15"/>
      <c r="L1" s="16" t="s">
        <v>14</v>
      </c>
      <c r="M1" s="467">
        <v>352</v>
      </c>
      <c r="N1" s="468"/>
      <c r="AA1" s="363"/>
      <c r="AB1" s="333"/>
      <c r="AC1" s="333"/>
      <c r="AD1" s="325"/>
    </row>
    <row r="2" spans="1:94" ht="20.25" x14ac:dyDescent="0.25">
      <c r="A2" s="19" t="s">
        <v>116</v>
      </c>
      <c r="B2" s="20"/>
      <c r="C2" s="20"/>
      <c r="D2" s="14" t="s">
        <v>1990</v>
      </c>
      <c r="E2" s="21"/>
      <c r="F2" s="21"/>
      <c r="G2" s="21"/>
      <c r="H2" s="21"/>
      <c r="I2" s="21"/>
      <c r="J2" s="20"/>
      <c r="K2" s="20"/>
      <c r="L2" s="22" t="s">
        <v>113</v>
      </c>
      <c r="M2" s="469" t="s">
        <v>1994</v>
      </c>
      <c r="N2" s="470"/>
      <c r="AA2" s="333"/>
      <c r="AB2" s="333"/>
      <c r="AC2" s="333"/>
      <c r="AD2" s="325"/>
    </row>
    <row r="3" spans="1:94" x14ac:dyDescent="0.25">
      <c r="A3" s="19" t="s">
        <v>117</v>
      </c>
      <c r="B3" s="20"/>
      <c r="C3" s="20"/>
      <c r="D3" s="23" t="s">
        <v>2009</v>
      </c>
      <c r="E3" s="24"/>
      <c r="F3" s="25"/>
      <c r="G3" s="25"/>
      <c r="H3" s="25"/>
      <c r="I3" s="26"/>
      <c r="J3" s="20"/>
      <c r="K3" s="20"/>
      <c r="L3" s="22" t="s">
        <v>114</v>
      </c>
      <c r="M3" s="467" t="s">
        <v>549</v>
      </c>
      <c r="N3" s="468"/>
      <c r="AA3" s="363"/>
      <c r="AB3" s="333"/>
      <c r="AC3" s="333"/>
      <c r="AD3" s="325"/>
    </row>
    <row r="4" spans="1:94" x14ac:dyDescent="0.25">
      <c r="A4" s="19"/>
      <c r="B4" s="20"/>
      <c r="C4" s="20"/>
      <c r="D4" s="27"/>
      <c r="E4" s="24"/>
      <c r="F4" s="25"/>
      <c r="G4" s="25"/>
      <c r="H4" s="25"/>
      <c r="I4" s="28"/>
      <c r="J4" s="26"/>
      <c r="K4" s="26"/>
      <c r="L4" s="22" t="s">
        <v>15</v>
      </c>
      <c r="M4" s="467">
        <v>2023</v>
      </c>
      <c r="N4" s="468"/>
      <c r="AA4" s="363"/>
      <c r="AB4" s="333"/>
      <c r="AC4" s="333"/>
      <c r="AD4" s="325"/>
    </row>
    <row r="5" spans="1:94" s="34" customFormat="1" ht="18" customHeight="1" x14ac:dyDescent="0.25">
      <c r="A5" s="19" t="s">
        <v>16</v>
      </c>
      <c r="B5" s="20"/>
      <c r="C5" s="20"/>
      <c r="D5" s="350">
        <v>44440</v>
      </c>
      <c r="E5" s="27"/>
      <c r="F5" s="30"/>
      <c r="G5" s="31"/>
      <c r="H5" s="31" t="s">
        <v>17</v>
      </c>
      <c r="I5" s="469" t="s">
        <v>1992</v>
      </c>
      <c r="J5" s="471"/>
      <c r="K5" s="471"/>
      <c r="L5" s="470"/>
      <c r="M5" s="351" t="s">
        <v>115</v>
      </c>
      <c r="N5" s="32" t="s">
        <v>1993</v>
      </c>
      <c r="O5"/>
      <c r="P5"/>
      <c r="Q5"/>
      <c r="R5"/>
      <c r="S5"/>
      <c r="T5"/>
      <c r="U5"/>
      <c r="V5"/>
      <c r="W5"/>
      <c r="X5"/>
      <c r="Y5"/>
      <c r="Z5" s="344"/>
      <c r="AA5" s="363"/>
      <c r="AB5" s="333"/>
      <c r="AC5" s="333"/>
      <c r="AD5" s="326"/>
      <c r="AE5" s="33"/>
      <c r="AF5" s="33"/>
      <c r="AG5" s="33"/>
      <c r="AH5" s="33"/>
      <c r="AI5" s="33"/>
      <c r="AJ5" s="33"/>
      <c r="AK5" s="33"/>
      <c r="AL5" s="33"/>
      <c r="AM5" s="33"/>
      <c r="AN5" s="33"/>
      <c r="AO5" s="33"/>
      <c r="AP5" s="33"/>
      <c r="AQ5" s="33"/>
      <c r="AR5" s="33"/>
      <c r="AS5" s="33"/>
      <c r="AT5" s="33"/>
      <c r="AU5" s="33"/>
      <c r="AV5" s="33"/>
      <c r="AW5" s="33"/>
      <c r="AX5" s="33"/>
      <c r="AY5" s="33"/>
      <c r="AZ5" s="33"/>
      <c r="BA5" s="33"/>
      <c r="BB5" s="33"/>
      <c r="BC5" s="33"/>
      <c r="BD5" s="33"/>
      <c r="BE5" s="33"/>
      <c r="BF5" s="33"/>
      <c r="BG5" s="33"/>
      <c r="BH5" s="33"/>
      <c r="BI5" s="33"/>
      <c r="BJ5" s="33"/>
      <c r="BK5" s="33"/>
      <c r="BL5" s="33"/>
      <c r="BM5" s="33"/>
      <c r="BN5" s="33"/>
      <c r="BO5" s="33"/>
      <c r="BP5" s="33"/>
      <c r="BQ5" s="33"/>
      <c r="BR5" s="33"/>
      <c r="BS5" s="33"/>
      <c r="BT5" s="33"/>
      <c r="BU5" s="33"/>
      <c r="BV5" s="33"/>
      <c r="BW5" s="33"/>
      <c r="BX5" s="33"/>
      <c r="BY5" s="33"/>
      <c r="BZ5" s="33"/>
      <c r="CA5" s="33"/>
      <c r="CB5" s="33"/>
      <c r="CC5" s="33"/>
      <c r="CD5" s="33"/>
      <c r="CE5" s="33"/>
      <c r="CF5" s="33"/>
      <c r="CG5" s="33"/>
      <c r="CH5" s="33"/>
      <c r="CI5" s="33"/>
      <c r="CJ5" s="33"/>
      <c r="CK5" s="33"/>
      <c r="CL5" s="33"/>
      <c r="CM5" s="33"/>
      <c r="CN5" s="33"/>
      <c r="CO5" s="33"/>
      <c r="CP5" s="33"/>
    </row>
    <row r="6" spans="1:94" ht="23.25" customHeight="1" x14ac:dyDescent="0.25">
      <c r="A6" s="19"/>
      <c r="B6" s="20" t="s">
        <v>18</v>
      </c>
      <c r="C6" s="20"/>
      <c r="D6" s="29"/>
      <c r="E6" s="35" t="s">
        <v>19</v>
      </c>
      <c r="F6" s="36"/>
      <c r="G6" s="25"/>
      <c r="H6" s="25"/>
      <c r="I6" s="37"/>
      <c r="J6" s="31" t="s">
        <v>84</v>
      </c>
      <c r="K6" s="31"/>
      <c r="L6" s="352"/>
      <c r="M6" s="353" t="s">
        <v>85</v>
      </c>
      <c r="N6" s="306"/>
      <c r="AA6" s="363"/>
      <c r="AB6" s="333"/>
      <c r="AC6" s="333"/>
      <c r="AD6" s="325"/>
    </row>
    <row r="7" spans="1:94" x14ac:dyDescent="0.25">
      <c r="A7" s="38"/>
      <c r="B7" s="39"/>
      <c r="C7" s="40"/>
      <c r="D7" s="41"/>
      <c r="E7" s="42"/>
      <c r="F7" s="40"/>
      <c r="G7" s="43"/>
      <c r="H7" s="44"/>
      <c r="I7" s="45"/>
      <c r="J7" s="46"/>
      <c r="K7" s="46"/>
      <c r="L7" s="46"/>
      <c r="M7" s="46"/>
      <c r="N7" s="47"/>
    </row>
    <row r="8" spans="1:94" s="52" customFormat="1" ht="40.5" customHeight="1" x14ac:dyDescent="0.25">
      <c r="A8" s="48" t="s">
        <v>20</v>
      </c>
      <c r="B8" s="369" t="s">
        <v>21</v>
      </c>
      <c r="C8" s="472" t="s">
        <v>22</v>
      </c>
      <c r="D8" s="473"/>
      <c r="E8" s="369" t="s">
        <v>23</v>
      </c>
      <c r="F8" s="49" t="s">
        <v>24</v>
      </c>
      <c r="G8" s="50" t="str">
        <f>"FY "&amp;'TAAB|0001-00'!FiscalYear-1&amp;" SALARY"</f>
        <v>FY 2022 SALARY</v>
      </c>
      <c r="H8" s="50" t="str">
        <f>"FY "&amp;'TAAB|0001-00'!FiscalYear-1&amp;" HEALTH BENEFITS"</f>
        <v>FY 2022 HEALTH BENEFITS</v>
      </c>
      <c r="I8" s="50" t="str">
        <f>"FY "&amp;'TAAB|0001-00'!FiscalYear-1&amp;" VAR BENEFITS"</f>
        <v>FY 2022 VAR BENEFITS</v>
      </c>
      <c r="J8" s="50" t="str">
        <f>"FY "&amp;'TAAB|0001-00'!FiscalYear-1&amp;" TOTAL"</f>
        <v>FY 2022 TOTAL</v>
      </c>
      <c r="K8" s="50" t="str">
        <f>"FY "&amp;'TAAB|0001-00'!FiscalYear&amp;" SALARY CHANGE"</f>
        <v>FY 2023 SALARY CHANGE</v>
      </c>
      <c r="L8" s="50" t="str">
        <f>"FY "&amp;'TAAB|0001-00'!FiscalYear&amp;" CHG HEALTH BENEFITS"</f>
        <v>FY 2023 CHG HEALTH BENEFITS</v>
      </c>
      <c r="M8" s="50" t="str">
        <f>"FY "&amp;'TAAB|0001-00'!FiscalYear&amp;" CHG VAR BENEFITS"</f>
        <v>FY 2023 CHG VAR BENEFITS</v>
      </c>
      <c r="N8" s="50" t="s">
        <v>25</v>
      </c>
      <c r="O8"/>
      <c r="P8"/>
      <c r="Q8"/>
      <c r="R8"/>
      <c r="S8"/>
      <c r="T8"/>
      <c r="U8"/>
      <c r="V8"/>
      <c r="W8"/>
      <c r="X8"/>
      <c r="Y8"/>
      <c r="Z8" s="344"/>
      <c r="AA8" s="463" t="s">
        <v>105</v>
      </c>
      <c r="AB8" s="463"/>
      <c r="AC8" s="463"/>
      <c r="AD8" s="327"/>
      <c r="AE8" s="51"/>
      <c r="AF8" s="51"/>
      <c r="AG8" s="51"/>
      <c r="AH8" s="51"/>
      <c r="AI8" s="51"/>
      <c r="AJ8" s="51"/>
      <c r="AK8" s="51"/>
      <c r="AL8" s="51"/>
      <c r="AM8" s="51"/>
      <c r="AN8" s="51"/>
      <c r="AO8" s="51"/>
      <c r="AP8" s="51"/>
      <c r="AQ8" s="51"/>
      <c r="AR8" s="51"/>
      <c r="AS8" s="51"/>
      <c r="AT8" s="51"/>
      <c r="AU8" s="51"/>
      <c r="AV8" s="51"/>
      <c r="AW8" s="51"/>
      <c r="AX8" s="51"/>
      <c r="AY8" s="51"/>
      <c r="AZ8" s="51"/>
      <c r="BA8" s="51"/>
      <c r="BB8" s="51"/>
      <c r="BC8" s="51"/>
      <c r="BD8" s="51"/>
      <c r="BE8" s="51"/>
      <c r="BF8" s="51"/>
      <c r="BG8" s="51"/>
      <c r="BH8" s="51"/>
      <c r="BI8" s="51"/>
      <c r="BJ8" s="51"/>
      <c r="BK8" s="51"/>
      <c r="BL8" s="51"/>
      <c r="BM8" s="51"/>
      <c r="BN8" s="51"/>
      <c r="BO8" s="51"/>
      <c r="BP8" s="51"/>
      <c r="BQ8" s="51"/>
      <c r="BR8" s="51"/>
      <c r="BS8" s="51"/>
      <c r="BT8" s="51"/>
      <c r="BU8" s="51"/>
      <c r="BV8" s="51"/>
      <c r="BW8" s="51"/>
      <c r="BX8" s="51"/>
      <c r="BY8" s="51"/>
      <c r="BZ8" s="51"/>
      <c r="CA8" s="51"/>
      <c r="CB8" s="51"/>
      <c r="CC8" s="51"/>
      <c r="CD8" s="51"/>
      <c r="CE8" s="51"/>
      <c r="CF8" s="51"/>
      <c r="CG8" s="51"/>
      <c r="CH8" s="51"/>
      <c r="CI8" s="51"/>
      <c r="CJ8" s="51"/>
      <c r="CK8" s="51"/>
      <c r="CL8" s="51"/>
      <c r="CM8" s="51"/>
      <c r="CN8" s="51"/>
      <c r="CO8" s="51"/>
      <c r="CP8" s="51"/>
    </row>
    <row r="9" spans="1:94" s="149" customFormat="1" x14ac:dyDescent="0.25">
      <c r="A9" s="139"/>
      <c r="B9" s="140"/>
      <c r="C9" s="464" t="s">
        <v>26</v>
      </c>
      <c r="D9" s="465"/>
      <c r="E9" s="141"/>
      <c r="F9" s="142"/>
      <c r="G9" s="143"/>
      <c r="H9" s="143"/>
      <c r="I9" s="143"/>
      <c r="J9" s="144"/>
      <c r="K9" s="144"/>
      <c r="L9" s="145"/>
      <c r="M9" s="146"/>
      <c r="N9" s="144"/>
      <c r="O9"/>
      <c r="P9"/>
      <c r="Q9"/>
      <c r="R9"/>
      <c r="S9"/>
      <c r="T9"/>
      <c r="U9"/>
      <c r="V9"/>
      <c r="W9"/>
      <c r="X9"/>
      <c r="Y9"/>
      <c r="Z9" s="344"/>
      <c r="AA9" s="363" t="s">
        <v>94</v>
      </c>
      <c r="AB9" s="333" t="s">
        <v>95</v>
      </c>
      <c r="AC9" s="333" t="s">
        <v>106</v>
      </c>
      <c r="AD9" s="328"/>
      <c r="AE9" s="148"/>
      <c r="AF9" s="148"/>
      <c r="AG9" s="148"/>
      <c r="AH9" s="148"/>
      <c r="AI9" s="148"/>
      <c r="AJ9" s="148"/>
      <c r="AK9" s="148"/>
      <c r="AL9" s="148"/>
      <c r="AM9" s="148"/>
      <c r="AN9" s="148"/>
      <c r="AO9" s="148"/>
      <c r="AP9" s="148"/>
      <c r="AQ9" s="148"/>
      <c r="AR9" s="148"/>
      <c r="AS9" s="148"/>
      <c r="AT9" s="148"/>
      <c r="AU9" s="148"/>
      <c r="AV9" s="148"/>
      <c r="AW9" s="148"/>
      <c r="AX9" s="148"/>
      <c r="AY9" s="148"/>
      <c r="AZ9" s="148"/>
      <c r="BA9" s="148"/>
      <c r="BB9" s="148"/>
      <c r="BC9" s="148"/>
      <c r="BD9" s="148"/>
      <c r="BE9" s="148"/>
      <c r="BF9" s="148"/>
      <c r="BG9" s="148"/>
      <c r="BH9" s="148"/>
      <c r="BI9" s="148"/>
      <c r="BJ9" s="148"/>
      <c r="BK9" s="148"/>
      <c r="BL9" s="148"/>
      <c r="BM9" s="148"/>
      <c r="BN9" s="148"/>
      <c r="BO9" s="148"/>
      <c r="BP9" s="148"/>
      <c r="BQ9" s="148"/>
      <c r="BR9" s="148"/>
      <c r="BS9" s="148"/>
      <c r="BT9" s="148"/>
      <c r="BU9" s="148"/>
      <c r="BV9" s="148"/>
      <c r="BW9" s="148"/>
      <c r="BX9" s="148"/>
      <c r="BY9" s="148"/>
      <c r="BZ9" s="148"/>
      <c r="CA9" s="148"/>
      <c r="CB9" s="148"/>
      <c r="CC9" s="148"/>
      <c r="CD9" s="148"/>
      <c r="CE9" s="148"/>
      <c r="CF9" s="148"/>
      <c r="CG9" s="148"/>
      <c r="CH9" s="148"/>
      <c r="CI9" s="148"/>
      <c r="CJ9" s="148"/>
      <c r="CK9" s="148"/>
      <c r="CL9" s="148"/>
      <c r="CM9" s="148"/>
      <c r="CN9" s="148"/>
      <c r="CO9" s="148"/>
      <c r="CP9" s="148"/>
    </row>
    <row r="10" spans="1:94" s="149" customFormat="1" x14ac:dyDescent="0.25">
      <c r="A10" s="139"/>
      <c r="B10" s="139"/>
      <c r="C10" s="443" t="s">
        <v>27</v>
      </c>
      <c r="D10" s="466"/>
      <c r="E10" s="217">
        <v>1</v>
      </c>
      <c r="F10" s="288">
        <f>[0]!TAAB000100col_INC_FTI</f>
        <v>99.25</v>
      </c>
      <c r="G10" s="218">
        <f>[0]!TAAB000100col_FTI_SALARY_PERM</f>
        <v>5503066.3999999985</v>
      </c>
      <c r="H10" s="218">
        <f>[0]!TAAB000100col_HEALTH_PERM</f>
        <v>1160340</v>
      </c>
      <c r="I10" s="218">
        <f>[0]!TAAB000100col_TOT_VB_PERM</f>
        <v>1174586.1609039998</v>
      </c>
      <c r="J10" s="219">
        <f>SUM(G10:I10)</f>
        <v>7837992.5609039981</v>
      </c>
      <c r="K10" s="219">
        <f>[0]!TAAB000100col_1_27TH_PP</f>
        <v>0</v>
      </c>
      <c r="L10" s="218">
        <f>[0]!TAAB000100col_HEALTH_PERM_CHG</f>
        <v>0</v>
      </c>
      <c r="M10" s="218">
        <f>[0]!TAAB000100col_TOT_VB_PERM_CHG</f>
        <v>-26414.718720000008</v>
      </c>
      <c r="N10" s="218">
        <f>SUM(L10:M10)</f>
        <v>-26414.718720000008</v>
      </c>
      <c r="O10"/>
      <c r="P10"/>
      <c r="Q10"/>
      <c r="R10"/>
      <c r="S10"/>
      <c r="T10"/>
      <c r="U10"/>
      <c r="V10"/>
      <c r="W10"/>
      <c r="X10"/>
      <c r="Y10"/>
      <c r="Z10" s="344"/>
      <c r="AA10" s="338">
        <f>ROUND(CECPerm*PermSalary,-2)</f>
        <v>55000</v>
      </c>
      <c r="AB10" s="335">
        <f>ROUND(PermVarBen*CECPerm+(CECPerm*PermVarBenChg),-2)</f>
        <v>11500</v>
      </c>
      <c r="AC10" s="335">
        <f>SUM(AA10:AB10)</f>
        <v>66500</v>
      </c>
      <c r="AD10" s="328"/>
      <c r="AE10" s="148"/>
      <c r="AF10" s="148"/>
      <c r="AG10" s="148"/>
      <c r="AH10" s="148"/>
      <c r="AI10" s="148"/>
      <c r="AJ10" s="148"/>
      <c r="AK10" s="148"/>
      <c r="AL10" s="148"/>
      <c r="AM10" s="148"/>
      <c r="AN10" s="148"/>
      <c r="AO10" s="148"/>
      <c r="AP10" s="148"/>
      <c r="AQ10" s="148"/>
      <c r="AR10" s="148"/>
      <c r="AS10" s="148"/>
      <c r="AT10" s="148"/>
      <c r="AU10" s="148"/>
      <c r="AV10" s="148"/>
      <c r="AW10" s="148"/>
      <c r="AX10" s="148"/>
      <c r="AY10" s="148"/>
      <c r="AZ10" s="148"/>
      <c r="BA10" s="148"/>
      <c r="BB10" s="148"/>
      <c r="BC10" s="148"/>
      <c r="BD10" s="148"/>
      <c r="BE10" s="148"/>
      <c r="BF10" s="148"/>
      <c r="BG10" s="148"/>
      <c r="BH10" s="148"/>
      <c r="BI10" s="148"/>
      <c r="BJ10" s="148"/>
      <c r="BK10" s="148"/>
      <c r="BL10" s="148"/>
      <c r="BM10" s="148"/>
      <c r="BN10" s="148"/>
      <c r="BO10" s="148"/>
      <c r="BP10" s="148"/>
      <c r="BQ10" s="148"/>
      <c r="BR10" s="148"/>
      <c r="BS10" s="148"/>
      <c r="BT10" s="148"/>
      <c r="BU10" s="148"/>
      <c r="BV10" s="148"/>
      <c r="BW10" s="148"/>
      <c r="BX10" s="148"/>
      <c r="BY10" s="148"/>
      <c r="BZ10" s="148"/>
      <c r="CA10" s="148"/>
      <c r="CB10" s="148"/>
      <c r="CC10" s="148"/>
      <c r="CD10" s="148"/>
      <c r="CE10" s="148"/>
      <c r="CF10" s="148"/>
      <c r="CG10" s="148"/>
      <c r="CH10" s="148"/>
      <c r="CI10" s="148"/>
      <c r="CJ10" s="148"/>
      <c r="CK10" s="148"/>
      <c r="CL10" s="148"/>
      <c r="CM10" s="148"/>
      <c r="CN10" s="148"/>
      <c r="CO10" s="148"/>
      <c r="CP10" s="148"/>
    </row>
    <row r="11" spans="1:94" s="149" customFormat="1" x14ac:dyDescent="0.25">
      <c r="A11" s="139"/>
      <c r="B11" s="139"/>
      <c r="C11" s="443" t="s">
        <v>28</v>
      </c>
      <c r="D11" s="466"/>
      <c r="E11" s="217">
        <v>2</v>
      </c>
      <c r="F11" s="288"/>
      <c r="G11" s="218">
        <f>[0]!TAAB000100col_Group_Salary</f>
        <v>41154.9</v>
      </c>
      <c r="H11" s="218">
        <v>0</v>
      </c>
      <c r="I11" s="218">
        <f>[0]!TAAB000100col_Group_Ben</f>
        <v>3319.45</v>
      </c>
      <c r="J11" s="219">
        <f>SUM(G11:I11)</f>
        <v>44474.35</v>
      </c>
      <c r="K11" s="268"/>
      <c r="L11" s="218"/>
      <c r="M11" s="218"/>
      <c r="N11" s="218"/>
      <c r="O11"/>
      <c r="P11"/>
      <c r="Q11"/>
      <c r="R11"/>
      <c r="S11"/>
      <c r="T11"/>
      <c r="U11"/>
      <c r="V11"/>
      <c r="W11"/>
      <c r="X11"/>
      <c r="Y11"/>
      <c r="Z11" s="344"/>
      <c r="AA11" s="338">
        <f>ROUND(GroupSalary*CECGroup,-2)</f>
        <v>400</v>
      </c>
      <c r="AB11" s="335">
        <f>ROUND((GroupSalary*GroupVBBY)*CECGroup,-2)</f>
        <v>0</v>
      </c>
      <c r="AC11" s="335">
        <f>SUM(AA12:AB12)</f>
        <v>0</v>
      </c>
      <c r="AD11" s="328"/>
      <c r="AE11" s="148"/>
      <c r="AF11" s="148"/>
      <c r="AG11" s="148"/>
      <c r="AH11" s="148"/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148"/>
      <c r="AV11" s="148"/>
      <c r="AW11" s="148"/>
      <c r="AX11" s="148"/>
      <c r="AY11" s="148"/>
      <c r="AZ11" s="148"/>
      <c r="BA11" s="148"/>
      <c r="BB11" s="148"/>
      <c r="BC11" s="148"/>
      <c r="BD11" s="148"/>
      <c r="BE11" s="148"/>
      <c r="BF11" s="148"/>
      <c r="BG11" s="148"/>
      <c r="BH11" s="148"/>
      <c r="BI11" s="148"/>
      <c r="BJ11" s="148"/>
      <c r="BK11" s="148"/>
      <c r="BL11" s="148"/>
      <c r="BM11" s="148"/>
      <c r="BN11" s="148"/>
      <c r="BO11" s="148"/>
      <c r="BP11" s="148"/>
      <c r="BQ11" s="148"/>
      <c r="BR11" s="148"/>
      <c r="BS11" s="148"/>
      <c r="BT11" s="148"/>
      <c r="BU11" s="148"/>
      <c r="BV11" s="148"/>
      <c r="BW11" s="148"/>
      <c r="BX11" s="148"/>
      <c r="BY11" s="148"/>
      <c r="BZ11" s="148"/>
      <c r="CA11" s="148"/>
      <c r="CB11" s="148"/>
      <c r="CC11" s="148"/>
      <c r="CD11" s="148"/>
      <c r="CE11" s="148"/>
      <c r="CF11" s="148"/>
      <c r="CG11" s="148"/>
      <c r="CH11" s="148"/>
      <c r="CI11" s="148"/>
      <c r="CJ11" s="148"/>
      <c r="CK11" s="148"/>
      <c r="CL11" s="148"/>
      <c r="CM11" s="148"/>
      <c r="CN11" s="148"/>
      <c r="CO11" s="148"/>
      <c r="CP11" s="148"/>
    </row>
    <row r="12" spans="1:94" s="149" customFormat="1" x14ac:dyDescent="0.25">
      <c r="A12" s="139"/>
      <c r="B12" s="139"/>
      <c r="C12" s="443" t="s">
        <v>29</v>
      </c>
      <c r="D12" s="444"/>
      <c r="E12" s="217">
        <v>3</v>
      </c>
      <c r="F12" s="288">
        <f>[0]!TAAB000100col_TOTAL_ELECT_PCN_FTI</f>
        <v>0</v>
      </c>
      <c r="G12" s="218">
        <f>[0]!TAAB000100col_FTI_SALARY_ELECT</f>
        <v>0</v>
      </c>
      <c r="H12" s="218">
        <f>[0]!TAAB000100col_HEALTH_ELECT</f>
        <v>0</v>
      </c>
      <c r="I12" s="218">
        <f>[0]!TAAB000100col_TOT_VB_ELECT</f>
        <v>0</v>
      </c>
      <c r="J12" s="219">
        <f>SUM(G12:I12)</f>
        <v>0</v>
      </c>
      <c r="K12" s="268"/>
      <c r="L12" s="218">
        <f>[0]!TAAB000100col_HEALTH_ELECT_CHG</f>
        <v>0</v>
      </c>
      <c r="M12" s="218">
        <f>[0]!TAAB000100col_TOT_VB_ELECT_CHG</f>
        <v>0</v>
      </c>
      <c r="N12" s="219">
        <f>SUM(L12:M12)</f>
        <v>0</v>
      </c>
      <c r="O12"/>
      <c r="P12"/>
      <c r="Q12"/>
      <c r="R12"/>
      <c r="S12"/>
      <c r="T12"/>
      <c r="U12"/>
      <c r="V12"/>
      <c r="W12"/>
      <c r="X12"/>
      <c r="Y12"/>
      <c r="Z12" s="344"/>
      <c r="AA12" s="336"/>
      <c r="AB12" s="336"/>
      <c r="AC12" s="336"/>
      <c r="AD12" s="328"/>
      <c r="AE12" s="148"/>
      <c r="AF12" s="148"/>
      <c r="AG12" s="148"/>
      <c r="AH12" s="148"/>
      <c r="AI12" s="148"/>
      <c r="AJ12" s="148"/>
      <c r="AK12" s="148"/>
      <c r="AL12" s="148"/>
      <c r="AM12" s="148"/>
      <c r="AN12" s="148"/>
      <c r="AO12" s="148"/>
      <c r="AP12" s="148"/>
      <c r="AQ12" s="148"/>
      <c r="AR12" s="148"/>
      <c r="AS12" s="148"/>
      <c r="AT12" s="148"/>
      <c r="AU12" s="148"/>
      <c r="AV12" s="148"/>
      <c r="AW12" s="148"/>
      <c r="AX12" s="148"/>
      <c r="AY12" s="148"/>
      <c r="AZ12" s="148"/>
      <c r="BA12" s="148"/>
      <c r="BB12" s="148"/>
      <c r="BC12" s="148"/>
      <c r="BD12" s="148"/>
      <c r="BE12" s="148"/>
      <c r="BF12" s="148"/>
      <c r="BG12" s="148"/>
      <c r="BH12" s="148"/>
      <c r="BI12" s="148"/>
      <c r="BJ12" s="148"/>
      <c r="BK12" s="148"/>
      <c r="BL12" s="148"/>
      <c r="BM12" s="148"/>
      <c r="BN12" s="148"/>
      <c r="BO12" s="148"/>
      <c r="BP12" s="148"/>
      <c r="BQ12" s="148"/>
      <c r="BR12" s="148"/>
      <c r="BS12" s="148"/>
      <c r="BT12" s="148"/>
      <c r="BU12" s="148"/>
      <c r="BV12" s="148"/>
      <c r="BW12" s="148"/>
      <c r="BX12" s="148"/>
      <c r="BY12" s="148"/>
      <c r="BZ12" s="148"/>
      <c r="CA12" s="148"/>
      <c r="CB12" s="148"/>
      <c r="CC12" s="148"/>
      <c r="CD12" s="148"/>
      <c r="CE12" s="148"/>
      <c r="CF12" s="148"/>
      <c r="CG12" s="148"/>
      <c r="CH12" s="148"/>
      <c r="CI12" s="148"/>
      <c r="CJ12" s="148"/>
      <c r="CK12" s="148"/>
      <c r="CL12" s="148"/>
      <c r="CM12" s="148"/>
      <c r="CN12" s="148"/>
      <c r="CO12" s="148"/>
      <c r="CP12" s="148"/>
    </row>
    <row r="13" spans="1:94" s="153" customFormat="1" x14ac:dyDescent="0.25">
      <c r="A13" s="139"/>
      <c r="B13" s="139"/>
      <c r="C13" s="443" t="s">
        <v>30</v>
      </c>
      <c r="D13" s="466"/>
      <c r="E13" s="217"/>
      <c r="F13" s="220">
        <f>SUM(F10:F12)</f>
        <v>99.25</v>
      </c>
      <c r="G13" s="221">
        <f>SUM(G10:G12)</f>
        <v>5544221.2999999989</v>
      </c>
      <c r="H13" s="221">
        <f>SUM(H10:H12)</f>
        <v>1160340</v>
      </c>
      <c r="I13" s="221">
        <f>SUM(I10:I12)</f>
        <v>1177905.6109039998</v>
      </c>
      <c r="J13" s="219">
        <f>SUM(G13:I13)</f>
        <v>7882466.9109039987</v>
      </c>
      <c r="K13" s="268"/>
      <c r="L13" s="219">
        <f>SUM(L10:L12)</f>
        <v>0</v>
      </c>
      <c r="M13" s="219">
        <f>SUM(M10:M12)</f>
        <v>-26414.718720000008</v>
      </c>
      <c r="N13" s="219">
        <f>SUM(N10:N12)</f>
        <v>-26414.718720000008</v>
      </c>
      <c r="O13"/>
      <c r="P13"/>
      <c r="Q13"/>
      <c r="R13"/>
      <c r="S13"/>
      <c r="T13"/>
      <c r="U13"/>
      <c r="V13"/>
      <c r="W13"/>
      <c r="X13"/>
      <c r="Y13"/>
      <c r="Z13" s="344"/>
      <c r="AA13" s="336"/>
      <c r="AB13" s="336"/>
      <c r="AC13" s="336"/>
      <c r="AD13" s="329"/>
      <c r="AE13" s="147"/>
      <c r="AF13" s="147"/>
      <c r="AG13" s="147"/>
      <c r="AH13" s="147"/>
      <c r="AI13" s="147"/>
      <c r="AJ13" s="147"/>
      <c r="AK13" s="147"/>
      <c r="AL13" s="147"/>
      <c r="AM13" s="147"/>
      <c r="AN13" s="147"/>
      <c r="AO13" s="147"/>
      <c r="AP13" s="147"/>
      <c r="AQ13" s="147"/>
      <c r="AR13" s="147"/>
      <c r="AS13" s="147"/>
      <c r="AT13" s="147"/>
      <c r="AU13" s="147"/>
      <c r="AV13" s="147"/>
      <c r="AW13" s="147"/>
      <c r="AX13" s="147"/>
      <c r="AY13" s="147"/>
      <c r="AZ13" s="147"/>
      <c r="BA13" s="147"/>
      <c r="BB13" s="147"/>
      <c r="BC13" s="147"/>
      <c r="BD13" s="147"/>
      <c r="BE13" s="147"/>
      <c r="BF13" s="147"/>
      <c r="BG13" s="147"/>
      <c r="BH13" s="147"/>
      <c r="BI13" s="147"/>
      <c r="BJ13" s="147"/>
      <c r="BK13" s="147"/>
      <c r="BL13" s="147"/>
      <c r="BM13" s="147"/>
      <c r="BN13" s="147"/>
      <c r="BO13" s="147"/>
      <c r="BP13" s="147"/>
      <c r="BQ13" s="147"/>
      <c r="BR13" s="147"/>
      <c r="BS13" s="147"/>
      <c r="BT13" s="147"/>
      <c r="BU13" s="147"/>
      <c r="BV13" s="147"/>
      <c r="BW13" s="147"/>
      <c r="BX13" s="147"/>
      <c r="BY13" s="147"/>
      <c r="BZ13" s="147"/>
      <c r="CA13" s="147"/>
      <c r="CB13" s="147"/>
      <c r="CC13" s="147"/>
      <c r="CD13" s="147"/>
      <c r="CE13" s="147"/>
      <c r="CF13" s="147"/>
      <c r="CG13" s="147"/>
      <c r="CH13" s="147"/>
      <c r="CI13" s="147"/>
      <c r="CJ13" s="147"/>
      <c r="CK13" s="147"/>
      <c r="CL13" s="147"/>
      <c r="CM13" s="147"/>
      <c r="CN13" s="147"/>
      <c r="CO13" s="147"/>
      <c r="CP13" s="147"/>
    </row>
    <row r="14" spans="1:94" s="153" customFormat="1" ht="5.45" customHeight="1" x14ac:dyDescent="0.25">
      <c r="A14" s="139"/>
      <c r="B14" s="139"/>
      <c r="C14" s="364"/>
      <c r="D14" s="370"/>
      <c r="E14" s="217"/>
      <c r="F14" s="220"/>
      <c r="G14" s="219"/>
      <c r="H14" s="219"/>
      <c r="I14" s="219"/>
      <c r="J14" s="219"/>
      <c r="K14" s="268"/>
      <c r="L14" s="219"/>
      <c r="M14" s="222"/>
      <c r="N14" s="222"/>
      <c r="O14"/>
      <c r="P14"/>
      <c r="Q14"/>
      <c r="R14"/>
      <c r="S14"/>
      <c r="T14"/>
      <c r="U14"/>
      <c r="V14"/>
      <c r="W14"/>
      <c r="X14"/>
      <c r="Y14"/>
      <c r="Z14" s="344"/>
      <c r="AA14" s="336"/>
      <c r="AB14" s="336"/>
      <c r="AC14" s="336"/>
      <c r="AD14" s="329"/>
      <c r="AE14" s="147"/>
      <c r="AF14" s="147"/>
      <c r="AG14" s="147"/>
      <c r="AH14" s="147"/>
      <c r="AI14" s="147"/>
      <c r="AJ14" s="147"/>
      <c r="AK14" s="147"/>
      <c r="AL14" s="147"/>
      <c r="AM14" s="147"/>
      <c r="AN14" s="147"/>
      <c r="AO14" s="147"/>
      <c r="AP14" s="147"/>
      <c r="AQ14" s="147"/>
      <c r="AR14" s="147"/>
      <c r="AS14" s="147"/>
      <c r="AT14" s="147"/>
      <c r="AU14" s="147"/>
      <c r="AV14" s="147"/>
      <c r="AW14" s="147"/>
      <c r="AX14" s="147"/>
      <c r="AY14" s="147"/>
      <c r="AZ14" s="147"/>
      <c r="BA14" s="147"/>
      <c r="BB14" s="147"/>
      <c r="BC14" s="147"/>
      <c r="BD14" s="147"/>
      <c r="BE14" s="147"/>
      <c r="BF14" s="147"/>
      <c r="BG14" s="147"/>
      <c r="BH14" s="147"/>
      <c r="BI14" s="147"/>
      <c r="BJ14" s="147"/>
      <c r="BK14" s="147"/>
      <c r="BL14" s="147"/>
      <c r="BM14" s="147"/>
      <c r="BN14" s="147"/>
      <c r="BO14" s="147"/>
      <c r="BP14" s="147"/>
      <c r="BQ14" s="147"/>
      <c r="BR14" s="147"/>
      <c r="BS14" s="147"/>
      <c r="BT14" s="147"/>
      <c r="BU14" s="147"/>
      <c r="BV14" s="147"/>
      <c r="BW14" s="147"/>
      <c r="BX14" s="147"/>
      <c r="BY14" s="147"/>
      <c r="BZ14" s="147"/>
      <c r="CA14" s="147"/>
      <c r="CB14" s="147"/>
      <c r="CC14" s="147"/>
      <c r="CD14" s="147"/>
      <c r="CE14" s="147"/>
      <c r="CF14" s="147"/>
      <c r="CG14" s="147"/>
      <c r="CH14" s="147"/>
      <c r="CI14" s="147"/>
      <c r="CJ14" s="147"/>
      <c r="CK14" s="147"/>
      <c r="CL14" s="147"/>
      <c r="CM14" s="147"/>
      <c r="CN14" s="147"/>
      <c r="CO14" s="147"/>
      <c r="CP14" s="147"/>
    </row>
    <row r="15" spans="1:94" s="153" customFormat="1" ht="15.75" customHeight="1" x14ac:dyDescent="0.25">
      <c r="A15" s="139"/>
      <c r="B15" s="156"/>
      <c r="C15" s="157" t="str">
        <f>"FY "&amp;'TAAB|0001-00'!FiscalYear-1</f>
        <v>FY 2022</v>
      </c>
      <c r="D15" s="158" t="s">
        <v>31</v>
      </c>
      <c r="E15" s="354">
        <v>8123600</v>
      </c>
      <c r="F15" s="55">
        <v>101.8</v>
      </c>
      <c r="G15" s="223">
        <f>IF(OrigApprop=0,0,(G13/$J$13)*OrigApprop)</f>
        <v>5713824.9562933724</v>
      </c>
      <c r="H15" s="223">
        <f>IF(OrigApprop=0,0,(H13/$J$13)*OrigApprop)</f>
        <v>1195836.0409937915</v>
      </c>
      <c r="I15" s="223">
        <f>IF(G15=0,0,(I13/$J$13)*OrigApprop)</f>
        <v>1213939.0027128365</v>
      </c>
      <c r="J15" s="223">
        <f>SUM(G15:I15)</f>
        <v>8123600</v>
      </c>
      <c r="K15" s="268"/>
      <c r="L15" s="224"/>
      <c r="M15" s="224"/>
      <c r="N15" s="224"/>
      <c r="O15"/>
      <c r="P15"/>
      <c r="Q15"/>
      <c r="R15"/>
      <c r="S15"/>
      <c r="T15"/>
      <c r="U15"/>
      <c r="V15"/>
      <c r="W15"/>
      <c r="X15"/>
      <c r="Y15"/>
      <c r="Z15" s="344"/>
      <c r="AA15" s="336"/>
      <c r="AB15" s="336"/>
      <c r="AC15" s="336"/>
      <c r="AD15" s="329"/>
      <c r="AE15" s="147"/>
      <c r="AF15" s="147"/>
      <c r="AG15" s="147"/>
      <c r="AH15" s="147"/>
      <c r="AI15" s="147"/>
      <c r="AJ15" s="147"/>
      <c r="AK15" s="147"/>
      <c r="AL15" s="147"/>
      <c r="AM15" s="147"/>
      <c r="AN15" s="147"/>
      <c r="AO15" s="147"/>
      <c r="AP15" s="147"/>
      <c r="AQ15" s="147"/>
      <c r="AR15" s="147"/>
      <c r="AS15" s="147"/>
      <c r="AT15" s="147"/>
      <c r="AU15" s="147"/>
      <c r="AV15" s="147"/>
      <c r="AW15" s="147"/>
      <c r="AX15" s="147"/>
      <c r="AY15" s="147"/>
      <c r="AZ15" s="147"/>
      <c r="BA15" s="147"/>
      <c r="BB15" s="147"/>
      <c r="BC15" s="147"/>
      <c r="BD15" s="147"/>
      <c r="BE15" s="147"/>
      <c r="BF15" s="147"/>
      <c r="BG15" s="147"/>
      <c r="BH15" s="147"/>
      <c r="BI15" s="147"/>
      <c r="BJ15" s="147"/>
      <c r="BK15" s="147"/>
      <c r="BL15" s="147"/>
      <c r="BM15" s="147"/>
      <c r="BN15" s="147"/>
      <c r="BO15" s="147"/>
      <c r="BP15" s="147"/>
      <c r="BQ15" s="147"/>
      <c r="BR15" s="147"/>
      <c r="BS15" s="147"/>
      <c r="BT15" s="147"/>
      <c r="BU15" s="147"/>
      <c r="BV15" s="147"/>
      <c r="BW15" s="147"/>
      <c r="BX15" s="147"/>
      <c r="BY15" s="147"/>
      <c r="BZ15" s="147"/>
      <c r="CA15" s="147"/>
      <c r="CB15" s="147"/>
      <c r="CC15" s="147"/>
      <c r="CD15" s="147"/>
      <c r="CE15" s="147"/>
      <c r="CF15" s="147"/>
      <c r="CG15" s="147"/>
      <c r="CH15" s="147"/>
      <c r="CI15" s="147"/>
      <c r="CJ15" s="147"/>
      <c r="CK15" s="147"/>
      <c r="CL15" s="147"/>
      <c r="CM15" s="147"/>
      <c r="CN15" s="147"/>
      <c r="CO15" s="147"/>
      <c r="CP15" s="147"/>
    </row>
    <row r="16" spans="1:94" s="153" customFormat="1" ht="15.75" customHeight="1" x14ac:dyDescent="0.25">
      <c r="A16" s="139"/>
      <c r="B16" s="139"/>
      <c r="C16" s="453" t="s">
        <v>32</v>
      </c>
      <c r="D16" s="454"/>
      <c r="E16" s="160" t="s">
        <v>33</v>
      </c>
      <c r="F16" s="161">
        <f>F15-F13</f>
        <v>2.5499999999999972</v>
      </c>
      <c r="G16" s="162">
        <f>G15-G13</f>
        <v>169603.65629337355</v>
      </c>
      <c r="H16" s="162">
        <f>H15-H13</f>
        <v>35496.040993791539</v>
      </c>
      <c r="I16" s="162">
        <f>I15-I13</f>
        <v>36033.391808836721</v>
      </c>
      <c r="J16" s="162">
        <f>J15-J13</f>
        <v>241133.08909600135</v>
      </c>
      <c r="K16" s="269"/>
      <c r="L16" s="56" t="str">
        <f>IF('TAAB|0001-00'!OrigApprop=0,"ERROR! Enter Original Appropriation amount in DU 3.00!","Calculated "&amp;IF('TAAB|0001-00'!AdjustedTotal&gt;0,"overfunding ","underfunding ")&amp;"is "&amp;TEXT('TAAB|0001-00'!AdjustedTotal/'TAAB|0001-00'!AppropTotal,"#.0%;(#.0% );0% ;")&amp;" of Original Appropriation")</f>
        <v>Calculated overfunding is 3.0% of Original Appropriation</v>
      </c>
      <c r="M16" s="163"/>
      <c r="N16" s="164"/>
      <c r="O16"/>
      <c r="P16"/>
      <c r="Q16"/>
      <c r="R16"/>
      <c r="S16"/>
      <c r="T16"/>
      <c r="U16"/>
      <c r="V16"/>
      <c r="W16"/>
      <c r="X16"/>
      <c r="Y16"/>
      <c r="Z16" s="344"/>
      <c r="AA16" s="336"/>
      <c r="AB16" s="336"/>
      <c r="AC16" s="336"/>
      <c r="AD16" s="329"/>
      <c r="AE16" s="147"/>
      <c r="AF16" s="147"/>
      <c r="AG16" s="147"/>
      <c r="AH16" s="147"/>
      <c r="AI16" s="147"/>
      <c r="AJ16" s="147"/>
      <c r="AK16" s="147"/>
      <c r="AL16" s="147"/>
      <c r="AM16" s="147"/>
      <c r="AN16" s="147"/>
      <c r="AO16" s="147"/>
      <c r="AP16" s="147"/>
      <c r="AQ16" s="147"/>
      <c r="AR16" s="147"/>
      <c r="AS16" s="147"/>
      <c r="AT16" s="147"/>
      <c r="AU16" s="147"/>
      <c r="AV16" s="147"/>
      <c r="AW16" s="147"/>
      <c r="AX16" s="147"/>
      <c r="AY16" s="147"/>
      <c r="AZ16" s="147"/>
      <c r="BA16" s="147"/>
      <c r="BB16" s="147"/>
      <c r="BC16" s="147"/>
      <c r="BD16" s="147"/>
      <c r="BE16" s="147"/>
      <c r="BF16" s="147"/>
      <c r="BG16" s="147"/>
      <c r="BH16" s="147"/>
      <c r="BI16" s="147"/>
      <c r="BJ16" s="147"/>
      <c r="BK16" s="147"/>
      <c r="BL16" s="147"/>
      <c r="BM16" s="147"/>
      <c r="BN16" s="147"/>
      <c r="BO16" s="147"/>
      <c r="BP16" s="147"/>
      <c r="BQ16" s="147"/>
      <c r="BR16" s="147"/>
      <c r="BS16" s="147"/>
      <c r="BT16" s="147"/>
      <c r="BU16" s="147"/>
      <c r="BV16" s="147"/>
      <c r="BW16" s="147"/>
      <c r="BX16" s="147"/>
      <c r="BY16" s="147"/>
      <c r="BZ16" s="147"/>
      <c r="CA16" s="147"/>
      <c r="CB16" s="147"/>
      <c r="CC16" s="147"/>
      <c r="CD16" s="147"/>
      <c r="CE16" s="147"/>
      <c r="CF16" s="147"/>
      <c r="CG16" s="147"/>
      <c r="CH16" s="147"/>
      <c r="CI16" s="147"/>
      <c r="CJ16" s="147"/>
      <c r="CK16" s="147"/>
      <c r="CL16" s="147"/>
      <c r="CM16" s="147"/>
      <c r="CN16" s="147"/>
      <c r="CO16" s="147"/>
      <c r="CP16" s="147"/>
    </row>
    <row r="17" spans="1:94" s="153" customFormat="1" x14ac:dyDescent="0.25">
      <c r="A17" s="139"/>
      <c r="B17" s="139"/>
      <c r="C17" s="455" t="s">
        <v>34</v>
      </c>
      <c r="D17" s="456"/>
      <c r="E17" s="147"/>
      <c r="F17" s="258"/>
      <c r="G17" s="147"/>
      <c r="H17" s="166"/>
      <c r="I17" s="167"/>
      <c r="J17" s="166"/>
      <c r="K17" s="166"/>
      <c r="L17" s="166"/>
      <c r="M17" s="166"/>
      <c r="N17" s="166"/>
      <c r="O17"/>
      <c r="P17"/>
      <c r="Q17"/>
      <c r="R17"/>
      <c r="S17"/>
      <c r="T17"/>
      <c r="U17"/>
      <c r="V17"/>
      <c r="W17"/>
      <c r="X17"/>
      <c r="Y17"/>
      <c r="Z17" s="344"/>
      <c r="AA17" s="336"/>
      <c r="AB17" s="336"/>
      <c r="AC17" s="336"/>
      <c r="AD17" s="329"/>
      <c r="AE17" s="147"/>
      <c r="AF17" s="147"/>
      <c r="AG17" s="147"/>
      <c r="AH17" s="147"/>
      <c r="AI17" s="147"/>
      <c r="AJ17" s="147"/>
      <c r="AK17" s="147"/>
      <c r="AL17" s="147"/>
      <c r="AM17" s="147"/>
      <c r="AN17" s="147"/>
      <c r="AO17" s="147"/>
      <c r="AP17" s="147"/>
      <c r="AQ17" s="147"/>
      <c r="AR17" s="147"/>
      <c r="AS17" s="147"/>
      <c r="AT17" s="147"/>
      <c r="AU17" s="147"/>
      <c r="AV17" s="147"/>
      <c r="AW17" s="147"/>
      <c r="AX17" s="147"/>
      <c r="AY17" s="147"/>
      <c r="AZ17" s="147"/>
      <c r="BA17" s="147"/>
      <c r="BB17" s="147"/>
      <c r="BC17" s="147"/>
      <c r="BD17" s="147"/>
      <c r="BE17" s="147"/>
      <c r="BF17" s="147"/>
      <c r="BG17" s="147"/>
      <c r="BH17" s="147"/>
      <c r="BI17" s="147"/>
      <c r="BJ17" s="147"/>
      <c r="BK17" s="147"/>
      <c r="BL17" s="147"/>
      <c r="BM17" s="147"/>
      <c r="BN17" s="147"/>
      <c r="BO17" s="147"/>
      <c r="BP17" s="147"/>
      <c r="BQ17" s="147"/>
      <c r="BR17" s="147"/>
      <c r="BS17" s="147"/>
      <c r="BT17" s="147"/>
      <c r="BU17" s="147"/>
      <c r="BV17" s="147"/>
      <c r="BW17" s="147"/>
      <c r="BX17" s="147"/>
      <c r="BY17" s="147"/>
      <c r="BZ17" s="147"/>
      <c r="CA17" s="147"/>
      <c r="CB17" s="147"/>
      <c r="CC17" s="147"/>
      <c r="CD17" s="147"/>
      <c r="CE17" s="147"/>
      <c r="CF17" s="147"/>
      <c r="CG17" s="147"/>
      <c r="CH17" s="147"/>
      <c r="CI17" s="147"/>
      <c r="CJ17" s="147"/>
      <c r="CK17" s="147"/>
      <c r="CL17" s="147"/>
      <c r="CM17" s="147"/>
      <c r="CN17" s="147"/>
      <c r="CO17" s="147"/>
      <c r="CP17" s="147"/>
    </row>
    <row r="18" spans="1:94" s="153" customFormat="1" ht="26.25" customHeight="1" x14ac:dyDescent="0.25">
      <c r="A18" s="139"/>
      <c r="B18" s="168"/>
      <c r="C18" s="457" t="s">
        <v>35</v>
      </c>
      <c r="D18" s="458"/>
      <c r="E18" s="150"/>
      <c r="F18" s="165"/>
      <c r="G18" s="166"/>
      <c r="H18" s="169"/>
      <c r="I18" s="166"/>
      <c r="J18" s="166"/>
      <c r="K18" s="166"/>
      <c r="L18" s="166"/>
      <c r="M18" s="166"/>
      <c r="N18" s="166"/>
      <c r="O18"/>
      <c r="P18"/>
      <c r="Q18"/>
      <c r="R18"/>
      <c r="S18"/>
      <c r="T18"/>
      <c r="U18"/>
      <c r="V18"/>
      <c r="W18"/>
      <c r="X18"/>
      <c r="Y18"/>
      <c r="Z18" s="344"/>
      <c r="AA18" s="336"/>
      <c r="AB18" s="336"/>
      <c r="AC18" s="336"/>
      <c r="AD18" s="329"/>
      <c r="AE18" s="147"/>
      <c r="AF18" s="147"/>
      <c r="AG18" s="147"/>
      <c r="AH18" s="147"/>
      <c r="AI18" s="147"/>
      <c r="AJ18" s="147"/>
      <c r="AK18" s="147"/>
      <c r="AL18" s="147"/>
      <c r="AM18" s="147"/>
      <c r="AN18" s="147"/>
      <c r="AO18" s="147"/>
      <c r="AP18" s="147"/>
      <c r="AQ18" s="147"/>
      <c r="AR18" s="147"/>
      <c r="AS18" s="147"/>
      <c r="AT18" s="147"/>
      <c r="AU18" s="147"/>
      <c r="AV18" s="147"/>
      <c r="AW18" s="147"/>
      <c r="AX18" s="147"/>
      <c r="AY18" s="147"/>
      <c r="AZ18" s="147"/>
      <c r="BA18" s="147"/>
      <c r="BB18" s="147"/>
      <c r="BC18" s="147"/>
      <c r="BD18" s="147"/>
      <c r="BE18" s="147"/>
      <c r="BF18" s="147"/>
      <c r="BG18" s="147"/>
      <c r="BH18" s="147"/>
      <c r="BI18" s="147"/>
      <c r="BJ18" s="147"/>
      <c r="BK18" s="147"/>
      <c r="BL18" s="147"/>
      <c r="BM18" s="147"/>
      <c r="BN18" s="147"/>
      <c r="BO18" s="147"/>
      <c r="BP18" s="147"/>
      <c r="BQ18" s="147"/>
      <c r="BR18" s="147"/>
      <c r="BS18" s="147"/>
      <c r="BT18" s="147"/>
      <c r="BU18" s="147"/>
      <c r="BV18" s="147"/>
      <c r="BW18" s="147"/>
      <c r="BX18" s="147"/>
      <c r="BY18" s="147"/>
      <c r="BZ18" s="147"/>
      <c r="CA18" s="147"/>
      <c r="CB18" s="147"/>
      <c r="CC18" s="147"/>
      <c r="CD18" s="147"/>
      <c r="CE18" s="147"/>
      <c r="CF18" s="147"/>
      <c r="CG18" s="147"/>
      <c r="CH18" s="147"/>
      <c r="CI18" s="147"/>
      <c r="CJ18" s="147"/>
      <c r="CK18" s="147"/>
      <c r="CL18" s="147"/>
    </row>
    <row r="19" spans="1:94" s="153" customFormat="1" ht="25.5" x14ac:dyDescent="0.25">
      <c r="A19" s="238"/>
      <c r="B19" s="202"/>
      <c r="C19" s="239" t="s">
        <v>86</v>
      </c>
      <c r="D19" s="240" t="s">
        <v>87</v>
      </c>
      <c r="E19" s="241"/>
      <c r="F19" s="165"/>
      <c r="G19" s="166"/>
      <c r="H19" s="169"/>
      <c r="I19" s="170"/>
      <c r="J19" s="166"/>
      <c r="K19" s="166"/>
      <c r="L19" s="169"/>
      <c r="M19" s="166"/>
      <c r="N19" s="166"/>
      <c r="O19"/>
      <c r="P19"/>
      <c r="Q19"/>
      <c r="R19"/>
      <c r="S19"/>
      <c r="T19"/>
      <c r="U19"/>
      <c r="V19"/>
      <c r="W19"/>
      <c r="X19"/>
      <c r="Y19"/>
      <c r="Z19" s="344"/>
      <c r="AA19" s="363"/>
      <c r="AB19" s="363"/>
      <c r="AC19" s="363"/>
      <c r="AD19" s="329"/>
      <c r="AE19" s="147"/>
      <c r="AF19" s="147"/>
      <c r="AG19" s="147"/>
      <c r="AH19" s="147"/>
      <c r="AI19" s="147"/>
      <c r="AJ19" s="147"/>
      <c r="AK19" s="147"/>
      <c r="AL19" s="147"/>
      <c r="AM19" s="147"/>
      <c r="AN19" s="147"/>
      <c r="AO19" s="147"/>
      <c r="AP19" s="147"/>
      <c r="AQ19" s="147"/>
      <c r="AR19" s="147"/>
      <c r="AS19" s="147"/>
      <c r="AT19" s="147"/>
      <c r="AU19" s="147"/>
      <c r="AV19" s="147"/>
      <c r="AW19" s="147"/>
      <c r="AX19" s="147"/>
      <c r="AY19" s="147"/>
      <c r="AZ19" s="147"/>
      <c r="BA19" s="147"/>
      <c r="BB19" s="147"/>
      <c r="BC19" s="147"/>
      <c r="BD19" s="147"/>
      <c r="BE19" s="147"/>
      <c r="BF19" s="147"/>
      <c r="BG19" s="147"/>
      <c r="BH19" s="147"/>
      <c r="BI19" s="147"/>
      <c r="BJ19" s="147"/>
      <c r="BK19" s="147"/>
      <c r="BL19" s="147"/>
      <c r="BM19" s="147"/>
      <c r="BN19" s="147"/>
      <c r="BO19" s="147"/>
      <c r="BP19" s="147"/>
      <c r="BQ19" s="147"/>
      <c r="BR19" s="147"/>
      <c r="BS19" s="147"/>
      <c r="BT19" s="147"/>
      <c r="BU19" s="147"/>
      <c r="BV19" s="147"/>
      <c r="BW19" s="147"/>
      <c r="BX19" s="147"/>
      <c r="BY19" s="147"/>
      <c r="BZ19" s="147"/>
      <c r="CA19" s="147"/>
      <c r="CB19" s="147"/>
      <c r="CC19" s="147"/>
      <c r="CD19" s="147"/>
      <c r="CE19" s="147"/>
      <c r="CF19" s="147"/>
      <c r="CG19" s="147"/>
      <c r="CH19" s="147"/>
      <c r="CI19" s="147"/>
      <c r="CJ19" s="147"/>
      <c r="CK19" s="147"/>
      <c r="CL19" s="147"/>
      <c r="CM19" s="147"/>
      <c r="CN19" s="147"/>
      <c r="CO19" s="147"/>
      <c r="CP19" s="147"/>
    </row>
    <row r="20" spans="1:94" s="177" customFormat="1" ht="15" x14ac:dyDescent="0.25">
      <c r="A20" s="171"/>
      <c r="B20" s="172"/>
      <c r="C20" s="244"/>
      <c r="D20" s="242"/>
      <c r="E20" s="173"/>
      <c r="F20" s="174">
        <v>0</v>
      </c>
      <c r="G20" s="175">
        <v>0</v>
      </c>
      <c r="H20" s="176">
        <f t="shared" ref="H20:H30" si="0">IF(AND($F20&lt;&gt;0,$G20&lt;&gt;0,OR($E20=1,$E20=3)),$F20*Health,0)</f>
        <v>0</v>
      </c>
      <c r="I20" s="176">
        <f t="shared" ref="I20:I30" si="1">IF(AND($E20=1,$C20=""),$G20*PermVB+$G20*Retire1,IF($E20=1,$G20*PermVB+$G20*VLOOKUP($C20,Retirement_Rates,3,FALSE),IF($E20=2,$G20*GroupVB,IF(AND($E20=3,$C20=""),$G20*ElectVB+$G20*Retire1,IF($E20=3,$G20*ElectVB+$G20*VLOOKUP($C20,Retirement_Rates,3,FALSE),0)))))</f>
        <v>0</v>
      </c>
      <c r="J20" s="159">
        <f>IF($E20&gt;0,SUM($G20:$I20),0)</f>
        <v>0</v>
      </c>
      <c r="K20" s="166"/>
      <c r="L20" s="176">
        <f t="shared" ref="L20:L30" si="2">IF(AND($F20&lt;&gt;0,$G20&lt;&gt;0,OR($E20=1,$E20=3)),$F20*HealthCHG,0)</f>
        <v>0</v>
      </c>
      <c r="M20" s="176">
        <f>IF(AND($E20=1,$C20=""),$G20*PermVBCHG+$G20*Retire1CHG,IF($E20=1,$G20*PermVBCHG+$G20*VLOOKUP($C20,Retirement_Rates,5,FALSE),IF($E20=2,0,IF(AND($E20=3,$C20=""),$G20*ElectVBCHG+$G20*Retire1CHG,IF($E20=3,$G20*ElectVBCHG+$G20*VLOOKUP($C20,Retirement_Rates,5,FALSE),0)))))</f>
        <v>0</v>
      </c>
      <c r="N20" s="176">
        <f>SUM(L20:M20)</f>
        <v>0</v>
      </c>
      <c r="O20"/>
      <c r="P20"/>
      <c r="Q20"/>
      <c r="R20"/>
      <c r="S20"/>
      <c r="T20"/>
      <c r="U20"/>
      <c r="V20"/>
      <c r="W20"/>
      <c r="X20"/>
      <c r="Y20"/>
      <c r="Z20" s="344"/>
      <c r="AA20" s="363"/>
      <c r="AB20" s="363"/>
      <c r="AC20" s="363"/>
      <c r="AD20" s="329"/>
      <c r="AE20" s="147"/>
      <c r="AF20" s="147"/>
      <c r="AG20" s="147"/>
      <c r="AH20" s="147"/>
      <c r="AI20" s="147"/>
      <c r="AJ20" s="147"/>
      <c r="AK20" s="147"/>
      <c r="AL20" s="147"/>
      <c r="AM20" s="147"/>
      <c r="AN20" s="147"/>
      <c r="AO20" s="147"/>
      <c r="AP20" s="147"/>
      <c r="AQ20" s="147"/>
      <c r="AR20" s="147"/>
      <c r="AS20" s="147"/>
      <c r="AT20" s="147"/>
      <c r="AU20" s="147"/>
      <c r="AV20" s="147"/>
      <c r="AW20" s="147"/>
      <c r="AX20" s="147"/>
      <c r="AY20" s="147"/>
      <c r="AZ20" s="147"/>
      <c r="BA20" s="147"/>
      <c r="BB20" s="147"/>
      <c r="BC20" s="147"/>
      <c r="BD20" s="147"/>
      <c r="BE20" s="147"/>
      <c r="BF20" s="147"/>
      <c r="BG20" s="147"/>
      <c r="BH20" s="147"/>
      <c r="BI20" s="147"/>
      <c r="BJ20" s="147"/>
      <c r="BK20" s="147"/>
      <c r="BL20" s="147"/>
      <c r="BM20" s="147"/>
      <c r="BN20" s="147"/>
      <c r="BO20" s="147"/>
      <c r="BP20" s="147"/>
      <c r="BQ20" s="147"/>
      <c r="BR20" s="147"/>
      <c r="BS20" s="147"/>
      <c r="BT20" s="147"/>
      <c r="BU20" s="147"/>
      <c r="BV20" s="147"/>
      <c r="BW20" s="147"/>
      <c r="BX20" s="147"/>
      <c r="BY20" s="147"/>
      <c r="BZ20" s="147"/>
      <c r="CA20" s="147"/>
      <c r="CB20" s="147"/>
      <c r="CC20" s="147"/>
      <c r="CD20" s="147"/>
      <c r="CE20" s="147"/>
      <c r="CF20" s="147"/>
      <c r="CG20" s="147"/>
      <c r="CH20" s="147"/>
      <c r="CI20" s="147"/>
      <c r="CJ20" s="147"/>
      <c r="CK20" s="147"/>
      <c r="CL20" s="147"/>
      <c r="CM20" s="147"/>
      <c r="CN20" s="147"/>
      <c r="CO20" s="147"/>
      <c r="CP20" s="147"/>
    </row>
    <row r="21" spans="1:94" s="177" customFormat="1" ht="15" x14ac:dyDescent="0.25">
      <c r="A21" s="178"/>
      <c r="B21" s="179"/>
      <c r="C21" s="244"/>
      <c r="D21" s="242"/>
      <c r="E21" s="180"/>
      <c r="F21" s="181">
        <v>0</v>
      </c>
      <c r="G21" s="175">
        <v>0</v>
      </c>
      <c r="H21" s="176">
        <f t="shared" si="0"/>
        <v>0</v>
      </c>
      <c r="I21" s="176">
        <f t="shared" si="1"/>
        <v>0</v>
      </c>
      <c r="J21" s="159">
        <f t="shared" ref="J21:J35" si="3">IF($E21&gt;0,SUM($G21:$I21),0)</f>
        <v>0</v>
      </c>
      <c r="K21" s="166"/>
      <c r="L21" s="176">
        <f t="shared" si="2"/>
        <v>0</v>
      </c>
      <c r="M21" s="176">
        <f t="shared" ref="M21:M30" si="4">IF(AND($E21=1,$C21=""),$G21*PermVBCHG+$G21*Retire1CHG,IF($E21=1,$G21*PermVBCHG+$G21*VLOOKUP($C21,Retirement_Rates,5,FALSE),IF($E21=2,0,IF(AND($E21=3,$C21=""),$G21*ElectVBCHG+$G21*Retire1CHG,IF($E21=3,$G21*ElectVBCHG+$G21*VLOOKUP($C21,Retirement_Rates,5,FALSE),0)))))</f>
        <v>0</v>
      </c>
      <c r="N21" s="183">
        <f t="shared" ref="N21:N30" si="5">SUM(L21:M21)</f>
        <v>0</v>
      </c>
      <c r="O21"/>
      <c r="P21"/>
      <c r="Q21"/>
      <c r="R21"/>
      <c r="S21"/>
      <c r="T21"/>
      <c r="U21"/>
      <c r="V21"/>
      <c r="W21"/>
      <c r="X21"/>
      <c r="Y21"/>
      <c r="Z21" s="344"/>
      <c r="AA21" s="363"/>
      <c r="AB21" s="363"/>
      <c r="AC21" s="363"/>
      <c r="AD21" s="329"/>
      <c r="AE21" s="147"/>
      <c r="AF21" s="147"/>
      <c r="AG21" s="147"/>
      <c r="AH21" s="147"/>
      <c r="AI21" s="147"/>
      <c r="AJ21" s="147"/>
      <c r="AK21" s="147"/>
      <c r="AL21" s="147"/>
      <c r="AM21" s="147"/>
      <c r="AN21" s="147"/>
      <c r="AO21" s="147"/>
      <c r="AP21" s="147"/>
      <c r="AQ21" s="147"/>
      <c r="AR21" s="147"/>
      <c r="AS21" s="147"/>
      <c r="AT21" s="147"/>
      <c r="AU21" s="147"/>
      <c r="AV21" s="147"/>
      <c r="AW21" s="147"/>
      <c r="AX21" s="147"/>
      <c r="AY21" s="147"/>
      <c r="AZ21" s="147"/>
      <c r="BA21" s="147"/>
      <c r="BB21" s="147"/>
      <c r="BC21" s="147"/>
      <c r="BD21" s="147"/>
      <c r="BE21" s="147"/>
      <c r="BF21" s="147"/>
      <c r="BG21" s="147"/>
      <c r="BH21" s="147"/>
      <c r="BI21" s="147"/>
      <c r="BJ21" s="147"/>
      <c r="BK21" s="147"/>
      <c r="BL21" s="147"/>
      <c r="BM21" s="147"/>
      <c r="BN21" s="147"/>
      <c r="BO21" s="147"/>
      <c r="BP21" s="147"/>
      <c r="BQ21" s="147"/>
      <c r="BR21" s="147"/>
      <c r="BS21" s="147"/>
      <c r="BT21" s="147"/>
      <c r="BU21" s="147"/>
      <c r="BV21" s="147"/>
      <c r="BW21" s="147"/>
      <c r="BX21" s="147"/>
      <c r="BY21" s="147"/>
      <c r="BZ21" s="147"/>
      <c r="CA21" s="147"/>
      <c r="CB21" s="147"/>
      <c r="CC21" s="147"/>
      <c r="CD21" s="147"/>
      <c r="CE21" s="147"/>
      <c r="CF21" s="147"/>
      <c r="CG21" s="147"/>
      <c r="CH21" s="147"/>
      <c r="CI21" s="147"/>
      <c r="CJ21" s="147"/>
      <c r="CK21" s="147"/>
      <c r="CL21" s="147"/>
      <c r="CM21" s="147"/>
      <c r="CN21" s="147"/>
      <c r="CO21" s="147"/>
      <c r="CP21" s="147"/>
    </row>
    <row r="22" spans="1:94" s="177" customFormat="1" ht="15" x14ac:dyDescent="0.25">
      <c r="A22" s="178"/>
      <c r="B22" s="179"/>
      <c r="C22" s="244"/>
      <c r="D22" s="242"/>
      <c r="E22" s="180"/>
      <c r="F22" s="181">
        <v>0</v>
      </c>
      <c r="G22" s="175">
        <v>0</v>
      </c>
      <c r="H22" s="176">
        <f t="shared" si="0"/>
        <v>0</v>
      </c>
      <c r="I22" s="176">
        <f t="shared" si="1"/>
        <v>0</v>
      </c>
      <c r="J22" s="159">
        <f t="shared" si="3"/>
        <v>0</v>
      </c>
      <c r="K22" s="166"/>
      <c r="L22" s="176">
        <f t="shared" si="2"/>
        <v>0</v>
      </c>
      <c r="M22" s="176">
        <f t="shared" si="4"/>
        <v>0</v>
      </c>
      <c r="N22" s="183">
        <f t="shared" si="5"/>
        <v>0</v>
      </c>
      <c r="O22"/>
      <c r="P22"/>
      <c r="Q22"/>
      <c r="R22"/>
      <c r="S22"/>
      <c r="T22"/>
      <c r="U22"/>
      <c r="V22"/>
      <c r="W22"/>
      <c r="X22"/>
      <c r="Y22"/>
      <c r="Z22" s="344"/>
      <c r="AA22" s="363"/>
      <c r="AB22" s="363"/>
      <c r="AC22" s="363"/>
      <c r="AD22" s="329"/>
      <c r="AE22" s="147"/>
      <c r="AF22" s="147"/>
      <c r="AG22" s="147"/>
      <c r="AH22" s="147"/>
      <c r="AI22" s="147"/>
      <c r="AJ22" s="147"/>
      <c r="AK22" s="147"/>
      <c r="AL22" s="147"/>
      <c r="AM22" s="147"/>
      <c r="AN22" s="147"/>
      <c r="AO22" s="147"/>
      <c r="AP22" s="147"/>
      <c r="AQ22" s="147"/>
      <c r="AR22" s="147"/>
      <c r="AS22" s="147"/>
      <c r="AT22" s="147"/>
      <c r="AU22" s="147"/>
      <c r="AV22" s="147"/>
      <c r="AW22" s="147"/>
      <c r="AX22" s="147"/>
      <c r="AY22" s="147"/>
      <c r="AZ22" s="147"/>
      <c r="BA22" s="147"/>
      <c r="BB22" s="147"/>
      <c r="BC22" s="147"/>
      <c r="BD22" s="147"/>
      <c r="BE22" s="147"/>
      <c r="BF22" s="147"/>
      <c r="BG22" s="147"/>
      <c r="BH22" s="147"/>
      <c r="BI22" s="147"/>
      <c r="BJ22" s="147"/>
      <c r="BK22" s="147"/>
      <c r="BL22" s="147"/>
      <c r="BM22" s="147"/>
      <c r="BN22" s="147"/>
      <c r="BO22" s="147"/>
      <c r="BP22" s="147"/>
      <c r="BQ22" s="147"/>
      <c r="BR22" s="147"/>
      <c r="BS22" s="147"/>
      <c r="BT22" s="147"/>
      <c r="BU22" s="147"/>
      <c r="BV22" s="147"/>
      <c r="BW22" s="147"/>
      <c r="BX22" s="147"/>
      <c r="BY22" s="147"/>
      <c r="BZ22" s="147"/>
      <c r="CA22" s="147"/>
      <c r="CB22" s="147"/>
      <c r="CC22" s="147"/>
      <c r="CD22" s="147"/>
      <c r="CE22" s="147"/>
      <c r="CF22" s="147"/>
      <c r="CG22" s="147"/>
      <c r="CH22" s="147"/>
      <c r="CI22" s="147"/>
      <c r="CJ22" s="147"/>
      <c r="CK22" s="147"/>
      <c r="CL22" s="147"/>
      <c r="CM22" s="147"/>
      <c r="CN22" s="147"/>
      <c r="CO22" s="147"/>
      <c r="CP22" s="147"/>
    </row>
    <row r="23" spans="1:94" s="177" customFormat="1" ht="15" x14ac:dyDescent="0.25">
      <c r="A23" s="178"/>
      <c r="B23" s="179"/>
      <c r="C23" s="244"/>
      <c r="D23" s="242"/>
      <c r="E23" s="180"/>
      <c r="F23" s="181">
        <v>0</v>
      </c>
      <c r="G23" s="175">
        <v>0</v>
      </c>
      <c r="H23" s="176">
        <f t="shared" si="0"/>
        <v>0</v>
      </c>
      <c r="I23" s="176">
        <f t="shared" si="1"/>
        <v>0</v>
      </c>
      <c r="J23" s="159">
        <f t="shared" si="3"/>
        <v>0</v>
      </c>
      <c r="K23" s="166"/>
      <c r="L23" s="176">
        <f t="shared" si="2"/>
        <v>0</v>
      </c>
      <c r="M23" s="176">
        <f t="shared" si="4"/>
        <v>0</v>
      </c>
      <c r="N23" s="183">
        <f t="shared" si="5"/>
        <v>0</v>
      </c>
      <c r="O23"/>
      <c r="P23"/>
      <c r="Q23"/>
      <c r="R23"/>
      <c r="S23"/>
      <c r="T23"/>
      <c r="U23"/>
      <c r="V23"/>
      <c r="W23"/>
      <c r="X23"/>
      <c r="Y23"/>
      <c r="Z23" s="344"/>
      <c r="AA23" s="363"/>
      <c r="AB23" s="363"/>
      <c r="AC23" s="363"/>
      <c r="AD23" s="329"/>
      <c r="AE23" s="147"/>
      <c r="AF23" s="147"/>
      <c r="AG23" s="147"/>
      <c r="AH23" s="147"/>
      <c r="AI23" s="147"/>
      <c r="AJ23" s="147"/>
      <c r="AK23" s="147"/>
      <c r="AL23" s="147"/>
      <c r="AM23" s="147"/>
      <c r="AN23" s="147"/>
      <c r="AO23" s="147"/>
      <c r="AP23" s="147"/>
      <c r="AQ23" s="147"/>
      <c r="AR23" s="147"/>
      <c r="AS23" s="147"/>
      <c r="AT23" s="147"/>
      <c r="AU23" s="147"/>
      <c r="AV23" s="147"/>
      <c r="AW23" s="147"/>
      <c r="AX23" s="147"/>
      <c r="AY23" s="147"/>
      <c r="AZ23" s="147"/>
      <c r="BA23" s="147"/>
      <c r="BB23" s="147"/>
      <c r="BC23" s="147"/>
      <c r="BD23" s="147"/>
      <c r="BE23" s="147"/>
      <c r="BF23" s="147"/>
      <c r="BG23" s="147"/>
      <c r="BH23" s="147"/>
      <c r="BI23" s="147"/>
      <c r="BJ23" s="147"/>
      <c r="BK23" s="147"/>
      <c r="BL23" s="147"/>
      <c r="BM23" s="147"/>
      <c r="BN23" s="147"/>
      <c r="BO23" s="147"/>
      <c r="BP23" s="147"/>
      <c r="BQ23" s="147"/>
      <c r="BR23" s="147"/>
      <c r="BS23" s="147"/>
      <c r="BT23" s="147"/>
      <c r="BU23" s="147"/>
      <c r="BV23" s="147"/>
      <c r="BW23" s="147"/>
      <c r="BX23" s="147"/>
      <c r="BY23" s="147"/>
      <c r="BZ23" s="147"/>
      <c r="CA23" s="147"/>
      <c r="CB23" s="147"/>
      <c r="CC23" s="147"/>
      <c r="CD23" s="147"/>
      <c r="CE23" s="147"/>
      <c r="CF23" s="147"/>
      <c r="CG23" s="147"/>
      <c r="CH23" s="147"/>
      <c r="CI23" s="147"/>
      <c r="CJ23" s="147"/>
      <c r="CK23" s="147"/>
      <c r="CL23" s="147"/>
      <c r="CM23" s="147"/>
      <c r="CN23" s="147"/>
      <c r="CO23" s="147"/>
      <c r="CP23" s="147"/>
    </row>
    <row r="24" spans="1:94" s="177" customFormat="1" ht="15" x14ac:dyDescent="0.25">
      <c r="A24" s="178"/>
      <c r="B24" s="179"/>
      <c r="C24" s="244"/>
      <c r="D24" s="242"/>
      <c r="E24" s="180"/>
      <c r="F24" s="181">
        <v>0</v>
      </c>
      <c r="G24" s="175">
        <v>0</v>
      </c>
      <c r="H24" s="176">
        <f t="shared" si="0"/>
        <v>0</v>
      </c>
      <c r="I24" s="176">
        <f t="shared" si="1"/>
        <v>0</v>
      </c>
      <c r="J24" s="159">
        <f t="shared" si="3"/>
        <v>0</v>
      </c>
      <c r="K24" s="166"/>
      <c r="L24" s="176">
        <f t="shared" si="2"/>
        <v>0</v>
      </c>
      <c r="M24" s="176">
        <f t="shared" si="4"/>
        <v>0</v>
      </c>
      <c r="N24" s="183">
        <f t="shared" si="5"/>
        <v>0</v>
      </c>
      <c r="O24"/>
      <c r="P24"/>
      <c r="Q24"/>
      <c r="R24"/>
      <c r="S24"/>
      <c r="T24"/>
      <c r="U24"/>
      <c r="V24"/>
      <c r="W24"/>
      <c r="X24"/>
      <c r="Y24"/>
      <c r="Z24" s="344"/>
      <c r="AA24" s="345"/>
      <c r="AB24" s="363"/>
      <c r="AC24" s="363"/>
      <c r="AD24" s="329"/>
      <c r="AE24" s="147"/>
      <c r="AF24" s="147"/>
      <c r="AG24" s="147"/>
      <c r="AH24" s="147"/>
      <c r="AI24" s="147"/>
      <c r="AJ24" s="147"/>
      <c r="AK24" s="147"/>
      <c r="AL24" s="147"/>
      <c r="AM24" s="147"/>
      <c r="AN24" s="147"/>
      <c r="AO24" s="147"/>
      <c r="AP24" s="147"/>
      <c r="AQ24" s="147"/>
      <c r="AR24" s="147"/>
      <c r="AS24" s="147"/>
      <c r="AT24" s="147"/>
      <c r="AU24" s="147"/>
      <c r="AV24" s="147"/>
      <c r="AW24" s="147"/>
      <c r="AX24" s="147"/>
      <c r="AY24" s="147"/>
      <c r="AZ24" s="147"/>
      <c r="BA24" s="147"/>
      <c r="BB24" s="147"/>
      <c r="BC24" s="147"/>
      <c r="BD24" s="147"/>
      <c r="BE24" s="147"/>
      <c r="BF24" s="147"/>
      <c r="BG24" s="147"/>
      <c r="BH24" s="147"/>
      <c r="BI24" s="147"/>
      <c r="BJ24" s="147"/>
      <c r="BK24" s="147"/>
      <c r="BL24" s="147"/>
      <c r="BM24" s="147"/>
      <c r="BN24" s="147"/>
      <c r="BO24" s="147"/>
      <c r="BP24" s="147"/>
      <c r="BQ24" s="147"/>
      <c r="BR24" s="147"/>
      <c r="BS24" s="147"/>
      <c r="BT24" s="147"/>
      <c r="BU24" s="147"/>
      <c r="BV24" s="147"/>
      <c r="BW24" s="147"/>
      <c r="BX24" s="147"/>
      <c r="BY24" s="147"/>
      <c r="BZ24" s="147"/>
      <c r="CA24" s="147"/>
      <c r="CB24" s="147"/>
      <c r="CC24" s="147"/>
      <c r="CD24" s="147"/>
      <c r="CE24" s="147"/>
      <c r="CF24" s="147"/>
      <c r="CG24" s="147"/>
      <c r="CH24" s="147"/>
      <c r="CI24" s="147"/>
      <c r="CJ24" s="147"/>
      <c r="CK24" s="147"/>
      <c r="CL24" s="147"/>
      <c r="CM24" s="147"/>
      <c r="CN24" s="147"/>
      <c r="CO24" s="147"/>
      <c r="CP24" s="147"/>
    </row>
    <row r="25" spans="1:94" s="177" customFormat="1" ht="15" x14ac:dyDescent="0.25">
      <c r="A25" s="178"/>
      <c r="B25" s="179"/>
      <c r="C25" s="244"/>
      <c r="D25" s="242"/>
      <c r="E25" s="180"/>
      <c r="F25" s="181">
        <v>0</v>
      </c>
      <c r="G25" s="182">
        <v>0</v>
      </c>
      <c r="H25" s="176">
        <f t="shared" si="0"/>
        <v>0</v>
      </c>
      <c r="I25" s="176">
        <f t="shared" si="1"/>
        <v>0</v>
      </c>
      <c r="J25" s="159">
        <f t="shared" si="3"/>
        <v>0</v>
      </c>
      <c r="K25" s="166"/>
      <c r="L25" s="176">
        <f t="shared" si="2"/>
        <v>0</v>
      </c>
      <c r="M25" s="176">
        <f t="shared" si="4"/>
        <v>0</v>
      </c>
      <c r="N25" s="183">
        <f t="shared" si="5"/>
        <v>0</v>
      </c>
      <c r="O25"/>
      <c r="P25"/>
      <c r="Q25"/>
      <c r="R25"/>
      <c r="S25"/>
      <c r="T25"/>
      <c r="U25"/>
      <c r="V25"/>
      <c r="W25"/>
      <c r="X25"/>
      <c r="Y25"/>
      <c r="Z25" s="344"/>
      <c r="AA25" s="345"/>
      <c r="AB25" s="363"/>
      <c r="AC25" s="363"/>
      <c r="AD25" s="329"/>
      <c r="AE25" s="147"/>
      <c r="AF25" s="147"/>
      <c r="AG25" s="147"/>
      <c r="AH25" s="147"/>
      <c r="AI25" s="147"/>
      <c r="AJ25" s="147"/>
      <c r="AK25" s="147"/>
      <c r="AL25" s="147"/>
      <c r="AM25" s="147"/>
      <c r="AN25" s="147"/>
      <c r="AO25" s="147"/>
      <c r="AP25" s="147"/>
      <c r="AQ25" s="147"/>
      <c r="AR25" s="147"/>
      <c r="AS25" s="147"/>
      <c r="AT25" s="147"/>
      <c r="AU25" s="147"/>
      <c r="AV25" s="147"/>
      <c r="AW25" s="147"/>
      <c r="AX25" s="147"/>
      <c r="AY25" s="147"/>
      <c r="AZ25" s="147"/>
      <c r="BA25" s="147"/>
      <c r="BB25" s="147"/>
      <c r="BC25" s="147"/>
      <c r="BD25" s="147"/>
      <c r="BE25" s="147"/>
      <c r="BF25" s="147"/>
      <c r="BG25" s="147"/>
      <c r="BH25" s="147"/>
      <c r="BI25" s="147"/>
      <c r="BJ25" s="147"/>
      <c r="BK25" s="147"/>
      <c r="BL25" s="147"/>
      <c r="BM25" s="147"/>
      <c r="BN25" s="147"/>
      <c r="BO25" s="147"/>
      <c r="BP25" s="147"/>
      <c r="BQ25" s="147"/>
      <c r="BR25" s="147"/>
      <c r="BS25" s="147"/>
      <c r="BT25" s="147"/>
      <c r="BU25" s="147"/>
      <c r="BV25" s="147"/>
      <c r="BW25" s="147"/>
      <c r="BX25" s="147"/>
      <c r="BY25" s="147"/>
      <c r="BZ25" s="147"/>
      <c r="CA25" s="147"/>
      <c r="CB25" s="147"/>
      <c r="CC25" s="147"/>
      <c r="CD25" s="147"/>
      <c r="CE25" s="147"/>
      <c r="CF25" s="147"/>
      <c r="CG25" s="147"/>
      <c r="CH25" s="147"/>
      <c r="CI25" s="147"/>
      <c r="CJ25" s="147"/>
      <c r="CK25" s="147"/>
      <c r="CL25" s="147"/>
      <c r="CM25" s="147"/>
      <c r="CN25" s="147"/>
      <c r="CO25" s="147"/>
      <c r="CP25" s="147"/>
    </row>
    <row r="26" spans="1:94" s="177" customFormat="1" ht="15" x14ac:dyDescent="0.25">
      <c r="A26" s="178"/>
      <c r="B26" s="179"/>
      <c r="C26" s="244"/>
      <c r="D26" s="242"/>
      <c r="E26" s="180"/>
      <c r="F26" s="181">
        <v>0</v>
      </c>
      <c r="G26" s="182">
        <v>0</v>
      </c>
      <c r="H26" s="176">
        <f t="shared" si="0"/>
        <v>0</v>
      </c>
      <c r="I26" s="176">
        <f t="shared" si="1"/>
        <v>0</v>
      </c>
      <c r="J26" s="159">
        <f t="shared" si="3"/>
        <v>0</v>
      </c>
      <c r="K26" s="166"/>
      <c r="L26" s="176">
        <f t="shared" si="2"/>
        <v>0</v>
      </c>
      <c r="M26" s="176">
        <f t="shared" si="4"/>
        <v>0</v>
      </c>
      <c r="N26" s="183">
        <f t="shared" si="5"/>
        <v>0</v>
      </c>
      <c r="O26"/>
      <c r="P26"/>
      <c r="Q26"/>
      <c r="R26"/>
      <c r="S26"/>
      <c r="T26"/>
      <c r="U26"/>
      <c r="V26"/>
      <c r="W26"/>
      <c r="X26"/>
      <c r="Y26"/>
      <c r="Z26" s="344"/>
      <c r="AA26" s="345"/>
      <c r="AB26" s="363"/>
      <c r="AC26" s="363"/>
      <c r="AD26" s="329"/>
      <c r="AE26" s="147"/>
      <c r="AF26" s="147"/>
      <c r="AG26" s="147"/>
      <c r="AH26" s="147"/>
      <c r="AI26" s="147"/>
      <c r="AJ26" s="147"/>
      <c r="AK26" s="147"/>
      <c r="AL26" s="147"/>
      <c r="AM26" s="147"/>
      <c r="AN26" s="147"/>
      <c r="AO26" s="147"/>
      <c r="AP26" s="147"/>
      <c r="AQ26" s="147"/>
      <c r="AR26" s="147"/>
      <c r="AS26" s="147"/>
      <c r="AT26" s="147"/>
      <c r="AU26" s="147"/>
      <c r="AV26" s="147"/>
      <c r="AW26" s="147"/>
      <c r="AX26" s="147"/>
      <c r="AY26" s="147"/>
      <c r="AZ26" s="147"/>
      <c r="BA26" s="147"/>
      <c r="BB26" s="147"/>
      <c r="BC26" s="147"/>
      <c r="BD26" s="147"/>
      <c r="BE26" s="147"/>
      <c r="BF26" s="147"/>
      <c r="BG26" s="147"/>
      <c r="BH26" s="147"/>
      <c r="BI26" s="147"/>
      <c r="BJ26" s="147"/>
      <c r="BK26" s="147"/>
      <c r="BL26" s="147"/>
      <c r="BM26" s="147"/>
      <c r="BN26" s="147"/>
      <c r="BO26" s="147"/>
      <c r="BP26" s="147"/>
      <c r="BQ26" s="147"/>
      <c r="BR26" s="147"/>
      <c r="BS26" s="147"/>
      <c r="BT26" s="147"/>
      <c r="BU26" s="147"/>
      <c r="BV26" s="147"/>
      <c r="BW26" s="147"/>
      <c r="BX26" s="147"/>
      <c r="BY26" s="147"/>
      <c r="BZ26" s="147"/>
      <c r="CA26" s="147"/>
      <c r="CB26" s="147"/>
      <c r="CC26" s="147"/>
      <c r="CD26" s="147"/>
      <c r="CE26" s="147"/>
      <c r="CF26" s="147"/>
      <c r="CG26" s="147"/>
      <c r="CH26" s="147"/>
      <c r="CI26" s="147"/>
      <c r="CJ26" s="147"/>
      <c r="CK26" s="147"/>
      <c r="CL26" s="147"/>
      <c r="CM26" s="147"/>
      <c r="CN26" s="147"/>
      <c r="CO26" s="147"/>
      <c r="CP26" s="147"/>
    </row>
    <row r="27" spans="1:94" s="177" customFormat="1" ht="15" x14ac:dyDescent="0.25">
      <c r="A27" s="178"/>
      <c r="B27" s="179"/>
      <c r="C27" s="244"/>
      <c r="D27" s="242"/>
      <c r="E27" s="180"/>
      <c r="F27" s="181">
        <v>0</v>
      </c>
      <c r="G27" s="182">
        <v>0</v>
      </c>
      <c r="H27" s="176">
        <f t="shared" si="0"/>
        <v>0</v>
      </c>
      <c r="I27" s="176">
        <f t="shared" si="1"/>
        <v>0</v>
      </c>
      <c r="J27" s="159">
        <f t="shared" si="3"/>
        <v>0</v>
      </c>
      <c r="K27" s="166"/>
      <c r="L27" s="176">
        <f t="shared" si="2"/>
        <v>0</v>
      </c>
      <c r="M27" s="176">
        <f t="shared" si="4"/>
        <v>0</v>
      </c>
      <c r="N27" s="183">
        <f t="shared" si="5"/>
        <v>0</v>
      </c>
      <c r="O27"/>
      <c r="P27"/>
      <c r="Q27"/>
      <c r="R27"/>
      <c r="S27"/>
      <c r="T27"/>
      <c r="U27"/>
      <c r="V27"/>
      <c r="W27"/>
      <c r="X27"/>
      <c r="Y27"/>
      <c r="Z27" s="344"/>
      <c r="AA27" s="363"/>
      <c r="AB27" s="363"/>
      <c r="AC27" s="363"/>
      <c r="AD27" s="329"/>
      <c r="AE27" s="147"/>
      <c r="AF27" s="147"/>
      <c r="AG27" s="147"/>
      <c r="AH27" s="147"/>
      <c r="AI27" s="147"/>
      <c r="AJ27" s="147"/>
      <c r="AK27" s="147"/>
      <c r="AL27" s="147"/>
      <c r="AM27" s="147"/>
      <c r="AN27" s="147"/>
      <c r="AO27" s="147"/>
      <c r="AP27" s="147"/>
      <c r="AQ27" s="147"/>
      <c r="AR27" s="147"/>
      <c r="AS27" s="147"/>
      <c r="AT27" s="147"/>
      <c r="AU27" s="147"/>
      <c r="AV27" s="147"/>
      <c r="AW27" s="147"/>
      <c r="AX27" s="147"/>
      <c r="AY27" s="147"/>
      <c r="AZ27" s="147"/>
      <c r="BA27" s="147"/>
      <c r="BB27" s="147"/>
      <c r="BC27" s="147"/>
      <c r="BD27" s="147"/>
      <c r="BE27" s="147"/>
      <c r="BF27" s="147"/>
      <c r="BG27" s="147"/>
      <c r="BH27" s="147"/>
      <c r="BI27" s="147"/>
      <c r="BJ27" s="147"/>
      <c r="BK27" s="147"/>
      <c r="BL27" s="147"/>
      <c r="BM27" s="147"/>
      <c r="BN27" s="147"/>
      <c r="BO27" s="147"/>
      <c r="BP27" s="147"/>
      <c r="BQ27" s="147"/>
      <c r="BR27" s="147"/>
      <c r="BS27" s="147"/>
      <c r="BT27" s="147"/>
      <c r="BU27" s="147"/>
      <c r="BV27" s="147"/>
      <c r="BW27" s="147"/>
      <c r="BX27" s="147"/>
      <c r="BY27" s="147"/>
      <c r="BZ27" s="147"/>
      <c r="CA27" s="147"/>
      <c r="CB27" s="147"/>
      <c r="CC27" s="147"/>
      <c r="CD27" s="147"/>
      <c r="CE27" s="147"/>
      <c r="CF27" s="147"/>
      <c r="CG27" s="147"/>
      <c r="CH27" s="147"/>
      <c r="CI27" s="147"/>
      <c r="CJ27" s="147"/>
      <c r="CK27" s="147"/>
      <c r="CL27" s="147"/>
      <c r="CM27" s="147"/>
      <c r="CN27" s="147"/>
      <c r="CO27" s="147"/>
      <c r="CP27" s="147"/>
    </row>
    <row r="28" spans="1:94" s="177" customFormat="1" ht="15" x14ac:dyDescent="0.25">
      <c r="A28" s="178"/>
      <c r="B28" s="179"/>
      <c r="C28" s="244"/>
      <c r="D28" s="242"/>
      <c r="E28" s="180"/>
      <c r="F28" s="181">
        <v>0</v>
      </c>
      <c r="G28" s="182">
        <v>0</v>
      </c>
      <c r="H28" s="176">
        <f t="shared" si="0"/>
        <v>0</v>
      </c>
      <c r="I28" s="176">
        <f t="shared" si="1"/>
        <v>0</v>
      </c>
      <c r="J28" s="159">
        <f t="shared" si="3"/>
        <v>0</v>
      </c>
      <c r="K28" s="166"/>
      <c r="L28" s="176">
        <f t="shared" si="2"/>
        <v>0</v>
      </c>
      <c r="M28" s="176">
        <f t="shared" si="4"/>
        <v>0</v>
      </c>
      <c r="N28" s="183">
        <f t="shared" si="5"/>
        <v>0</v>
      </c>
      <c r="O28"/>
      <c r="P28"/>
      <c r="Q28"/>
      <c r="R28"/>
      <c r="S28"/>
      <c r="T28"/>
      <c r="U28"/>
      <c r="V28"/>
      <c r="W28"/>
      <c r="X28"/>
      <c r="Y28"/>
      <c r="Z28" s="344"/>
      <c r="AA28" s="363"/>
      <c r="AB28" s="363"/>
      <c r="AC28" s="363"/>
      <c r="AD28" s="329"/>
      <c r="AE28" s="147"/>
      <c r="AF28" s="147"/>
      <c r="AG28" s="147"/>
      <c r="AH28" s="147"/>
      <c r="AI28" s="147"/>
      <c r="AJ28" s="147"/>
      <c r="AK28" s="147"/>
      <c r="AL28" s="147"/>
      <c r="AM28" s="147"/>
      <c r="AN28" s="147"/>
      <c r="AO28" s="147"/>
      <c r="AP28" s="147"/>
      <c r="AQ28" s="147"/>
      <c r="AR28" s="147"/>
      <c r="AS28" s="147"/>
      <c r="AT28" s="147"/>
      <c r="AU28" s="147"/>
      <c r="AV28" s="147"/>
      <c r="AW28" s="147"/>
      <c r="AX28" s="147"/>
      <c r="AY28" s="147"/>
      <c r="AZ28" s="147"/>
      <c r="BA28" s="147"/>
      <c r="BB28" s="147"/>
      <c r="BC28" s="147"/>
      <c r="BD28" s="147"/>
      <c r="BE28" s="147"/>
      <c r="BF28" s="147"/>
      <c r="BG28" s="147"/>
      <c r="BH28" s="147"/>
      <c r="BI28" s="147"/>
      <c r="BJ28" s="147"/>
      <c r="BK28" s="147"/>
      <c r="BL28" s="147"/>
      <c r="BM28" s="147"/>
      <c r="BN28" s="147"/>
      <c r="BO28" s="147"/>
      <c r="BP28" s="147"/>
      <c r="BQ28" s="147"/>
      <c r="BR28" s="147"/>
      <c r="BS28" s="147"/>
      <c r="BT28" s="147"/>
      <c r="BU28" s="147"/>
      <c r="BV28" s="147"/>
      <c r="BW28" s="147"/>
      <c r="BX28" s="147"/>
      <c r="BY28" s="147"/>
      <c r="BZ28" s="147"/>
      <c r="CA28" s="147"/>
      <c r="CB28" s="147"/>
      <c r="CC28" s="147"/>
      <c r="CD28" s="147"/>
      <c r="CE28" s="147"/>
      <c r="CF28" s="147"/>
      <c r="CG28" s="147"/>
      <c r="CH28" s="147"/>
      <c r="CI28" s="147"/>
      <c r="CJ28" s="147"/>
      <c r="CK28" s="147"/>
      <c r="CL28" s="147"/>
      <c r="CM28" s="147"/>
      <c r="CN28" s="147"/>
      <c r="CO28" s="147"/>
      <c r="CP28" s="147"/>
    </row>
    <row r="29" spans="1:94" s="177" customFormat="1" ht="15" x14ac:dyDescent="0.25">
      <c r="A29" s="179"/>
      <c r="B29" s="179"/>
      <c r="C29" s="171"/>
      <c r="D29" s="243"/>
      <c r="E29" s="180"/>
      <c r="F29" s="181">
        <v>0</v>
      </c>
      <c r="G29" s="182">
        <v>0</v>
      </c>
      <c r="H29" s="176">
        <f t="shared" si="0"/>
        <v>0</v>
      </c>
      <c r="I29" s="176">
        <f t="shared" si="1"/>
        <v>0</v>
      </c>
      <c r="J29" s="159">
        <f t="shared" si="3"/>
        <v>0</v>
      </c>
      <c r="K29" s="166"/>
      <c r="L29" s="176">
        <f t="shared" si="2"/>
        <v>0</v>
      </c>
      <c r="M29" s="176">
        <f t="shared" si="4"/>
        <v>0</v>
      </c>
      <c r="N29" s="183">
        <f t="shared" si="5"/>
        <v>0</v>
      </c>
      <c r="O29"/>
      <c r="P29"/>
      <c r="Q29"/>
      <c r="R29"/>
      <c r="S29"/>
      <c r="T29"/>
      <c r="U29"/>
      <c r="V29"/>
      <c r="W29"/>
      <c r="X29"/>
      <c r="Y29"/>
      <c r="Z29" s="344"/>
      <c r="AA29" s="363"/>
      <c r="AB29" s="363"/>
      <c r="AC29" s="363"/>
      <c r="AD29" s="329"/>
      <c r="AE29" s="147"/>
      <c r="AF29" s="147"/>
      <c r="AG29" s="147"/>
      <c r="AH29" s="147"/>
      <c r="AI29" s="147"/>
      <c r="AJ29" s="147"/>
      <c r="AK29" s="147"/>
      <c r="AL29" s="147"/>
      <c r="AM29" s="147"/>
      <c r="AN29" s="147"/>
      <c r="AO29" s="147"/>
      <c r="AP29" s="147"/>
      <c r="AQ29" s="147"/>
      <c r="AR29" s="147"/>
      <c r="AS29" s="147"/>
      <c r="AT29" s="147"/>
      <c r="AU29" s="147"/>
      <c r="AV29" s="147"/>
      <c r="AW29" s="147"/>
      <c r="AX29" s="147"/>
      <c r="AY29" s="147"/>
      <c r="AZ29" s="147"/>
      <c r="BA29" s="147"/>
      <c r="BB29" s="147"/>
      <c r="BC29" s="147"/>
      <c r="BD29" s="147"/>
      <c r="BE29" s="147"/>
      <c r="BF29" s="147"/>
      <c r="BG29" s="147"/>
      <c r="BH29" s="147"/>
      <c r="BI29" s="147"/>
      <c r="BJ29" s="147"/>
      <c r="BK29" s="147"/>
      <c r="BL29" s="147"/>
      <c r="BM29" s="147"/>
      <c r="BN29" s="147"/>
      <c r="BO29" s="147"/>
      <c r="BP29" s="147"/>
      <c r="BQ29" s="147"/>
      <c r="BR29" s="147"/>
      <c r="BS29" s="147"/>
      <c r="BT29" s="147"/>
      <c r="BU29" s="147"/>
      <c r="BV29" s="147"/>
      <c r="BW29" s="147"/>
      <c r="BX29" s="147"/>
      <c r="BY29" s="147"/>
      <c r="BZ29" s="147"/>
      <c r="CA29" s="147"/>
      <c r="CB29" s="147"/>
      <c r="CC29" s="147"/>
      <c r="CD29" s="147"/>
      <c r="CE29" s="147"/>
      <c r="CF29" s="147"/>
      <c r="CG29" s="147"/>
      <c r="CH29" s="147"/>
      <c r="CI29" s="147"/>
      <c r="CJ29" s="147"/>
      <c r="CK29" s="147"/>
      <c r="CL29" s="147"/>
      <c r="CM29" s="147"/>
      <c r="CN29" s="147"/>
      <c r="CO29" s="147"/>
      <c r="CP29" s="147"/>
    </row>
    <row r="30" spans="1:94" s="177" customFormat="1" ht="15" x14ac:dyDescent="0.25">
      <c r="A30" s="179"/>
      <c r="B30" s="184"/>
      <c r="C30" s="171"/>
      <c r="D30" s="243"/>
      <c r="E30" s="180"/>
      <c r="F30" s="181">
        <v>0</v>
      </c>
      <c r="G30" s="182">
        <v>0</v>
      </c>
      <c r="H30" s="176">
        <f t="shared" si="0"/>
        <v>0</v>
      </c>
      <c r="I30" s="176">
        <f t="shared" si="1"/>
        <v>0</v>
      </c>
      <c r="J30" s="159">
        <f t="shared" si="3"/>
        <v>0</v>
      </c>
      <c r="K30" s="166"/>
      <c r="L30" s="176">
        <f t="shared" si="2"/>
        <v>0</v>
      </c>
      <c r="M30" s="176">
        <f t="shared" si="4"/>
        <v>0</v>
      </c>
      <c r="N30" s="183">
        <f t="shared" si="5"/>
        <v>0</v>
      </c>
      <c r="O30"/>
      <c r="P30"/>
      <c r="Q30"/>
      <c r="R30"/>
      <c r="S30"/>
      <c r="T30"/>
      <c r="U30"/>
      <c r="V30"/>
      <c r="W30"/>
      <c r="X30"/>
      <c r="Y30"/>
      <c r="Z30" s="344"/>
      <c r="AA30" s="363"/>
      <c r="AB30" s="363"/>
      <c r="AC30" s="363"/>
      <c r="AD30" s="329"/>
      <c r="AE30" s="147"/>
      <c r="AF30" s="147"/>
      <c r="AG30" s="147"/>
      <c r="AH30" s="147"/>
      <c r="AI30" s="147"/>
      <c r="AJ30" s="147"/>
      <c r="AK30" s="147"/>
      <c r="AL30" s="147"/>
      <c r="AM30" s="147"/>
      <c r="AN30" s="147"/>
      <c r="AO30" s="147"/>
      <c r="AP30" s="147"/>
      <c r="AQ30" s="147"/>
      <c r="AR30" s="147"/>
      <c r="AS30" s="147"/>
      <c r="AT30" s="147"/>
      <c r="AU30" s="147"/>
      <c r="AV30" s="147"/>
      <c r="AW30" s="147"/>
      <c r="AX30" s="147"/>
      <c r="AY30" s="147"/>
      <c r="AZ30" s="147"/>
      <c r="BA30" s="147"/>
      <c r="BB30" s="147"/>
      <c r="BC30" s="147"/>
      <c r="BD30" s="147"/>
      <c r="BE30" s="147"/>
      <c r="BF30" s="147"/>
      <c r="BG30" s="147"/>
      <c r="BH30" s="147"/>
      <c r="BI30" s="147"/>
      <c r="BJ30" s="147"/>
      <c r="BK30" s="147"/>
      <c r="BL30" s="147"/>
      <c r="BM30" s="147"/>
      <c r="BN30" s="147"/>
      <c r="BO30" s="147"/>
      <c r="BP30" s="147"/>
      <c r="BQ30" s="147"/>
      <c r="BR30" s="147"/>
      <c r="BS30" s="147"/>
      <c r="BT30" s="147"/>
      <c r="BU30" s="147"/>
      <c r="BV30" s="147"/>
      <c r="BW30" s="147"/>
      <c r="BX30" s="147"/>
      <c r="BY30" s="147"/>
      <c r="BZ30" s="147"/>
      <c r="CA30" s="147"/>
      <c r="CB30" s="147"/>
      <c r="CC30" s="147"/>
      <c r="CD30" s="147"/>
      <c r="CE30" s="147"/>
      <c r="CF30" s="147"/>
      <c r="CG30" s="147"/>
      <c r="CH30" s="147"/>
      <c r="CI30" s="147"/>
      <c r="CJ30" s="147"/>
      <c r="CK30" s="147"/>
      <c r="CL30" s="147"/>
      <c r="CM30" s="147"/>
      <c r="CN30" s="147"/>
      <c r="CO30" s="147"/>
      <c r="CP30" s="147"/>
    </row>
    <row r="31" spans="1:94" s="153" customFormat="1" ht="15" x14ac:dyDescent="0.25">
      <c r="A31" s="139"/>
      <c r="B31" s="168"/>
      <c r="C31" s="245"/>
      <c r="D31" s="246" t="s">
        <v>36</v>
      </c>
      <c r="E31" s="150"/>
      <c r="F31" s="165"/>
      <c r="G31" s="166"/>
      <c r="H31" s="166"/>
      <c r="I31" s="166"/>
      <c r="J31" s="166"/>
      <c r="K31" s="166"/>
      <c r="L31" s="166"/>
      <c r="M31" s="166"/>
      <c r="N31" s="166"/>
      <c r="O31"/>
      <c r="P31"/>
      <c r="Q31"/>
      <c r="R31"/>
      <c r="S31"/>
      <c r="T31"/>
      <c r="U31"/>
      <c r="V31"/>
      <c r="W31"/>
      <c r="X31"/>
      <c r="Y31"/>
      <c r="Z31" s="344"/>
      <c r="AA31" s="363"/>
      <c r="AB31" s="363"/>
      <c r="AC31" s="363"/>
      <c r="AD31" s="329"/>
      <c r="AE31" s="147"/>
      <c r="AF31" s="147"/>
      <c r="AG31" s="147"/>
      <c r="AH31" s="147"/>
      <c r="AI31" s="147"/>
      <c r="AJ31" s="147"/>
      <c r="AK31" s="147"/>
      <c r="AL31" s="147"/>
      <c r="AM31" s="147"/>
      <c r="AN31" s="147"/>
      <c r="AO31" s="147"/>
      <c r="AP31" s="147"/>
      <c r="AQ31" s="147"/>
      <c r="AR31" s="147"/>
      <c r="AS31" s="147"/>
      <c r="AT31" s="147"/>
      <c r="AU31" s="147"/>
      <c r="AV31" s="147"/>
      <c r="AW31" s="147"/>
      <c r="AX31" s="147"/>
      <c r="AY31" s="147"/>
      <c r="AZ31" s="147"/>
      <c r="BA31" s="147"/>
      <c r="BB31" s="147"/>
      <c r="BC31" s="147"/>
      <c r="BD31" s="147"/>
      <c r="BE31" s="147"/>
      <c r="BF31" s="147"/>
      <c r="BG31" s="147"/>
      <c r="BH31" s="147"/>
      <c r="BI31" s="147"/>
      <c r="BJ31" s="147"/>
      <c r="BK31" s="147"/>
      <c r="BL31" s="147"/>
      <c r="BM31" s="147"/>
      <c r="BN31" s="147"/>
      <c r="BO31" s="147"/>
      <c r="BP31" s="147"/>
      <c r="BQ31" s="147"/>
      <c r="BR31" s="147"/>
      <c r="BS31" s="147"/>
      <c r="BT31" s="147"/>
      <c r="BU31" s="147"/>
      <c r="BV31" s="147"/>
      <c r="BW31" s="147"/>
      <c r="BX31" s="147"/>
      <c r="BY31" s="147"/>
      <c r="BZ31" s="147"/>
      <c r="CA31" s="147"/>
      <c r="CB31" s="147"/>
      <c r="CC31" s="147"/>
      <c r="CD31" s="147"/>
      <c r="CE31" s="147"/>
      <c r="CF31" s="147"/>
      <c r="CG31" s="147"/>
      <c r="CH31" s="147"/>
      <c r="CI31" s="147"/>
      <c r="CJ31" s="147"/>
      <c r="CK31" s="147"/>
      <c r="CL31" s="147"/>
      <c r="CM31" s="147"/>
      <c r="CN31" s="147"/>
      <c r="CO31" s="147"/>
      <c r="CP31" s="147"/>
    </row>
    <row r="32" spans="1:94" s="177" customFormat="1" ht="15" x14ac:dyDescent="0.25">
      <c r="A32" s="185"/>
      <c r="B32" s="185"/>
      <c r="C32" s="244"/>
      <c r="D32" s="242"/>
      <c r="E32" s="173"/>
      <c r="F32" s="174">
        <v>0</v>
      </c>
      <c r="G32" s="175">
        <v>0</v>
      </c>
      <c r="H32" s="176">
        <f t="shared" ref="H32:H35" si="6">IF(AND($F32&lt;&gt;0,$G32&lt;&gt;0,OR($E32=1,$E32=3)),$F32*Health,0)</f>
        <v>0</v>
      </c>
      <c r="I32" s="176">
        <f t="shared" ref="I32:I34" si="7">IF(AND($E32=1,$C32=""),$G32*PermVB+$G32*Retire1,IF($E32=1,$G32*PermVB+$G32*VLOOKUP($C32,Retirement_Rates,3,FALSE),IF($E32=2,$G32*GroupVB,IF(AND($E32=3,$C32=""),$G32*ElectVB+$G32*Retire1,IF($E32=3,$G32*ElectVB+$G32*VLOOKUP($C32,Retirement_Rates,3,FALSE),0)))))</f>
        <v>0</v>
      </c>
      <c r="J32" s="279">
        <f t="shared" si="3"/>
        <v>0</v>
      </c>
      <c r="K32" s="166"/>
      <c r="L32" s="176">
        <f t="shared" ref="L32:L35" si="8">IF(AND($F32&lt;&gt;0,$G32&lt;&gt;0,OR($E32=1,$E32=3)),$F32*HealthCHG,0)</f>
        <v>0</v>
      </c>
      <c r="M32" s="176">
        <f t="shared" ref="M32:M35" si="9">IF(AND($E32=1,$C32=""),$G32*PermVBCHG+$G32*Retire1CHG,IF($E32=1,$G32*PermVBCHG+$G32*VLOOKUP($C32,Retirement_Rates,5,FALSE),IF($E32=2,0,IF(AND($E32=3,$C32=""),$G32*ElectVBCHG+$G32*Retire1CHG,IF($E32=3,$G32*ElectVBCHG+$G32*VLOOKUP($C32,Retirement_Rates,5,FALSE),0)))))</f>
        <v>0</v>
      </c>
      <c r="N32" s="176">
        <f t="shared" ref="N32:N35" si="10">SUM(L32:M32)</f>
        <v>0</v>
      </c>
      <c r="O32"/>
      <c r="P32"/>
      <c r="Q32"/>
      <c r="R32"/>
      <c r="S32"/>
      <c r="T32"/>
      <c r="U32"/>
      <c r="V32"/>
      <c r="W32"/>
      <c r="X32"/>
      <c r="Y32"/>
      <c r="Z32" s="344"/>
      <c r="AA32" s="363"/>
      <c r="AB32" s="363"/>
      <c r="AC32" s="363"/>
      <c r="AD32" s="329"/>
      <c r="AE32" s="147"/>
      <c r="AF32" s="147"/>
      <c r="AG32" s="147"/>
      <c r="AH32" s="147"/>
      <c r="AI32" s="147"/>
      <c r="AJ32" s="147"/>
      <c r="AK32" s="147"/>
      <c r="AL32" s="147"/>
      <c r="AM32" s="147"/>
      <c r="AN32" s="147"/>
      <c r="AO32" s="147"/>
      <c r="AP32" s="147"/>
      <c r="AQ32" s="147"/>
      <c r="AR32" s="147"/>
      <c r="AS32" s="147"/>
      <c r="AT32" s="147"/>
      <c r="AU32" s="147"/>
      <c r="AV32" s="147"/>
      <c r="AW32" s="147"/>
      <c r="AX32" s="147"/>
      <c r="AY32" s="147"/>
      <c r="AZ32" s="147"/>
      <c r="BA32" s="147"/>
      <c r="BB32" s="147"/>
      <c r="BC32" s="147"/>
      <c r="BD32" s="147"/>
      <c r="BE32" s="147"/>
      <c r="BF32" s="147"/>
      <c r="BG32" s="147"/>
      <c r="BH32" s="147"/>
      <c r="BI32" s="147"/>
      <c r="BJ32" s="147"/>
      <c r="BK32" s="147"/>
      <c r="BL32" s="147"/>
      <c r="BM32" s="147"/>
      <c r="BN32" s="147"/>
      <c r="BO32" s="147"/>
      <c r="BP32" s="147"/>
      <c r="BQ32" s="147"/>
      <c r="BR32" s="147"/>
      <c r="BS32" s="147"/>
      <c r="BT32" s="147"/>
      <c r="BU32" s="147"/>
      <c r="BV32" s="147"/>
      <c r="BW32" s="147"/>
      <c r="BX32" s="147"/>
      <c r="BY32" s="147"/>
      <c r="BZ32" s="147"/>
      <c r="CA32" s="147"/>
      <c r="CB32" s="147"/>
      <c r="CC32" s="147"/>
      <c r="CD32" s="147"/>
      <c r="CE32" s="147"/>
      <c r="CF32" s="147"/>
      <c r="CG32" s="147"/>
      <c r="CH32" s="147"/>
      <c r="CI32" s="147"/>
      <c r="CJ32" s="147"/>
      <c r="CK32" s="147"/>
      <c r="CL32" s="147"/>
      <c r="CM32" s="147"/>
      <c r="CN32" s="147"/>
      <c r="CO32" s="147"/>
      <c r="CP32" s="147"/>
    </row>
    <row r="33" spans="1:94" s="177" customFormat="1" ht="15" x14ac:dyDescent="0.25">
      <c r="A33" s="186"/>
      <c r="B33" s="187"/>
      <c r="C33" s="244"/>
      <c r="D33" s="242"/>
      <c r="E33" s="180"/>
      <c r="F33" s="181">
        <v>0</v>
      </c>
      <c r="G33" s="182">
        <v>0</v>
      </c>
      <c r="H33" s="176">
        <f t="shared" si="6"/>
        <v>0</v>
      </c>
      <c r="I33" s="176">
        <f t="shared" si="7"/>
        <v>0</v>
      </c>
      <c r="J33" s="279">
        <f t="shared" si="3"/>
        <v>0</v>
      </c>
      <c r="K33" s="166"/>
      <c r="L33" s="176">
        <f t="shared" si="8"/>
        <v>0</v>
      </c>
      <c r="M33" s="176">
        <f t="shared" si="9"/>
        <v>0</v>
      </c>
      <c r="N33" s="183">
        <f t="shared" si="10"/>
        <v>0</v>
      </c>
      <c r="O33"/>
      <c r="P33"/>
      <c r="Q33"/>
      <c r="R33"/>
      <c r="S33"/>
      <c r="T33"/>
      <c r="U33"/>
      <c r="V33"/>
      <c r="W33"/>
      <c r="X33"/>
      <c r="Y33"/>
      <c r="Z33" s="344"/>
      <c r="AA33" s="363"/>
      <c r="AB33" s="363"/>
      <c r="AC33" s="363"/>
      <c r="AD33" s="329"/>
      <c r="AE33" s="147"/>
      <c r="AF33" s="147"/>
      <c r="AG33" s="147"/>
      <c r="AH33" s="147"/>
      <c r="AI33" s="147"/>
      <c r="AJ33" s="147"/>
      <c r="AK33" s="147"/>
      <c r="AL33" s="147"/>
      <c r="AM33" s="147"/>
      <c r="AN33" s="147"/>
      <c r="AO33" s="147"/>
      <c r="AP33" s="147"/>
      <c r="AQ33" s="147"/>
      <c r="AR33" s="147"/>
      <c r="AS33" s="147"/>
      <c r="AT33" s="147"/>
      <c r="AU33" s="147"/>
      <c r="AV33" s="147"/>
      <c r="AW33" s="147"/>
      <c r="AX33" s="147"/>
      <c r="AY33" s="147"/>
      <c r="AZ33" s="147"/>
      <c r="BA33" s="147"/>
      <c r="BB33" s="147"/>
      <c r="BC33" s="147"/>
      <c r="BD33" s="147"/>
      <c r="BE33" s="147"/>
      <c r="BF33" s="147"/>
      <c r="BG33" s="147"/>
      <c r="BH33" s="147"/>
      <c r="BI33" s="147"/>
      <c r="BJ33" s="147"/>
      <c r="BK33" s="147"/>
      <c r="BL33" s="147"/>
      <c r="BM33" s="147"/>
      <c r="BN33" s="147"/>
      <c r="BO33" s="147"/>
      <c r="BP33" s="147"/>
      <c r="BQ33" s="147"/>
      <c r="BR33" s="147"/>
      <c r="BS33" s="147"/>
      <c r="BT33" s="147"/>
      <c r="BU33" s="147"/>
      <c r="BV33" s="147"/>
      <c r="BW33" s="147"/>
      <c r="BX33" s="147"/>
      <c r="BY33" s="147"/>
      <c r="BZ33" s="147"/>
      <c r="CA33" s="147"/>
      <c r="CB33" s="147"/>
      <c r="CC33" s="147"/>
      <c r="CD33" s="147"/>
      <c r="CE33" s="147"/>
      <c r="CF33" s="147"/>
      <c r="CG33" s="147"/>
      <c r="CH33" s="147"/>
      <c r="CI33" s="147"/>
      <c r="CJ33" s="147"/>
      <c r="CK33" s="147"/>
      <c r="CL33" s="147"/>
      <c r="CM33" s="147"/>
      <c r="CN33" s="147"/>
      <c r="CO33" s="147"/>
      <c r="CP33" s="147"/>
    </row>
    <row r="34" spans="1:94" s="177" customFormat="1" ht="15" x14ac:dyDescent="0.25">
      <c r="A34" s="186"/>
      <c r="B34" s="187"/>
      <c r="C34" s="244"/>
      <c r="D34" s="242"/>
      <c r="E34" s="180"/>
      <c r="F34" s="181">
        <v>0</v>
      </c>
      <c r="G34" s="182">
        <v>0</v>
      </c>
      <c r="H34" s="176">
        <f t="shared" si="6"/>
        <v>0</v>
      </c>
      <c r="I34" s="176">
        <f t="shared" si="7"/>
        <v>0</v>
      </c>
      <c r="J34" s="279">
        <f t="shared" si="3"/>
        <v>0</v>
      </c>
      <c r="K34" s="280"/>
      <c r="L34" s="176">
        <f t="shared" si="8"/>
        <v>0</v>
      </c>
      <c r="M34" s="176">
        <f t="shared" si="9"/>
        <v>0</v>
      </c>
      <c r="N34" s="183">
        <f t="shared" si="10"/>
        <v>0</v>
      </c>
      <c r="O34"/>
      <c r="P34"/>
      <c r="Q34"/>
      <c r="R34"/>
      <c r="S34"/>
      <c r="T34"/>
      <c r="U34"/>
      <c r="V34"/>
      <c r="W34"/>
      <c r="X34"/>
      <c r="Y34"/>
      <c r="Z34" s="344"/>
      <c r="AA34" s="363"/>
      <c r="AB34" s="363"/>
      <c r="AC34" s="363"/>
      <c r="AD34" s="329"/>
      <c r="AE34" s="147"/>
      <c r="AF34" s="147"/>
      <c r="AG34" s="147"/>
      <c r="AH34" s="147"/>
      <c r="AI34" s="147"/>
      <c r="AJ34" s="147"/>
      <c r="AK34" s="147"/>
      <c r="AL34" s="147"/>
      <c r="AM34" s="147"/>
      <c r="AN34" s="147"/>
      <c r="AO34" s="147"/>
      <c r="AP34" s="147"/>
      <c r="AQ34" s="147"/>
      <c r="AR34" s="147"/>
      <c r="AS34" s="147"/>
      <c r="AT34" s="147"/>
      <c r="AU34" s="147"/>
      <c r="AV34" s="147"/>
      <c r="AW34" s="147"/>
      <c r="AX34" s="147"/>
      <c r="AY34" s="147"/>
      <c r="AZ34" s="147"/>
      <c r="BA34" s="147"/>
      <c r="BB34" s="147"/>
      <c r="BC34" s="147"/>
      <c r="BD34" s="147"/>
      <c r="BE34" s="147"/>
      <c r="BF34" s="147"/>
      <c r="BG34" s="147"/>
      <c r="BH34" s="147"/>
      <c r="BI34" s="147"/>
      <c r="BJ34" s="147"/>
      <c r="BK34" s="147"/>
      <c r="BL34" s="147"/>
      <c r="BM34" s="147"/>
      <c r="BN34" s="147"/>
      <c r="BO34" s="147"/>
      <c r="BP34" s="147"/>
      <c r="BQ34" s="147"/>
      <c r="BR34" s="147"/>
      <c r="BS34" s="147"/>
      <c r="BT34" s="147"/>
      <c r="BU34" s="147"/>
      <c r="BV34" s="147"/>
      <c r="BW34" s="147"/>
      <c r="BX34" s="147"/>
      <c r="BY34" s="147"/>
      <c r="BZ34" s="147"/>
      <c r="CA34" s="147"/>
      <c r="CB34" s="147"/>
      <c r="CC34" s="147"/>
      <c r="CD34" s="147"/>
      <c r="CE34" s="147"/>
      <c r="CF34" s="147"/>
      <c r="CG34" s="147"/>
      <c r="CH34" s="147"/>
      <c r="CI34" s="147"/>
      <c r="CJ34" s="147"/>
      <c r="CK34" s="147"/>
      <c r="CL34" s="147"/>
      <c r="CM34" s="147"/>
      <c r="CN34" s="147"/>
      <c r="CO34" s="147"/>
      <c r="CP34" s="147"/>
    </row>
    <row r="35" spans="1:94" s="177" customFormat="1" ht="15" x14ac:dyDescent="0.25">
      <c r="A35" s="186"/>
      <c r="B35" s="187"/>
      <c r="C35" s="244"/>
      <c r="D35" s="242"/>
      <c r="E35" s="180"/>
      <c r="F35" s="181">
        <v>0</v>
      </c>
      <c r="G35" s="182">
        <v>0</v>
      </c>
      <c r="H35" s="176">
        <f t="shared" si="6"/>
        <v>0</v>
      </c>
      <c r="I35" s="176">
        <f>IF(AND($E35=1,$C35=""),$G35*(PermVB+Retire1),IF($E35=1,$G35*PermVB+$G35*VLOOKUP($C35,Retirement_Rates,3,FALSE),IF($E35=2,$G35*GroupVB,IF(AND($E35=3,$C35=""),$G35*ElectVB+$G35*Retire1,IF($E35=3,$G35*ElectVB+$G35*VLOOKUP($C35,Retirement_Rates,3,FALSE),0)))))</f>
        <v>0</v>
      </c>
      <c r="J35" s="279">
        <f t="shared" si="3"/>
        <v>0</v>
      </c>
      <c r="K35" s="309"/>
      <c r="L35" s="176">
        <f t="shared" si="8"/>
        <v>0</v>
      </c>
      <c r="M35" s="176">
        <f t="shared" si="9"/>
        <v>0</v>
      </c>
      <c r="N35" s="183">
        <f t="shared" si="10"/>
        <v>0</v>
      </c>
      <c r="O35"/>
      <c r="P35"/>
      <c r="Q35"/>
      <c r="R35"/>
      <c r="S35"/>
      <c r="T35"/>
      <c r="U35"/>
      <c r="V35"/>
      <c r="W35"/>
      <c r="X35"/>
      <c r="Y35"/>
      <c r="Z35" s="344"/>
      <c r="AA35" s="363"/>
      <c r="AB35" s="363"/>
      <c r="AC35" s="363"/>
      <c r="AD35" s="329"/>
      <c r="AE35" s="147"/>
      <c r="AF35" s="147"/>
      <c r="AG35" s="147"/>
      <c r="AH35" s="147"/>
      <c r="AI35" s="147"/>
      <c r="AJ35" s="147"/>
      <c r="AK35" s="147"/>
      <c r="AL35" s="147"/>
      <c r="AM35" s="147"/>
      <c r="AN35" s="147"/>
      <c r="AO35" s="147"/>
      <c r="AP35" s="147"/>
      <c r="AQ35" s="147"/>
      <c r="AR35" s="147"/>
      <c r="AS35" s="147"/>
      <c r="AT35" s="147"/>
      <c r="AU35" s="147"/>
      <c r="AV35" s="147"/>
      <c r="AW35" s="147"/>
      <c r="AX35" s="147"/>
      <c r="AY35" s="147"/>
      <c r="AZ35" s="147"/>
      <c r="BA35" s="147"/>
      <c r="BB35" s="147"/>
      <c r="BC35" s="147"/>
      <c r="BD35" s="147"/>
      <c r="BE35" s="147"/>
      <c r="BF35" s="147"/>
      <c r="BG35" s="147"/>
      <c r="BH35" s="147"/>
      <c r="BI35" s="147"/>
      <c r="BJ35" s="147"/>
      <c r="BK35" s="147"/>
      <c r="BL35" s="147"/>
      <c r="BM35" s="147"/>
      <c r="BN35" s="147"/>
      <c r="BO35" s="147"/>
      <c r="BP35" s="147"/>
      <c r="BQ35" s="147"/>
      <c r="BR35" s="147"/>
      <c r="BS35" s="147"/>
      <c r="BT35" s="147"/>
      <c r="BU35" s="147"/>
      <c r="BV35" s="147"/>
      <c r="BW35" s="147"/>
      <c r="BX35" s="147"/>
      <c r="BY35" s="147"/>
      <c r="BZ35" s="147"/>
      <c r="CA35" s="147"/>
      <c r="CB35" s="147"/>
      <c r="CC35" s="147"/>
      <c r="CD35" s="147"/>
      <c r="CE35" s="147"/>
      <c r="CF35" s="147"/>
      <c r="CG35" s="147"/>
      <c r="CH35" s="147"/>
      <c r="CI35" s="147"/>
      <c r="CJ35" s="147"/>
      <c r="CK35" s="147"/>
      <c r="CL35" s="147"/>
      <c r="CM35" s="147"/>
      <c r="CN35" s="147"/>
      <c r="CO35" s="147"/>
      <c r="CP35" s="147"/>
    </row>
    <row r="36" spans="1:94" s="213" customFormat="1" ht="15" x14ac:dyDescent="0.25">
      <c r="A36" s="281"/>
      <c r="B36" s="282"/>
      <c r="C36" s="283"/>
      <c r="D36" s="284"/>
      <c r="E36" s="285"/>
      <c r="F36" s="197"/>
      <c r="G36" s="259"/>
      <c r="H36" s="259"/>
      <c r="I36" s="259"/>
      <c r="J36" s="286"/>
      <c r="K36" s="280"/>
      <c r="L36" s="321"/>
      <c r="M36" s="259"/>
      <c r="N36" s="259"/>
      <c r="O36"/>
      <c r="P36"/>
      <c r="Q36"/>
      <c r="R36"/>
      <c r="S36"/>
      <c r="T36"/>
      <c r="U36"/>
      <c r="V36"/>
      <c r="W36"/>
      <c r="X36"/>
      <c r="Y36"/>
      <c r="Z36" s="344"/>
      <c r="AA36" s="363" t="s">
        <v>94</v>
      </c>
      <c r="AB36" s="333" t="s">
        <v>95</v>
      </c>
      <c r="AC36" s="333" t="s">
        <v>106</v>
      </c>
      <c r="AD36" s="330"/>
    </row>
    <row r="37" spans="1:94" s="153" customFormat="1" ht="17.25" customHeight="1" x14ac:dyDescent="0.25">
      <c r="A37" s="139"/>
      <c r="B37" s="188"/>
      <c r="C37" s="459" t="s">
        <v>37</v>
      </c>
      <c r="D37" s="460"/>
      <c r="E37" s="150"/>
      <c r="F37" s="165"/>
      <c r="G37" s="166"/>
      <c r="H37" s="166"/>
      <c r="I37" s="166"/>
      <c r="J37" s="322"/>
      <c r="K37" s="166"/>
      <c r="L37" s="166"/>
      <c r="M37" s="166"/>
      <c r="N37" s="166"/>
      <c r="O37"/>
      <c r="P37"/>
      <c r="Q37"/>
      <c r="R37"/>
      <c r="S37"/>
      <c r="T37"/>
      <c r="U37"/>
      <c r="V37"/>
      <c r="W37"/>
      <c r="X37"/>
      <c r="Y37"/>
      <c r="Z37" s="344"/>
      <c r="AA37" s="461" t="s">
        <v>107</v>
      </c>
      <c r="AB37" s="462"/>
      <c r="AC37" s="462"/>
      <c r="AD37" s="329"/>
      <c r="AE37" s="147"/>
      <c r="AF37" s="147"/>
      <c r="AG37" s="147"/>
      <c r="AH37" s="147"/>
      <c r="AI37" s="147"/>
      <c r="AJ37" s="147"/>
      <c r="AK37" s="147"/>
      <c r="AL37" s="147"/>
      <c r="AM37" s="147"/>
      <c r="AN37" s="147"/>
      <c r="AO37" s="147"/>
      <c r="AP37" s="147"/>
      <c r="AQ37" s="147"/>
      <c r="AR37" s="147"/>
      <c r="AS37" s="147"/>
      <c r="AT37" s="147"/>
      <c r="AU37" s="147"/>
      <c r="AV37" s="147"/>
      <c r="AW37" s="147"/>
      <c r="AX37" s="147"/>
      <c r="AY37" s="147"/>
      <c r="AZ37" s="147"/>
      <c r="BA37" s="147"/>
      <c r="BB37" s="147"/>
      <c r="BC37" s="147"/>
      <c r="BD37" s="147"/>
      <c r="BE37" s="147"/>
      <c r="BF37" s="147"/>
      <c r="BG37" s="147"/>
      <c r="BH37" s="147"/>
      <c r="BI37" s="147"/>
      <c r="BJ37" s="147"/>
      <c r="BK37" s="147"/>
      <c r="BL37" s="147"/>
      <c r="BM37" s="147"/>
      <c r="BN37" s="147"/>
      <c r="BO37" s="147"/>
      <c r="BP37" s="147"/>
      <c r="BQ37" s="147"/>
      <c r="BR37" s="147"/>
      <c r="BS37" s="147"/>
      <c r="BT37" s="147"/>
      <c r="BU37" s="147"/>
      <c r="BV37" s="147"/>
      <c r="BW37" s="147"/>
      <c r="BX37" s="147"/>
      <c r="BY37" s="147"/>
      <c r="BZ37" s="147"/>
      <c r="CA37" s="147"/>
      <c r="CB37" s="147"/>
      <c r="CC37" s="147"/>
      <c r="CD37" s="147"/>
      <c r="CE37" s="147"/>
      <c r="CF37" s="147"/>
      <c r="CG37" s="147"/>
      <c r="CH37" s="147"/>
      <c r="CI37" s="147"/>
      <c r="CJ37" s="147"/>
      <c r="CK37" s="147"/>
      <c r="CL37" s="147"/>
      <c r="CM37" s="147"/>
      <c r="CN37" s="147"/>
      <c r="CO37" s="147"/>
      <c r="CP37" s="147"/>
    </row>
    <row r="38" spans="1:94" s="153" customFormat="1" ht="15" x14ac:dyDescent="0.25">
      <c r="A38" s="139"/>
      <c r="B38" s="188"/>
      <c r="C38" s="443" t="str">
        <f>perm_name</f>
        <v>Permanent Positions</v>
      </c>
      <c r="D38" s="444"/>
      <c r="E38" s="189">
        <v>1</v>
      </c>
      <c r="F38" s="190">
        <f>SUMIF($E9:$E35,$E38,$F9:$F35)</f>
        <v>99.25</v>
      </c>
      <c r="G38" s="191">
        <f>SUMIF($E10:$E35,$E38,$G10:$G35)</f>
        <v>5503066.3999999985</v>
      </c>
      <c r="H38" s="192">
        <f>SUMIF($E10:$E35,$E38,$H10:$H35)</f>
        <v>1160340</v>
      </c>
      <c r="I38" s="192">
        <f>SUMIF($E10:$E35,$E38,$I10:$I35)</f>
        <v>1174586.1609039998</v>
      </c>
      <c r="J38" s="192">
        <f>SUM(G38:I38)</f>
        <v>7837992.5609039981</v>
      </c>
      <c r="K38" s="166"/>
      <c r="L38" s="191">
        <f>SUMIF($E10:$E35,$E38,$L10:$L35)</f>
        <v>0</v>
      </c>
      <c r="M38" s="192">
        <f>SUMIF($E10:$E35,$E38,$M10:$M35)</f>
        <v>-26414.718720000008</v>
      </c>
      <c r="N38" s="192">
        <f>SUM(L38:M38)</f>
        <v>-26414.718720000008</v>
      </c>
      <c r="O38"/>
      <c r="P38"/>
      <c r="Q38"/>
      <c r="R38"/>
      <c r="S38"/>
      <c r="T38"/>
      <c r="U38"/>
      <c r="V38"/>
      <c r="W38"/>
      <c r="X38"/>
      <c r="Y38"/>
      <c r="Z38" s="344"/>
      <c r="AA38" s="338">
        <f>ROUND(AdjPermSalary*CECPerm,-2)</f>
        <v>55000</v>
      </c>
      <c r="AB38" s="338">
        <f>ROUND((AdjPermVB*CECPerm+AdjPermVBBY*CECPerm),-2)</f>
        <v>11500</v>
      </c>
      <c r="AC38" s="338">
        <f>SUM(AA38:AB38)</f>
        <v>66500</v>
      </c>
      <c r="AD38" s="329"/>
      <c r="AE38" s="147"/>
      <c r="AF38" s="147"/>
      <c r="AG38" s="147"/>
      <c r="AH38" s="147"/>
      <c r="AI38" s="147"/>
      <c r="AJ38" s="147"/>
      <c r="AK38" s="147"/>
      <c r="AL38" s="147"/>
      <c r="AM38" s="147"/>
      <c r="AN38" s="147"/>
      <c r="AO38" s="147"/>
      <c r="AP38" s="147"/>
      <c r="AQ38" s="147"/>
      <c r="AR38" s="147"/>
      <c r="AS38" s="147"/>
      <c r="AT38" s="147"/>
      <c r="AU38" s="147"/>
      <c r="AV38" s="147"/>
      <c r="AW38" s="147"/>
      <c r="AX38" s="147"/>
      <c r="AY38" s="147"/>
      <c r="AZ38" s="147"/>
      <c r="BA38" s="147"/>
      <c r="BB38" s="147"/>
      <c r="BC38" s="147"/>
      <c r="BD38" s="147"/>
      <c r="BE38" s="147"/>
      <c r="BF38" s="147"/>
      <c r="BG38" s="147"/>
      <c r="BH38" s="147"/>
      <c r="BI38" s="147"/>
      <c r="BJ38" s="147"/>
      <c r="BK38" s="147"/>
      <c r="BL38" s="147"/>
      <c r="BM38" s="147"/>
      <c r="BN38" s="147"/>
      <c r="BO38" s="147"/>
      <c r="BP38" s="147"/>
      <c r="BQ38" s="147"/>
      <c r="BR38" s="147"/>
      <c r="BS38" s="147"/>
      <c r="BT38" s="147"/>
      <c r="BU38" s="147"/>
      <c r="BV38" s="147"/>
      <c r="BW38" s="147"/>
      <c r="BX38" s="147"/>
      <c r="BY38" s="147"/>
      <c r="BZ38" s="147"/>
      <c r="CA38" s="147"/>
      <c r="CB38" s="147"/>
      <c r="CC38" s="147"/>
      <c r="CD38" s="147"/>
      <c r="CE38" s="147"/>
      <c r="CF38" s="147"/>
      <c r="CG38" s="147"/>
      <c r="CH38" s="147"/>
      <c r="CI38" s="147"/>
      <c r="CJ38" s="147"/>
      <c r="CK38" s="147"/>
      <c r="CL38" s="147"/>
      <c r="CM38" s="147"/>
      <c r="CN38" s="147"/>
      <c r="CO38" s="147"/>
      <c r="CP38" s="147"/>
    </row>
    <row r="39" spans="1:94" s="153" customFormat="1" ht="15" x14ac:dyDescent="0.25">
      <c r="A39" s="139"/>
      <c r="B39" s="188"/>
      <c r="C39" s="443" t="str">
        <f>Group_name</f>
        <v>Board &amp; Group Positions</v>
      </c>
      <c r="D39" s="444"/>
      <c r="E39" s="189">
        <v>2</v>
      </c>
      <c r="F39" s="151">
        <f>SUMIF($E9:$E35,$E39,$F9:$F35)</f>
        <v>0</v>
      </c>
      <c r="G39" s="193">
        <f>SUMIF($E10:$E35,$E39,$G10:$G35)</f>
        <v>41154.9</v>
      </c>
      <c r="H39" s="152">
        <f>SUMIF($E10:$E35,$E39,$H10:$H35)</f>
        <v>0</v>
      </c>
      <c r="I39" s="152">
        <f>SUMIF($E10:$E35,$E39,$I10:$I35)</f>
        <v>3319.45</v>
      </c>
      <c r="J39" s="152">
        <f>SUM(G39:I39)</f>
        <v>44474.35</v>
      </c>
      <c r="K39" s="259"/>
      <c r="L39" s="193">
        <f>SUMIF($E10:$E35,$E39,$L10:$L35)</f>
        <v>0</v>
      </c>
      <c r="M39" s="152">
        <f>SUMIF($E11:$E37,$E39,$M11:$M37)</f>
        <v>0</v>
      </c>
      <c r="N39" s="152">
        <f>SUM(L39:M39)</f>
        <v>0</v>
      </c>
      <c r="O39"/>
      <c r="P39"/>
      <c r="Q39"/>
      <c r="R39"/>
      <c r="S39"/>
      <c r="T39"/>
      <c r="U39"/>
      <c r="V39"/>
      <c r="W39"/>
      <c r="X39"/>
      <c r="Y39"/>
      <c r="Z39" s="344"/>
      <c r="AA39" s="338">
        <f>ROUND(AdjGroupSalary*CECGroup,-2)</f>
        <v>400</v>
      </c>
      <c r="AB39" s="338">
        <f>ROUND(AdjGroupVB*CECGroup,-2)</f>
        <v>0</v>
      </c>
      <c r="AC39" s="338">
        <f>SUM(AA39:AB39)</f>
        <v>400</v>
      </c>
      <c r="AD39" s="329"/>
      <c r="AE39" s="147"/>
      <c r="AF39" s="147"/>
      <c r="AG39" s="147"/>
      <c r="AH39" s="147"/>
      <c r="AI39" s="147"/>
      <c r="AJ39" s="147"/>
      <c r="AK39" s="147"/>
      <c r="AL39" s="147"/>
      <c r="AM39" s="147"/>
      <c r="AN39" s="147"/>
      <c r="AO39" s="147"/>
      <c r="AP39" s="147"/>
      <c r="AQ39" s="147"/>
      <c r="AR39" s="147"/>
      <c r="AS39" s="147"/>
      <c r="AT39" s="147"/>
      <c r="AU39" s="147"/>
      <c r="AV39" s="147"/>
      <c r="AW39" s="147"/>
      <c r="AX39" s="147"/>
      <c r="AY39" s="147"/>
      <c r="AZ39" s="147"/>
      <c r="BA39" s="147"/>
      <c r="BB39" s="147"/>
      <c r="BC39" s="147"/>
      <c r="BD39" s="147"/>
      <c r="BE39" s="147"/>
      <c r="BF39" s="147"/>
      <c r="BG39" s="147"/>
      <c r="BH39" s="147"/>
      <c r="BI39" s="147"/>
      <c r="BJ39" s="147"/>
      <c r="BK39" s="147"/>
      <c r="BL39" s="147"/>
      <c r="BM39" s="147"/>
      <c r="BN39" s="147"/>
      <c r="BO39" s="147"/>
      <c r="BP39" s="147"/>
      <c r="BQ39" s="147"/>
      <c r="BR39" s="147"/>
      <c r="BS39" s="147"/>
      <c r="BT39" s="147"/>
      <c r="BU39" s="147"/>
      <c r="BV39" s="147"/>
      <c r="BW39" s="147"/>
      <c r="BX39" s="147"/>
      <c r="BY39" s="147"/>
      <c r="BZ39" s="147"/>
      <c r="CA39" s="147"/>
      <c r="CB39" s="147"/>
      <c r="CC39" s="147"/>
      <c r="CD39" s="147"/>
      <c r="CE39" s="147"/>
      <c r="CF39" s="147"/>
      <c r="CG39" s="147"/>
      <c r="CH39" s="147"/>
      <c r="CI39" s="147"/>
      <c r="CJ39" s="147"/>
      <c r="CK39" s="147"/>
      <c r="CL39" s="147"/>
      <c r="CM39" s="147"/>
      <c r="CN39" s="147"/>
      <c r="CO39" s="147"/>
      <c r="CP39" s="147"/>
    </row>
    <row r="40" spans="1:94" s="153" customFormat="1" ht="15" x14ac:dyDescent="0.25">
      <c r="A40" s="139"/>
      <c r="B40" s="188"/>
      <c r="C40" s="364" t="str">
        <f>Elect_name</f>
        <v>Elected Officials &amp; Full Time Commissioners</v>
      </c>
      <c r="D40" s="365"/>
      <c r="E40" s="189">
        <v>3</v>
      </c>
      <c r="F40" s="151">
        <f>SUMIF($E9:$E35,$E40,$F9:$F35)</f>
        <v>0</v>
      </c>
      <c r="G40" s="193">
        <f>SUMIF($E10:$E35,$E40,$G10:$G35)</f>
        <v>0</v>
      </c>
      <c r="H40" s="152">
        <f>SUMIF($E10:$E35,$E40,$H10:$H35)</f>
        <v>0</v>
      </c>
      <c r="I40" s="152">
        <f>SUMIF($E10:$E35,$E40,$I10:$I35)</f>
        <v>0</v>
      </c>
      <c r="J40" s="152">
        <f>SUM(G40:I40)</f>
        <v>0</v>
      </c>
      <c r="K40" s="259"/>
      <c r="L40" s="193">
        <f>SUMIF($E10:$E35,$E40,$L10:$L35)</f>
        <v>0</v>
      </c>
      <c r="M40" s="152">
        <f>SUMIF($E10:$E35,$E40,$M10:$M35)</f>
        <v>0</v>
      </c>
      <c r="N40" s="152">
        <f>SUM(L40:M40)</f>
        <v>0</v>
      </c>
      <c r="O40"/>
      <c r="P40"/>
      <c r="Q40"/>
      <c r="R40"/>
      <c r="S40"/>
      <c r="T40"/>
      <c r="U40"/>
      <c r="V40"/>
      <c r="W40"/>
      <c r="X40"/>
      <c r="Y40"/>
      <c r="Z40" s="344"/>
      <c r="AA40" s="363"/>
      <c r="AB40" s="363"/>
      <c r="AC40" s="363"/>
      <c r="AD40" s="329"/>
      <c r="AE40" s="147"/>
      <c r="AF40" s="147"/>
      <c r="AG40" s="147"/>
      <c r="AH40" s="147"/>
      <c r="AI40" s="147"/>
      <c r="AJ40" s="147"/>
      <c r="AK40" s="147"/>
      <c r="AL40" s="147"/>
      <c r="AM40" s="147"/>
      <c r="AN40" s="147"/>
      <c r="AO40" s="147"/>
      <c r="AP40" s="147"/>
      <c r="AQ40" s="147"/>
      <c r="AR40" s="147"/>
      <c r="AS40" s="147"/>
      <c r="AT40" s="147"/>
      <c r="AU40" s="147"/>
      <c r="AV40" s="147"/>
      <c r="AW40" s="147"/>
      <c r="AX40" s="147"/>
      <c r="AY40" s="147"/>
      <c r="AZ40" s="147"/>
      <c r="BA40" s="147"/>
      <c r="BB40" s="147"/>
      <c r="BC40" s="147"/>
      <c r="BD40" s="147"/>
      <c r="BE40" s="147"/>
      <c r="BF40" s="147"/>
      <c r="BG40" s="147"/>
      <c r="BH40" s="147"/>
      <c r="BI40" s="147"/>
      <c r="BJ40" s="147"/>
      <c r="BK40" s="147"/>
      <c r="BL40" s="147"/>
      <c r="BM40" s="147"/>
      <c r="BN40" s="147"/>
      <c r="BO40" s="147"/>
      <c r="BP40" s="147"/>
      <c r="BQ40" s="147"/>
      <c r="BR40" s="147"/>
      <c r="BS40" s="147"/>
      <c r="BT40" s="147"/>
      <c r="BU40" s="147"/>
      <c r="BV40" s="147"/>
      <c r="BW40" s="147"/>
      <c r="BX40" s="147"/>
      <c r="BY40" s="147"/>
      <c r="BZ40" s="147"/>
      <c r="CA40" s="147"/>
      <c r="CB40" s="147"/>
      <c r="CC40" s="147"/>
      <c r="CD40" s="147"/>
      <c r="CE40" s="147"/>
      <c r="CF40" s="147"/>
      <c r="CG40" s="147"/>
      <c r="CH40" s="147"/>
      <c r="CI40" s="147"/>
      <c r="CJ40" s="147"/>
      <c r="CK40" s="147"/>
      <c r="CL40" s="147"/>
      <c r="CM40" s="147"/>
      <c r="CN40" s="147"/>
      <c r="CO40" s="147"/>
      <c r="CP40" s="147"/>
    </row>
    <row r="41" spans="1:94" s="153" customFormat="1" ht="15" x14ac:dyDescent="0.25">
      <c r="A41" s="139"/>
      <c r="B41" s="188"/>
      <c r="C41" s="443" t="s">
        <v>38</v>
      </c>
      <c r="D41" s="444"/>
      <c r="E41" s="189"/>
      <c r="F41" s="161">
        <f>SUM(F38:F40)</f>
        <v>99.25</v>
      </c>
      <c r="G41" s="195">
        <f>SUM($G$38:$G$40)</f>
        <v>5544221.2999999989</v>
      </c>
      <c r="H41" s="162">
        <f>SUM($H$38:$H$40)</f>
        <v>1160340</v>
      </c>
      <c r="I41" s="162">
        <f>SUM($I$38:$I$40)</f>
        <v>1177905.6109039998</v>
      </c>
      <c r="J41" s="162">
        <f>SUM($J$38:$J$40)</f>
        <v>7882466.9109039977</v>
      </c>
      <c r="K41" s="259"/>
      <c r="L41" s="195">
        <f>SUM($L$38:$L$40)</f>
        <v>0</v>
      </c>
      <c r="M41" s="162">
        <f>SUM($M$38:$M$40)</f>
        <v>-26414.718720000008</v>
      </c>
      <c r="N41" s="162">
        <f>SUM(L41:M41)</f>
        <v>-26414.718720000008</v>
      </c>
      <c r="O41"/>
      <c r="P41"/>
      <c r="Q41"/>
      <c r="R41"/>
      <c r="S41"/>
      <c r="T41"/>
      <c r="U41"/>
      <c r="V41"/>
      <c r="W41"/>
      <c r="X41"/>
      <c r="Y41"/>
      <c r="Z41" s="344"/>
      <c r="AA41" s="363" t="s">
        <v>94</v>
      </c>
      <c r="AB41" s="333" t="s">
        <v>95</v>
      </c>
      <c r="AC41" s="333" t="s">
        <v>106</v>
      </c>
      <c r="AD41" s="329"/>
      <c r="AE41" s="147"/>
      <c r="AF41" s="147"/>
      <c r="AG41" s="147"/>
      <c r="AH41" s="147"/>
      <c r="AI41" s="147"/>
      <c r="AJ41" s="147"/>
      <c r="AK41" s="147"/>
      <c r="AL41" s="147"/>
      <c r="AM41" s="147"/>
      <c r="AN41" s="147"/>
      <c r="AO41" s="147"/>
      <c r="AP41" s="147"/>
      <c r="AQ41" s="147"/>
      <c r="AR41" s="147"/>
      <c r="AS41" s="147"/>
      <c r="AT41" s="147"/>
      <c r="AU41" s="147"/>
      <c r="AV41" s="147"/>
      <c r="AW41" s="147"/>
      <c r="AX41" s="147"/>
      <c r="AY41" s="147"/>
      <c r="AZ41" s="147"/>
      <c r="BA41" s="147"/>
      <c r="BB41" s="147"/>
      <c r="BC41" s="147"/>
      <c r="BD41" s="147"/>
      <c r="BE41" s="147"/>
      <c r="BF41" s="147"/>
      <c r="BG41" s="147"/>
      <c r="BH41" s="147"/>
      <c r="BI41" s="147"/>
      <c r="BJ41" s="147"/>
      <c r="BK41" s="147"/>
      <c r="BL41" s="147"/>
      <c r="BM41" s="147"/>
      <c r="BN41" s="147"/>
      <c r="BO41" s="147"/>
      <c r="BP41" s="147"/>
      <c r="BQ41" s="147"/>
      <c r="BR41" s="147"/>
      <c r="BS41" s="147"/>
      <c r="BT41" s="147"/>
      <c r="BU41" s="147"/>
      <c r="BV41" s="147"/>
      <c r="BW41" s="147"/>
      <c r="BX41" s="147"/>
      <c r="BY41" s="147"/>
      <c r="BZ41" s="147"/>
      <c r="CA41" s="147"/>
      <c r="CB41" s="147"/>
      <c r="CC41" s="147"/>
      <c r="CD41" s="147"/>
      <c r="CE41" s="147"/>
      <c r="CF41" s="147"/>
      <c r="CG41" s="147"/>
      <c r="CH41" s="147"/>
      <c r="CI41" s="147"/>
      <c r="CJ41" s="147"/>
      <c r="CK41" s="147"/>
      <c r="CL41" s="147"/>
      <c r="CM41" s="147"/>
      <c r="CN41" s="147"/>
      <c r="CO41" s="147"/>
      <c r="CP41" s="147"/>
    </row>
    <row r="42" spans="1:94" s="153" customFormat="1" ht="4.5" customHeight="1" x14ac:dyDescent="0.25">
      <c r="A42" s="139"/>
      <c r="B42" s="188"/>
      <c r="C42" s="445"/>
      <c r="D42" s="446"/>
      <c r="E42" s="196"/>
      <c r="F42" s="197"/>
      <c r="G42" s="198"/>
      <c r="H42" s="199"/>
      <c r="I42" s="199"/>
      <c r="J42" s="324"/>
      <c r="K42" s="200"/>
      <c r="L42" s="323"/>
      <c r="M42" s="323"/>
      <c r="N42" s="201"/>
      <c r="O42"/>
      <c r="P42"/>
      <c r="Q42"/>
      <c r="R42"/>
      <c r="S42"/>
      <c r="T42"/>
      <c r="U42"/>
      <c r="V42"/>
      <c r="W42"/>
      <c r="X42"/>
      <c r="Y42"/>
      <c r="Z42" s="344"/>
      <c r="AA42" s="363"/>
      <c r="AB42" s="363"/>
      <c r="AC42" s="363"/>
      <c r="AD42" s="329"/>
      <c r="AE42" s="147"/>
      <c r="AF42" s="147"/>
      <c r="AG42" s="147"/>
      <c r="AH42" s="147"/>
      <c r="AI42" s="147"/>
      <c r="AJ42" s="147"/>
      <c r="AK42" s="147"/>
      <c r="AL42" s="147"/>
      <c r="AM42" s="147"/>
      <c r="AN42" s="147"/>
      <c r="AO42" s="147"/>
      <c r="AP42" s="147"/>
      <c r="AQ42" s="147"/>
      <c r="AR42" s="147"/>
      <c r="AS42" s="147"/>
      <c r="AT42" s="147"/>
      <c r="AU42" s="147"/>
      <c r="AV42" s="147"/>
      <c r="AW42" s="147"/>
      <c r="AX42" s="147"/>
      <c r="AY42" s="147"/>
      <c r="AZ42" s="147"/>
      <c r="BA42" s="147"/>
      <c r="BB42" s="147"/>
      <c r="BC42" s="147"/>
      <c r="BD42" s="147"/>
      <c r="BE42" s="147"/>
      <c r="BF42" s="147"/>
      <c r="BG42" s="147"/>
      <c r="BH42" s="147"/>
      <c r="BI42" s="147"/>
      <c r="BJ42" s="147"/>
      <c r="BK42" s="147"/>
      <c r="BL42" s="147"/>
      <c r="BM42" s="147"/>
      <c r="BN42" s="147"/>
      <c r="BO42" s="147"/>
      <c r="BP42" s="147"/>
      <c r="BQ42" s="147"/>
      <c r="BR42" s="147"/>
      <c r="BS42" s="147"/>
      <c r="BT42" s="147"/>
      <c r="BU42" s="147"/>
      <c r="BV42" s="147"/>
      <c r="BW42" s="147"/>
      <c r="BX42" s="147"/>
      <c r="BY42" s="147"/>
      <c r="BZ42" s="147"/>
      <c r="CA42" s="147"/>
      <c r="CB42" s="147"/>
      <c r="CC42" s="147"/>
      <c r="CD42" s="147"/>
      <c r="CE42" s="147"/>
      <c r="CF42" s="147"/>
      <c r="CG42" s="147"/>
      <c r="CH42" s="147"/>
      <c r="CI42" s="147"/>
      <c r="CJ42" s="147"/>
      <c r="CK42" s="147"/>
      <c r="CL42" s="147"/>
      <c r="CM42" s="147"/>
      <c r="CN42" s="147"/>
      <c r="CO42" s="147"/>
      <c r="CP42" s="147"/>
    </row>
    <row r="43" spans="1:94" s="153" customFormat="1" ht="15.75" customHeight="1" x14ac:dyDescent="0.25">
      <c r="A43" s="139"/>
      <c r="B43" s="202"/>
      <c r="C43" s="447" t="s">
        <v>39</v>
      </c>
      <c r="D43" s="448"/>
      <c r="E43" s="203" t="s">
        <v>40</v>
      </c>
      <c r="F43" s="205">
        <f>ROUND(F51-F41,2)</f>
        <v>2.5499999999999998</v>
      </c>
      <c r="G43" s="206">
        <f>ROUND(G51-G41,-2)</f>
        <v>169600</v>
      </c>
      <c r="H43" s="159">
        <f>ROUND(H51-H41,-2)</f>
        <v>35500</v>
      </c>
      <c r="I43" s="159">
        <f>ROUND(I51-I41,-2)</f>
        <v>36000</v>
      </c>
      <c r="J43" s="159">
        <f>SUM(G43:I43)</f>
        <v>241100</v>
      </c>
      <c r="K43" s="424" t="str">
        <f>IF(E51=0,"ERROR! Enter Original Appropriation amount in DU 3.00!","Calculated "&amp;IF(J43&gt;0,"overfunding ","underfunding ")&amp;"is "&amp;TEXT(J43/J51,"#.0%;(#.0% );0% ;")&amp;" of Original Appropriation")</f>
        <v>Calculated overfunding is 3.0% of Original Appropriation</v>
      </c>
      <c r="L43" s="425"/>
      <c r="M43" s="425"/>
      <c r="N43" s="426"/>
      <c r="O43"/>
      <c r="P43"/>
      <c r="Q43"/>
      <c r="R43"/>
      <c r="S43"/>
      <c r="T43"/>
      <c r="U43"/>
      <c r="V43"/>
      <c r="W43"/>
      <c r="X43"/>
      <c r="Y43"/>
      <c r="Z43" s="344"/>
      <c r="AA43" s="451" t="s">
        <v>108</v>
      </c>
      <c r="AB43" s="452"/>
      <c r="AC43" s="452"/>
      <c r="AD43" s="329"/>
      <c r="AE43" s="147"/>
      <c r="AF43" s="147"/>
      <c r="AG43" s="147"/>
      <c r="AH43" s="147"/>
      <c r="AI43" s="147"/>
      <c r="AJ43" s="147"/>
      <c r="AK43" s="147"/>
      <c r="AL43" s="147"/>
      <c r="AM43" s="147"/>
      <c r="AN43" s="147"/>
      <c r="AO43" s="147"/>
      <c r="AP43" s="147"/>
      <c r="AQ43" s="147"/>
      <c r="AR43" s="147"/>
      <c r="AS43" s="147"/>
      <c r="AT43" s="147"/>
      <c r="AU43" s="147"/>
      <c r="AV43" s="147"/>
      <c r="AW43" s="147"/>
      <c r="AX43" s="147"/>
      <c r="AY43" s="147"/>
      <c r="AZ43" s="147"/>
      <c r="BA43" s="147"/>
      <c r="BB43" s="147"/>
      <c r="BC43" s="147"/>
      <c r="BD43" s="147"/>
      <c r="BE43" s="147"/>
      <c r="BF43" s="147"/>
      <c r="BG43" s="147"/>
      <c r="BH43" s="147"/>
      <c r="BI43" s="147"/>
      <c r="BJ43" s="147"/>
      <c r="BK43" s="147"/>
      <c r="BL43" s="147"/>
      <c r="BM43" s="147"/>
      <c r="BN43" s="147"/>
      <c r="BO43" s="147"/>
      <c r="BP43" s="147"/>
      <c r="BQ43" s="147"/>
      <c r="BR43" s="147"/>
      <c r="BS43" s="147"/>
      <c r="BT43" s="147"/>
      <c r="BU43" s="147"/>
      <c r="BV43" s="147"/>
      <c r="BW43" s="147"/>
      <c r="BX43" s="147"/>
      <c r="BY43" s="147"/>
      <c r="BZ43" s="147"/>
      <c r="CA43" s="147"/>
      <c r="CB43" s="147"/>
      <c r="CC43" s="147"/>
      <c r="CD43" s="147"/>
      <c r="CE43" s="147"/>
      <c r="CF43" s="147"/>
      <c r="CG43" s="147"/>
      <c r="CH43" s="147"/>
      <c r="CI43" s="147"/>
      <c r="CJ43" s="147"/>
      <c r="CK43" s="147"/>
      <c r="CL43" s="147"/>
      <c r="CM43" s="147"/>
      <c r="CN43" s="147"/>
      <c r="CO43" s="147"/>
      <c r="CP43" s="147"/>
    </row>
    <row r="44" spans="1:94" s="153" customFormat="1" ht="15.75" customHeight="1" x14ac:dyDescent="0.25">
      <c r="A44" s="139"/>
      <c r="B44" s="202"/>
      <c r="C44" s="449"/>
      <c r="D44" s="450"/>
      <c r="E44" s="204" t="s">
        <v>41</v>
      </c>
      <c r="F44" s="205">
        <f>ROUND(F60-F41,2)</f>
        <v>2.5499999999999998</v>
      </c>
      <c r="G44" s="206">
        <f>ROUND(G60-G41,-2)</f>
        <v>169600</v>
      </c>
      <c r="H44" s="159">
        <f>ROUND(H60-H41,-2)</f>
        <v>35500</v>
      </c>
      <c r="I44" s="159">
        <f>ROUND(I60-I41,-2)</f>
        <v>36000</v>
      </c>
      <c r="J44" s="159">
        <f>SUM(G44:I44)</f>
        <v>241100</v>
      </c>
      <c r="K44" s="424" t="str">
        <f>IF(E51=0,"ERROR! Enter Original Appropriation amount in DU 3.00!","Calculated "&amp;IF(J44&gt;0,"overfunding ","underfunding ")&amp;"is "&amp;TEXT(J44/J60,"#.0%;(#.0% );0% ;")&amp;" of Estimated Expenditures")</f>
        <v>Calculated overfunding is 3.0% of Estimated Expenditures</v>
      </c>
      <c r="L44" s="425"/>
      <c r="M44" s="425"/>
      <c r="N44" s="426"/>
      <c r="O44"/>
      <c r="P44"/>
      <c r="Q44"/>
      <c r="R44"/>
      <c r="S44"/>
      <c r="T44"/>
      <c r="U44"/>
      <c r="V44"/>
      <c r="W44"/>
      <c r="X44"/>
      <c r="Y44"/>
      <c r="Z44" s="344"/>
      <c r="AA44" s="338">
        <f>NEW_AdjPermSalary-NEW_PermSalaryFilled</f>
        <v>0</v>
      </c>
      <c r="AB44" s="338">
        <f>NEW_AdjPermVB-NEW_PermVBFilled</f>
        <v>0</v>
      </c>
      <c r="AC44" s="338">
        <f>SUM(AA44:AB44)</f>
        <v>0</v>
      </c>
      <c r="AD44" s="329"/>
      <c r="AE44" s="147"/>
      <c r="AF44" s="147"/>
      <c r="AG44" s="147"/>
      <c r="AH44" s="147"/>
      <c r="AI44" s="147"/>
      <c r="AJ44" s="147"/>
      <c r="AK44" s="147"/>
      <c r="AL44" s="147"/>
      <c r="AM44" s="147"/>
      <c r="AN44" s="147"/>
      <c r="AO44" s="147"/>
      <c r="AP44" s="147"/>
      <c r="AQ44" s="147"/>
      <c r="AR44" s="147"/>
      <c r="AS44" s="147"/>
      <c r="AT44" s="147"/>
      <c r="AU44" s="147"/>
      <c r="AV44" s="147"/>
      <c r="AW44" s="147"/>
      <c r="AX44" s="147"/>
      <c r="AY44" s="147"/>
      <c r="AZ44" s="147"/>
      <c r="BA44" s="147"/>
      <c r="BB44" s="147"/>
      <c r="BC44" s="147"/>
      <c r="BD44" s="147"/>
      <c r="BE44" s="147"/>
      <c r="BF44" s="147"/>
      <c r="BG44" s="147"/>
      <c r="BH44" s="147"/>
      <c r="BI44" s="147"/>
      <c r="BJ44" s="147"/>
      <c r="BK44" s="147"/>
      <c r="BL44" s="147"/>
      <c r="BM44" s="147"/>
      <c r="BN44" s="147"/>
      <c r="BO44" s="147"/>
      <c r="BP44" s="147"/>
      <c r="BQ44" s="147"/>
      <c r="BR44" s="147"/>
      <c r="BS44" s="147"/>
      <c r="BT44" s="147"/>
      <c r="BU44" s="147"/>
      <c r="BV44" s="147"/>
      <c r="BW44" s="147"/>
      <c r="BX44" s="147"/>
      <c r="BY44" s="147"/>
      <c r="BZ44" s="147"/>
      <c r="CA44" s="147"/>
      <c r="CB44" s="147"/>
      <c r="CC44" s="147"/>
      <c r="CD44" s="147"/>
      <c r="CE44" s="147"/>
      <c r="CF44" s="147"/>
      <c r="CG44" s="147"/>
      <c r="CH44" s="147"/>
      <c r="CI44" s="147"/>
      <c r="CJ44" s="147"/>
      <c r="CK44" s="147"/>
      <c r="CL44" s="147"/>
      <c r="CM44" s="147"/>
      <c r="CN44" s="147"/>
      <c r="CO44" s="147"/>
      <c r="CP44" s="147"/>
    </row>
    <row r="45" spans="1:94" s="153" customFormat="1" ht="15.75" customHeight="1" x14ac:dyDescent="0.25">
      <c r="A45" s="139"/>
      <c r="B45" s="202"/>
      <c r="C45" s="215"/>
      <c r="D45" s="215"/>
      <c r="E45" s="204" t="s">
        <v>99</v>
      </c>
      <c r="F45" s="205">
        <f>ROUND(F67-F41-F63,2)</f>
        <v>2.5499999999999998</v>
      </c>
      <c r="G45" s="206">
        <f>ROUND(G67-G41-G63,-2)</f>
        <v>169600</v>
      </c>
      <c r="H45" s="206">
        <f>ROUND(H67-H41-H63,-2)</f>
        <v>35500</v>
      </c>
      <c r="I45" s="206">
        <f>ROUND(I67-I41-I63,-2)</f>
        <v>36000</v>
      </c>
      <c r="J45" s="159">
        <f>SUM(G45:I45)</f>
        <v>241100</v>
      </c>
      <c r="K45" s="424" t="str">
        <f>IF(J67=0,"Program has a zero base",IF(E51=0,"ERROR! Enter Original Appropriation amount in DU 3.00!","Calculated "&amp;IF(J45&gt;0,"overfunding ","underfunding ")&amp;"is "&amp;TEXT(J45/J67,"#.0%;(#.0% );0% ;")&amp;" of the Base"))</f>
        <v>Calculated overfunding is 3.0% of the Base</v>
      </c>
      <c r="L45" s="425"/>
      <c r="M45" s="425"/>
      <c r="N45" s="426"/>
      <c r="O45"/>
      <c r="P45"/>
      <c r="Q45"/>
      <c r="R45"/>
      <c r="S45"/>
      <c r="T45"/>
      <c r="U45"/>
      <c r="V45"/>
      <c r="W45"/>
      <c r="X45"/>
      <c r="Y45"/>
      <c r="Z45" s="344"/>
      <c r="AA45" s="338">
        <f>NEW_AdjGroupSalary-NEW_GroupSalaryFilled</f>
        <v>0</v>
      </c>
      <c r="AB45" s="338">
        <f>NEW_AdjGroupVB-NEW_GroupVBFilled</f>
        <v>0</v>
      </c>
      <c r="AC45" s="338">
        <f>SUM(AA45:AB45)</f>
        <v>0</v>
      </c>
      <c r="AD45" s="329"/>
      <c r="AE45" s="147"/>
      <c r="AF45" s="147"/>
      <c r="AG45" s="147"/>
      <c r="AH45" s="147"/>
      <c r="AI45" s="147"/>
      <c r="AJ45" s="147"/>
      <c r="AK45" s="147"/>
      <c r="AL45" s="147"/>
      <c r="AM45" s="147"/>
      <c r="AN45" s="147"/>
      <c r="AO45" s="147"/>
      <c r="AP45" s="147"/>
      <c r="AQ45" s="147"/>
      <c r="AR45" s="147"/>
      <c r="AS45" s="147"/>
      <c r="AT45" s="147"/>
      <c r="AU45" s="147"/>
      <c r="AV45" s="147"/>
      <c r="AW45" s="147"/>
      <c r="AX45" s="147"/>
      <c r="AY45" s="147"/>
      <c r="AZ45" s="147"/>
      <c r="BA45" s="147"/>
      <c r="BB45" s="147"/>
      <c r="BC45" s="147"/>
      <c r="BD45" s="147"/>
      <c r="BE45" s="147"/>
      <c r="BF45" s="147"/>
      <c r="BG45" s="147"/>
      <c r="BH45" s="147"/>
      <c r="BI45" s="147"/>
      <c r="BJ45" s="147"/>
      <c r="BK45" s="147"/>
      <c r="BL45" s="147"/>
      <c r="BM45" s="147"/>
      <c r="BN45" s="147"/>
      <c r="BO45" s="147"/>
      <c r="BP45" s="147"/>
      <c r="BQ45" s="147"/>
      <c r="BR45" s="147"/>
      <c r="BS45" s="147"/>
      <c r="BT45" s="147"/>
      <c r="BU45" s="147"/>
      <c r="BV45" s="147"/>
      <c r="BW45" s="147"/>
      <c r="BX45" s="147"/>
      <c r="BY45" s="147"/>
      <c r="BZ45" s="147"/>
      <c r="CA45" s="147"/>
      <c r="CB45" s="147"/>
      <c r="CC45" s="147"/>
      <c r="CD45" s="147"/>
      <c r="CE45" s="147"/>
      <c r="CF45" s="147"/>
      <c r="CG45" s="147"/>
      <c r="CH45" s="147"/>
      <c r="CI45" s="147"/>
      <c r="CJ45" s="147"/>
      <c r="CK45" s="147"/>
      <c r="CL45" s="147"/>
      <c r="CM45" s="147"/>
      <c r="CN45" s="147"/>
      <c r="CO45" s="147"/>
      <c r="CP45" s="147"/>
    </row>
    <row r="46" spans="1:94" s="153" customFormat="1" ht="28.5" customHeight="1" x14ac:dyDescent="0.25">
      <c r="A46" s="139"/>
      <c r="B46" s="202"/>
      <c r="C46" s="215"/>
      <c r="D46" s="215"/>
      <c r="E46" s="427" t="s">
        <v>100</v>
      </c>
      <c r="F46" s="428"/>
      <c r="G46" s="428"/>
      <c r="H46" s="428"/>
      <c r="I46" s="428"/>
      <c r="J46" s="429"/>
      <c r="K46" s="433" t="str">
        <f>IF(OR(J45&lt;0,F45&lt;0),"You may not have sufficient funding or authorized FTP, and may need to make additional adjustments to finalize this form.  Please contact both your DFM and LSO analysts.","")</f>
        <v/>
      </c>
      <c r="L46" s="434"/>
      <c r="M46" s="434"/>
      <c r="N46" s="435"/>
      <c r="O46"/>
      <c r="P46"/>
      <c r="Q46"/>
      <c r="R46"/>
      <c r="S46"/>
      <c r="T46"/>
      <c r="U46"/>
      <c r="V46"/>
      <c r="W46"/>
      <c r="X46"/>
      <c r="Y46"/>
      <c r="Z46" s="344"/>
      <c r="AA46" s="363"/>
      <c r="AB46" s="363"/>
      <c r="AC46" s="363"/>
      <c r="AD46" s="329"/>
      <c r="AE46" s="147"/>
      <c r="AF46" s="147"/>
      <c r="AG46" s="147"/>
      <c r="AH46" s="147"/>
      <c r="AI46" s="147"/>
      <c r="AJ46" s="147"/>
      <c r="AK46" s="147"/>
      <c r="AL46" s="147"/>
      <c r="AM46" s="147"/>
      <c r="AN46" s="147"/>
      <c r="AO46" s="147"/>
      <c r="AP46" s="147"/>
      <c r="AQ46" s="147"/>
      <c r="AR46" s="147"/>
      <c r="AS46" s="147"/>
      <c r="AT46" s="147"/>
      <c r="AU46" s="147"/>
      <c r="AV46" s="147"/>
      <c r="AW46" s="147"/>
      <c r="AX46" s="147"/>
      <c r="AY46" s="147"/>
      <c r="AZ46" s="147"/>
      <c r="BA46" s="147"/>
      <c r="BB46" s="147"/>
      <c r="BC46" s="147"/>
      <c r="BD46" s="147"/>
      <c r="BE46" s="147"/>
      <c r="BF46" s="147"/>
      <c r="BG46" s="147"/>
      <c r="BH46" s="147"/>
      <c r="BI46" s="147"/>
      <c r="BJ46" s="147"/>
      <c r="BK46" s="147"/>
      <c r="BL46" s="147"/>
      <c r="BM46" s="147"/>
      <c r="BN46" s="147"/>
      <c r="BO46" s="147"/>
      <c r="BP46" s="147"/>
      <c r="BQ46" s="147"/>
      <c r="BR46" s="147"/>
      <c r="BS46" s="147"/>
      <c r="BT46" s="147"/>
      <c r="BU46" s="147"/>
      <c r="BV46" s="147"/>
      <c r="BW46" s="147"/>
      <c r="BX46" s="147"/>
      <c r="BY46" s="147"/>
      <c r="BZ46" s="147"/>
      <c r="CA46" s="147"/>
      <c r="CB46" s="147"/>
      <c r="CC46" s="147"/>
      <c r="CD46" s="147"/>
      <c r="CE46" s="147"/>
      <c r="CF46" s="147"/>
      <c r="CG46" s="147"/>
      <c r="CH46" s="147"/>
      <c r="CI46" s="147"/>
      <c r="CJ46" s="147"/>
      <c r="CK46" s="147"/>
      <c r="CL46" s="147"/>
      <c r="CM46" s="147"/>
      <c r="CN46" s="147"/>
      <c r="CO46" s="147"/>
      <c r="CP46" s="147"/>
    </row>
    <row r="47" spans="1:94" s="153" customFormat="1" ht="21.75" customHeight="1" x14ac:dyDescent="0.25">
      <c r="A47" s="139"/>
      <c r="B47" s="202"/>
      <c r="C47" s="215"/>
      <c r="D47" s="215"/>
      <c r="E47" s="430"/>
      <c r="F47" s="431"/>
      <c r="G47" s="431"/>
      <c r="H47" s="431"/>
      <c r="I47" s="431"/>
      <c r="J47" s="432"/>
      <c r="K47" s="436"/>
      <c r="L47" s="437"/>
      <c r="M47" s="437"/>
      <c r="N47" s="438"/>
      <c r="O47"/>
      <c r="P47"/>
      <c r="Q47"/>
      <c r="R47"/>
      <c r="S47"/>
      <c r="T47"/>
      <c r="U47"/>
      <c r="V47"/>
      <c r="W47"/>
      <c r="X47"/>
      <c r="Y47"/>
      <c r="Z47" s="344"/>
      <c r="AA47" s="363"/>
      <c r="AB47" s="363"/>
      <c r="AC47" s="363"/>
      <c r="AD47" s="329"/>
      <c r="AE47" s="147"/>
      <c r="AF47" s="147"/>
      <c r="AG47" s="147"/>
      <c r="AH47" s="147"/>
      <c r="AI47" s="147"/>
      <c r="AJ47" s="147"/>
      <c r="AK47" s="147"/>
      <c r="AL47" s="147"/>
      <c r="AM47" s="147"/>
      <c r="AN47" s="147"/>
      <c r="AO47" s="147"/>
      <c r="AP47" s="147"/>
      <c r="AQ47" s="147"/>
      <c r="AR47" s="147"/>
      <c r="AS47" s="147"/>
      <c r="AT47" s="147"/>
      <c r="AU47" s="147"/>
      <c r="AV47" s="147"/>
      <c r="AW47" s="147"/>
      <c r="AX47" s="147"/>
      <c r="AY47" s="147"/>
      <c r="AZ47" s="147"/>
      <c r="BA47" s="147"/>
      <c r="BB47" s="147"/>
      <c r="BC47" s="147"/>
      <c r="BD47" s="147"/>
      <c r="BE47" s="147"/>
      <c r="BF47" s="147"/>
      <c r="BG47" s="147"/>
      <c r="BH47" s="147"/>
      <c r="BI47" s="147"/>
      <c r="BJ47" s="147"/>
      <c r="BK47" s="147"/>
      <c r="BL47" s="147"/>
      <c r="BM47" s="147"/>
      <c r="BN47" s="147"/>
      <c r="BO47" s="147"/>
      <c r="BP47" s="147"/>
      <c r="BQ47" s="147"/>
      <c r="BR47" s="147"/>
      <c r="BS47" s="147"/>
      <c r="BT47" s="147"/>
      <c r="BU47" s="147"/>
      <c r="BV47" s="147"/>
      <c r="BW47" s="147"/>
      <c r="BX47" s="147"/>
      <c r="BY47" s="147"/>
      <c r="BZ47" s="147"/>
      <c r="CA47" s="147"/>
      <c r="CB47" s="147"/>
      <c r="CC47" s="147"/>
      <c r="CD47" s="147"/>
      <c r="CE47" s="147"/>
      <c r="CF47" s="147"/>
      <c r="CG47" s="147"/>
      <c r="CH47" s="147"/>
      <c r="CI47" s="147"/>
      <c r="CJ47" s="147"/>
      <c r="CK47" s="147"/>
      <c r="CL47" s="147"/>
      <c r="CM47" s="147"/>
      <c r="CN47" s="147"/>
      <c r="CO47" s="147"/>
      <c r="CP47" s="147"/>
    </row>
    <row r="48" spans="1:94" s="214" customFormat="1" ht="8.25" customHeight="1" x14ac:dyDescent="0.25">
      <c r="A48" s="207"/>
      <c r="B48" s="208"/>
      <c r="C48" s="136"/>
      <c r="D48" s="136"/>
      <c r="E48" s="209"/>
      <c r="F48" s="210"/>
      <c r="G48" s="211"/>
      <c r="H48" s="211"/>
      <c r="I48" s="211"/>
      <c r="J48" s="211"/>
      <c r="K48" s="211"/>
      <c r="L48" s="137"/>
      <c r="M48" s="138"/>
      <c r="N48" s="212"/>
      <c r="O48"/>
      <c r="P48"/>
      <c r="Q48"/>
      <c r="R48"/>
      <c r="S48"/>
      <c r="T48"/>
      <c r="U48"/>
      <c r="V48"/>
      <c r="W48"/>
      <c r="X48"/>
      <c r="Y48"/>
      <c r="Z48" s="344"/>
      <c r="AA48" s="339"/>
      <c r="AB48" s="339"/>
      <c r="AC48" s="339"/>
      <c r="AD48" s="330"/>
      <c r="AE48" s="213"/>
      <c r="AF48" s="213"/>
      <c r="AG48" s="213"/>
      <c r="AH48" s="213"/>
      <c r="AI48" s="213"/>
      <c r="AJ48" s="213"/>
      <c r="AK48" s="213"/>
      <c r="AL48" s="213"/>
      <c r="AM48" s="213"/>
      <c r="AN48" s="213"/>
      <c r="AO48" s="213"/>
      <c r="AP48" s="213"/>
      <c r="AQ48" s="213"/>
      <c r="AR48" s="213"/>
      <c r="AS48" s="213"/>
      <c r="AT48" s="213"/>
      <c r="AU48" s="213"/>
      <c r="AV48" s="213"/>
      <c r="AW48" s="213"/>
      <c r="AX48" s="213"/>
      <c r="AY48" s="213"/>
      <c r="AZ48" s="213"/>
      <c r="BA48" s="213"/>
      <c r="BB48" s="213"/>
      <c r="BC48" s="213"/>
      <c r="BD48" s="213"/>
      <c r="BE48" s="213"/>
      <c r="BF48" s="213"/>
      <c r="BG48" s="213"/>
      <c r="BH48" s="213"/>
      <c r="BI48" s="213"/>
      <c r="BJ48" s="213"/>
      <c r="BK48" s="213"/>
      <c r="BL48" s="213"/>
      <c r="BM48" s="213"/>
      <c r="BN48" s="213"/>
      <c r="BO48" s="213"/>
      <c r="BP48" s="213"/>
      <c r="BQ48" s="213"/>
      <c r="BR48" s="213"/>
      <c r="BS48" s="213"/>
      <c r="BT48" s="213"/>
      <c r="BU48" s="213"/>
      <c r="BV48" s="213"/>
      <c r="BW48" s="213"/>
      <c r="BX48" s="213"/>
      <c r="BY48" s="213"/>
      <c r="BZ48" s="213"/>
      <c r="CA48" s="213"/>
      <c r="CB48" s="213"/>
      <c r="CC48" s="213"/>
      <c r="CD48" s="213"/>
      <c r="CE48" s="213"/>
      <c r="CF48" s="213"/>
      <c r="CG48" s="213"/>
      <c r="CH48" s="213"/>
      <c r="CI48" s="213"/>
      <c r="CJ48" s="213"/>
      <c r="CK48" s="213"/>
      <c r="CL48" s="213"/>
      <c r="CM48" s="213"/>
      <c r="CN48" s="213"/>
      <c r="CO48" s="213"/>
      <c r="CP48" s="213"/>
    </row>
    <row r="49" spans="1:94" s="53" customFormat="1" ht="6" customHeight="1" x14ac:dyDescent="0.25">
      <c r="A49" s="63"/>
      <c r="B49" s="64"/>
      <c r="C49" s="65"/>
      <c r="D49" s="66"/>
      <c r="E49" s="67"/>
      <c r="F49" s="68"/>
      <c r="G49" s="64"/>
      <c r="H49" s="64"/>
      <c r="I49" s="64"/>
      <c r="J49" s="64"/>
      <c r="K49" s="64"/>
      <c r="L49" s="69"/>
      <c r="M49" s="69"/>
      <c r="N49" s="70"/>
      <c r="O49"/>
      <c r="P49"/>
      <c r="Q49"/>
      <c r="R49"/>
      <c r="S49"/>
      <c r="T49"/>
      <c r="U49"/>
      <c r="V49"/>
      <c r="W49"/>
      <c r="X49"/>
      <c r="Y49"/>
      <c r="Z49" s="344"/>
      <c r="AA49" s="363"/>
      <c r="AB49" s="363"/>
      <c r="AC49" s="363"/>
      <c r="AD49" s="110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1"/>
      <c r="AV49" s="41"/>
      <c r="AW49" s="41"/>
      <c r="AX49" s="41"/>
      <c r="AY49" s="41"/>
      <c r="AZ49" s="41"/>
      <c r="BA49" s="41"/>
      <c r="BB49" s="41"/>
      <c r="BC49" s="41"/>
      <c r="BD49" s="41"/>
      <c r="BE49" s="41"/>
      <c r="BF49" s="41"/>
      <c r="BG49" s="41"/>
      <c r="BH49" s="41"/>
      <c r="BI49" s="41"/>
      <c r="BJ49" s="41"/>
      <c r="BK49" s="41"/>
      <c r="BL49" s="41"/>
      <c r="BM49" s="41"/>
      <c r="BN49" s="41"/>
      <c r="BO49" s="41"/>
      <c r="BP49" s="41"/>
      <c r="BQ49" s="41"/>
      <c r="BR49" s="41"/>
      <c r="BS49" s="41"/>
      <c r="BT49" s="41"/>
      <c r="BU49" s="41"/>
      <c r="BV49" s="41"/>
      <c r="BW49" s="41"/>
      <c r="BX49" s="41"/>
      <c r="BY49" s="41"/>
      <c r="BZ49" s="41"/>
      <c r="CA49" s="41"/>
      <c r="CB49" s="41"/>
      <c r="CC49" s="41"/>
      <c r="CD49" s="41"/>
      <c r="CE49" s="41"/>
      <c r="CF49" s="41"/>
      <c r="CG49" s="41"/>
      <c r="CH49" s="41"/>
      <c r="CI49" s="41"/>
      <c r="CJ49" s="41"/>
      <c r="CK49" s="41"/>
      <c r="CL49" s="41"/>
      <c r="CM49" s="41"/>
      <c r="CN49" s="41"/>
      <c r="CO49" s="41"/>
      <c r="CP49" s="41"/>
    </row>
    <row r="50" spans="1:94" s="53" customFormat="1" ht="24.75" customHeight="1" x14ac:dyDescent="0.25">
      <c r="A50" s="257" t="s">
        <v>42</v>
      </c>
      <c r="B50" s="71"/>
      <c r="C50" s="439"/>
      <c r="D50" s="440"/>
      <c r="E50" s="72" t="s">
        <v>43</v>
      </c>
      <c r="F50" s="73" t="s">
        <v>24</v>
      </c>
      <c r="G50" s="72" t="str">
        <f>"FY "&amp;M4-2001&amp;" Salary"</f>
        <v>FY 22 Salary</v>
      </c>
      <c r="H50" s="72" t="str">
        <f>"FY "&amp;M4-2001&amp;" Health Ben"</f>
        <v>FY 22 Health Ben</v>
      </c>
      <c r="I50" s="72" t="str">
        <f>"FY "&amp;M4-2001&amp;" Var Ben"</f>
        <v>FY 22 Var Ben</v>
      </c>
      <c r="J50" s="72" t="str">
        <f>"FY "&amp;M4-1&amp;" Total"</f>
        <v>FY 2022 Total</v>
      </c>
      <c r="K50" s="307" t="str">
        <f>"FY "&amp;FiscalYear&amp;" SALARY CHG"</f>
        <v>FY 2023 SALARY CHG</v>
      </c>
      <c r="L50" s="74" t="str">
        <f>"FY "&amp;M4-2000&amp;" Chg Health Bens"</f>
        <v>FY 23 Chg Health Bens</v>
      </c>
      <c r="M50" s="74" t="str">
        <f>"FY "&amp;M4-2000&amp;" Chg Var Bens"</f>
        <v>FY 23 Chg Var Bens</v>
      </c>
      <c r="N50" s="74" t="s">
        <v>44</v>
      </c>
      <c r="O50"/>
      <c r="P50"/>
      <c r="Q50"/>
      <c r="R50"/>
      <c r="S50"/>
      <c r="T50"/>
      <c r="U50"/>
      <c r="V50"/>
      <c r="W50"/>
      <c r="X50"/>
      <c r="Y50"/>
      <c r="Z50" s="344"/>
      <c r="AA50" s="363"/>
      <c r="AB50" s="363"/>
      <c r="AC50" s="363"/>
      <c r="AD50" s="110"/>
      <c r="AE50" s="41"/>
      <c r="AF50" s="41"/>
      <c r="AG50" s="41"/>
      <c r="AH50" s="41"/>
      <c r="AI50" s="41"/>
      <c r="AJ50" s="41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U50" s="41"/>
      <c r="AV50" s="41"/>
      <c r="AW50" s="41"/>
      <c r="AX50" s="41"/>
      <c r="AY50" s="41"/>
      <c r="AZ50" s="41"/>
      <c r="BA50" s="41"/>
      <c r="BB50" s="41"/>
      <c r="BC50" s="41"/>
      <c r="BD50" s="41"/>
      <c r="BE50" s="41"/>
      <c r="BF50" s="41"/>
      <c r="BG50" s="41"/>
      <c r="BH50" s="41"/>
      <c r="BI50" s="41"/>
      <c r="BJ50" s="41"/>
      <c r="BK50" s="41"/>
      <c r="BL50" s="41"/>
      <c r="BM50" s="41"/>
      <c r="BN50" s="41"/>
      <c r="BO50" s="41"/>
      <c r="BP50" s="41"/>
      <c r="BQ50" s="41"/>
      <c r="BR50" s="41"/>
      <c r="BS50" s="41"/>
      <c r="BT50" s="41"/>
      <c r="BU50" s="41"/>
      <c r="BV50" s="41"/>
      <c r="BW50" s="41"/>
      <c r="BX50" s="41"/>
      <c r="BY50" s="41"/>
      <c r="BZ50" s="41"/>
      <c r="CA50" s="41"/>
      <c r="CB50" s="41"/>
      <c r="CC50" s="41"/>
      <c r="CD50" s="41"/>
      <c r="CE50" s="41"/>
      <c r="CF50" s="41"/>
      <c r="CG50" s="41"/>
      <c r="CH50" s="41"/>
      <c r="CI50" s="41"/>
      <c r="CJ50" s="41"/>
      <c r="CK50" s="41"/>
      <c r="CL50" s="41"/>
      <c r="CM50" s="41"/>
      <c r="CN50" s="41"/>
      <c r="CO50" s="41"/>
      <c r="CP50" s="41"/>
    </row>
    <row r="51" spans="1:94" s="53" customFormat="1" ht="15.75" customHeight="1" x14ac:dyDescent="0.25">
      <c r="A51" s="75">
        <v>3</v>
      </c>
      <c r="B51" s="76" t="s">
        <v>45</v>
      </c>
      <c r="C51" s="54" t="str">
        <f>"FY "&amp;M4-1</f>
        <v>FY 2022</v>
      </c>
      <c r="D51" s="77" t="s">
        <v>31</v>
      </c>
      <c r="E51" s="78">
        <f>OrigApprop</f>
        <v>8123600</v>
      </c>
      <c r="F51" s="272">
        <f>AppropFTP</f>
        <v>101.8</v>
      </c>
      <c r="G51" s="274">
        <f>IF(E51=0,0,(G41/$J$41)*$E$51)</f>
        <v>5713824.9562933724</v>
      </c>
      <c r="H51" s="274">
        <f>IF(E51=0,0,(H41/$J$41)*$E$51)</f>
        <v>1195836.0409937918</v>
      </c>
      <c r="I51" s="275">
        <f>IF(E51=0,0,(I41/$J$41)*$E$51)</f>
        <v>1213939.0027128365</v>
      </c>
      <c r="J51" s="90">
        <f>SUM(G51:I51)</f>
        <v>8123600.0000000009</v>
      </c>
      <c r="K51" s="263"/>
      <c r="L51" s="61"/>
      <c r="M51" s="81"/>
      <c r="N51" s="81"/>
      <c r="O51"/>
      <c r="P51"/>
      <c r="Q51"/>
      <c r="R51"/>
      <c r="S51"/>
      <c r="T51"/>
      <c r="U51"/>
      <c r="V51"/>
      <c r="W51"/>
      <c r="X51"/>
      <c r="Y51"/>
      <c r="Z51" s="344"/>
      <c r="AA51" s="346"/>
      <c r="AB51" s="363"/>
      <c r="AC51" s="363"/>
      <c r="AD51" s="110"/>
      <c r="AE51" s="41"/>
      <c r="AF51" s="41"/>
      <c r="AG51" s="41"/>
      <c r="AH51" s="41"/>
      <c r="AI51" s="41"/>
      <c r="AJ51" s="41"/>
      <c r="AK51" s="41"/>
      <c r="AL51" s="41"/>
      <c r="AM51" s="41"/>
      <c r="AN51" s="41"/>
      <c r="AO51" s="41"/>
      <c r="AP51" s="41"/>
      <c r="AQ51" s="41"/>
      <c r="AR51" s="41"/>
      <c r="AS51" s="41"/>
      <c r="AT51" s="41"/>
      <c r="AU51" s="41"/>
      <c r="AV51" s="41"/>
      <c r="AW51" s="41"/>
      <c r="AX51" s="41"/>
      <c r="AY51" s="41"/>
      <c r="AZ51" s="41"/>
      <c r="BA51" s="41"/>
      <c r="BB51" s="41"/>
      <c r="BC51" s="41"/>
      <c r="BD51" s="41"/>
      <c r="BE51" s="41"/>
      <c r="BF51" s="41"/>
      <c r="BG51" s="41"/>
      <c r="BH51" s="41"/>
      <c r="BI51" s="41"/>
      <c r="BJ51" s="41"/>
      <c r="BK51" s="41"/>
      <c r="BL51" s="41"/>
      <c r="BM51" s="41"/>
      <c r="BN51" s="41"/>
      <c r="BO51" s="41"/>
      <c r="BP51" s="41"/>
      <c r="BQ51" s="41"/>
      <c r="BR51" s="41"/>
      <c r="BS51" s="41"/>
      <c r="BT51" s="41"/>
      <c r="BU51" s="41"/>
      <c r="BV51" s="41"/>
      <c r="BW51" s="41"/>
      <c r="BX51" s="41"/>
      <c r="BY51" s="41"/>
      <c r="BZ51" s="41"/>
      <c r="CA51" s="41"/>
      <c r="CB51" s="41"/>
      <c r="CC51" s="41"/>
      <c r="CD51" s="41"/>
      <c r="CE51" s="41"/>
      <c r="CF51" s="41"/>
      <c r="CG51" s="41"/>
      <c r="CH51" s="41"/>
      <c r="CI51" s="41"/>
      <c r="CJ51" s="41"/>
      <c r="CK51" s="41"/>
      <c r="CL51" s="41"/>
      <c r="CM51" s="41"/>
      <c r="CN51" s="41"/>
      <c r="CO51" s="41"/>
      <c r="CP51" s="41"/>
    </row>
    <row r="52" spans="1:94" s="53" customFormat="1" ht="15.75" customHeight="1" x14ac:dyDescent="0.25">
      <c r="A52" s="82"/>
      <c r="B52" s="83"/>
      <c r="C52" s="84"/>
      <c r="D52" s="132" t="s">
        <v>46</v>
      </c>
      <c r="E52" s="133"/>
      <c r="F52" s="55">
        <f>F51</f>
        <v>101.8</v>
      </c>
      <c r="G52" s="79">
        <f>ROUND(G51,-2)</f>
        <v>5713800</v>
      </c>
      <c r="H52" s="79">
        <f>ROUND(H51,-2)</f>
        <v>1195800</v>
      </c>
      <c r="I52" s="266">
        <f>ROUND(I51,-2)</f>
        <v>1213900</v>
      </c>
      <c r="J52" s="80">
        <f>ROUND(J51,-2)</f>
        <v>8123600</v>
      </c>
      <c r="K52" s="263"/>
      <c r="L52" s="61"/>
      <c r="M52" s="81"/>
      <c r="N52" s="81"/>
      <c r="O52"/>
      <c r="P52"/>
      <c r="Q52"/>
      <c r="R52"/>
      <c r="S52"/>
      <c r="T52"/>
      <c r="U52"/>
      <c r="V52"/>
      <c r="W52"/>
      <c r="X52"/>
      <c r="Y52"/>
      <c r="Z52" s="344"/>
      <c r="AA52" s="347"/>
      <c r="AB52" s="363"/>
      <c r="AC52" s="363"/>
      <c r="AD52" s="110"/>
      <c r="AE52" s="41"/>
      <c r="AF52" s="41"/>
      <c r="AG52" s="41"/>
      <c r="AH52" s="41"/>
      <c r="AI52" s="41"/>
      <c r="AJ52" s="41"/>
      <c r="AK52" s="41"/>
      <c r="AL52" s="41"/>
      <c r="AM52" s="41"/>
      <c r="AN52" s="41"/>
      <c r="AO52" s="41"/>
      <c r="AP52" s="41"/>
      <c r="AQ52" s="41"/>
      <c r="AR52" s="41"/>
      <c r="AS52" s="41"/>
      <c r="AT52" s="41"/>
      <c r="AU52" s="41"/>
      <c r="AV52" s="41"/>
      <c r="AW52" s="41"/>
      <c r="AX52" s="41"/>
      <c r="AY52" s="41"/>
      <c r="AZ52" s="41"/>
      <c r="BA52" s="41"/>
      <c r="BB52" s="41"/>
      <c r="BC52" s="41"/>
      <c r="BD52" s="41"/>
      <c r="BE52" s="41"/>
      <c r="BF52" s="41"/>
      <c r="BG52" s="41"/>
      <c r="BH52" s="41"/>
      <c r="BI52" s="41"/>
      <c r="BJ52" s="41"/>
      <c r="BK52" s="41"/>
      <c r="BL52" s="41"/>
      <c r="BM52" s="41"/>
      <c r="BN52" s="41"/>
      <c r="BO52" s="41"/>
      <c r="BP52" s="41"/>
      <c r="BQ52" s="41"/>
      <c r="BR52" s="41"/>
      <c r="BS52" s="41"/>
      <c r="BT52" s="41"/>
      <c r="BU52" s="41"/>
      <c r="BV52" s="41"/>
      <c r="BW52" s="41"/>
      <c r="BX52" s="41"/>
      <c r="BY52" s="41"/>
      <c r="BZ52" s="41"/>
      <c r="CA52" s="41"/>
      <c r="CB52" s="41"/>
      <c r="CC52" s="41"/>
      <c r="CD52" s="41"/>
      <c r="CE52" s="41"/>
      <c r="CF52" s="41"/>
      <c r="CG52" s="41"/>
      <c r="CH52" s="41"/>
      <c r="CI52" s="41"/>
      <c r="CJ52" s="41"/>
      <c r="CK52" s="41"/>
      <c r="CL52" s="41"/>
      <c r="CM52" s="41"/>
      <c r="CN52" s="41"/>
      <c r="CO52" s="41"/>
      <c r="CP52" s="41"/>
    </row>
    <row r="53" spans="1:94" s="53" customFormat="1" ht="15" x14ac:dyDescent="0.25">
      <c r="A53" s="85"/>
      <c r="B53" s="83"/>
      <c r="C53" s="441" t="s">
        <v>47</v>
      </c>
      <c r="D53" s="442"/>
      <c r="E53" s="271"/>
      <c r="F53" s="273"/>
      <c r="G53" s="62"/>
      <c r="H53" s="62"/>
      <c r="I53" s="62"/>
      <c r="J53" s="62"/>
      <c r="K53" s="62"/>
      <c r="L53" s="61"/>
      <c r="M53" s="86"/>
      <c r="N53" s="86"/>
      <c r="O53"/>
      <c r="P53"/>
      <c r="Q53"/>
      <c r="R53"/>
      <c r="S53"/>
      <c r="T53"/>
      <c r="U53"/>
      <c r="V53"/>
      <c r="W53"/>
      <c r="X53"/>
      <c r="Y53"/>
      <c r="Z53" s="344"/>
      <c r="AA53" s="363"/>
      <c r="AB53" s="363"/>
      <c r="AC53" s="363"/>
      <c r="AD53" s="110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U53" s="41"/>
      <c r="AV53" s="41"/>
      <c r="AW53" s="41"/>
      <c r="AX53" s="41"/>
      <c r="AY53" s="41"/>
      <c r="AZ53" s="41"/>
      <c r="BA53" s="41"/>
      <c r="BB53" s="41"/>
      <c r="BC53" s="41"/>
      <c r="BD53" s="41"/>
      <c r="BE53" s="41"/>
      <c r="BF53" s="41"/>
      <c r="BG53" s="41"/>
      <c r="BH53" s="41"/>
      <c r="BI53" s="41"/>
      <c r="BJ53" s="41"/>
      <c r="BK53" s="41"/>
      <c r="BL53" s="41"/>
      <c r="BM53" s="41"/>
      <c r="BN53" s="41"/>
      <c r="BO53" s="41"/>
      <c r="BP53" s="41"/>
      <c r="BQ53" s="41"/>
      <c r="BR53" s="41"/>
      <c r="BS53" s="41"/>
      <c r="BT53" s="41"/>
      <c r="BU53" s="41"/>
      <c r="BV53" s="41"/>
      <c r="BW53" s="41"/>
      <c r="BX53" s="41"/>
      <c r="BY53" s="41"/>
      <c r="BZ53" s="41"/>
      <c r="CA53" s="41"/>
      <c r="CB53" s="41"/>
      <c r="CC53" s="41"/>
      <c r="CD53" s="41"/>
      <c r="CE53" s="41"/>
      <c r="CF53" s="41"/>
      <c r="CG53" s="41"/>
      <c r="CH53" s="41"/>
      <c r="CI53" s="41"/>
      <c r="CJ53" s="41"/>
      <c r="CK53" s="41"/>
      <c r="CL53" s="41"/>
      <c r="CM53" s="41"/>
      <c r="CN53" s="41"/>
      <c r="CO53" s="41"/>
      <c r="CP53" s="41"/>
    </row>
    <row r="54" spans="1:94" s="53" customFormat="1" ht="15.75" customHeight="1" x14ac:dyDescent="0.25">
      <c r="A54" s="85">
        <v>4.1100000000000003</v>
      </c>
      <c r="B54" s="83"/>
      <c r="C54" s="408" t="s">
        <v>48</v>
      </c>
      <c r="D54" s="409"/>
      <c r="E54" s="59"/>
      <c r="F54" s="58">
        <v>0</v>
      </c>
      <c r="G54" s="88">
        <v>0</v>
      </c>
      <c r="H54" s="88">
        <v>0</v>
      </c>
      <c r="I54" s="265">
        <v>0</v>
      </c>
      <c r="J54" s="89">
        <f>SUM(G54:I54)</f>
        <v>0</v>
      </c>
      <c r="K54" s="62"/>
      <c r="L54" s="61"/>
      <c r="M54" s="86"/>
      <c r="N54" s="86"/>
      <c r="O54"/>
      <c r="P54"/>
      <c r="Q54"/>
      <c r="R54"/>
      <c r="S54"/>
      <c r="T54"/>
      <c r="U54"/>
      <c r="V54"/>
      <c r="W54"/>
      <c r="X54"/>
      <c r="Y54"/>
      <c r="Z54" s="344"/>
      <c r="AA54" s="363"/>
      <c r="AB54" s="363"/>
      <c r="AC54" s="363"/>
      <c r="AD54" s="110"/>
      <c r="AE54" s="41"/>
      <c r="AF54" s="41"/>
      <c r="AG54" s="41"/>
      <c r="AH54" s="41"/>
      <c r="AI54" s="41"/>
      <c r="AJ54" s="41"/>
      <c r="AK54" s="41"/>
      <c r="AL54" s="41"/>
      <c r="AM54" s="41"/>
      <c r="AN54" s="41"/>
      <c r="AO54" s="41"/>
      <c r="AP54" s="41"/>
      <c r="AQ54" s="41"/>
      <c r="AR54" s="41"/>
      <c r="AS54" s="41"/>
      <c r="AT54" s="41"/>
      <c r="AU54" s="41"/>
      <c r="AV54" s="41"/>
      <c r="AW54" s="41"/>
      <c r="AX54" s="41"/>
      <c r="AY54" s="41"/>
      <c r="AZ54" s="41"/>
      <c r="BA54" s="41"/>
      <c r="BB54" s="41"/>
      <c r="BC54" s="41"/>
      <c r="BD54" s="41"/>
      <c r="BE54" s="41"/>
      <c r="BF54" s="41"/>
      <c r="BG54" s="41"/>
      <c r="BH54" s="41"/>
      <c r="BI54" s="41"/>
      <c r="BJ54" s="41"/>
      <c r="BK54" s="41"/>
      <c r="BL54" s="41"/>
      <c r="BM54" s="41"/>
      <c r="BN54" s="41"/>
      <c r="BO54" s="41"/>
      <c r="BP54" s="41"/>
      <c r="BQ54" s="41"/>
      <c r="BR54" s="41"/>
      <c r="BS54" s="41"/>
      <c r="BT54" s="41"/>
      <c r="BU54" s="41"/>
      <c r="BV54" s="41"/>
      <c r="BW54" s="41"/>
      <c r="BX54" s="41"/>
      <c r="BY54" s="41"/>
      <c r="BZ54" s="41"/>
      <c r="CA54" s="41"/>
      <c r="CB54" s="41"/>
      <c r="CC54" s="41"/>
      <c r="CD54" s="41"/>
      <c r="CE54" s="41"/>
      <c r="CF54" s="41"/>
      <c r="CG54" s="41"/>
      <c r="CH54" s="41"/>
      <c r="CI54" s="41"/>
      <c r="CJ54" s="41"/>
      <c r="CK54" s="41"/>
      <c r="CL54" s="41"/>
      <c r="CM54" s="41"/>
      <c r="CN54" s="41"/>
      <c r="CO54" s="41"/>
      <c r="CP54" s="41"/>
    </row>
    <row r="55" spans="1:94" s="53" customFormat="1" ht="15.75" customHeight="1" x14ac:dyDescent="0.25">
      <c r="A55" s="85">
        <v>4.3099999999999996</v>
      </c>
      <c r="B55" s="83"/>
      <c r="C55" s="421" t="s">
        <v>49</v>
      </c>
      <c r="D55" s="422"/>
      <c r="E55" s="59"/>
      <c r="F55" s="277">
        <v>0</v>
      </c>
      <c r="G55" s="92">
        <v>0</v>
      </c>
      <c r="H55" s="92">
        <v>0</v>
      </c>
      <c r="I55" s="264">
        <v>0</v>
      </c>
      <c r="J55" s="287">
        <f>SUM(G55:I55)</f>
        <v>0</v>
      </c>
      <c r="K55" s="62"/>
      <c r="L55" s="88"/>
      <c r="M55" s="261"/>
      <c r="N55" s="89">
        <f>SUM(L55:M55)</f>
        <v>0</v>
      </c>
      <c r="O55"/>
      <c r="P55"/>
      <c r="Q55"/>
      <c r="R55"/>
      <c r="S55"/>
      <c r="T55"/>
      <c r="U55"/>
      <c r="V55"/>
      <c r="W55"/>
      <c r="X55"/>
      <c r="Y55"/>
      <c r="Z55" s="344"/>
      <c r="AA55" s="363"/>
      <c r="AB55" s="363"/>
      <c r="AC55" s="363"/>
      <c r="AD55" s="110"/>
      <c r="AE55" s="41"/>
      <c r="AF55" s="41"/>
      <c r="AG55" s="41"/>
      <c r="AH55" s="41"/>
      <c r="AI55" s="41"/>
      <c r="AJ55" s="41"/>
      <c r="AK55" s="41"/>
      <c r="AL55" s="41"/>
      <c r="AM55" s="41"/>
      <c r="AN55" s="41"/>
      <c r="AO55" s="41"/>
      <c r="AP55" s="41"/>
      <c r="AQ55" s="41"/>
      <c r="AR55" s="41"/>
      <c r="AS55" s="41"/>
      <c r="AT55" s="41"/>
      <c r="AU55" s="41"/>
      <c r="AV55" s="41"/>
      <c r="AW55" s="41"/>
      <c r="AX55" s="41"/>
      <c r="AY55" s="41"/>
      <c r="AZ55" s="41"/>
      <c r="BA55" s="41"/>
      <c r="BB55" s="41"/>
      <c r="BC55" s="41"/>
      <c r="BD55" s="41"/>
      <c r="BE55" s="41"/>
      <c r="BF55" s="41"/>
      <c r="BG55" s="41"/>
      <c r="BH55" s="41"/>
      <c r="BI55" s="41"/>
      <c r="BJ55" s="41"/>
      <c r="BK55" s="41"/>
      <c r="BL55" s="41"/>
      <c r="BM55" s="41"/>
      <c r="BN55" s="41"/>
      <c r="BO55" s="41"/>
      <c r="BP55" s="41"/>
      <c r="BQ55" s="41"/>
      <c r="BR55" s="41"/>
      <c r="BS55" s="41"/>
      <c r="BT55" s="41"/>
      <c r="BU55" s="41"/>
      <c r="BV55" s="41"/>
      <c r="BW55" s="41"/>
      <c r="BX55" s="41"/>
      <c r="BY55" s="41"/>
      <c r="BZ55" s="41"/>
      <c r="CA55" s="41"/>
      <c r="CB55" s="41"/>
      <c r="CC55" s="41"/>
      <c r="CD55" s="41"/>
      <c r="CE55" s="41"/>
      <c r="CF55" s="41"/>
      <c r="CG55" s="41"/>
      <c r="CH55" s="41"/>
      <c r="CI55" s="41"/>
      <c r="CJ55" s="41"/>
      <c r="CK55" s="41"/>
      <c r="CL55" s="41"/>
      <c r="CM55" s="41"/>
      <c r="CN55" s="41"/>
      <c r="CO55" s="41"/>
      <c r="CP55" s="41"/>
    </row>
    <row r="56" spans="1:94" s="53" customFormat="1" ht="15.75" customHeight="1" x14ac:dyDescent="0.25">
      <c r="A56" s="75">
        <v>5</v>
      </c>
      <c r="B56" s="76"/>
      <c r="C56" s="54" t="str">
        <f>"FY "&amp;M4-1</f>
        <v>FY 2022</v>
      </c>
      <c r="D56" s="131" t="s">
        <v>50</v>
      </c>
      <c r="E56" s="135"/>
      <c r="F56" s="55">
        <f>SUM(F52:F55)</f>
        <v>101.8</v>
      </c>
      <c r="G56" s="80">
        <f>SUM(G52:G55)</f>
        <v>5713800</v>
      </c>
      <c r="H56" s="80">
        <f>SUM(H52:H55)</f>
        <v>1195800</v>
      </c>
      <c r="I56" s="260">
        <f>SUM(I52:I55)</f>
        <v>1213900</v>
      </c>
      <c r="J56" s="80">
        <f>SUM(J52:J55)</f>
        <v>8123600</v>
      </c>
      <c r="K56" s="263"/>
      <c r="L56" s="61"/>
      <c r="M56" s="61"/>
      <c r="N56" s="61"/>
      <c r="O56"/>
      <c r="P56"/>
      <c r="Q56"/>
      <c r="R56"/>
      <c r="S56"/>
      <c r="T56"/>
      <c r="U56"/>
      <c r="V56"/>
      <c r="W56"/>
      <c r="X56"/>
      <c r="Y56"/>
      <c r="Z56" s="344"/>
      <c r="AA56" s="363"/>
      <c r="AB56" s="363"/>
      <c r="AC56" s="363"/>
      <c r="AD56" s="110"/>
      <c r="AE56" s="41"/>
      <c r="AF56" s="41"/>
      <c r="AG56" s="41"/>
      <c r="AH56" s="41"/>
      <c r="AI56" s="41"/>
      <c r="AJ56" s="41"/>
      <c r="AK56" s="41"/>
      <c r="AL56" s="41"/>
      <c r="AM56" s="41"/>
      <c r="AN56" s="41"/>
      <c r="AO56" s="41"/>
      <c r="AP56" s="41"/>
      <c r="AQ56" s="41"/>
      <c r="AR56" s="41"/>
      <c r="AS56" s="41"/>
      <c r="AT56" s="41"/>
      <c r="AU56" s="41"/>
      <c r="AV56" s="41"/>
      <c r="AW56" s="41"/>
      <c r="AX56" s="41"/>
      <c r="AY56" s="41"/>
      <c r="AZ56" s="41"/>
      <c r="BA56" s="41"/>
      <c r="BB56" s="41"/>
      <c r="BC56" s="41"/>
      <c r="BD56" s="41"/>
      <c r="BE56" s="41"/>
      <c r="BF56" s="41"/>
      <c r="BG56" s="41"/>
      <c r="BH56" s="41"/>
      <c r="BI56" s="41"/>
      <c r="BJ56" s="41"/>
      <c r="BK56" s="41"/>
      <c r="BL56" s="41"/>
      <c r="BM56" s="41"/>
      <c r="BN56" s="41"/>
      <c r="BO56" s="41"/>
      <c r="BP56" s="41"/>
      <c r="BQ56" s="41"/>
      <c r="BR56" s="41"/>
      <c r="BS56" s="41"/>
      <c r="BT56" s="41"/>
      <c r="BU56" s="41"/>
      <c r="BV56" s="41"/>
      <c r="BW56" s="41"/>
      <c r="BX56" s="41"/>
      <c r="BY56" s="41"/>
      <c r="BZ56" s="41"/>
      <c r="CA56" s="41"/>
      <c r="CB56" s="41"/>
      <c r="CC56" s="41"/>
      <c r="CD56" s="41"/>
      <c r="CE56" s="41"/>
      <c r="CF56" s="41"/>
      <c r="CG56" s="41"/>
      <c r="CH56" s="41"/>
      <c r="CI56" s="41"/>
      <c r="CJ56" s="41"/>
      <c r="CK56" s="41"/>
      <c r="CL56" s="41"/>
      <c r="CM56" s="41"/>
      <c r="CN56" s="41"/>
      <c r="CO56" s="41"/>
      <c r="CP56" s="41"/>
    </row>
    <row r="57" spans="1:94" s="53" customFormat="1" ht="15.75" customHeight="1" x14ac:dyDescent="0.25">
      <c r="A57" s="85"/>
      <c r="B57" s="83"/>
      <c r="C57" s="419" t="s">
        <v>51</v>
      </c>
      <c r="D57" s="423"/>
      <c r="E57" s="367"/>
      <c r="F57" s="273"/>
      <c r="G57" s="62"/>
      <c r="H57" s="62"/>
      <c r="I57" s="62"/>
      <c r="J57" s="62"/>
      <c r="K57" s="62"/>
      <c r="L57" s="61"/>
      <c r="M57" s="61"/>
      <c r="N57" s="61"/>
      <c r="O57"/>
      <c r="P57"/>
      <c r="Q57"/>
      <c r="R57"/>
      <c r="S57"/>
      <c r="T57"/>
      <c r="U57"/>
      <c r="V57"/>
      <c r="W57"/>
      <c r="X57"/>
      <c r="Y57"/>
      <c r="Z57" s="344"/>
      <c r="AA57" s="363"/>
      <c r="AB57" s="363"/>
      <c r="AC57" s="363"/>
      <c r="AD57" s="110"/>
      <c r="AE57" s="41"/>
      <c r="AF57" s="41"/>
      <c r="AG57" s="41"/>
      <c r="AH57" s="41"/>
      <c r="AI57" s="41"/>
      <c r="AJ57" s="41"/>
      <c r="AK57" s="41"/>
      <c r="AL57" s="41"/>
      <c r="AM57" s="41"/>
      <c r="AN57" s="41"/>
      <c r="AO57" s="41"/>
      <c r="AP57" s="41"/>
      <c r="AQ57" s="41"/>
      <c r="AR57" s="41"/>
      <c r="AS57" s="41"/>
      <c r="AT57" s="41"/>
      <c r="AU57" s="41"/>
      <c r="AV57" s="41"/>
      <c r="AW57" s="41"/>
      <c r="AX57" s="41"/>
      <c r="AY57" s="41"/>
      <c r="AZ57" s="41"/>
      <c r="BA57" s="41"/>
      <c r="BB57" s="41"/>
      <c r="BC57" s="41"/>
      <c r="BD57" s="41"/>
      <c r="BE57" s="41"/>
      <c r="BF57" s="41"/>
      <c r="BG57" s="41"/>
      <c r="BH57" s="41"/>
      <c r="BI57" s="41"/>
      <c r="BJ57" s="41"/>
      <c r="BK57" s="41"/>
      <c r="BL57" s="41"/>
      <c r="BM57" s="41"/>
      <c r="BN57" s="41"/>
      <c r="BO57" s="41"/>
      <c r="BP57" s="41"/>
      <c r="BQ57" s="41"/>
      <c r="BR57" s="41"/>
      <c r="BS57" s="41"/>
      <c r="BT57" s="41"/>
      <c r="BU57" s="41"/>
      <c r="BV57" s="41"/>
      <c r="BW57" s="41"/>
      <c r="BX57" s="41"/>
      <c r="BY57" s="41"/>
      <c r="BZ57" s="41"/>
      <c r="CA57" s="41"/>
      <c r="CB57" s="41"/>
      <c r="CC57" s="41"/>
      <c r="CD57" s="41"/>
      <c r="CE57" s="41"/>
      <c r="CF57" s="41"/>
      <c r="CG57" s="41"/>
      <c r="CH57" s="41"/>
      <c r="CI57" s="41"/>
      <c r="CJ57" s="41"/>
      <c r="CK57" s="41"/>
      <c r="CL57" s="41"/>
      <c r="CM57" s="41"/>
      <c r="CN57" s="41"/>
      <c r="CO57" s="41"/>
      <c r="CP57" s="41"/>
    </row>
    <row r="58" spans="1:94" s="53" customFormat="1" ht="15.75" customHeight="1" x14ac:dyDescent="0.25">
      <c r="A58" s="85">
        <v>6.31</v>
      </c>
      <c r="B58" s="83"/>
      <c r="C58" s="408" t="s">
        <v>52</v>
      </c>
      <c r="D58" s="409"/>
      <c r="E58" s="102"/>
      <c r="F58" s="58">
        <v>0</v>
      </c>
      <c r="G58" s="88">
        <v>0</v>
      </c>
      <c r="H58" s="88">
        <v>0</v>
      </c>
      <c r="I58" s="265">
        <v>0</v>
      </c>
      <c r="J58" s="89">
        <f>SUM(G58:I58)</f>
        <v>0</v>
      </c>
      <c r="K58" s="62"/>
      <c r="L58" s="88"/>
      <c r="M58" s="262"/>
      <c r="N58" s="89">
        <f>SUM(L58:M58)</f>
        <v>0</v>
      </c>
      <c r="O58"/>
      <c r="P58"/>
      <c r="Q58"/>
      <c r="R58"/>
      <c r="S58"/>
      <c r="T58"/>
      <c r="U58"/>
      <c r="V58"/>
      <c r="W58"/>
      <c r="X58"/>
      <c r="Y58"/>
      <c r="Z58" s="344"/>
      <c r="AA58" s="363"/>
      <c r="AB58" s="363"/>
      <c r="AC58" s="363"/>
      <c r="AD58" s="110"/>
      <c r="AE58" s="41"/>
      <c r="AF58" s="41"/>
      <c r="AG58" s="41"/>
      <c r="AH58" s="41"/>
      <c r="AI58" s="41"/>
      <c r="AJ58" s="41"/>
      <c r="AK58" s="41"/>
      <c r="AL58" s="41"/>
      <c r="AM58" s="41"/>
      <c r="AN58" s="41"/>
      <c r="AO58" s="41"/>
      <c r="AP58" s="41"/>
      <c r="AQ58" s="41"/>
      <c r="AR58" s="41"/>
      <c r="AS58" s="41"/>
      <c r="AT58" s="41"/>
      <c r="AU58" s="41"/>
      <c r="AV58" s="41"/>
      <c r="AW58" s="41"/>
      <c r="AX58" s="41"/>
      <c r="AY58" s="41"/>
      <c r="AZ58" s="41"/>
      <c r="BA58" s="41"/>
      <c r="BB58" s="41"/>
      <c r="BC58" s="41"/>
      <c r="BD58" s="41"/>
      <c r="BE58" s="41"/>
      <c r="BF58" s="41"/>
      <c r="BG58" s="41"/>
      <c r="BH58" s="41"/>
      <c r="BI58" s="41"/>
      <c r="BJ58" s="41"/>
      <c r="BK58" s="41"/>
      <c r="BL58" s="41"/>
      <c r="BM58" s="41"/>
      <c r="BN58" s="41"/>
      <c r="BO58" s="41"/>
      <c r="BP58" s="41"/>
      <c r="BQ58" s="41"/>
      <c r="BR58" s="41"/>
      <c r="BS58" s="41"/>
      <c r="BT58" s="41"/>
      <c r="BU58" s="41"/>
      <c r="BV58" s="41"/>
      <c r="BW58" s="41"/>
      <c r="BX58" s="41"/>
      <c r="BY58" s="41"/>
      <c r="BZ58" s="41"/>
      <c r="CA58" s="41"/>
      <c r="CB58" s="41"/>
      <c r="CC58" s="41"/>
      <c r="CD58" s="41"/>
      <c r="CE58" s="41"/>
      <c r="CF58" s="41"/>
      <c r="CG58" s="41"/>
      <c r="CH58" s="41"/>
      <c r="CI58" s="41"/>
      <c r="CJ58" s="41"/>
      <c r="CK58" s="41"/>
      <c r="CL58" s="41"/>
      <c r="CM58" s="41"/>
      <c r="CN58" s="41"/>
      <c r="CO58" s="41"/>
      <c r="CP58" s="41"/>
    </row>
    <row r="59" spans="1:94" s="53" customFormat="1" ht="15.75" customHeight="1" x14ac:dyDescent="0.25">
      <c r="A59" s="85">
        <v>6.51</v>
      </c>
      <c r="B59" s="83"/>
      <c r="C59" s="421" t="s">
        <v>66</v>
      </c>
      <c r="D59" s="422"/>
      <c r="E59" s="102"/>
      <c r="F59" s="58">
        <v>0</v>
      </c>
      <c r="G59" s="88">
        <v>0</v>
      </c>
      <c r="H59" s="92">
        <v>0</v>
      </c>
      <c r="I59" s="264">
        <v>0</v>
      </c>
      <c r="J59" s="267">
        <f>SUM(G59:I59)</f>
        <v>0</v>
      </c>
      <c r="K59" s="62"/>
      <c r="L59" s="88"/>
      <c r="M59" s="261"/>
      <c r="N59" s="89">
        <f>SUM(L59:M59)</f>
        <v>0</v>
      </c>
      <c r="O59"/>
      <c r="P59"/>
      <c r="Q59"/>
      <c r="R59"/>
      <c r="S59"/>
      <c r="T59"/>
      <c r="U59"/>
      <c r="V59"/>
      <c r="W59"/>
      <c r="X59"/>
      <c r="Y59"/>
      <c r="Z59" s="344"/>
      <c r="AA59" s="363"/>
      <c r="AB59" s="363"/>
      <c r="AC59" s="363"/>
      <c r="AD59" s="110"/>
      <c r="AE59" s="41"/>
      <c r="AF59" s="41"/>
      <c r="AG59" s="41"/>
      <c r="AH59" s="41"/>
      <c r="AI59" s="41"/>
      <c r="AJ59" s="41"/>
      <c r="AK59" s="41"/>
      <c r="AL59" s="41"/>
      <c r="AM59" s="41"/>
      <c r="AN59" s="41"/>
      <c r="AO59" s="41"/>
      <c r="AP59" s="41"/>
      <c r="AQ59" s="41"/>
      <c r="AR59" s="41"/>
      <c r="AS59" s="41"/>
      <c r="AT59" s="41"/>
      <c r="AU59" s="41"/>
      <c r="AV59" s="41"/>
      <c r="AW59" s="41"/>
      <c r="AX59" s="41"/>
      <c r="AY59" s="41"/>
      <c r="AZ59" s="41"/>
      <c r="BA59" s="41"/>
      <c r="BB59" s="41"/>
      <c r="BC59" s="41"/>
      <c r="BD59" s="41"/>
      <c r="BE59" s="41"/>
      <c r="BF59" s="41"/>
      <c r="BG59" s="41"/>
      <c r="BH59" s="41"/>
      <c r="BI59" s="41"/>
      <c r="BJ59" s="41"/>
      <c r="BK59" s="41"/>
      <c r="BL59" s="41"/>
      <c r="BM59" s="41"/>
      <c r="BN59" s="41"/>
      <c r="BO59" s="41"/>
      <c r="BP59" s="41"/>
      <c r="BQ59" s="41"/>
      <c r="BR59" s="41"/>
      <c r="BS59" s="41"/>
      <c r="BT59" s="41"/>
      <c r="BU59" s="41"/>
      <c r="BV59" s="41"/>
      <c r="BW59" s="41"/>
      <c r="BX59" s="41"/>
      <c r="BY59" s="41"/>
      <c r="BZ59" s="41"/>
      <c r="CA59" s="41"/>
      <c r="CB59" s="41"/>
      <c r="CC59" s="41"/>
      <c r="CD59" s="41"/>
      <c r="CE59" s="41"/>
      <c r="CF59" s="41"/>
      <c r="CG59" s="41"/>
      <c r="CH59" s="41"/>
      <c r="CI59" s="41"/>
      <c r="CJ59" s="41"/>
      <c r="CK59" s="41"/>
      <c r="CL59" s="41"/>
      <c r="CM59" s="41"/>
      <c r="CN59" s="41"/>
      <c r="CO59" s="41"/>
      <c r="CP59" s="41"/>
    </row>
    <row r="60" spans="1:94" s="53" customFormat="1" ht="15.75" customHeight="1" x14ac:dyDescent="0.25">
      <c r="A60" s="75">
        <v>7</v>
      </c>
      <c r="B60" s="76"/>
      <c r="C60" s="54" t="str">
        <f>"FY "&amp;M4-1</f>
        <v>FY 2022</v>
      </c>
      <c r="D60" s="131" t="s">
        <v>53</v>
      </c>
      <c r="E60" s="135"/>
      <c r="F60" s="55">
        <f>SUM(F56:F59)</f>
        <v>101.8</v>
      </c>
      <c r="G60" s="80">
        <f>SUM(G56:G59)</f>
        <v>5713800</v>
      </c>
      <c r="H60" s="80">
        <f>SUM(H56:H59)</f>
        <v>1195800</v>
      </c>
      <c r="I60" s="260">
        <f>SUM(I56:I59)</f>
        <v>1213900</v>
      </c>
      <c r="J60" s="80">
        <f>SUM(J56:J59)</f>
        <v>8123600</v>
      </c>
      <c r="K60" s="263"/>
      <c r="L60" s="61"/>
      <c r="M60" s="61"/>
      <c r="N60" s="60"/>
      <c r="O60"/>
      <c r="P60"/>
      <c r="Q60"/>
      <c r="R60"/>
      <c r="S60"/>
      <c r="T60"/>
      <c r="U60"/>
      <c r="V60"/>
      <c r="W60"/>
      <c r="X60"/>
      <c r="Y60"/>
      <c r="Z60" s="344"/>
      <c r="AA60" s="363"/>
      <c r="AB60" s="363"/>
      <c r="AC60" s="363"/>
      <c r="AD60" s="110"/>
      <c r="AE60" s="41"/>
      <c r="AF60" s="41"/>
      <c r="AG60" s="41"/>
      <c r="AH60" s="41"/>
      <c r="AI60" s="41"/>
      <c r="AJ60" s="41"/>
      <c r="AK60" s="41"/>
      <c r="AL60" s="41"/>
      <c r="AM60" s="41"/>
      <c r="AN60" s="41"/>
      <c r="AO60" s="41"/>
      <c r="AP60" s="41"/>
      <c r="AQ60" s="41"/>
      <c r="AR60" s="41"/>
      <c r="AS60" s="41"/>
      <c r="AT60" s="41"/>
      <c r="AU60" s="41"/>
      <c r="AV60" s="41"/>
      <c r="AW60" s="41"/>
      <c r="AX60" s="41"/>
      <c r="AY60" s="41"/>
      <c r="AZ60" s="41"/>
      <c r="BA60" s="41"/>
      <c r="BB60" s="41"/>
      <c r="BC60" s="41"/>
      <c r="BD60" s="41"/>
      <c r="BE60" s="41"/>
      <c r="BF60" s="41"/>
      <c r="BG60" s="41"/>
      <c r="BH60" s="41"/>
      <c r="BI60" s="41"/>
      <c r="BJ60" s="41"/>
      <c r="BK60" s="41"/>
      <c r="BL60" s="41"/>
      <c r="BM60" s="41"/>
      <c r="BN60" s="41"/>
      <c r="BO60" s="41"/>
      <c r="BP60" s="41"/>
      <c r="BQ60" s="41"/>
      <c r="BR60" s="41"/>
      <c r="BS60" s="41"/>
      <c r="BT60" s="41"/>
      <c r="BU60" s="41"/>
      <c r="BV60" s="41"/>
      <c r="BW60" s="41"/>
      <c r="BX60" s="41"/>
      <c r="BY60" s="41"/>
      <c r="BZ60" s="41"/>
      <c r="CA60" s="41"/>
      <c r="CB60" s="41"/>
      <c r="CC60" s="41"/>
      <c r="CD60" s="41"/>
      <c r="CE60" s="41"/>
      <c r="CF60" s="41"/>
      <c r="CG60" s="41"/>
      <c r="CH60" s="41"/>
      <c r="CI60" s="41"/>
      <c r="CJ60" s="41"/>
      <c r="CK60" s="41"/>
      <c r="CL60" s="41"/>
      <c r="CM60" s="41"/>
      <c r="CN60" s="41"/>
      <c r="CO60" s="41"/>
      <c r="CP60" s="41"/>
    </row>
    <row r="61" spans="1:94" s="53" customFormat="1" ht="15.75" customHeight="1" x14ac:dyDescent="0.25">
      <c r="A61" s="85"/>
      <c r="B61" s="83"/>
      <c r="C61" s="419" t="s">
        <v>54</v>
      </c>
      <c r="D61" s="423"/>
      <c r="E61" s="367"/>
      <c r="F61" s="273"/>
      <c r="G61" s="62"/>
      <c r="H61" s="62"/>
      <c r="I61" s="62"/>
      <c r="J61" s="62"/>
      <c r="K61" s="62"/>
      <c r="L61" s="61"/>
      <c r="M61" s="61"/>
      <c r="N61" s="60"/>
      <c r="O61"/>
      <c r="P61"/>
      <c r="Q61"/>
      <c r="R61"/>
      <c r="S61"/>
      <c r="T61"/>
      <c r="U61"/>
      <c r="V61"/>
      <c r="W61"/>
      <c r="X61"/>
      <c r="Y61"/>
      <c r="Z61" s="344"/>
      <c r="AA61" s="363"/>
      <c r="AB61" s="363"/>
      <c r="AC61" s="363"/>
      <c r="AD61" s="110"/>
      <c r="AE61" s="41"/>
      <c r="AF61" s="41"/>
      <c r="AG61" s="41"/>
      <c r="AH61" s="41"/>
      <c r="AI61" s="41"/>
      <c r="AJ61" s="41"/>
      <c r="AK61" s="41"/>
      <c r="AL61" s="41"/>
      <c r="AM61" s="41"/>
      <c r="AN61" s="41"/>
      <c r="AO61" s="41"/>
      <c r="AP61" s="41"/>
      <c r="AQ61" s="41"/>
      <c r="AR61" s="41"/>
      <c r="AS61" s="41"/>
      <c r="AT61" s="41"/>
      <c r="AU61" s="41"/>
      <c r="AV61" s="41"/>
      <c r="AW61" s="41"/>
      <c r="AX61" s="41"/>
      <c r="AY61" s="41"/>
      <c r="AZ61" s="41"/>
      <c r="BA61" s="41"/>
      <c r="BB61" s="41"/>
      <c r="BC61" s="41"/>
      <c r="BD61" s="41"/>
      <c r="BE61" s="41"/>
      <c r="BF61" s="41"/>
      <c r="BG61" s="41"/>
      <c r="BH61" s="41"/>
      <c r="BI61" s="41"/>
      <c r="BJ61" s="41"/>
      <c r="BK61" s="41"/>
      <c r="BL61" s="41"/>
      <c r="BM61" s="41"/>
      <c r="BN61" s="41"/>
      <c r="BO61" s="41"/>
      <c r="BP61" s="41"/>
      <c r="BQ61" s="41"/>
      <c r="BR61" s="41"/>
      <c r="BS61" s="41"/>
      <c r="BT61" s="41"/>
      <c r="BU61" s="41"/>
      <c r="BV61" s="41"/>
      <c r="BW61" s="41"/>
      <c r="BX61" s="41"/>
      <c r="BY61" s="41"/>
      <c r="BZ61" s="41"/>
      <c r="CA61" s="41"/>
      <c r="CB61" s="41"/>
      <c r="CC61" s="41"/>
      <c r="CD61" s="41"/>
      <c r="CE61" s="41"/>
      <c r="CF61" s="41"/>
      <c r="CG61" s="41"/>
      <c r="CH61" s="41"/>
      <c r="CI61" s="41"/>
      <c r="CJ61" s="41"/>
      <c r="CK61" s="41"/>
      <c r="CL61" s="41"/>
      <c r="CM61" s="41"/>
      <c r="CN61" s="41"/>
      <c r="CO61" s="41"/>
      <c r="CP61" s="41"/>
    </row>
    <row r="62" spans="1:94" s="53" customFormat="1" ht="15.75" customHeight="1" x14ac:dyDescent="0.25">
      <c r="A62" s="85">
        <v>8.31</v>
      </c>
      <c r="B62" s="83"/>
      <c r="C62" s="408" t="s">
        <v>67</v>
      </c>
      <c r="D62" s="409"/>
      <c r="E62" s="102"/>
      <c r="F62" s="58">
        <v>0</v>
      </c>
      <c r="G62" s="88">
        <v>0</v>
      </c>
      <c r="H62" s="91">
        <v>0</v>
      </c>
      <c r="I62" s="276">
        <v>0</v>
      </c>
      <c r="J62" s="89">
        <f>SUM(G62:I62)</f>
        <v>0</v>
      </c>
      <c r="K62" s="62"/>
      <c r="L62" s="88"/>
      <c r="M62" s="261"/>
      <c r="N62" s="89">
        <f>SUM(L62:M62)</f>
        <v>0</v>
      </c>
      <c r="O62"/>
      <c r="P62"/>
      <c r="Q62"/>
      <c r="R62"/>
      <c r="S62"/>
      <c r="T62"/>
      <c r="U62"/>
      <c r="V62"/>
      <c r="W62"/>
      <c r="X62"/>
      <c r="Y62"/>
      <c r="Z62" s="344"/>
      <c r="AA62" s="363"/>
      <c r="AB62" s="363"/>
      <c r="AC62" s="363"/>
      <c r="AD62" s="110"/>
      <c r="AE62" s="41"/>
      <c r="AF62" s="41"/>
      <c r="AG62" s="41"/>
      <c r="AH62" s="41"/>
      <c r="AI62" s="41"/>
      <c r="AJ62" s="41"/>
      <c r="AK62" s="41"/>
      <c r="AL62" s="41"/>
      <c r="AM62" s="41"/>
      <c r="AN62" s="41"/>
      <c r="AO62" s="41"/>
      <c r="AP62" s="41"/>
      <c r="AQ62" s="41"/>
      <c r="AR62" s="41"/>
      <c r="AS62" s="41"/>
      <c r="AT62" s="41"/>
      <c r="AU62" s="41"/>
      <c r="AV62" s="41"/>
      <c r="AW62" s="41"/>
      <c r="AX62" s="41"/>
      <c r="AY62" s="41"/>
      <c r="AZ62" s="41"/>
      <c r="BA62" s="41"/>
      <c r="BB62" s="41"/>
      <c r="BC62" s="41"/>
      <c r="BD62" s="41"/>
      <c r="BE62" s="41"/>
      <c r="BF62" s="41"/>
      <c r="BG62" s="41"/>
      <c r="BH62" s="41"/>
      <c r="BI62" s="41"/>
      <c r="BJ62" s="41"/>
      <c r="BK62" s="41"/>
      <c r="BL62" s="41"/>
      <c r="BM62" s="41"/>
      <c r="BN62" s="41"/>
      <c r="BO62" s="41"/>
      <c r="BP62" s="41"/>
      <c r="BQ62" s="41"/>
      <c r="BR62" s="41"/>
      <c r="BS62" s="41"/>
      <c r="BT62" s="41"/>
      <c r="BU62" s="41"/>
      <c r="BV62" s="41"/>
      <c r="BW62" s="41"/>
      <c r="BX62" s="41"/>
      <c r="BY62" s="41"/>
      <c r="BZ62" s="41"/>
      <c r="CA62" s="41"/>
      <c r="CB62" s="41"/>
      <c r="CC62" s="41"/>
      <c r="CD62" s="41"/>
      <c r="CE62" s="41"/>
      <c r="CF62" s="41"/>
      <c r="CG62" s="41"/>
      <c r="CH62" s="41"/>
      <c r="CI62" s="41"/>
      <c r="CJ62" s="41"/>
      <c r="CK62" s="41"/>
      <c r="CL62" s="41"/>
      <c r="CM62" s="41"/>
      <c r="CN62" s="41"/>
      <c r="CO62" s="41"/>
      <c r="CP62" s="41"/>
    </row>
    <row r="63" spans="1:94" s="53" customFormat="1" ht="15.75" customHeight="1" x14ac:dyDescent="0.25">
      <c r="A63" s="85">
        <v>8.41</v>
      </c>
      <c r="B63" s="83"/>
      <c r="C63" s="408" t="s">
        <v>55</v>
      </c>
      <c r="D63" s="409"/>
      <c r="E63" s="102"/>
      <c r="F63" s="58">
        <v>0</v>
      </c>
      <c r="G63" s="89">
        <f>ROUND((OneTimePC_Total-H63)/(1+(PermVB+Retire1)),-2)</f>
        <v>0</v>
      </c>
      <c r="H63" s="89">
        <f>ROUND(IF(AND(F63&lt;0,OneTimePC_Total&lt;0),F63*Health,0),-2)</f>
        <v>0</v>
      </c>
      <c r="I63" s="310">
        <f>OneTimePC_Total-G63-H63</f>
        <v>0</v>
      </c>
      <c r="J63" s="89">
        <v>0</v>
      </c>
      <c r="K63" s="308"/>
      <c r="L63" s="88"/>
      <c r="M63" s="261"/>
      <c r="N63" s="89">
        <f>SUM(L63:M63)</f>
        <v>0</v>
      </c>
      <c r="O63"/>
      <c r="P63"/>
      <c r="Q63"/>
      <c r="R63"/>
      <c r="S63"/>
      <c r="T63"/>
      <c r="U63"/>
      <c r="V63"/>
      <c r="W63"/>
      <c r="X63"/>
      <c r="Y63"/>
      <c r="Z63" s="344"/>
      <c r="AA63" s="363"/>
      <c r="AB63" s="363"/>
      <c r="AC63" s="363"/>
      <c r="AD63" s="110"/>
      <c r="AE63" s="41"/>
      <c r="AF63" s="41"/>
      <c r="AG63" s="41"/>
      <c r="AH63" s="41"/>
      <c r="AI63" s="41"/>
      <c r="AJ63" s="41"/>
      <c r="AK63" s="41"/>
      <c r="AL63" s="41"/>
      <c r="AM63" s="41"/>
      <c r="AN63" s="41"/>
      <c r="AO63" s="41"/>
      <c r="AP63" s="41"/>
      <c r="AQ63" s="41"/>
      <c r="AR63" s="41"/>
      <c r="AS63" s="41"/>
      <c r="AT63" s="41"/>
      <c r="AU63" s="41"/>
      <c r="AV63" s="41"/>
      <c r="AW63" s="41"/>
      <c r="AX63" s="41"/>
      <c r="AY63" s="41"/>
      <c r="AZ63" s="41"/>
      <c r="BA63" s="41"/>
      <c r="BB63" s="41"/>
      <c r="BC63" s="41"/>
      <c r="BD63" s="41"/>
      <c r="BE63" s="41"/>
      <c r="BF63" s="41"/>
      <c r="BG63" s="41"/>
      <c r="BH63" s="41"/>
      <c r="BI63" s="41"/>
      <c r="BJ63" s="41"/>
      <c r="BK63" s="41"/>
      <c r="BL63" s="41"/>
      <c r="BM63" s="41"/>
      <c r="BN63" s="41"/>
      <c r="BO63" s="41"/>
      <c r="BP63" s="41"/>
      <c r="BQ63" s="41"/>
      <c r="BR63" s="41"/>
      <c r="BS63" s="41"/>
      <c r="BT63" s="41"/>
      <c r="BU63" s="41"/>
      <c r="BV63" s="41"/>
      <c r="BW63" s="41"/>
      <c r="BX63" s="41"/>
      <c r="BY63" s="41"/>
      <c r="BZ63" s="41"/>
      <c r="CA63" s="41"/>
      <c r="CB63" s="41"/>
      <c r="CC63" s="41"/>
      <c r="CD63" s="41"/>
      <c r="CE63" s="41"/>
      <c r="CF63" s="41"/>
      <c r="CG63" s="41"/>
      <c r="CH63" s="41"/>
      <c r="CI63" s="41"/>
      <c r="CJ63" s="41"/>
      <c r="CK63" s="41"/>
      <c r="CL63" s="41"/>
      <c r="CM63" s="41"/>
      <c r="CN63" s="41"/>
      <c r="CO63" s="41"/>
      <c r="CP63" s="41"/>
    </row>
    <row r="64" spans="1:94" s="53" customFormat="1" ht="15.75" customHeight="1" thickBot="1" x14ac:dyDescent="0.3">
      <c r="A64" s="93">
        <v>8.51</v>
      </c>
      <c r="B64" s="93"/>
      <c r="C64" s="413" t="s">
        <v>56</v>
      </c>
      <c r="D64" s="414"/>
      <c r="E64" s="134"/>
      <c r="F64" s="58">
        <v>0</v>
      </c>
      <c r="G64" s="88"/>
      <c r="H64" s="88">
        <v>0</v>
      </c>
      <c r="I64" s="265"/>
      <c r="J64" s="89">
        <f>SUM(G64:I64)</f>
        <v>0</v>
      </c>
      <c r="K64" s="62"/>
      <c r="L64" s="88"/>
      <c r="M64" s="261"/>
      <c r="N64" s="89">
        <f>SUM(L64:M64)</f>
        <v>0</v>
      </c>
      <c r="O64"/>
      <c r="P64"/>
      <c r="Q64"/>
      <c r="R64"/>
      <c r="S64"/>
      <c r="T64"/>
      <c r="U64"/>
      <c r="V64"/>
      <c r="W64"/>
      <c r="X64"/>
      <c r="Y64"/>
      <c r="Z64" s="344"/>
      <c r="AA64" s="363"/>
      <c r="AB64" s="363"/>
      <c r="AC64" s="363"/>
      <c r="AD64" s="110"/>
      <c r="AE64" s="41"/>
      <c r="AF64" s="41"/>
      <c r="AG64" s="41"/>
      <c r="AH64" s="41"/>
      <c r="AI64" s="41"/>
      <c r="AJ64" s="41"/>
      <c r="AK64" s="41"/>
      <c r="AL64" s="41"/>
      <c r="AM64" s="41"/>
      <c r="AN64" s="41"/>
      <c r="AO64" s="41"/>
      <c r="AP64" s="41"/>
      <c r="AQ64" s="41"/>
      <c r="AR64" s="41"/>
      <c r="AS64" s="41"/>
      <c r="AT64" s="41"/>
      <c r="AU64" s="41"/>
      <c r="AV64" s="41"/>
      <c r="AW64" s="41"/>
      <c r="AX64" s="41"/>
      <c r="AY64" s="41"/>
      <c r="AZ64" s="41"/>
      <c r="BA64" s="41"/>
      <c r="BB64" s="41"/>
      <c r="BC64" s="41"/>
      <c r="BD64" s="41"/>
      <c r="BE64" s="41"/>
      <c r="BF64" s="41"/>
      <c r="BG64" s="41"/>
      <c r="BH64" s="41"/>
      <c r="BI64" s="41"/>
      <c r="BJ64" s="41"/>
      <c r="BK64" s="41"/>
      <c r="BL64" s="41"/>
      <c r="BM64" s="41"/>
      <c r="BN64" s="41"/>
      <c r="BO64" s="41"/>
      <c r="BP64" s="41"/>
      <c r="BQ64" s="41"/>
      <c r="BR64" s="41"/>
      <c r="BS64" s="41"/>
      <c r="BT64" s="41"/>
      <c r="BU64" s="41"/>
      <c r="BV64" s="41"/>
      <c r="BW64" s="41"/>
      <c r="BX64" s="41"/>
      <c r="BY64" s="41"/>
      <c r="BZ64" s="41"/>
      <c r="CA64" s="41"/>
      <c r="CB64" s="41"/>
      <c r="CC64" s="41"/>
      <c r="CD64" s="41"/>
      <c r="CE64" s="41"/>
      <c r="CF64" s="41"/>
      <c r="CG64" s="41"/>
      <c r="CH64" s="41"/>
      <c r="CI64" s="41"/>
      <c r="CJ64" s="41"/>
      <c r="CK64" s="41"/>
      <c r="CL64" s="41"/>
      <c r="CM64" s="41"/>
      <c r="CN64" s="41"/>
      <c r="CO64" s="41"/>
      <c r="CP64" s="41"/>
    </row>
    <row r="65" spans="1:94" s="53" customFormat="1" ht="6" customHeight="1" thickTop="1" x14ac:dyDescent="0.25">
      <c r="A65" s="94"/>
      <c r="B65" s="95"/>
      <c r="C65" s="415"/>
      <c r="D65" s="416"/>
      <c r="E65" s="96"/>
      <c r="F65" s="97"/>
      <c r="G65" s="98"/>
      <c r="H65" s="98"/>
      <c r="I65" s="98"/>
      <c r="J65" s="98"/>
      <c r="K65" s="98"/>
      <c r="L65" s="98"/>
      <c r="M65" s="99"/>
      <c r="N65" s="95"/>
      <c r="O65"/>
      <c r="P65"/>
      <c r="Q65"/>
      <c r="R65"/>
      <c r="S65"/>
      <c r="T65"/>
      <c r="U65"/>
      <c r="V65"/>
      <c r="W65"/>
      <c r="X65"/>
      <c r="Y65"/>
      <c r="Z65" s="344"/>
      <c r="AA65" s="363"/>
      <c r="AB65" s="363"/>
      <c r="AC65" s="363"/>
      <c r="AD65" s="110"/>
      <c r="AE65" s="41"/>
      <c r="AF65" s="41"/>
      <c r="AG65" s="41"/>
      <c r="AH65" s="41"/>
      <c r="AI65" s="41"/>
      <c r="AJ65" s="41"/>
      <c r="AK65" s="41"/>
      <c r="AL65" s="41"/>
      <c r="AM65" s="41"/>
      <c r="AN65" s="41"/>
      <c r="AO65" s="41"/>
      <c r="AP65" s="41"/>
      <c r="AQ65" s="41"/>
      <c r="AR65" s="41"/>
      <c r="AS65" s="41"/>
      <c r="AT65" s="41"/>
      <c r="AU65" s="41"/>
      <c r="AV65" s="41"/>
      <c r="AW65" s="41"/>
      <c r="AX65" s="41"/>
      <c r="AY65" s="41"/>
      <c r="AZ65" s="41"/>
      <c r="BA65" s="41"/>
      <c r="BB65" s="41"/>
      <c r="BC65" s="41"/>
      <c r="BD65" s="41"/>
      <c r="BE65" s="41"/>
      <c r="BF65" s="41"/>
      <c r="BG65" s="41"/>
      <c r="BH65" s="41"/>
      <c r="BI65" s="41"/>
      <c r="BJ65" s="41"/>
      <c r="BK65" s="41"/>
      <c r="BL65" s="41"/>
      <c r="BM65" s="41"/>
      <c r="BN65" s="41"/>
      <c r="BO65" s="41"/>
      <c r="BP65" s="41"/>
      <c r="BQ65" s="41"/>
      <c r="BR65" s="41"/>
      <c r="BS65" s="41"/>
      <c r="BT65" s="41"/>
      <c r="BU65" s="41"/>
      <c r="BV65" s="41"/>
      <c r="BW65" s="41"/>
      <c r="BX65" s="41"/>
      <c r="BY65" s="41"/>
      <c r="BZ65" s="41"/>
      <c r="CA65" s="41"/>
      <c r="CB65" s="41"/>
      <c r="CC65" s="41"/>
      <c r="CD65" s="41"/>
      <c r="CE65" s="41"/>
      <c r="CF65" s="41"/>
      <c r="CG65" s="41"/>
      <c r="CH65" s="41"/>
      <c r="CI65" s="41"/>
      <c r="CJ65" s="41"/>
      <c r="CK65" s="41"/>
      <c r="CL65" s="41"/>
      <c r="CM65" s="41"/>
      <c r="CN65" s="41"/>
      <c r="CO65" s="41"/>
      <c r="CP65" s="41"/>
    </row>
    <row r="66" spans="1:94" s="107" customFormat="1" ht="15" x14ac:dyDescent="0.25">
      <c r="A66" s="100"/>
      <c r="B66" s="101"/>
      <c r="C66" s="417"/>
      <c r="D66" s="418"/>
      <c r="E66" s="102"/>
      <c r="F66" s="103" t="s">
        <v>24</v>
      </c>
      <c r="G66" s="104" t="str">
        <f>"FY "&amp;M4-2000&amp;" Salary"</f>
        <v>FY 23 Salary</v>
      </c>
      <c r="H66" s="104" t="str">
        <f>"FY"&amp;M4-2000&amp;" Health Ben"</f>
        <v>FY23 Health Ben</v>
      </c>
      <c r="I66" s="104" t="str">
        <f>"FY "&amp;M4-2000&amp;" Var Ben"</f>
        <v>FY 23 Var Ben</v>
      </c>
      <c r="J66" s="104" t="str">
        <f>"FY "&amp;M4&amp;" Total"</f>
        <v>FY 2023 Total</v>
      </c>
      <c r="K66" s="104"/>
      <c r="L66" s="105"/>
      <c r="M66" s="105"/>
      <c r="N66" s="101"/>
      <c r="O66"/>
      <c r="P66"/>
      <c r="Q66"/>
      <c r="R66"/>
      <c r="S66"/>
      <c r="T66"/>
      <c r="U66"/>
      <c r="V66"/>
      <c r="W66"/>
      <c r="X66"/>
      <c r="Y66"/>
      <c r="Z66" s="344"/>
      <c r="AA66" s="339"/>
      <c r="AB66" s="339"/>
      <c r="AC66" s="339"/>
      <c r="AD66" s="105"/>
      <c r="AE66" s="106"/>
      <c r="AF66" s="106"/>
      <c r="AG66" s="106"/>
      <c r="AH66" s="106"/>
      <c r="AI66" s="106"/>
      <c r="AJ66" s="106"/>
      <c r="AK66" s="106"/>
      <c r="AL66" s="106"/>
      <c r="AM66" s="106"/>
      <c r="AN66" s="106"/>
      <c r="AO66" s="106"/>
      <c r="AP66" s="106"/>
      <c r="AQ66" s="106"/>
      <c r="AR66" s="106"/>
      <c r="AS66" s="106"/>
      <c r="AT66" s="106"/>
      <c r="AU66" s="106"/>
      <c r="AV66" s="106"/>
      <c r="AW66" s="106"/>
      <c r="AX66" s="106"/>
      <c r="AY66" s="106"/>
      <c r="AZ66" s="106"/>
      <c r="BA66" s="106"/>
      <c r="BB66" s="106"/>
      <c r="BC66" s="106"/>
      <c r="BD66" s="106"/>
      <c r="BE66" s="106"/>
      <c r="BF66" s="106"/>
      <c r="BG66" s="106"/>
      <c r="BH66" s="106"/>
      <c r="BI66" s="106"/>
      <c r="BJ66" s="106"/>
      <c r="BK66" s="106"/>
      <c r="BL66" s="106"/>
      <c r="BM66" s="106"/>
      <c r="BN66" s="106"/>
      <c r="BO66" s="106"/>
      <c r="BP66" s="106"/>
      <c r="BQ66" s="106"/>
      <c r="BR66" s="106"/>
      <c r="BS66" s="106"/>
      <c r="BT66" s="106"/>
      <c r="BU66" s="106"/>
      <c r="BV66" s="106"/>
      <c r="BW66" s="106"/>
      <c r="BX66" s="106"/>
      <c r="BY66" s="106"/>
      <c r="BZ66" s="106"/>
      <c r="CA66" s="106"/>
      <c r="CB66" s="106"/>
      <c r="CC66" s="106"/>
      <c r="CD66" s="106"/>
      <c r="CE66" s="106"/>
      <c r="CF66" s="106"/>
      <c r="CG66" s="106"/>
      <c r="CH66" s="106"/>
      <c r="CI66" s="106"/>
      <c r="CJ66" s="106"/>
      <c r="CK66" s="106"/>
      <c r="CL66" s="106"/>
      <c r="CM66" s="106"/>
      <c r="CN66" s="106"/>
      <c r="CO66" s="106"/>
      <c r="CP66" s="106"/>
    </row>
    <row r="67" spans="1:94" s="53" customFormat="1" ht="15" x14ac:dyDescent="0.25">
      <c r="A67" s="82">
        <v>9</v>
      </c>
      <c r="B67" s="83"/>
      <c r="C67" s="84" t="str">
        <f>"FY "&amp;M4</f>
        <v>FY 2023</v>
      </c>
      <c r="D67" s="108" t="s">
        <v>57</v>
      </c>
      <c r="E67" s="109"/>
      <c r="F67" s="55">
        <f>SUM(F60:F64)</f>
        <v>101.8</v>
      </c>
      <c r="G67" s="80">
        <f>SUM(G60:G64)</f>
        <v>5713800</v>
      </c>
      <c r="H67" s="80">
        <f>SUM(H60:H64)</f>
        <v>1195800</v>
      </c>
      <c r="I67" s="80">
        <f>SUM(I60:I64)</f>
        <v>1213900</v>
      </c>
      <c r="J67" s="80">
        <f>SUM(J60:J64)</f>
        <v>8123600</v>
      </c>
      <c r="K67" s="263"/>
      <c r="L67" s="110"/>
      <c r="M67" s="110"/>
      <c r="N67" s="111"/>
      <c r="O67"/>
      <c r="P67"/>
      <c r="Q67"/>
      <c r="R67"/>
      <c r="S67"/>
      <c r="T67"/>
      <c r="U67"/>
      <c r="V67"/>
      <c r="W67"/>
      <c r="X67"/>
      <c r="Y67"/>
      <c r="Z67" s="344"/>
      <c r="AA67" s="363"/>
      <c r="AB67" s="363"/>
      <c r="AC67" s="363"/>
      <c r="AD67" s="110"/>
      <c r="AE67" s="41"/>
      <c r="AF67" s="41"/>
      <c r="AG67" s="41"/>
      <c r="AH67" s="41"/>
      <c r="AI67" s="41"/>
      <c r="AJ67" s="41"/>
      <c r="AK67" s="41"/>
      <c r="AL67" s="41"/>
      <c r="AM67" s="41"/>
      <c r="AN67" s="41"/>
      <c r="AO67" s="41"/>
      <c r="AP67" s="41"/>
      <c r="AQ67" s="41"/>
      <c r="AR67" s="41"/>
      <c r="AS67" s="41"/>
      <c r="AT67" s="41"/>
      <c r="AU67" s="41"/>
      <c r="AV67" s="41"/>
      <c r="AW67" s="41"/>
      <c r="AX67" s="41"/>
      <c r="AY67" s="41"/>
      <c r="AZ67" s="41"/>
      <c r="BA67" s="41"/>
      <c r="BB67" s="41"/>
      <c r="BC67" s="41"/>
      <c r="BD67" s="41"/>
      <c r="BE67" s="41"/>
      <c r="BF67" s="41"/>
      <c r="BG67" s="41"/>
      <c r="BH67" s="41"/>
      <c r="BI67" s="41"/>
      <c r="BJ67" s="41"/>
      <c r="BK67" s="41"/>
      <c r="BL67" s="41"/>
      <c r="BM67" s="41"/>
      <c r="BN67" s="41"/>
      <c r="BO67" s="41"/>
      <c r="BP67" s="41"/>
      <c r="BQ67" s="41"/>
      <c r="BR67" s="41"/>
      <c r="BS67" s="41"/>
      <c r="BT67" s="41"/>
      <c r="BU67" s="41"/>
      <c r="BV67" s="41"/>
      <c r="BW67" s="41"/>
      <c r="BX67" s="41"/>
      <c r="BY67" s="41"/>
      <c r="BZ67" s="41"/>
      <c r="CA67" s="41"/>
      <c r="CB67" s="41"/>
      <c r="CC67" s="41"/>
      <c r="CD67" s="41"/>
      <c r="CE67" s="41"/>
      <c r="CF67" s="41"/>
      <c r="CG67" s="41"/>
      <c r="CH67" s="41"/>
      <c r="CI67" s="41"/>
      <c r="CJ67" s="41"/>
      <c r="CK67" s="41"/>
      <c r="CL67" s="41"/>
      <c r="CM67" s="41"/>
      <c r="CN67" s="41"/>
      <c r="CO67" s="41"/>
      <c r="CP67" s="41"/>
    </row>
    <row r="68" spans="1:94" s="53" customFormat="1" ht="15.75" customHeight="1" x14ac:dyDescent="0.25">
      <c r="A68" s="85">
        <v>10.11</v>
      </c>
      <c r="B68" s="83"/>
      <c r="C68" s="419" t="s">
        <v>58</v>
      </c>
      <c r="D68" s="420"/>
      <c r="E68" s="112"/>
      <c r="F68" s="288"/>
      <c r="G68" s="287"/>
      <c r="H68" s="113">
        <f>IF(DUNine=0,0,ROUND(SUM(L41:L65),-2))</f>
        <v>0</v>
      </c>
      <c r="I68" s="113"/>
      <c r="J68" s="287">
        <f>SUM(G68:I68)</f>
        <v>0</v>
      </c>
      <c r="K68" s="291"/>
      <c r="L68" s="292"/>
      <c r="M68" s="292"/>
      <c r="N68" s="293"/>
      <c r="O68"/>
      <c r="P68"/>
      <c r="Q68"/>
      <c r="R68"/>
      <c r="S68"/>
      <c r="T68"/>
      <c r="U68"/>
      <c r="V68"/>
      <c r="W68"/>
      <c r="X68"/>
      <c r="Y68"/>
      <c r="Z68" s="344"/>
      <c r="AA68" s="363"/>
      <c r="AB68" s="363"/>
      <c r="AC68" s="363"/>
      <c r="AD68" s="110"/>
      <c r="AE68" s="41"/>
      <c r="AF68" s="41"/>
      <c r="AG68" s="41"/>
      <c r="AH68" s="41"/>
      <c r="AI68" s="41"/>
      <c r="AJ68" s="41"/>
      <c r="AK68" s="41"/>
      <c r="AL68" s="41"/>
      <c r="AM68" s="41"/>
      <c r="AN68" s="41"/>
      <c r="AO68" s="41"/>
      <c r="AP68" s="41"/>
      <c r="AQ68" s="41"/>
      <c r="AR68" s="41"/>
      <c r="AS68" s="41"/>
      <c r="AT68" s="41"/>
      <c r="AU68" s="41"/>
      <c r="AV68" s="41"/>
      <c r="AW68" s="41"/>
      <c r="AX68" s="41"/>
      <c r="AY68" s="41"/>
      <c r="AZ68" s="41"/>
      <c r="BA68" s="41"/>
      <c r="BB68" s="41"/>
      <c r="BC68" s="41"/>
      <c r="BD68" s="41"/>
      <c r="BE68" s="41"/>
      <c r="BF68" s="41"/>
      <c r="BG68" s="41"/>
      <c r="BH68" s="41"/>
      <c r="BI68" s="41"/>
      <c r="BJ68" s="41"/>
      <c r="BK68" s="41"/>
      <c r="BL68" s="41"/>
      <c r="BM68" s="41"/>
      <c r="BN68" s="41"/>
      <c r="BO68" s="41"/>
      <c r="BP68" s="41"/>
      <c r="BQ68" s="41"/>
      <c r="BR68" s="41"/>
      <c r="BS68" s="41"/>
      <c r="BT68" s="41"/>
      <c r="BU68" s="41"/>
      <c r="BV68" s="41"/>
      <c r="BW68" s="41"/>
      <c r="BX68" s="41"/>
      <c r="BY68" s="41"/>
      <c r="BZ68" s="41"/>
      <c r="CA68" s="41"/>
      <c r="CB68" s="41"/>
      <c r="CC68" s="41"/>
      <c r="CD68" s="41"/>
      <c r="CE68" s="41"/>
      <c r="CF68" s="41"/>
      <c r="CG68" s="41"/>
      <c r="CH68" s="41"/>
      <c r="CI68" s="41"/>
      <c r="CJ68" s="41"/>
      <c r="CK68" s="41"/>
      <c r="CL68" s="41"/>
      <c r="CM68" s="41"/>
      <c r="CN68" s="41"/>
      <c r="CO68" s="41"/>
      <c r="CP68" s="41"/>
    </row>
    <row r="69" spans="1:94" s="53" customFormat="1" ht="15" x14ac:dyDescent="0.25">
      <c r="A69" s="85">
        <v>10.119999999999999</v>
      </c>
      <c r="B69" s="83"/>
      <c r="C69" s="419" t="s">
        <v>59</v>
      </c>
      <c r="D69" s="420"/>
      <c r="E69" s="112"/>
      <c r="F69" s="288"/>
      <c r="G69" s="113"/>
      <c r="H69" s="113"/>
      <c r="I69" s="113">
        <f>IF(DUNine=0,0,ROUND(SUM(M41:M64),-2))</f>
        <v>-26400</v>
      </c>
      <c r="J69" s="287">
        <f>SUM(G69:I69)</f>
        <v>-26400</v>
      </c>
      <c r="K69" s="291"/>
      <c r="L69" s="292"/>
      <c r="M69" s="292"/>
      <c r="N69" s="293"/>
      <c r="O69"/>
      <c r="P69"/>
      <c r="Q69"/>
      <c r="R69"/>
      <c r="S69"/>
      <c r="T69"/>
      <c r="U69"/>
      <c r="V69"/>
      <c r="W69"/>
      <c r="X69"/>
      <c r="Y69"/>
      <c r="Z69" s="344"/>
      <c r="AA69" s="363"/>
      <c r="AB69" s="363"/>
      <c r="AC69" s="363"/>
      <c r="AD69" s="110"/>
      <c r="AE69" s="41"/>
      <c r="AF69" s="41"/>
      <c r="AG69" s="41"/>
      <c r="AH69" s="41"/>
      <c r="AI69" s="41"/>
      <c r="AJ69" s="41"/>
      <c r="AK69" s="41"/>
      <c r="AL69" s="41"/>
      <c r="AM69" s="41"/>
      <c r="AN69" s="41"/>
      <c r="AO69" s="41"/>
      <c r="AP69" s="41"/>
      <c r="AQ69" s="41"/>
      <c r="AR69" s="41"/>
      <c r="AS69" s="41"/>
      <c r="AT69" s="41"/>
      <c r="AU69" s="41"/>
      <c r="AV69" s="41"/>
      <c r="AW69" s="41"/>
      <c r="AX69" s="41"/>
      <c r="AY69" s="41"/>
      <c r="AZ69" s="41"/>
      <c r="BA69" s="41"/>
      <c r="BB69" s="41"/>
      <c r="BC69" s="41"/>
      <c r="BD69" s="41"/>
      <c r="BE69" s="41"/>
      <c r="BF69" s="41"/>
      <c r="BG69" s="41"/>
      <c r="BH69" s="41"/>
      <c r="BI69" s="41"/>
      <c r="BJ69" s="41"/>
      <c r="BK69" s="41"/>
      <c r="BL69" s="41"/>
      <c r="BM69" s="41"/>
      <c r="BN69" s="41"/>
      <c r="BO69" s="41"/>
      <c r="BP69" s="41"/>
      <c r="BQ69" s="41"/>
      <c r="BR69" s="41"/>
      <c r="BS69" s="41"/>
      <c r="BT69" s="41"/>
      <c r="BU69" s="41"/>
      <c r="BV69" s="41"/>
      <c r="BW69" s="41"/>
      <c r="BX69" s="41"/>
      <c r="BY69" s="41"/>
      <c r="BZ69" s="41"/>
      <c r="CA69" s="41"/>
      <c r="CB69" s="41"/>
      <c r="CC69" s="41"/>
      <c r="CD69" s="41"/>
      <c r="CE69" s="41"/>
      <c r="CF69" s="41"/>
      <c r="CG69" s="41"/>
      <c r="CH69" s="41"/>
      <c r="CI69" s="41"/>
      <c r="CJ69" s="41"/>
      <c r="CK69" s="41"/>
      <c r="CL69" s="41"/>
      <c r="CM69" s="41"/>
      <c r="CN69" s="41"/>
      <c r="CO69" s="41"/>
      <c r="CP69" s="41"/>
    </row>
    <row r="70" spans="1:94" s="53" customFormat="1" ht="15" x14ac:dyDescent="0.25">
      <c r="A70" s="85"/>
      <c r="B70" s="83"/>
      <c r="C70" s="406"/>
      <c r="D70" s="407"/>
      <c r="E70" s="236" t="s">
        <v>23</v>
      </c>
      <c r="F70" s="288"/>
      <c r="G70" s="113"/>
      <c r="H70" s="113"/>
      <c r="I70" s="113"/>
      <c r="J70" s="287">
        <f>SUM(G70:I70)</f>
        <v>0</v>
      </c>
      <c r="K70" s="291"/>
      <c r="L70" s="292"/>
      <c r="M70" s="294"/>
      <c r="N70" s="295"/>
      <c r="O70"/>
      <c r="P70"/>
      <c r="Q70"/>
      <c r="R70"/>
      <c r="S70"/>
      <c r="T70"/>
      <c r="U70"/>
      <c r="V70"/>
      <c r="W70"/>
      <c r="X70"/>
      <c r="Y70"/>
      <c r="Z70" s="344"/>
      <c r="AA70" s="363"/>
      <c r="AB70" s="363"/>
      <c r="AC70" s="363"/>
      <c r="AD70" s="110"/>
      <c r="AE70" s="41"/>
      <c r="AF70" s="41"/>
      <c r="AG70" s="41"/>
      <c r="AH70" s="41"/>
      <c r="AI70" s="41"/>
      <c r="AJ70" s="41"/>
      <c r="AK70" s="41"/>
      <c r="AL70" s="41"/>
      <c r="AM70" s="41"/>
      <c r="AN70" s="41"/>
      <c r="AO70" s="41"/>
      <c r="AP70" s="41"/>
      <c r="AQ70" s="41"/>
      <c r="AR70" s="41"/>
      <c r="AS70" s="41"/>
      <c r="AT70" s="41"/>
      <c r="AU70" s="41"/>
      <c r="AV70" s="41"/>
      <c r="AW70" s="41"/>
      <c r="AX70" s="41"/>
      <c r="AY70" s="41"/>
      <c r="AZ70" s="41"/>
      <c r="BA70" s="41"/>
      <c r="BB70" s="41"/>
      <c r="BC70" s="41"/>
      <c r="BD70" s="41"/>
      <c r="BE70" s="41"/>
      <c r="BF70" s="41"/>
      <c r="BG70" s="41"/>
      <c r="BH70" s="41"/>
      <c r="BI70" s="41"/>
      <c r="BJ70" s="41"/>
      <c r="BK70" s="41"/>
      <c r="BL70" s="41"/>
      <c r="BM70" s="41"/>
      <c r="BN70" s="41"/>
      <c r="BO70" s="41"/>
      <c r="BP70" s="41"/>
      <c r="BQ70" s="41"/>
      <c r="BR70" s="41"/>
      <c r="BS70" s="41"/>
      <c r="BT70" s="41"/>
      <c r="BU70" s="41"/>
      <c r="BV70" s="41"/>
      <c r="BW70" s="41"/>
      <c r="BX70" s="41"/>
      <c r="BY70" s="41"/>
      <c r="BZ70" s="41"/>
      <c r="CA70" s="41"/>
      <c r="CB70" s="41"/>
      <c r="CC70" s="41"/>
      <c r="CD70" s="41"/>
      <c r="CE70" s="41"/>
      <c r="CF70" s="41"/>
      <c r="CG70" s="41"/>
      <c r="CH70" s="41"/>
      <c r="CI70" s="41"/>
      <c r="CJ70" s="41"/>
      <c r="CK70" s="41"/>
      <c r="CL70" s="41"/>
      <c r="CM70" s="41"/>
      <c r="CN70" s="41"/>
      <c r="CO70" s="41"/>
      <c r="CP70" s="41"/>
    </row>
    <row r="71" spans="1:94" s="53" customFormat="1" ht="15.75" customHeight="1" x14ac:dyDescent="0.25">
      <c r="A71" s="85">
        <v>10.51</v>
      </c>
      <c r="B71" s="83"/>
      <c r="C71" s="408" t="s">
        <v>60</v>
      </c>
      <c r="D71" s="409"/>
      <c r="E71" s="237"/>
      <c r="F71" s="288"/>
      <c r="G71" s="92">
        <v>0</v>
      </c>
      <c r="H71" s="92">
        <v>0</v>
      </c>
      <c r="I71" s="287">
        <f>ROUND(IF(AND($G71&lt;&gt;0,$E71=1),$G71*PermVBBY+$G71*Retire1BY,IF(AND($G71&lt;&gt;0,$E71=2),$G71*GroupVBBY,IF(AND($G71&lt;&gt;0,$E71=3),$G71*ElectVBBY+$G71*Retire1BY,0))),-2)</f>
        <v>0</v>
      </c>
      <c r="J71" s="113">
        <f t="shared" ref="J71:J74" si="11">SUM(G71:I71)</f>
        <v>0</v>
      </c>
      <c r="K71" s="296"/>
      <c r="L71" s="297"/>
      <c r="M71" s="348" t="s">
        <v>112</v>
      </c>
      <c r="N71" s="356"/>
      <c r="O71" s="357"/>
      <c r="P71" s="357"/>
      <c r="Q71"/>
      <c r="R71"/>
      <c r="S71"/>
      <c r="T71"/>
      <c r="U71"/>
      <c r="V71"/>
      <c r="W71"/>
      <c r="X71"/>
      <c r="Y71"/>
      <c r="Z71" s="344"/>
      <c r="AA71" s="363"/>
      <c r="AB71" s="363"/>
      <c r="AC71" s="363"/>
      <c r="AD71" s="110"/>
      <c r="AE71" s="41"/>
      <c r="AF71" s="41"/>
      <c r="AG71" s="41"/>
      <c r="AH71" s="41"/>
      <c r="AI71" s="41"/>
      <c r="AJ71" s="41"/>
      <c r="AK71" s="41"/>
      <c r="AL71" s="41"/>
      <c r="AM71" s="41"/>
      <c r="AN71" s="41"/>
      <c r="AO71" s="41"/>
      <c r="AP71" s="41"/>
      <c r="AQ71" s="41"/>
      <c r="AR71" s="41"/>
      <c r="AS71" s="41"/>
      <c r="AT71" s="41"/>
      <c r="AU71" s="41"/>
      <c r="AV71" s="41"/>
      <c r="AW71" s="41"/>
      <c r="AX71" s="41"/>
      <c r="AY71" s="41"/>
      <c r="AZ71" s="41"/>
      <c r="BA71" s="41"/>
      <c r="BB71" s="41"/>
      <c r="BC71" s="41"/>
      <c r="BD71" s="41"/>
      <c r="BE71" s="41"/>
      <c r="BF71" s="41"/>
      <c r="BG71" s="41"/>
      <c r="BH71" s="41"/>
      <c r="BI71" s="41"/>
      <c r="BJ71" s="41"/>
      <c r="BK71" s="41"/>
      <c r="BL71" s="41"/>
      <c r="BM71" s="41"/>
      <c r="BN71" s="41"/>
      <c r="BO71" s="41"/>
      <c r="BP71" s="41"/>
      <c r="BQ71" s="41"/>
      <c r="BR71" s="41"/>
      <c r="BS71" s="41"/>
      <c r="BT71" s="41"/>
      <c r="BU71" s="41"/>
      <c r="BV71" s="41"/>
      <c r="BW71" s="41"/>
      <c r="BX71" s="41"/>
      <c r="BY71" s="41"/>
      <c r="BZ71" s="41"/>
      <c r="CA71" s="41"/>
      <c r="CB71" s="41"/>
      <c r="CC71" s="41"/>
      <c r="CD71" s="41"/>
      <c r="CE71" s="41"/>
      <c r="CF71" s="41"/>
      <c r="CG71" s="41"/>
      <c r="CH71" s="41"/>
      <c r="CI71" s="41"/>
      <c r="CJ71" s="41"/>
      <c r="CK71" s="41"/>
      <c r="CL71" s="41"/>
      <c r="CM71" s="41"/>
      <c r="CN71" s="41"/>
      <c r="CO71" s="41"/>
      <c r="CP71" s="41"/>
    </row>
    <row r="72" spans="1:94" s="53" customFormat="1" ht="15.75" customHeight="1" x14ac:dyDescent="0.25">
      <c r="A72" s="85">
        <v>10.61</v>
      </c>
      <c r="B72" s="83"/>
      <c r="C72" s="408" t="s">
        <v>101</v>
      </c>
      <c r="D72" s="410"/>
      <c r="E72" s="290">
        <f>CECPerm</f>
        <v>0.01</v>
      </c>
      <c r="F72" s="288"/>
      <c r="G72" s="355">
        <f>IF(DUNine=0,0,IF(DUNine&lt;0,0,ROUND(AdjPermSalary*CECPerm,-2)))</f>
        <v>55000</v>
      </c>
      <c r="H72" s="287"/>
      <c r="I72" s="287">
        <f>ROUND(($G72*PermVBBY+$G72*Retire1BY),-2)</f>
        <v>11500</v>
      </c>
      <c r="J72" s="113">
        <f>SUM(G72:I72)</f>
        <v>66500</v>
      </c>
      <c r="K72" s="296"/>
      <c r="L72" s="298"/>
      <c r="M72" s="349" t="e">
        <f>IF(DUNine=0,0,IF(((#REF!-G39-G40)*E72)&lt;0,0,ROUND(((#REF!-G39-G40)*E72),-2)))</f>
        <v>#REF!</v>
      </c>
      <c r="N72" s="358"/>
      <c r="O72" s="357" t="e">
        <f>IF(DUNine=0,0,IF(DUNine&lt;0,0,IF(SubCECBase&lt;RoundedAppropSalary,ROUND(AdjPermSalary*CECpermCalc,-2)+((SubCECBase-RoundedAppropSalary)*CECpermCalc),IF(SubCECBase&gt;RoundedAppropSalary,ROUND(AdjPermSalary*CECpermCalc,-2)+((SubCECBase-RoundedAppropSalary)*CECpermCalc),ROUND(AdjPermSalary*CECpermCalc,-2)))))</f>
        <v>#REF!</v>
      </c>
      <c r="P72" s="357"/>
      <c r="Q72"/>
      <c r="R72"/>
      <c r="S72"/>
      <c r="T72"/>
      <c r="U72"/>
      <c r="V72"/>
      <c r="W72"/>
      <c r="X72"/>
      <c r="Y72"/>
      <c r="Z72" s="344"/>
      <c r="AA72" s="363"/>
      <c r="AB72" s="363"/>
      <c r="AC72" s="363"/>
      <c r="AD72" s="110"/>
      <c r="AE72" s="41"/>
      <c r="AF72" s="41"/>
      <c r="AG72" s="41"/>
      <c r="AH72" s="41"/>
      <c r="AI72" s="41"/>
      <c r="AJ72" s="41"/>
      <c r="AK72" s="41"/>
      <c r="AL72" s="41"/>
      <c r="AM72" s="41"/>
      <c r="AN72" s="41"/>
      <c r="AO72" s="41"/>
      <c r="AP72" s="41"/>
      <c r="AQ72" s="41"/>
      <c r="AR72" s="41"/>
      <c r="AS72" s="41"/>
      <c r="AT72" s="41"/>
      <c r="AU72" s="41"/>
      <c r="AV72" s="41"/>
      <c r="AW72" s="41"/>
      <c r="AX72" s="41"/>
      <c r="AY72" s="41"/>
      <c r="AZ72" s="41"/>
      <c r="BA72" s="41"/>
      <c r="BB72" s="41"/>
      <c r="BC72" s="41"/>
      <c r="BD72" s="41"/>
      <c r="BE72" s="41"/>
      <c r="BF72" s="41"/>
      <c r="BG72" s="41"/>
      <c r="BH72" s="41"/>
      <c r="BI72" s="41"/>
      <c r="BJ72" s="41"/>
      <c r="BK72" s="41"/>
      <c r="BL72" s="41"/>
      <c r="BM72" s="41"/>
      <c r="BN72" s="41"/>
      <c r="BO72" s="41"/>
      <c r="BP72" s="41"/>
      <c r="BQ72" s="41"/>
      <c r="BR72" s="41"/>
      <c r="BS72" s="41"/>
      <c r="BT72" s="41"/>
      <c r="BU72" s="41"/>
      <c r="BV72" s="41"/>
      <c r="BW72" s="41"/>
      <c r="BX72" s="41"/>
      <c r="BY72" s="41"/>
      <c r="BZ72" s="41"/>
      <c r="CA72" s="41"/>
      <c r="CB72" s="41"/>
      <c r="CC72" s="41"/>
      <c r="CD72" s="41"/>
      <c r="CE72" s="41"/>
      <c r="CF72" s="41"/>
      <c r="CG72" s="41"/>
      <c r="CH72" s="41"/>
      <c r="CI72" s="41"/>
      <c r="CJ72" s="41"/>
      <c r="CK72" s="41"/>
      <c r="CL72" s="41"/>
      <c r="CM72" s="41"/>
      <c r="CN72" s="41"/>
      <c r="CO72" s="41"/>
      <c r="CP72" s="41"/>
    </row>
    <row r="73" spans="1:94" s="53" customFormat="1" ht="15.6" customHeight="1" x14ac:dyDescent="0.25">
      <c r="A73" s="85">
        <v>10.62</v>
      </c>
      <c r="B73" s="83"/>
      <c r="C73" s="408" t="s">
        <v>61</v>
      </c>
      <c r="D73" s="410"/>
      <c r="E73" s="289">
        <f>CECGroup</f>
        <v>0.01</v>
      </c>
      <c r="F73" s="288"/>
      <c r="G73" s="355">
        <f>IF(DUNine=0,0,IF(DUNine&lt;0,0,ROUND(AdjGroupSalary*CECGroup,-2)))</f>
        <v>400</v>
      </c>
      <c r="H73" s="287"/>
      <c r="I73" s="287">
        <f>ROUND(($G73*GroupVBBY),-2)</f>
        <v>0</v>
      </c>
      <c r="J73" s="113">
        <f t="shared" si="11"/>
        <v>400</v>
      </c>
      <c r="K73" s="301"/>
      <c r="L73" s="302"/>
      <c r="M73" s="359"/>
      <c r="N73" s="360"/>
      <c r="O73" s="357"/>
      <c r="P73" s="357"/>
      <c r="Q73"/>
      <c r="R73"/>
      <c r="S73"/>
      <c r="T73"/>
      <c r="U73"/>
      <c r="V73"/>
      <c r="W73"/>
      <c r="X73"/>
      <c r="Y73"/>
      <c r="Z73" s="344"/>
      <c r="AA73" s="363"/>
      <c r="AB73" s="363"/>
      <c r="AC73" s="363"/>
      <c r="AD73" s="110"/>
      <c r="AE73" s="41"/>
      <c r="AF73" s="41"/>
      <c r="AG73" s="41"/>
      <c r="AH73" s="41"/>
      <c r="AI73" s="41"/>
      <c r="AJ73" s="41"/>
      <c r="AK73" s="41"/>
      <c r="AL73" s="41"/>
      <c r="AM73" s="41"/>
      <c r="AN73" s="41"/>
      <c r="AO73" s="41"/>
      <c r="AP73" s="41"/>
      <c r="AQ73" s="41"/>
      <c r="AR73" s="41"/>
      <c r="AS73" s="41"/>
      <c r="AT73" s="41"/>
      <c r="AU73" s="41"/>
      <c r="AV73" s="41"/>
      <c r="AW73" s="41"/>
      <c r="AX73" s="41"/>
      <c r="AY73" s="41"/>
      <c r="AZ73" s="41"/>
      <c r="BA73" s="41"/>
      <c r="BB73" s="41"/>
      <c r="BC73" s="41"/>
      <c r="BD73" s="41"/>
      <c r="BE73" s="41"/>
      <c r="BF73" s="41"/>
      <c r="BG73" s="41"/>
      <c r="BH73" s="41"/>
      <c r="BI73" s="41"/>
      <c r="BJ73" s="41"/>
      <c r="BK73" s="41"/>
      <c r="BL73" s="41"/>
      <c r="BM73" s="41"/>
      <c r="BN73" s="41"/>
      <c r="BO73" s="41"/>
      <c r="BP73" s="41"/>
      <c r="BQ73" s="41"/>
      <c r="BR73" s="41"/>
      <c r="BS73" s="41"/>
      <c r="BT73" s="41"/>
      <c r="BU73" s="41"/>
      <c r="BV73" s="41"/>
      <c r="BW73" s="41"/>
      <c r="BX73" s="41"/>
      <c r="BY73" s="41"/>
      <c r="BZ73" s="41"/>
      <c r="CA73" s="41"/>
      <c r="CB73" s="41"/>
      <c r="CC73" s="41"/>
      <c r="CD73" s="41"/>
      <c r="CE73" s="41"/>
      <c r="CF73" s="41"/>
      <c r="CG73" s="41"/>
      <c r="CH73" s="41"/>
      <c r="CI73" s="41"/>
      <c r="CJ73" s="41"/>
      <c r="CK73" s="41"/>
      <c r="CL73" s="41"/>
      <c r="CM73" s="41"/>
      <c r="CN73" s="41"/>
      <c r="CO73" s="41"/>
      <c r="CP73" s="41"/>
    </row>
    <row r="74" spans="1:94" s="53" customFormat="1" ht="15.6" customHeight="1" x14ac:dyDescent="0.25">
      <c r="A74" s="85">
        <v>10.63</v>
      </c>
      <c r="B74" s="83"/>
      <c r="C74" s="366" t="s">
        <v>62</v>
      </c>
      <c r="D74" s="368"/>
      <c r="E74" s="112"/>
      <c r="F74" s="288"/>
      <c r="G74" s="92">
        <v>0</v>
      </c>
      <c r="H74" s="287"/>
      <c r="I74" s="287">
        <f>ROUND(($G74*ElectVBBY+$G74*Retire1BY),-2)</f>
        <v>0</v>
      </c>
      <c r="J74" s="113">
        <f t="shared" si="11"/>
        <v>0</v>
      </c>
      <c r="K74" s="301"/>
      <c r="L74" s="302"/>
      <c r="M74" s="303"/>
      <c r="N74" s="304"/>
      <c r="O74"/>
      <c r="P74"/>
      <c r="Q74"/>
      <c r="R74"/>
      <c r="S74"/>
      <c r="T74"/>
      <c r="U74"/>
      <c r="V74"/>
      <c r="W74"/>
      <c r="X74"/>
      <c r="Y74"/>
      <c r="Z74" s="344"/>
      <c r="AA74" s="363"/>
      <c r="AB74" s="363"/>
      <c r="AC74" s="363"/>
      <c r="AD74" s="110"/>
      <c r="AE74" s="41"/>
      <c r="AF74" s="41"/>
      <c r="AG74" s="41"/>
      <c r="AH74" s="41"/>
      <c r="AI74" s="41"/>
      <c r="AJ74" s="41"/>
      <c r="AK74" s="41"/>
      <c r="AL74" s="41"/>
      <c r="AM74" s="41"/>
      <c r="AN74" s="41"/>
      <c r="AO74" s="41"/>
      <c r="AP74" s="41"/>
      <c r="AQ74" s="41"/>
      <c r="AR74" s="41"/>
      <c r="AS74" s="41"/>
      <c r="AT74" s="41"/>
      <c r="AU74" s="41"/>
      <c r="AV74" s="41"/>
      <c r="AW74" s="41"/>
      <c r="AX74" s="41"/>
      <c r="AY74" s="41"/>
      <c r="AZ74" s="41"/>
      <c r="BA74" s="41"/>
      <c r="BB74" s="41"/>
      <c r="BC74" s="41"/>
      <c r="BD74" s="41"/>
      <c r="BE74" s="41"/>
      <c r="BF74" s="41"/>
      <c r="BG74" s="41"/>
      <c r="BH74" s="41"/>
      <c r="BI74" s="41"/>
      <c r="BJ74" s="41"/>
      <c r="BK74" s="41"/>
      <c r="BL74" s="41"/>
      <c r="BM74" s="41"/>
      <c r="BN74" s="41"/>
      <c r="BO74" s="41"/>
      <c r="BP74" s="41"/>
      <c r="BQ74" s="41"/>
      <c r="BR74" s="41"/>
      <c r="BS74" s="41"/>
      <c r="BT74" s="41"/>
      <c r="BU74" s="41"/>
      <c r="BV74" s="41"/>
      <c r="BW74" s="41"/>
      <c r="BX74" s="41"/>
      <c r="BY74" s="41"/>
      <c r="BZ74" s="41"/>
      <c r="CA74" s="41"/>
      <c r="CB74" s="41"/>
      <c r="CC74" s="41"/>
      <c r="CD74" s="41"/>
      <c r="CE74" s="41"/>
      <c r="CF74" s="41"/>
      <c r="CG74" s="41"/>
      <c r="CH74" s="41"/>
      <c r="CI74" s="41"/>
      <c r="CJ74" s="41"/>
      <c r="CK74" s="41"/>
      <c r="CL74" s="41"/>
      <c r="CM74" s="41"/>
      <c r="CN74" s="41"/>
      <c r="CO74" s="41"/>
      <c r="CP74" s="41"/>
    </row>
    <row r="75" spans="1:94" s="53" customFormat="1" ht="15.75" customHeight="1" x14ac:dyDescent="0.25">
      <c r="A75" s="75">
        <v>11</v>
      </c>
      <c r="B75" s="76"/>
      <c r="C75" s="54" t="str">
        <f>"FY "&amp;M4</f>
        <v>FY 2023</v>
      </c>
      <c r="D75" s="77" t="s">
        <v>63</v>
      </c>
      <c r="E75" s="112"/>
      <c r="F75" s="55">
        <f>SUM(F67:F74)</f>
        <v>101.8</v>
      </c>
      <c r="G75" s="80">
        <f>SUM(G67:G74)</f>
        <v>5769200</v>
      </c>
      <c r="H75" s="80">
        <f>SUM(H67:H74)</f>
        <v>1195800</v>
      </c>
      <c r="I75" s="80">
        <f>SUM(I67:I74)</f>
        <v>1199000</v>
      </c>
      <c r="J75" s="80">
        <f>SUM(J67:K74)</f>
        <v>8164100</v>
      </c>
      <c r="K75" s="296"/>
      <c r="L75" s="299"/>
      <c r="M75" s="299"/>
      <c r="N75" s="300"/>
      <c r="O75"/>
      <c r="P75"/>
      <c r="Q75"/>
      <c r="R75"/>
      <c r="S75"/>
      <c r="T75"/>
      <c r="U75"/>
      <c r="V75"/>
      <c r="W75"/>
      <c r="X75"/>
      <c r="Y75"/>
      <c r="Z75" s="344"/>
      <c r="AA75" s="363"/>
      <c r="AB75" s="363"/>
      <c r="AC75" s="363"/>
      <c r="AD75" s="110"/>
      <c r="AE75" s="41"/>
      <c r="AF75" s="41"/>
      <c r="AG75" s="41"/>
      <c r="AH75" s="41"/>
      <c r="AI75" s="41"/>
      <c r="AJ75" s="41"/>
      <c r="AK75" s="41"/>
      <c r="AL75" s="41"/>
      <c r="AM75" s="41"/>
      <c r="AN75" s="41"/>
      <c r="AO75" s="41"/>
      <c r="AP75" s="41"/>
      <c r="AQ75" s="41"/>
      <c r="AR75" s="41"/>
      <c r="AS75" s="41"/>
      <c r="AT75" s="41"/>
      <c r="AU75" s="41"/>
      <c r="AV75" s="41"/>
      <c r="AW75" s="41"/>
      <c r="AX75" s="41"/>
      <c r="AY75" s="41"/>
      <c r="AZ75" s="41"/>
      <c r="BA75" s="41"/>
      <c r="BB75" s="41"/>
      <c r="BC75" s="41"/>
      <c r="BD75" s="41"/>
      <c r="BE75" s="41"/>
      <c r="BF75" s="41"/>
      <c r="BG75" s="41"/>
      <c r="BH75" s="41"/>
      <c r="BI75" s="41"/>
      <c r="BJ75" s="41"/>
      <c r="BK75" s="41"/>
      <c r="BL75" s="41"/>
      <c r="BM75" s="41"/>
      <c r="BN75" s="41"/>
      <c r="BO75" s="41"/>
      <c r="BP75" s="41"/>
      <c r="BQ75" s="41"/>
      <c r="BR75" s="41"/>
      <c r="BS75" s="41"/>
      <c r="BT75" s="41"/>
      <c r="BU75" s="41"/>
      <c r="BV75" s="41"/>
      <c r="BW75" s="41"/>
      <c r="BX75" s="41"/>
      <c r="BY75" s="41"/>
      <c r="BZ75" s="41"/>
      <c r="CA75" s="41"/>
      <c r="CB75" s="41"/>
      <c r="CC75" s="41"/>
      <c r="CD75" s="41"/>
      <c r="CE75" s="41"/>
      <c r="CF75" s="41"/>
      <c r="CG75" s="41"/>
      <c r="CH75" s="41"/>
      <c r="CI75" s="41"/>
      <c r="CJ75" s="41"/>
      <c r="CK75" s="41"/>
      <c r="CL75" s="41"/>
      <c r="CM75" s="41"/>
      <c r="CN75" s="41"/>
      <c r="CO75" s="41"/>
      <c r="CP75" s="41"/>
    </row>
    <row r="76" spans="1:94" s="53" customFormat="1" ht="28.5" customHeight="1" x14ac:dyDescent="0.25">
      <c r="A76" s="85"/>
      <c r="B76" s="83"/>
      <c r="C76" s="411" t="s">
        <v>64</v>
      </c>
      <c r="D76" s="412"/>
      <c r="E76" s="59"/>
      <c r="F76" s="59"/>
      <c r="G76" s="61"/>
      <c r="H76" s="61"/>
      <c r="I76" s="61"/>
      <c r="J76" s="61"/>
      <c r="K76" s="291"/>
      <c r="L76" s="292"/>
      <c r="M76" s="305"/>
      <c r="N76" s="293"/>
      <c r="O76"/>
      <c r="P76"/>
      <c r="Q76"/>
      <c r="R76"/>
      <c r="S76"/>
      <c r="T76"/>
      <c r="U76"/>
      <c r="V76"/>
      <c r="W76"/>
      <c r="X76"/>
      <c r="Y76"/>
      <c r="Z76" s="344"/>
      <c r="AA76" s="363"/>
      <c r="AB76" s="363"/>
      <c r="AC76" s="363"/>
      <c r="AD76" s="110"/>
      <c r="AE76" s="41"/>
      <c r="AF76" s="41"/>
      <c r="AG76" s="41"/>
      <c r="AH76" s="41"/>
      <c r="AI76" s="41"/>
      <c r="AJ76" s="41"/>
      <c r="AK76" s="41"/>
      <c r="AL76" s="41"/>
      <c r="AM76" s="41"/>
      <c r="AN76" s="41"/>
      <c r="AO76" s="41"/>
      <c r="AP76" s="41"/>
      <c r="AQ76" s="41"/>
      <c r="AR76" s="41"/>
      <c r="AS76" s="41"/>
      <c r="AT76" s="41"/>
      <c r="AU76" s="41"/>
      <c r="AV76" s="41"/>
      <c r="AW76" s="41"/>
      <c r="AX76" s="41"/>
      <c r="AY76" s="41"/>
      <c r="AZ76" s="41"/>
      <c r="BA76" s="41"/>
      <c r="BB76" s="41"/>
      <c r="BC76" s="41"/>
      <c r="BD76" s="41"/>
      <c r="BE76" s="41"/>
      <c r="BF76" s="41"/>
      <c r="BG76" s="41"/>
      <c r="BH76" s="41"/>
      <c r="BI76" s="41"/>
      <c r="BJ76" s="41"/>
      <c r="BK76" s="41"/>
      <c r="BL76" s="41"/>
      <c r="BM76" s="41"/>
      <c r="BN76" s="41"/>
      <c r="BO76" s="41"/>
      <c r="BP76" s="41"/>
      <c r="BQ76" s="41"/>
      <c r="BR76" s="41"/>
      <c r="BS76" s="41"/>
      <c r="BT76" s="41"/>
      <c r="BU76" s="41"/>
      <c r="BV76" s="41"/>
      <c r="BW76" s="41"/>
      <c r="BX76" s="41"/>
      <c r="BY76" s="41"/>
      <c r="BZ76" s="41"/>
      <c r="CA76" s="41"/>
      <c r="CB76" s="41"/>
      <c r="CC76" s="41"/>
      <c r="CD76" s="41"/>
      <c r="CE76" s="41"/>
      <c r="CF76" s="41"/>
      <c r="CG76" s="41"/>
      <c r="CH76" s="41"/>
      <c r="CI76" s="41"/>
      <c r="CJ76" s="41"/>
      <c r="CK76" s="41"/>
      <c r="CL76" s="41"/>
      <c r="CM76" s="41"/>
      <c r="CN76" s="41"/>
      <c r="CO76" s="41"/>
      <c r="CP76" s="41"/>
    </row>
    <row r="77" spans="1:94" s="53" customFormat="1" ht="15" x14ac:dyDescent="0.25">
      <c r="A77" s="116">
        <v>12.01</v>
      </c>
      <c r="B77" s="57"/>
      <c r="C77" s="404"/>
      <c r="D77" s="405"/>
      <c r="E77" s="87"/>
      <c r="F77" s="58"/>
      <c r="G77" s="88"/>
      <c r="H77" s="88"/>
      <c r="I77" s="88"/>
      <c r="J77" s="80">
        <f>ROUND(SUM(G77:I77),-2)</f>
        <v>0</v>
      </c>
      <c r="K77" s="296"/>
      <c r="L77" s="292"/>
      <c r="M77" s="292"/>
      <c r="N77" s="293"/>
      <c r="O77"/>
      <c r="P77"/>
      <c r="Q77"/>
      <c r="R77"/>
      <c r="S77"/>
      <c r="T77"/>
      <c r="U77"/>
      <c r="V77"/>
      <c r="W77"/>
      <c r="X77"/>
      <c r="Y77"/>
      <c r="Z77" s="344"/>
      <c r="AA77" s="363"/>
      <c r="AB77" s="363"/>
      <c r="AC77" s="363"/>
      <c r="AD77" s="110"/>
      <c r="AE77" s="41"/>
      <c r="AF77" s="41"/>
      <c r="AG77" s="41"/>
      <c r="AH77" s="41"/>
      <c r="AI77" s="41"/>
      <c r="AJ77" s="41"/>
      <c r="AK77" s="41"/>
      <c r="AL77" s="41"/>
      <c r="AM77" s="41"/>
      <c r="AN77" s="41"/>
      <c r="AO77" s="41"/>
      <c r="AP77" s="41"/>
      <c r="AQ77" s="41"/>
      <c r="AR77" s="41"/>
      <c r="AS77" s="41"/>
      <c r="AT77" s="41"/>
      <c r="AU77" s="41"/>
      <c r="AV77" s="41"/>
      <c r="AW77" s="41"/>
      <c r="AX77" s="41"/>
      <c r="AY77" s="41"/>
      <c r="AZ77" s="41"/>
      <c r="BA77" s="41"/>
      <c r="BB77" s="41"/>
      <c r="BC77" s="41"/>
      <c r="BD77" s="41"/>
      <c r="BE77" s="41"/>
      <c r="BF77" s="41"/>
      <c r="BG77" s="41"/>
      <c r="BH77" s="41"/>
      <c r="BI77" s="41"/>
      <c r="BJ77" s="41"/>
      <c r="BK77" s="41"/>
      <c r="BL77" s="41"/>
      <c r="BM77" s="41"/>
      <c r="BN77" s="41"/>
      <c r="BO77" s="41"/>
      <c r="BP77" s="41"/>
      <c r="BQ77" s="41"/>
      <c r="BR77" s="41"/>
      <c r="BS77" s="41"/>
      <c r="BT77" s="41"/>
      <c r="BU77" s="41"/>
      <c r="BV77" s="41"/>
      <c r="BW77" s="41"/>
      <c r="BX77" s="41"/>
      <c r="BY77" s="41"/>
      <c r="BZ77" s="41"/>
      <c r="CA77" s="41"/>
      <c r="CB77" s="41"/>
      <c r="CC77" s="41"/>
      <c r="CD77" s="41"/>
      <c r="CE77" s="41"/>
      <c r="CF77" s="41"/>
      <c r="CG77" s="41"/>
      <c r="CH77" s="41"/>
      <c r="CI77" s="41"/>
      <c r="CJ77" s="41"/>
      <c r="CK77" s="41"/>
      <c r="CL77" s="41"/>
      <c r="CM77" s="41"/>
      <c r="CN77" s="41"/>
      <c r="CO77" s="41"/>
      <c r="CP77" s="41"/>
    </row>
    <row r="78" spans="1:94" s="53" customFormat="1" ht="15" x14ac:dyDescent="0.25">
      <c r="A78" s="116">
        <v>12.02</v>
      </c>
      <c r="B78" s="57"/>
      <c r="C78" s="404"/>
      <c r="D78" s="405"/>
      <c r="E78" s="87"/>
      <c r="F78" s="58"/>
      <c r="G78" s="88"/>
      <c r="H78" s="88"/>
      <c r="I78" s="88"/>
      <c r="J78" s="80">
        <f>ROUND(SUM(G78:I78),-2)</f>
        <v>0</v>
      </c>
      <c r="K78" s="296"/>
      <c r="L78" s="292"/>
      <c r="M78" s="292"/>
      <c r="N78" s="293"/>
      <c r="O78"/>
      <c r="P78"/>
      <c r="Q78"/>
      <c r="R78"/>
      <c r="S78"/>
      <c r="T78"/>
      <c r="U78"/>
      <c r="V78"/>
      <c r="W78"/>
      <c r="X78"/>
      <c r="Y78"/>
      <c r="Z78" s="344"/>
      <c r="AA78" s="363"/>
      <c r="AB78" s="363"/>
      <c r="AC78" s="363"/>
      <c r="AD78" s="110"/>
      <c r="AE78" s="41"/>
      <c r="AF78" s="41"/>
      <c r="AG78" s="41"/>
      <c r="AH78" s="41"/>
      <c r="AI78" s="41"/>
      <c r="AJ78" s="41"/>
      <c r="AK78" s="41"/>
      <c r="AL78" s="41"/>
      <c r="AM78" s="41"/>
      <c r="AN78" s="41"/>
      <c r="AO78" s="41"/>
      <c r="AP78" s="41"/>
      <c r="AQ78" s="41"/>
      <c r="AR78" s="41"/>
      <c r="AS78" s="41"/>
      <c r="AT78" s="41"/>
      <c r="AU78" s="41"/>
      <c r="AV78" s="41"/>
      <c r="AW78" s="41"/>
      <c r="AX78" s="41"/>
      <c r="AY78" s="41"/>
      <c r="AZ78" s="41"/>
      <c r="BA78" s="41"/>
      <c r="BB78" s="41"/>
      <c r="BC78" s="41"/>
      <c r="BD78" s="41"/>
      <c r="BE78" s="41"/>
      <c r="BF78" s="41"/>
      <c r="BG78" s="41"/>
      <c r="BH78" s="41"/>
      <c r="BI78" s="41"/>
      <c r="BJ78" s="41"/>
      <c r="BK78" s="41"/>
      <c r="BL78" s="41"/>
      <c r="BM78" s="41"/>
      <c r="BN78" s="41"/>
      <c r="BO78" s="41"/>
      <c r="BP78" s="41"/>
      <c r="BQ78" s="41"/>
      <c r="BR78" s="41"/>
      <c r="BS78" s="41"/>
      <c r="BT78" s="41"/>
      <c r="BU78" s="41"/>
      <c r="BV78" s="41"/>
      <c r="BW78" s="41"/>
      <c r="BX78" s="41"/>
      <c r="BY78" s="41"/>
      <c r="BZ78" s="41"/>
      <c r="CA78" s="41"/>
      <c r="CB78" s="41"/>
      <c r="CC78" s="41"/>
      <c r="CD78" s="41"/>
      <c r="CE78" s="41"/>
      <c r="CF78" s="41"/>
      <c r="CG78" s="41"/>
      <c r="CH78" s="41"/>
      <c r="CI78" s="41"/>
      <c r="CJ78" s="41"/>
      <c r="CK78" s="41"/>
      <c r="CL78" s="41"/>
      <c r="CM78" s="41"/>
      <c r="CN78" s="41"/>
      <c r="CO78" s="41"/>
      <c r="CP78" s="41"/>
    </row>
    <row r="79" spans="1:94" s="53" customFormat="1" ht="15" x14ac:dyDescent="0.25">
      <c r="A79" s="116">
        <v>12.03</v>
      </c>
      <c r="B79" s="57" t="s">
        <v>45</v>
      </c>
      <c r="C79" s="404"/>
      <c r="D79" s="405"/>
      <c r="E79" s="87"/>
      <c r="F79" s="58"/>
      <c r="G79" s="88"/>
      <c r="H79" s="88"/>
      <c r="I79" s="88"/>
      <c r="J79" s="80">
        <f>ROUND(SUM(G79:I79),-2)</f>
        <v>0</v>
      </c>
      <c r="K79" s="296"/>
      <c r="L79" s="292"/>
      <c r="M79" s="292"/>
      <c r="N79" s="293"/>
      <c r="O79"/>
      <c r="P79"/>
      <c r="Q79"/>
      <c r="R79"/>
      <c r="S79"/>
      <c r="T79"/>
      <c r="U79"/>
      <c r="V79"/>
      <c r="W79"/>
      <c r="X79"/>
      <c r="Y79"/>
      <c r="Z79" s="344"/>
      <c r="AA79" s="363"/>
      <c r="AB79" s="363"/>
      <c r="AC79" s="363"/>
      <c r="AD79" s="110"/>
      <c r="AE79" s="41"/>
      <c r="AF79" s="41"/>
      <c r="AG79" s="41"/>
      <c r="AH79" s="41"/>
      <c r="AI79" s="41"/>
      <c r="AJ79" s="41"/>
      <c r="AK79" s="41"/>
      <c r="AL79" s="41"/>
      <c r="AM79" s="41"/>
      <c r="AN79" s="41"/>
      <c r="AO79" s="41"/>
      <c r="AP79" s="41"/>
      <c r="AQ79" s="41"/>
      <c r="AR79" s="41"/>
      <c r="AS79" s="41"/>
      <c r="AT79" s="41"/>
      <c r="AU79" s="41"/>
      <c r="AV79" s="41"/>
      <c r="AW79" s="41"/>
      <c r="AX79" s="41"/>
      <c r="AY79" s="41"/>
      <c r="AZ79" s="41"/>
      <c r="BA79" s="41"/>
      <c r="BB79" s="41"/>
      <c r="BC79" s="41"/>
      <c r="BD79" s="41"/>
      <c r="BE79" s="41"/>
      <c r="BF79" s="41"/>
      <c r="BG79" s="41"/>
      <c r="BH79" s="41"/>
      <c r="BI79" s="41"/>
      <c r="BJ79" s="41"/>
      <c r="BK79" s="41"/>
      <c r="BL79" s="41"/>
      <c r="BM79" s="41"/>
      <c r="BN79" s="41"/>
      <c r="BO79" s="41"/>
      <c r="BP79" s="41"/>
      <c r="BQ79" s="41"/>
      <c r="BR79" s="41"/>
      <c r="BS79" s="41"/>
      <c r="BT79" s="41"/>
      <c r="BU79" s="41"/>
      <c r="BV79" s="41"/>
      <c r="BW79" s="41"/>
      <c r="BX79" s="41"/>
      <c r="BY79" s="41"/>
      <c r="BZ79" s="41"/>
      <c r="CA79" s="41"/>
      <c r="CB79" s="41"/>
      <c r="CC79" s="41"/>
      <c r="CD79" s="41"/>
      <c r="CE79" s="41"/>
      <c r="CF79" s="41"/>
      <c r="CG79" s="41"/>
      <c r="CH79" s="41"/>
      <c r="CI79" s="41"/>
      <c r="CJ79" s="41"/>
      <c r="CK79" s="41"/>
      <c r="CL79" s="41"/>
      <c r="CM79" s="41"/>
      <c r="CN79" s="41"/>
      <c r="CO79" s="41"/>
      <c r="CP79" s="41"/>
    </row>
    <row r="80" spans="1:94" s="53" customFormat="1" ht="15.75" customHeight="1" x14ac:dyDescent="0.25">
      <c r="A80" s="117">
        <v>13</v>
      </c>
      <c r="B80" s="118"/>
      <c r="C80" s="119" t="str">
        <f>"FY "&amp;M4</f>
        <v>FY 2023</v>
      </c>
      <c r="D80" s="120" t="s">
        <v>65</v>
      </c>
      <c r="E80" s="121"/>
      <c r="F80" s="55">
        <f>SUM(F75:F79)</f>
        <v>101.8</v>
      </c>
      <c r="G80" s="80">
        <f>SUM(G75:G79)</f>
        <v>5769200</v>
      </c>
      <c r="H80" s="80">
        <f>SUM(H75:H79)</f>
        <v>1195800</v>
      </c>
      <c r="I80" s="80">
        <f>SUM(I75:I79)</f>
        <v>1199000</v>
      </c>
      <c r="J80" s="80">
        <f>SUM(J75:J79)</f>
        <v>8164100</v>
      </c>
      <c r="K80" s="270"/>
      <c r="L80" s="122"/>
      <c r="M80" s="122"/>
      <c r="N80" s="123"/>
      <c r="O80"/>
      <c r="P80"/>
      <c r="Q80"/>
      <c r="R80"/>
      <c r="S80"/>
      <c r="T80"/>
      <c r="U80"/>
      <c r="V80"/>
      <c r="W80"/>
      <c r="X80"/>
      <c r="Y80"/>
      <c r="Z80" s="344"/>
      <c r="AA80" s="363"/>
      <c r="AB80" s="363"/>
      <c r="AC80" s="363"/>
      <c r="AD80" s="110"/>
      <c r="AE80" s="41"/>
      <c r="AF80" s="41"/>
      <c r="AG80" s="41"/>
      <c r="AH80" s="41"/>
      <c r="AI80" s="41"/>
      <c r="AJ80" s="41"/>
      <c r="AK80" s="41"/>
      <c r="AL80" s="41"/>
      <c r="AM80" s="41"/>
      <c r="AN80" s="41"/>
      <c r="AO80" s="41"/>
      <c r="AP80" s="41"/>
      <c r="AQ80" s="41"/>
      <c r="AR80" s="41"/>
      <c r="AS80" s="41"/>
      <c r="AT80" s="41"/>
      <c r="AU80" s="41"/>
      <c r="AV80" s="41"/>
      <c r="AW80" s="41"/>
      <c r="AX80" s="41"/>
      <c r="AY80" s="41"/>
      <c r="AZ80" s="41"/>
      <c r="BA80" s="41"/>
      <c r="BB80" s="41"/>
      <c r="BC80" s="41"/>
      <c r="BD80" s="41"/>
      <c r="BE80" s="41"/>
      <c r="BF80" s="41"/>
      <c r="BG80" s="41"/>
      <c r="BH80" s="41"/>
      <c r="BI80" s="41"/>
      <c r="BJ80" s="41"/>
      <c r="BK80" s="41"/>
      <c r="BL80" s="41"/>
      <c r="BM80" s="41"/>
      <c r="BN80" s="41"/>
      <c r="BO80" s="41"/>
      <c r="BP80" s="41"/>
      <c r="BQ80" s="41"/>
      <c r="BR80" s="41"/>
      <c r="BS80" s="41"/>
      <c r="BT80" s="41"/>
      <c r="BU80" s="41"/>
      <c r="BV80" s="41"/>
      <c r="BW80" s="41"/>
      <c r="BX80" s="41"/>
      <c r="BY80" s="41"/>
      <c r="BZ80" s="41"/>
      <c r="CA80" s="41"/>
      <c r="CB80" s="41"/>
      <c r="CC80" s="41"/>
      <c r="CD80" s="41"/>
      <c r="CE80" s="41"/>
      <c r="CF80" s="41"/>
      <c r="CG80" s="41"/>
      <c r="CH80" s="41"/>
      <c r="CI80" s="41"/>
      <c r="CJ80" s="41"/>
      <c r="CK80" s="41"/>
      <c r="CL80" s="41"/>
      <c r="CM80" s="41"/>
      <c r="CN80" s="41"/>
      <c r="CO80" s="41"/>
      <c r="CP80" s="41"/>
    </row>
  </sheetData>
  <mergeCells count="51">
    <mergeCell ref="C13:D13"/>
    <mergeCell ref="M1:N1"/>
    <mergeCell ref="M2:N2"/>
    <mergeCell ref="M3:N3"/>
    <mergeCell ref="M4:N4"/>
    <mergeCell ref="I5:L5"/>
    <mergeCell ref="C8:D8"/>
    <mergeCell ref="AA8:AC8"/>
    <mergeCell ref="C9:D9"/>
    <mergeCell ref="C10:D10"/>
    <mergeCell ref="C11:D11"/>
    <mergeCell ref="C12:D12"/>
    <mergeCell ref="K43:N43"/>
    <mergeCell ref="AA43:AC43"/>
    <mergeCell ref="K44:N44"/>
    <mergeCell ref="C16:D16"/>
    <mergeCell ref="C17:D17"/>
    <mergeCell ref="C18:D18"/>
    <mergeCell ref="C37:D37"/>
    <mergeCell ref="AA37:AC37"/>
    <mergeCell ref="C38:D38"/>
    <mergeCell ref="C54:D54"/>
    <mergeCell ref="C39:D39"/>
    <mergeCell ref="C41:D41"/>
    <mergeCell ref="C42:D42"/>
    <mergeCell ref="C43:D44"/>
    <mergeCell ref="K45:N45"/>
    <mergeCell ref="E46:J47"/>
    <mergeCell ref="K46:N47"/>
    <mergeCell ref="C50:D50"/>
    <mergeCell ref="C53:D53"/>
    <mergeCell ref="C69:D69"/>
    <mergeCell ref="C55:D55"/>
    <mergeCell ref="C57:D57"/>
    <mergeCell ref="C58:D58"/>
    <mergeCell ref="C59:D59"/>
    <mergeCell ref="C61:D61"/>
    <mergeCell ref="C62:D62"/>
    <mergeCell ref="C63:D63"/>
    <mergeCell ref="C64:D64"/>
    <mergeCell ref="C65:D65"/>
    <mergeCell ref="C66:D66"/>
    <mergeCell ref="C68:D68"/>
    <mergeCell ref="C78:D78"/>
    <mergeCell ref="C79:D79"/>
    <mergeCell ref="C70:D70"/>
    <mergeCell ref="C71:D71"/>
    <mergeCell ref="C72:D72"/>
    <mergeCell ref="C73:D73"/>
    <mergeCell ref="C76:D76"/>
    <mergeCell ref="C77:D77"/>
  </mergeCells>
  <conditionalFormatting sqref="K44">
    <cfRule type="expression" dxfId="73" priority="5">
      <formula>$J$44&lt;0</formula>
    </cfRule>
  </conditionalFormatting>
  <conditionalFormatting sqref="K43">
    <cfRule type="expression" dxfId="72" priority="4">
      <formula>$J$43&lt;0</formula>
    </cfRule>
  </conditionalFormatting>
  <conditionalFormatting sqref="L16">
    <cfRule type="expression" dxfId="71" priority="3">
      <formula>$J$16&lt;0</formula>
    </cfRule>
  </conditionalFormatting>
  <conditionalFormatting sqref="K45">
    <cfRule type="expression" dxfId="70" priority="2">
      <formula>$J$44&lt;0</formula>
    </cfRule>
  </conditionalFormatting>
  <conditionalFormatting sqref="K43:N45">
    <cfRule type="containsText" dxfId="69" priority="1" operator="containsText" text="underfunding">
      <formula>NOT(ISERROR(SEARCH("underfunding",K43)))</formula>
    </cfRule>
  </conditionalFormatting>
  <printOptions horizontalCentered="1"/>
  <pageMargins left="0.5" right="0.5" top="0.65" bottom="0.65" header="0.26" footer="0.31"/>
  <pageSetup scale="63" fitToHeight="2" orientation="landscape" r:id="rId1"/>
  <headerFooter>
    <oddHeader>&amp;L&amp;"Helv,Bold"FORM B6:  WAGE &amp;&amp; SALARY RECONCILIATION</oddHeader>
    <oddFooter>&amp;LPrinted: &amp;D, &amp;T&amp;RPage &amp;P of &amp;N</oddFooter>
  </headerFooter>
  <rowBreaks count="1" manualBreakCount="1">
    <brk id="64" max="12" man="1"/>
  </rowBreaks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F0D8A745-9CAB-42A9-8787-B606DFECD00A}">
          <x14:formula1>
            <xm:f>Benefits!$A$20:$A$26</xm:f>
          </x14:formula1>
          <xm:sqref>C20:C30 C32:C36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691BA2-76B3-44AF-BBEA-F9FC2E0AC28F}">
  <sheetPr>
    <tabColor rgb="FF00B0F0"/>
    <pageSetUpPr fitToPage="1"/>
  </sheetPr>
  <dimension ref="A1:CP80"/>
  <sheetViews>
    <sheetView showGridLines="0" zoomScaleNormal="100" workbookViewId="0">
      <selection activeCell="C8" sqref="C8:N16"/>
    </sheetView>
  </sheetViews>
  <sheetFormatPr defaultColWidth="9.140625" defaultRowHeight="15.75" x14ac:dyDescent="0.25"/>
  <cols>
    <col min="1" max="1" width="7.85546875" style="124" customWidth="1"/>
    <col min="2" max="2" width="7.7109375" style="125" customWidth="1"/>
    <col min="3" max="3" width="9" style="125" customWidth="1"/>
    <col min="4" max="4" width="39.28515625" style="53" customWidth="1"/>
    <col min="5" max="5" width="13" style="126" customWidth="1"/>
    <col min="6" max="6" width="12.28515625" style="127" customWidth="1"/>
    <col min="7" max="7" width="12.140625" style="127" bestFit="1" customWidth="1"/>
    <col min="8" max="8" width="14.5703125" style="127" customWidth="1"/>
    <col min="9" max="9" width="19.5703125" style="128" bestFit="1" customWidth="1"/>
    <col min="10" max="10" width="13.7109375" style="129" customWidth="1"/>
    <col min="11" max="11" width="13.7109375" style="129" hidden="1" customWidth="1"/>
    <col min="12" max="12" width="18.42578125" style="129" customWidth="1"/>
    <col min="13" max="13" width="16.42578125" style="129" customWidth="1"/>
    <col min="14" max="14" width="16.140625" style="128" customWidth="1"/>
    <col min="15" max="25" width="16.140625" customWidth="1"/>
    <col min="26" max="26" width="16.140625" style="344" customWidth="1"/>
    <col min="27" max="27" width="22.140625" style="334" bestFit="1" customWidth="1"/>
    <col min="28" max="28" width="31.140625" style="334" bestFit="1" customWidth="1"/>
    <col min="29" max="29" width="7.85546875" style="334" bestFit="1" customWidth="1"/>
    <col min="30" max="30" width="9.140625" style="110" customWidth="1"/>
    <col min="31" max="94" width="9.140625" style="17"/>
    <col min="95" max="16384" width="9.140625" style="18"/>
  </cols>
  <sheetData>
    <row r="1" spans="1:94" x14ac:dyDescent="0.25">
      <c r="A1" s="12" t="s">
        <v>13</v>
      </c>
      <c r="B1" s="13"/>
      <c r="C1" s="13"/>
      <c r="D1" s="14" t="s">
        <v>1989</v>
      </c>
      <c r="E1" s="15"/>
      <c r="F1" s="15"/>
      <c r="G1" s="15"/>
      <c r="H1" s="15"/>
      <c r="I1" s="15"/>
      <c r="J1" s="15"/>
      <c r="K1" s="15"/>
      <c r="L1" s="16" t="s">
        <v>14</v>
      </c>
      <c r="M1" s="467">
        <v>352</v>
      </c>
      <c r="N1" s="468"/>
      <c r="AA1" s="363"/>
      <c r="AB1" s="333"/>
      <c r="AC1" s="333"/>
      <c r="AD1" s="325"/>
    </row>
    <row r="2" spans="1:94" ht="20.25" x14ac:dyDescent="0.25">
      <c r="A2" s="19" t="s">
        <v>116</v>
      </c>
      <c r="B2" s="20"/>
      <c r="C2" s="20"/>
      <c r="D2" s="14" t="s">
        <v>1990</v>
      </c>
      <c r="E2" s="21"/>
      <c r="F2" s="21"/>
      <c r="G2" s="21"/>
      <c r="H2" s="21"/>
      <c r="I2" s="21"/>
      <c r="J2" s="20"/>
      <c r="K2" s="20"/>
      <c r="L2" s="22" t="s">
        <v>113</v>
      </c>
      <c r="M2" s="469" t="s">
        <v>2000</v>
      </c>
      <c r="N2" s="470"/>
      <c r="AA2" s="333"/>
      <c r="AB2" s="333"/>
      <c r="AC2" s="333"/>
      <c r="AD2" s="325"/>
    </row>
    <row r="3" spans="1:94" x14ac:dyDescent="0.25">
      <c r="A3" s="19" t="s">
        <v>117</v>
      </c>
      <c r="B3" s="20"/>
      <c r="C3" s="20"/>
      <c r="D3" s="23" t="s">
        <v>2009</v>
      </c>
      <c r="E3" s="24"/>
      <c r="F3" s="25"/>
      <c r="G3" s="25"/>
      <c r="H3" s="25"/>
      <c r="I3" s="26"/>
      <c r="J3" s="20"/>
      <c r="K3" s="20"/>
      <c r="L3" s="22" t="s">
        <v>114</v>
      </c>
      <c r="M3" s="467" t="s">
        <v>549</v>
      </c>
      <c r="N3" s="468"/>
      <c r="AA3" s="363"/>
      <c r="AB3" s="333"/>
      <c r="AC3" s="333"/>
      <c r="AD3" s="325"/>
    </row>
    <row r="4" spans="1:94" x14ac:dyDescent="0.25">
      <c r="A4" s="19"/>
      <c r="B4" s="20"/>
      <c r="C4" s="20"/>
      <c r="D4" s="27"/>
      <c r="E4" s="24"/>
      <c r="F4" s="25"/>
      <c r="G4" s="25"/>
      <c r="H4" s="25"/>
      <c r="I4" s="28"/>
      <c r="J4" s="26"/>
      <c r="K4" s="26"/>
      <c r="L4" s="22" t="s">
        <v>15</v>
      </c>
      <c r="M4" s="467">
        <v>2023</v>
      </c>
      <c r="N4" s="468"/>
      <c r="AA4" s="363"/>
      <c r="AB4" s="333"/>
      <c r="AC4" s="333"/>
      <c r="AD4" s="325"/>
    </row>
    <row r="5" spans="1:94" s="34" customFormat="1" ht="18" customHeight="1" x14ac:dyDescent="0.25">
      <c r="A5" s="19" t="s">
        <v>16</v>
      </c>
      <c r="B5" s="20"/>
      <c r="C5" s="20"/>
      <c r="D5" s="350">
        <v>44440</v>
      </c>
      <c r="E5" s="27"/>
      <c r="F5" s="30"/>
      <c r="G5" s="31"/>
      <c r="H5" s="31" t="s">
        <v>17</v>
      </c>
      <c r="I5" s="469" t="s">
        <v>1998</v>
      </c>
      <c r="J5" s="471"/>
      <c r="K5" s="471"/>
      <c r="L5" s="470"/>
      <c r="M5" s="351" t="s">
        <v>115</v>
      </c>
      <c r="N5" s="32" t="s">
        <v>1999</v>
      </c>
      <c r="O5"/>
      <c r="P5"/>
      <c r="Q5"/>
      <c r="R5"/>
      <c r="S5"/>
      <c r="T5"/>
      <c r="U5"/>
      <c r="V5"/>
      <c r="W5"/>
      <c r="X5"/>
      <c r="Y5"/>
      <c r="Z5" s="344"/>
      <c r="AA5" s="363"/>
      <c r="AB5" s="333"/>
      <c r="AC5" s="333"/>
      <c r="AD5" s="326"/>
      <c r="AE5" s="33"/>
      <c r="AF5" s="33"/>
      <c r="AG5" s="33"/>
      <c r="AH5" s="33"/>
      <c r="AI5" s="33"/>
      <c r="AJ5" s="33"/>
      <c r="AK5" s="33"/>
      <c r="AL5" s="33"/>
      <c r="AM5" s="33"/>
      <c r="AN5" s="33"/>
      <c r="AO5" s="33"/>
      <c r="AP5" s="33"/>
      <c r="AQ5" s="33"/>
      <c r="AR5" s="33"/>
      <c r="AS5" s="33"/>
      <c r="AT5" s="33"/>
      <c r="AU5" s="33"/>
      <c r="AV5" s="33"/>
      <c r="AW5" s="33"/>
      <c r="AX5" s="33"/>
      <c r="AY5" s="33"/>
      <c r="AZ5" s="33"/>
      <c r="BA5" s="33"/>
      <c r="BB5" s="33"/>
      <c r="BC5" s="33"/>
      <c r="BD5" s="33"/>
      <c r="BE5" s="33"/>
      <c r="BF5" s="33"/>
      <c r="BG5" s="33"/>
      <c r="BH5" s="33"/>
      <c r="BI5" s="33"/>
      <c r="BJ5" s="33"/>
      <c r="BK5" s="33"/>
      <c r="BL5" s="33"/>
      <c r="BM5" s="33"/>
      <c r="BN5" s="33"/>
      <c r="BO5" s="33"/>
      <c r="BP5" s="33"/>
      <c r="BQ5" s="33"/>
      <c r="BR5" s="33"/>
      <c r="BS5" s="33"/>
      <c r="BT5" s="33"/>
      <c r="BU5" s="33"/>
      <c r="BV5" s="33"/>
      <c r="BW5" s="33"/>
      <c r="BX5" s="33"/>
      <c r="BY5" s="33"/>
      <c r="BZ5" s="33"/>
      <c r="CA5" s="33"/>
      <c r="CB5" s="33"/>
      <c r="CC5" s="33"/>
      <c r="CD5" s="33"/>
      <c r="CE5" s="33"/>
      <c r="CF5" s="33"/>
      <c r="CG5" s="33"/>
      <c r="CH5" s="33"/>
      <c r="CI5" s="33"/>
      <c r="CJ5" s="33"/>
      <c r="CK5" s="33"/>
      <c r="CL5" s="33"/>
      <c r="CM5" s="33"/>
      <c r="CN5" s="33"/>
      <c r="CO5" s="33"/>
      <c r="CP5" s="33"/>
    </row>
    <row r="6" spans="1:94" ht="23.25" customHeight="1" x14ac:dyDescent="0.25">
      <c r="A6" s="19"/>
      <c r="B6" s="20" t="s">
        <v>18</v>
      </c>
      <c r="C6" s="20"/>
      <c r="D6" s="29"/>
      <c r="E6" s="35" t="s">
        <v>19</v>
      </c>
      <c r="F6" s="36"/>
      <c r="G6" s="25"/>
      <c r="H6" s="25"/>
      <c r="I6" s="37"/>
      <c r="J6" s="31" t="s">
        <v>84</v>
      </c>
      <c r="K6" s="31"/>
      <c r="L6" s="352"/>
      <c r="M6" s="353" t="s">
        <v>85</v>
      </c>
      <c r="N6" s="306"/>
      <c r="AA6" s="363"/>
      <c r="AB6" s="333"/>
      <c r="AC6" s="333"/>
      <c r="AD6" s="325"/>
    </row>
    <row r="7" spans="1:94" x14ac:dyDescent="0.25">
      <c r="A7" s="38"/>
      <c r="B7" s="39"/>
      <c r="C7" s="40"/>
      <c r="D7" s="41"/>
      <c r="E7" s="42"/>
      <c r="F7" s="40"/>
      <c r="G7" s="43"/>
      <c r="H7" s="44"/>
      <c r="I7" s="45"/>
      <c r="J7" s="46"/>
      <c r="K7" s="46"/>
      <c r="L7" s="46"/>
      <c r="M7" s="46"/>
      <c r="N7" s="47"/>
    </row>
    <row r="8" spans="1:94" s="52" customFormat="1" ht="40.5" customHeight="1" x14ac:dyDescent="0.25">
      <c r="A8" s="48" t="s">
        <v>20</v>
      </c>
      <c r="B8" s="369" t="s">
        <v>21</v>
      </c>
      <c r="C8" s="472" t="s">
        <v>22</v>
      </c>
      <c r="D8" s="473"/>
      <c r="E8" s="369" t="s">
        <v>23</v>
      </c>
      <c r="F8" s="49" t="s">
        <v>24</v>
      </c>
      <c r="G8" s="50" t="str">
        <f>"FY "&amp;'TAAB|0338-01'!FiscalYear-1&amp;" SALARY"</f>
        <v>FY 2022 SALARY</v>
      </c>
      <c r="H8" s="50" t="str">
        <f>"FY "&amp;'TAAB|0338-01'!FiscalYear-1&amp;" HEALTH BENEFITS"</f>
        <v>FY 2022 HEALTH BENEFITS</v>
      </c>
      <c r="I8" s="50" t="str">
        <f>"FY "&amp;'TAAB|0338-01'!FiscalYear-1&amp;" VAR BENEFITS"</f>
        <v>FY 2022 VAR BENEFITS</v>
      </c>
      <c r="J8" s="50" t="str">
        <f>"FY "&amp;'TAAB|0338-01'!FiscalYear-1&amp;" TOTAL"</f>
        <v>FY 2022 TOTAL</v>
      </c>
      <c r="K8" s="50" t="str">
        <f>"FY "&amp;'TAAB|0338-01'!FiscalYear&amp;" SALARY CHANGE"</f>
        <v>FY 2023 SALARY CHANGE</v>
      </c>
      <c r="L8" s="50" t="str">
        <f>"FY "&amp;'TAAB|0338-01'!FiscalYear&amp;" CHG HEALTH BENEFITS"</f>
        <v>FY 2023 CHG HEALTH BENEFITS</v>
      </c>
      <c r="M8" s="50" t="str">
        <f>"FY "&amp;'TAAB|0338-01'!FiscalYear&amp;" CHG VAR BENEFITS"</f>
        <v>FY 2023 CHG VAR BENEFITS</v>
      </c>
      <c r="N8" s="50" t="s">
        <v>25</v>
      </c>
      <c r="O8"/>
      <c r="P8"/>
      <c r="Q8"/>
      <c r="R8"/>
      <c r="S8"/>
      <c r="T8"/>
      <c r="U8"/>
      <c r="V8"/>
      <c r="W8"/>
      <c r="X8"/>
      <c r="Y8"/>
      <c r="Z8" s="344"/>
      <c r="AA8" s="463" t="s">
        <v>105</v>
      </c>
      <c r="AB8" s="463"/>
      <c r="AC8" s="463"/>
      <c r="AD8" s="327"/>
      <c r="AE8" s="51"/>
      <c r="AF8" s="51"/>
      <c r="AG8" s="51"/>
      <c r="AH8" s="51"/>
      <c r="AI8" s="51"/>
      <c r="AJ8" s="51"/>
      <c r="AK8" s="51"/>
      <c r="AL8" s="51"/>
      <c r="AM8" s="51"/>
      <c r="AN8" s="51"/>
      <c r="AO8" s="51"/>
      <c r="AP8" s="51"/>
      <c r="AQ8" s="51"/>
      <c r="AR8" s="51"/>
      <c r="AS8" s="51"/>
      <c r="AT8" s="51"/>
      <c r="AU8" s="51"/>
      <c r="AV8" s="51"/>
      <c r="AW8" s="51"/>
      <c r="AX8" s="51"/>
      <c r="AY8" s="51"/>
      <c r="AZ8" s="51"/>
      <c r="BA8" s="51"/>
      <c r="BB8" s="51"/>
      <c r="BC8" s="51"/>
      <c r="BD8" s="51"/>
      <c r="BE8" s="51"/>
      <c r="BF8" s="51"/>
      <c r="BG8" s="51"/>
      <c r="BH8" s="51"/>
      <c r="BI8" s="51"/>
      <c r="BJ8" s="51"/>
      <c r="BK8" s="51"/>
      <c r="BL8" s="51"/>
      <c r="BM8" s="51"/>
      <c r="BN8" s="51"/>
      <c r="BO8" s="51"/>
      <c r="BP8" s="51"/>
      <c r="BQ8" s="51"/>
      <c r="BR8" s="51"/>
      <c r="BS8" s="51"/>
      <c r="BT8" s="51"/>
      <c r="BU8" s="51"/>
      <c r="BV8" s="51"/>
      <c r="BW8" s="51"/>
      <c r="BX8" s="51"/>
      <c r="BY8" s="51"/>
      <c r="BZ8" s="51"/>
      <c r="CA8" s="51"/>
      <c r="CB8" s="51"/>
      <c r="CC8" s="51"/>
      <c r="CD8" s="51"/>
      <c r="CE8" s="51"/>
      <c r="CF8" s="51"/>
      <c r="CG8" s="51"/>
      <c r="CH8" s="51"/>
      <c r="CI8" s="51"/>
      <c r="CJ8" s="51"/>
      <c r="CK8" s="51"/>
      <c r="CL8" s="51"/>
      <c r="CM8" s="51"/>
      <c r="CN8" s="51"/>
      <c r="CO8" s="51"/>
      <c r="CP8" s="51"/>
    </row>
    <row r="9" spans="1:94" s="149" customFormat="1" x14ac:dyDescent="0.25">
      <c r="A9" s="139"/>
      <c r="B9" s="140"/>
      <c r="C9" s="464" t="s">
        <v>26</v>
      </c>
      <c r="D9" s="465"/>
      <c r="E9" s="141"/>
      <c r="F9" s="142"/>
      <c r="G9" s="143"/>
      <c r="H9" s="143"/>
      <c r="I9" s="143"/>
      <c r="J9" s="144"/>
      <c r="K9" s="144"/>
      <c r="L9" s="145"/>
      <c r="M9" s="146"/>
      <c r="N9" s="144"/>
      <c r="O9"/>
      <c r="P9"/>
      <c r="Q9"/>
      <c r="R9"/>
      <c r="S9"/>
      <c r="T9"/>
      <c r="U9"/>
      <c r="V9"/>
      <c r="W9"/>
      <c r="X9"/>
      <c r="Y9"/>
      <c r="Z9" s="344"/>
      <c r="AA9" s="363" t="s">
        <v>94</v>
      </c>
      <c r="AB9" s="333" t="s">
        <v>95</v>
      </c>
      <c r="AC9" s="333" t="s">
        <v>106</v>
      </c>
      <c r="AD9" s="328"/>
      <c r="AE9" s="148"/>
      <c r="AF9" s="148"/>
      <c r="AG9" s="148"/>
      <c r="AH9" s="148"/>
      <c r="AI9" s="148"/>
      <c r="AJ9" s="148"/>
      <c r="AK9" s="148"/>
      <c r="AL9" s="148"/>
      <c r="AM9" s="148"/>
      <c r="AN9" s="148"/>
      <c r="AO9" s="148"/>
      <c r="AP9" s="148"/>
      <c r="AQ9" s="148"/>
      <c r="AR9" s="148"/>
      <c r="AS9" s="148"/>
      <c r="AT9" s="148"/>
      <c r="AU9" s="148"/>
      <c r="AV9" s="148"/>
      <c r="AW9" s="148"/>
      <c r="AX9" s="148"/>
      <c r="AY9" s="148"/>
      <c r="AZ9" s="148"/>
      <c r="BA9" s="148"/>
      <c r="BB9" s="148"/>
      <c r="BC9" s="148"/>
      <c r="BD9" s="148"/>
      <c r="BE9" s="148"/>
      <c r="BF9" s="148"/>
      <c r="BG9" s="148"/>
      <c r="BH9" s="148"/>
      <c r="BI9" s="148"/>
      <c r="BJ9" s="148"/>
      <c r="BK9" s="148"/>
      <c r="BL9" s="148"/>
      <c r="BM9" s="148"/>
      <c r="BN9" s="148"/>
      <c r="BO9" s="148"/>
      <c r="BP9" s="148"/>
      <c r="BQ9" s="148"/>
      <c r="BR9" s="148"/>
      <c r="BS9" s="148"/>
      <c r="BT9" s="148"/>
      <c r="BU9" s="148"/>
      <c r="BV9" s="148"/>
      <c r="BW9" s="148"/>
      <c r="BX9" s="148"/>
      <c r="BY9" s="148"/>
      <c r="BZ9" s="148"/>
      <c r="CA9" s="148"/>
      <c r="CB9" s="148"/>
      <c r="CC9" s="148"/>
      <c r="CD9" s="148"/>
      <c r="CE9" s="148"/>
      <c r="CF9" s="148"/>
      <c r="CG9" s="148"/>
      <c r="CH9" s="148"/>
      <c r="CI9" s="148"/>
      <c r="CJ9" s="148"/>
      <c r="CK9" s="148"/>
      <c r="CL9" s="148"/>
      <c r="CM9" s="148"/>
      <c r="CN9" s="148"/>
      <c r="CO9" s="148"/>
      <c r="CP9" s="148"/>
    </row>
    <row r="10" spans="1:94" s="149" customFormat="1" x14ac:dyDescent="0.25">
      <c r="A10" s="139"/>
      <c r="B10" s="139"/>
      <c r="C10" s="443" t="s">
        <v>27</v>
      </c>
      <c r="D10" s="466"/>
      <c r="E10" s="217">
        <v>1</v>
      </c>
      <c r="F10" s="288">
        <f>[0]!TAAB033801col_INC_FTI</f>
        <v>0.15000000000000002</v>
      </c>
      <c r="G10" s="218">
        <f>[0]!TAAB033801col_FTI_SALARY_PERM</f>
        <v>9261.2000000000007</v>
      </c>
      <c r="H10" s="218">
        <f>[0]!TAAB033801col_HEALTH_PERM</f>
        <v>1747.5</v>
      </c>
      <c r="I10" s="218">
        <f>[0]!TAAB033801col_TOT_VB_PERM</f>
        <v>1976.9883640000003</v>
      </c>
      <c r="J10" s="219">
        <f>SUM(G10:I10)</f>
        <v>12985.688364000001</v>
      </c>
      <c r="K10" s="219">
        <f>[0]!TAAB033801col_1_27TH_PP</f>
        <v>0</v>
      </c>
      <c r="L10" s="218">
        <f>[0]!TAAB033801col_HEALTH_PERM_CHG</f>
        <v>0</v>
      </c>
      <c r="M10" s="218">
        <f>[0]!TAAB033801col_TOT_VB_PERM_CHG</f>
        <v>-44.453759999999996</v>
      </c>
      <c r="N10" s="218">
        <f>SUM(L10:M10)</f>
        <v>-44.453759999999996</v>
      </c>
      <c r="O10"/>
      <c r="P10"/>
      <c r="Q10"/>
      <c r="R10"/>
      <c r="S10"/>
      <c r="T10"/>
      <c r="U10"/>
      <c r="V10"/>
      <c r="W10"/>
      <c r="X10"/>
      <c r="Y10"/>
      <c r="Z10" s="344"/>
      <c r="AA10" s="338">
        <f>ROUND(CECPerm*PermSalary,-2)</f>
        <v>100</v>
      </c>
      <c r="AB10" s="335">
        <f>ROUND(PermVarBen*CECPerm+(CECPerm*PermVarBenChg),-2)</f>
        <v>0</v>
      </c>
      <c r="AC10" s="335">
        <f>SUM(AA10:AB10)</f>
        <v>100</v>
      </c>
      <c r="AD10" s="328"/>
      <c r="AE10" s="148"/>
      <c r="AF10" s="148"/>
      <c r="AG10" s="148"/>
      <c r="AH10" s="148"/>
      <c r="AI10" s="148"/>
      <c r="AJ10" s="148"/>
      <c r="AK10" s="148"/>
      <c r="AL10" s="148"/>
      <c r="AM10" s="148"/>
      <c r="AN10" s="148"/>
      <c r="AO10" s="148"/>
      <c r="AP10" s="148"/>
      <c r="AQ10" s="148"/>
      <c r="AR10" s="148"/>
      <c r="AS10" s="148"/>
      <c r="AT10" s="148"/>
      <c r="AU10" s="148"/>
      <c r="AV10" s="148"/>
      <c r="AW10" s="148"/>
      <c r="AX10" s="148"/>
      <c r="AY10" s="148"/>
      <c r="AZ10" s="148"/>
      <c r="BA10" s="148"/>
      <c r="BB10" s="148"/>
      <c r="BC10" s="148"/>
      <c r="BD10" s="148"/>
      <c r="BE10" s="148"/>
      <c r="BF10" s="148"/>
      <c r="BG10" s="148"/>
      <c r="BH10" s="148"/>
      <c r="BI10" s="148"/>
      <c r="BJ10" s="148"/>
      <c r="BK10" s="148"/>
      <c r="BL10" s="148"/>
      <c r="BM10" s="148"/>
      <c r="BN10" s="148"/>
      <c r="BO10" s="148"/>
      <c r="BP10" s="148"/>
      <c r="BQ10" s="148"/>
      <c r="BR10" s="148"/>
      <c r="BS10" s="148"/>
      <c r="BT10" s="148"/>
      <c r="BU10" s="148"/>
      <c r="BV10" s="148"/>
      <c r="BW10" s="148"/>
      <c r="BX10" s="148"/>
      <c r="BY10" s="148"/>
      <c r="BZ10" s="148"/>
      <c r="CA10" s="148"/>
      <c r="CB10" s="148"/>
      <c r="CC10" s="148"/>
      <c r="CD10" s="148"/>
      <c r="CE10" s="148"/>
      <c r="CF10" s="148"/>
      <c r="CG10" s="148"/>
      <c r="CH10" s="148"/>
      <c r="CI10" s="148"/>
      <c r="CJ10" s="148"/>
      <c r="CK10" s="148"/>
      <c r="CL10" s="148"/>
      <c r="CM10" s="148"/>
      <c r="CN10" s="148"/>
      <c r="CO10" s="148"/>
      <c r="CP10" s="148"/>
    </row>
    <row r="11" spans="1:94" s="149" customFormat="1" x14ac:dyDescent="0.25">
      <c r="A11" s="139"/>
      <c r="B11" s="139"/>
      <c r="C11" s="443" t="s">
        <v>28</v>
      </c>
      <c r="D11" s="466"/>
      <c r="E11" s="217">
        <v>2</v>
      </c>
      <c r="F11" s="288"/>
      <c r="G11" s="218">
        <f>[0]!TAAB033801col_Group_Salary</f>
        <v>0</v>
      </c>
      <c r="H11" s="218">
        <v>0</v>
      </c>
      <c r="I11" s="218">
        <f>[0]!TAAB033801col_Group_Ben</f>
        <v>0</v>
      </c>
      <c r="J11" s="219">
        <f>SUM(G11:I11)</f>
        <v>0</v>
      </c>
      <c r="K11" s="268"/>
      <c r="L11" s="218"/>
      <c r="M11" s="218"/>
      <c r="N11" s="218"/>
      <c r="O11"/>
      <c r="P11"/>
      <c r="Q11"/>
      <c r="R11"/>
      <c r="S11"/>
      <c r="T11"/>
      <c r="U11"/>
      <c r="V11"/>
      <c r="W11"/>
      <c r="X11"/>
      <c r="Y11"/>
      <c r="Z11" s="344"/>
      <c r="AA11" s="338">
        <f>ROUND(GroupSalary*CECGroup,-2)</f>
        <v>0</v>
      </c>
      <c r="AB11" s="335">
        <f>ROUND((GroupSalary*GroupVBBY)*CECGroup,-2)</f>
        <v>0</v>
      </c>
      <c r="AC11" s="335">
        <f>SUM(AA12:AB12)</f>
        <v>0</v>
      </c>
      <c r="AD11" s="328"/>
      <c r="AE11" s="148"/>
      <c r="AF11" s="148"/>
      <c r="AG11" s="148"/>
      <c r="AH11" s="148"/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148"/>
      <c r="AV11" s="148"/>
      <c r="AW11" s="148"/>
      <c r="AX11" s="148"/>
      <c r="AY11" s="148"/>
      <c r="AZ11" s="148"/>
      <c r="BA11" s="148"/>
      <c r="BB11" s="148"/>
      <c r="BC11" s="148"/>
      <c r="BD11" s="148"/>
      <c r="BE11" s="148"/>
      <c r="BF11" s="148"/>
      <c r="BG11" s="148"/>
      <c r="BH11" s="148"/>
      <c r="BI11" s="148"/>
      <c r="BJ11" s="148"/>
      <c r="BK11" s="148"/>
      <c r="BL11" s="148"/>
      <c r="BM11" s="148"/>
      <c r="BN11" s="148"/>
      <c r="BO11" s="148"/>
      <c r="BP11" s="148"/>
      <c r="BQ11" s="148"/>
      <c r="BR11" s="148"/>
      <c r="BS11" s="148"/>
      <c r="BT11" s="148"/>
      <c r="BU11" s="148"/>
      <c r="BV11" s="148"/>
      <c r="BW11" s="148"/>
      <c r="BX11" s="148"/>
      <c r="BY11" s="148"/>
      <c r="BZ11" s="148"/>
      <c r="CA11" s="148"/>
      <c r="CB11" s="148"/>
      <c r="CC11" s="148"/>
      <c r="CD11" s="148"/>
      <c r="CE11" s="148"/>
      <c r="CF11" s="148"/>
      <c r="CG11" s="148"/>
      <c r="CH11" s="148"/>
      <c r="CI11" s="148"/>
      <c r="CJ11" s="148"/>
      <c r="CK11" s="148"/>
      <c r="CL11" s="148"/>
      <c r="CM11" s="148"/>
      <c r="CN11" s="148"/>
      <c r="CO11" s="148"/>
      <c r="CP11" s="148"/>
    </row>
    <row r="12" spans="1:94" s="149" customFormat="1" x14ac:dyDescent="0.25">
      <c r="A12" s="139"/>
      <c r="B12" s="139"/>
      <c r="C12" s="443" t="s">
        <v>29</v>
      </c>
      <c r="D12" s="444"/>
      <c r="E12" s="217">
        <v>3</v>
      </c>
      <c r="F12" s="288">
        <f>[0]!TAAB033801col_TOTAL_ELECT_PCN_FTI</f>
        <v>0</v>
      </c>
      <c r="G12" s="218">
        <f>[0]!TAAB033801col_FTI_SALARY_ELECT</f>
        <v>0</v>
      </c>
      <c r="H12" s="218">
        <f>[0]!TAAB033801col_HEALTH_ELECT</f>
        <v>0</v>
      </c>
      <c r="I12" s="218">
        <f>[0]!TAAB033801col_TOT_VB_ELECT</f>
        <v>0</v>
      </c>
      <c r="J12" s="219">
        <f>SUM(G12:I12)</f>
        <v>0</v>
      </c>
      <c r="K12" s="268"/>
      <c r="L12" s="218">
        <f>[0]!TAAB033801col_HEALTH_ELECT_CHG</f>
        <v>0</v>
      </c>
      <c r="M12" s="218">
        <f>[0]!TAAB033801col_TOT_VB_ELECT_CHG</f>
        <v>0</v>
      </c>
      <c r="N12" s="219">
        <f>SUM(L12:M12)</f>
        <v>0</v>
      </c>
      <c r="O12"/>
      <c r="P12"/>
      <c r="Q12"/>
      <c r="R12"/>
      <c r="S12"/>
      <c r="T12"/>
      <c r="U12"/>
      <c r="V12"/>
      <c r="W12"/>
      <c r="X12"/>
      <c r="Y12"/>
      <c r="Z12" s="344"/>
      <c r="AA12" s="336"/>
      <c r="AB12" s="336"/>
      <c r="AC12" s="336"/>
      <c r="AD12" s="328"/>
      <c r="AE12" s="148"/>
      <c r="AF12" s="148"/>
      <c r="AG12" s="148"/>
      <c r="AH12" s="148"/>
      <c r="AI12" s="148"/>
      <c r="AJ12" s="148"/>
      <c r="AK12" s="148"/>
      <c r="AL12" s="148"/>
      <c r="AM12" s="148"/>
      <c r="AN12" s="148"/>
      <c r="AO12" s="148"/>
      <c r="AP12" s="148"/>
      <c r="AQ12" s="148"/>
      <c r="AR12" s="148"/>
      <c r="AS12" s="148"/>
      <c r="AT12" s="148"/>
      <c r="AU12" s="148"/>
      <c r="AV12" s="148"/>
      <c r="AW12" s="148"/>
      <c r="AX12" s="148"/>
      <c r="AY12" s="148"/>
      <c r="AZ12" s="148"/>
      <c r="BA12" s="148"/>
      <c r="BB12" s="148"/>
      <c r="BC12" s="148"/>
      <c r="BD12" s="148"/>
      <c r="BE12" s="148"/>
      <c r="BF12" s="148"/>
      <c r="BG12" s="148"/>
      <c r="BH12" s="148"/>
      <c r="BI12" s="148"/>
      <c r="BJ12" s="148"/>
      <c r="BK12" s="148"/>
      <c r="BL12" s="148"/>
      <c r="BM12" s="148"/>
      <c r="BN12" s="148"/>
      <c r="BO12" s="148"/>
      <c r="BP12" s="148"/>
      <c r="BQ12" s="148"/>
      <c r="BR12" s="148"/>
      <c r="BS12" s="148"/>
      <c r="BT12" s="148"/>
      <c r="BU12" s="148"/>
      <c r="BV12" s="148"/>
      <c r="BW12" s="148"/>
      <c r="BX12" s="148"/>
      <c r="BY12" s="148"/>
      <c r="BZ12" s="148"/>
      <c r="CA12" s="148"/>
      <c r="CB12" s="148"/>
      <c r="CC12" s="148"/>
      <c r="CD12" s="148"/>
      <c r="CE12" s="148"/>
      <c r="CF12" s="148"/>
      <c r="CG12" s="148"/>
      <c r="CH12" s="148"/>
      <c r="CI12" s="148"/>
      <c r="CJ12" s="148"/>
      <c r="CK12" s="148"/>
      <c r="CL12" s="148"/>
      <c r="CM12" s="148"/>
      <c r="CN12" s="148"/>
      <c r="CO12" s="148"/>
      <c r="CP12" s="148"/>
    </row>
    <row r="13" spans="1:94" s="153" customFormat="1" x14ac:dyDescent="0.25">
      <c r="A13" s="139"/>
      <c r="B13" s="139"/>
      <c r="C13" s="443" t="s">
        <v>30</v>
      </c>
      <c r="D13" s="466"/>
      <c r="E13" s="217"/>
      <c r="F13" s="220">
        <f>SUM(F10:F12)</f>
        <v>0.15000000000000002</v>
      </c>
      <c r="G13" s="221">
        <f>SUM(G10:G12)</f>
        <v>9261.2000000000007</v>
      </c>
      <c r="H13" s="221">
        <f>SUM(H10:H12)</f>
        <v>1747.5</v>
      </c>
      <c r="I13" s="221">
        <f>SUM(I10:I12)</f>
        <v>1976.9883640000003</v>
      </c>
      <c r="J13" s="219">
        <f>SUM(G13:I13)</f>
        <v>12985.688364000001</v>
      </c>
      <c r="K13" s="268"/>
      <c r="L13" s="219">
        <f>SUM(L10:L12)</f>
        <v>0</v>
      </c>
      <c r="M13" s="219">
        <f>SUM(M10:M12)</f>
        <v>-44.453759999999996</v>
      </c>
      <c r="N13" s="219">
        <f>SUM(N10:N12)</f>
        <v>-44.453759999999996</v>
      </c>
      <c r="O13"/>
      <c r="P13"/>
      <c r="Q13"/>
      <c r="R13"/>
      <c r="S13"/>
      <c r="T13"/>
      <c r="U13"/>
      <c r="V13"/>
      <c r="W13"/>
      <c r="X13"/>
      <c r="Y13"/>
      <c r="Z13" s="344"/>
      <c r="AA13" s="336"/>
      <c r="AB13" s="336"/>
      <c r="AC13" s="336"/>
      <c r="AD13" s="329"/>
      <c r="AE13" s="147"/>
      <c r="AF13" s="147"/>
      <c r="AG13" s="147"/>
      <c r="AH13" s="147"/>
      <c r="AI13" s="147"/>
      <c r="AJ13" s="147"/>
      <c r="AK13" s="147"/>
      <c r="AL13" s="147"/>
      <c r="AM13" s="147"/>
      <c r="AN13" s="147"/>
      <c r="AO13" s="147"/>
      <c r="AP13" s="147"/>
      <c r="AQ13" s="147"/>
      <c r="AR13" s="147"/>
      <c r="AS13" s="147"/>
      <c r="AT13" s="147"/>
      <c r="AU13" s="147"/>
      <c r="AV13" s="147"/>
      <c r="AW13" s="147"/>
      <c r="AX13" s="147"/>
      <c r="AY13" s="147"/>
      <c r="AZ13" s="147"/>
      <c r="BA13" s="147"/>
      <c r="BB13" s="147"/>
      <c r="BC13" s="147"/>
      <c r="BD13" s="147"/>
      <c r="BE13" s="147"/>
      <c r="BF13" s="147"/>
      <c r="BG13" s="147"/>
      <c r="BH13" s="147"/>
      <c r="BI13" s="147"/>
      <c r="BJ13" s="147"/>
      <c r="BK13" s="147"/>
      <c r="BL13" s="147"/>
      <c r="BM13" s="147"/>
      <c r="BN13" s="147"/>
      <c r="BO13" s="147"/>
      <c r="BP13" s="147"/>
      <c r="BQ13" s="147"/>
      <c r="BR13" s="147"/>
      <c r="BS13" s="147"/>
      <c r="BT13" s="147"/>
      <c r="BU13" s="147"/>
      <c r="BV13" s="147"/>
      <c r="BW13" s="147"/>
      <c r="BX13" s="147"/>
      <c r="BY13" s="147"/>
      <c r="BZ13" s="147"/>
      <c r="CA13" s="147"/>
      <c r="CB13" s="147"/>
      <c r="CC13" s="147"/>
      <c r="CD13" s="147"/>
      <c r="CE13" s="147"/>
      <c r="CF13" s="147"/>
      <c r="CG13" s="147"/>
      <c r="CH13" s="147"/>
      <c r="CI13" s="147"/>
      <c r="CJ13" s="147"/>
      <c r="CK13" s="147"/>
      <c r="CL13" s="147"/>
      <c r="CM13" s="147"/>
      <c r="CN13" s="147"/>
      <c r="CO13" s="147"/>
      <c r="CP13" s="147"/>
    </row>
    <row r="14" spans="1:94" s="153" customFormat="1" ht="5.45" customHeight="1" x14ac:dyDescent="0.25">
      <c r="A14" s="139"/>
      <c r="B14" s="139"/>
      <c r="C14" s="364"/>
      <c r="D14" s="370"/>
      <c r="E14" s="217"/>
      <c r="F14" s="220"/>
      <c r="G14" s="219"/>
      <c r="H14" s="219"/>
      <c r="I14" s="219"/>
      <c r="J14" s="219"/>
      <c r="K14" s="268"/>
      <c r="L14" s="219"/>
      <c r="M14" s="222"/>
      <c r="N14" s="222"/>
      <c r="O14"/>
      <c r="P14"/>
      <c r="Q14"/>
      <c r="R14"/>
      <c r="S14"/>
      <c r="T14"/>
      <c r="U14"/>
      <c r="V14"/>
      <c r="W14"/>
      <c r="X14"/>
      <c r="Y14"/>
      <c r="Z14" s="344"/>
      <c r="AA14" s="336"/>
      <c r="AB14" s="336"/>
      <c r="AC14" s="336"/>
      <c r="AD14" s="329"/>
      <c r="AE14" s="147"/>
      <c r="AF14" s="147"/>
      <c r="AG14" s="147"/>
      <c r="AH14" s="147"/>
      <c r="AI14" s="147"/>
      <c r="AJ14" s="147"/>
      <c r="AK14" s="147"/>
      <c r="AL14" s="147"/>
      <c r="AM14" s="147"/>
      <c r="AN14" s="147"/>
      <c r="AO14" s="147"/>
      <c r="AP14" s="147"/>
      <c r="AQ14" s="147"/>
      <c r="AR14" s="147"/>
      <c r="AS14" s="147"/>
      <c r="AT14" s="147"/>
      <c r="AU14" s="147"/>
      <c r="AV14" s="147"/>
      <c r="AW14" s="147"/>
      <c r="AX14" s="147"/>
      <c r="AY14" s="147"/>
      <c r="AZ14" s="147"/>
      <c r="BA14" s="147"/>
      <c r="BB14" s="147"/>
      <c r="BC14" s="147"/>
      <c r="BD14" s="147"/>
      <c r="BE14" s="147"/>
      <c r="BF14" s="147"/>
      <c r="BG14" s="147"/>
      <c r="BH14" s="147"/>
      <c r="BI14" s="147"/>
      <c r="BJ14" s="147"/>
      <c r="BK14" s="147"/>
      <c r="BL14" s="147"/>
      <c r="BM14" s="147"/>
      <c r="BN14" s="147"/>
      <c r="BO14" s="147"/>
      <c r="BP14" s="147"/>
      <c r="BQ14" s="147"/>
      <c r="BR14" s="147"/>
      <c r="BS14" s="147"/>
      <c r="BT14" s="147"/>
      <c r="BU14" s="147"/>
      <c r="BV14" s="147"/>
      <c r="BW14" s="147"/>
      <c r="BX14" s="147"/>
      <c r="BY14" s="147"/>
      <c r="BZ14" s="147"/>
      <c r="CA14" s="147"/>
      <c r="CB14" s="147"/>
      <c r="CC14" s="147"/>
      <c r="CD14" s="147"/>
      <c r="CE14" s="147"/>
      <c r="CF14" s="147"/>
      <c r="CG14" s="147"/>
      <c r="CH14" s="147"/>
      <c r="CI14" s="147"/>
      <c r="CJ14" s="147"/>
      <c r="CK14" s="147"/>
      <c r="CL14" s="147"/>
      <c r="CM14" s="147"/>
      <c r="CN14" s="147"/>
      <c r="CO14" s="147"/>
      <c r="CP14" s="147"/>
    </row>
    <row r="15" spans="1:94" s="153" customFormat="1" ht="15.75" customHeight="1" x14ac:dyDescent="0.25">
      <c r="A15" s="139"/>
      <c r="B15" s="156"/>
      <c r="C15" s="157" t="str">
        <f>"FY "&amp;'TAAB|0338-01'!FiscalYear-1</f>
        <v>FY 2022</v>
      </c>
      <c r="D15" s="158" t="s">
        <v>31</v>
      </c>
      <c r="E15" s="354">
        <v>15800</v>
      </c>
      <c r="F15" s="55">
        <v>0.1</v>
      </c>
      <c r="G15" s="223">
        <f>IF(OrigApprop=0,0,(G13/$J$13)*OrigApprop)</f>
        <v>11268.325243786052</v>
      </c>
      <c r="H15" s="223">
        <f>IF(OrigApprop=0,0,(H13/$J$13)*OrigApprop)</f>
        <v>2126.2253664229393</v>
      </c>
      <c r="I15" s="223">
        <f>IF(G15=0,0,(I13/$J$13)*OrigApprop)</f>
        <v>2405.4493897910083</v>
      </c>
      <c r="J15" s="223">
        <f>SUM(G15:I15)</f>
        <v>15800</v>
      </c>
      <c r="K15" s="268"/>
      <c r="L15" s="224"/>
      <c r="M15" s="224"/>
      <c r="N15" s="224"/>
      <c r="O15"/>
      <c r="P15"/>
      <c r="Q15"/>
      <c r="R15"/>
      <c r="S15"/>
      <c r="T15"/>
      <c r="U15"/>
      <c r="V15"/>
      <c r="W15"/>
      <c r="X15"/>
      <c r="Y15"/>
      <c r="Z15" s="344"/>
      <c r="AA15" s="336"/>
      <c r="AB15" s="336"/>
      <c r="AC15" s="336"/>
      <c r="AD15" s="329"/>
      <c r="AE15" s="147"/>
      <c r="AF15" s="147"/>
      <c r="AG15" s="147"/>
      <c r="AH15" s="147"/>
      <c r="AI15" s="147"/>
      <c r="AJ15" s="147"/>
      <c r="AK15" s="147"/>
      <c r="AL15" s="147"/>
      <c r="AM15" s="147"/>
      <c r="AN15" s="147"/>
      <c r="AO15" s="147"/>
      <c r="AP15" s="147"/>
      <c r="AQ15" s="147"/>
      <c r="AR15" s="147"/>
      <c r="AS15" s="147"/>
      <c r="AT15" s="147"/>
      <c r="AU15" s="147"/>
      <c r="AV15" s="147"/>
      <c r="AW15" s="147"/>
      <c r="AX15" s="147"/>
      <c r="AY15" s="147"/>
      <c r="AZ15" s="147"/>
      <c r="BA15" s="147"/>
      <c r="BB15" s="147"/>
      <c r="BC15" s="147"/>
      <c r="BD15" s="147"/>
      <c r="BE15" s="147"/>
      <c r="BF15" s="147"/>
      <c r="BG15" s="147"/>
      <c r="BH15" s="147"/>
      <c r="BI15" s="147"/>
      <c r="BJ15" s="147"/>
      <c r="BK15" s="147"/>
      <c r="BL15" s="147"/>
      <c r="BM15" s="147"/>
      <c r="BN15" s="147"/>
      <c r="BO15" s="147"/>
      <c r="BP15" s="147"/>
      <c r="BQ15" s="147"/>
      <c r="BR15" s="147"/>
      <c r="BS15" s="147"/>
      <c r="BT15" s="147"/>
      <c r="BU15" s="147"/>
      <c r="BV15" s="147"/>
      <c r="BW15" s="147"/>
      <c r="BX15" s="147"/>
      <c r="BY15" s="147"/>
      <c r="BZ15" s="147"/>
      <c r="CA15" s="147"/>
      <c r="CB15" s="147"/>
      <c r="CC15" s="147"/>
      <c r="CD15" s="147"/>
      <c r="CE15" s="147"/>
      <c r="CF15" s="147"/>
      <c r="CG15" s="147"/>
      <c r="CH15" s="147"/>
      <c r="CI15" s="147"/>
      <c r="CJ15" s="147"/>
      <c r="CK15" s="147"/>
      <c r="CL15" s="147"/>
      <c r="CM15" s="147"/>
      <c r="CN15" s="147"/>
      <c r="CO15" s="147"/>
      <c r="CP15" s="147"/>
    </row>
    <row r="16" spans="1:94" s="153" customFormat="1" ht="15.75" customHeight="1" x14ac:dyDescent="0.25">
      <c r="A16" s="139"/>
      <c r="B16" s="139"/>
      <c r="C16" s="453" t="s">
        <v>32</v>
      </c>
      <c r="D16" s="454"/>
      <c r="E16" s="160" t="s">
        <v>33</v>
      </c>
      <c r="F16" s="161">
        <f>F15-F13</f>
        <v>-5.0000000000000017E-2</v>
      </c>
      <c r="G16" s="162">
        <f>G15-G13</f>
        <v>2007.1252437860512</v>
      </c>
      <c r="H16" s="162">
        <f>H15-H13</f>
        <v>378.72536642293926</v>
      </c>
      <c r="I16" s="162">
        <f>I15-I13</f>
        <v>428.46102579100807</v>
      </c>
      <c r="J16" s="162">
        <f>J15-J13</f>
        <v>2814.3116359999985</v>
      </c>
      <c r="K16" s="269"/>
      <c r="L16" s="56" t="str">
        <f>IF('TAAB|0338-01'!OrigApprop=0,"ERROR! Enter Original Appropriation amount in DU 3.00!","Calculated "&amp;IF('TAAB|0338-01'!AdjustedTotal&gt;0,"overfunding ","underfunding ")&amp;"is "&amp;TEXT('TAAB|0338-01'!AdjustedTotal/'TAAB|0338-01'!AppropTotal,"#.0%;(#.0% );0% ;")&amp;" of Original Appropriation")</f>
        <v>Calculated overfunding is 17.8% of Original Appropriation</v>
      </c>
      <c r="M16" s="163"/>
      <c r="N16" s="164"/>
      <c r="O16"/>
      <c r="P16"/>
      <c r="Q16"/>
      <c r="R16"/>
      <c r="S16"/>
      <c r="T16"/>
      <c r="U16"/>
      <c r="V16"/>
      <c r="W16"/>
      <c r="X16"/>
      <c r="Y16"/>
      <c r="Z16" s="344"/>
      <c r="AA16" s="336"/>
      <c r="AB16" s="336"/>
      <c r="AC16" s="336"/>
      <c r="AD16" s="329"/>
      <c r="AE16" s="147"/>
      <c r="AF16" s="147"/>
      <c r="AG16" s="147"/>
      <c r="AH16" s="147"/>
      <c r="AI16" s="147"/>
      <c r="AJ16" s="147"/>
      <c r="AK16" s="147"/>
      <c r="AL16" s="147"/>
      <c r="AM16" s="147"/>
      <c r="AN16" s="147"/>
      <c r="AO16" s="147"/>
      <c r="AP16" s="147"/>
      <c r="AQ16" s="147"/>
      <c r="AR16" s="147"/>
      <c r="AS16" s="147"/>
      <c r="AT16" s="147"/>
      <c r="AU16" s="147"/>
      <c r="AV16" s="147"/>
      <c r="AW16" s="147"/>
      <c r="AX16" s="147"/>
      <c r="AY16" s="147"/>
      <c r="AZ16" s="147"/>
      <c r="BA16" s="147"/>
      <c r="BB16" s="147"/>
      <c r="BC16" s="147"/>
      <c r="BD16" s="147"/>
      <c r="BE16" s="147"/>
      <c r="BF16" s="147"/>
      <c r="BG16" s="147"/>
      <c r="BH16" s="147"/>
      <c r="BI16" s="147"/>
      <c r="BJ16" s="147"/>
      <c r="BK16" s="147"/>
      <c r="BL16" s="147"/>
      <c r="BM16" s="147"/>
      <c r="BN16" s="147"/>
      <c r="BO16" s="147"/>
      <c r="BP16" s="147"/>
      <c r="BQ16" s="147"/>
      <c r="BR16" s="147"/>
      <c r="BS16" s="147"/>
      <c r="BT16" s="147"/>
      <c r="BU16" s="147"/>
      <c r="BV16" s="147"/>
      <c r="BW16" s="147"/>
      <c r="BX16" s="147"/>
      <c r="BY16" s="147"/>
      <c r="BZ16" s="147"/>
      <c r="CA16" s="147"/>
      <c r="CB16" s="147"/>
      <c r="CC16" s="147"/>
      <c r="CD16" s="147"/>
      <c r="CE16" s="147"/>
      <c r="CF16" s="147"/>
      <c r="CG16" s="147"/>
      <c r="CH16" s="147"/>
      <c r="CI16" s="147"/>
      <c r="CJ16" s="147"/>
      <c r="CK16" s="147"/>
      <c r="CL16" s="147"/>
      <c r="CM16" s="147"/>
      <c r="CN16" s="147"/>
      <c r="CO16" s="147"/>
      <c r="CP16" s="147"/>
    </row>
    <row r="17" spans="1:94" s="153" customFormat="1" x14ac:dyDescent="0.25">
      <c r="A17" s="139"/>
      <c r="B17" s="139"/>
      <c r="C17" s="455" t="s">
        <v>34</v>
      </c>
      <c r="D17" s="456"/>
      <c r="E17" s="147"/>
      <c r="F17" s="258"/>
      <c r="G17" s="147"/>
      <c r="H17" s="166"/>
      <c r="I17" s="167"/>
      <c r="J17" s="166"/>
      <c r="K17" s="166"/>
      <c r="L17" s="166"/>
      <c r="M17" s="166"/>
      <c r="N17" s="166"/>
      <c r="O17"/>
      <c r="P17"/>
      <c r="Q17"/>
      <c r="R17"/>
      <c r="S17"/>
      <c r="T17"/>
      <c r="U17"/>
      <c r="V17"/>
      <c r="W17"/>
      <c r="X17"/>
      <c r="Y17"/>
      <c r="Z17" s="344"/>
      <c r="AA17" s="336"/>
      <c r="AB17" s="336"/>
      <c r="AC17" s="336"/>
      <c r="AD17" s="329"/>
      <c r="AE17" s="147"/>
      <c r="AF17" s="147"/>
      <c r="AG17" s="147"/>
      <c r="AH17" s="147"/>
      <c r="AI17" s="147"/>
      <c r="AJ17" s="147"/>
      <c r="AK17" s="147"/>
      <c r="AL17" s="147"/>
      <c r="AM17" s="147"/>
      <c r="AN17" s="147"/>
      <c r="AO17" s="147"/>
      <c r="AP17" s="147"/>
      <c r="AQ17" s="147"/>
      <c r="AR17" s="147"/>
      <c r="AS17" s="147"/>
      <c r="AT17" s="147"/>
      <c r="AU17" s="147"/>
      <c r="AV17" s="147"/>
      <c r="AW17" s="147"/>
      <c r="AX17" s="147"/>
      <c r="AY17" s="147"/>
      <c r="AZ17" s="147"/>
      <c r="BA17" s="147"/>
      <c r="BB17" s="147"/>
      <c r="BC17" s="147"/>
      <c r="BD17" s="147"/>
      <c r="BE17" s="147"/>
      <c r="BF17" s="147"/>
      <c r="BG17" s="147"/>
      <c r="BH17" s="147"/>
      <c r="BI17" s="147"/>
      <c r="BJ17" s="147"/>
      <c r="BK17" s="147"/>
      <c r="BL17" s="147"/>
      <c r="BM17" s="147"/>
      <c r="BN17" s="147"/>
      <c r="BO17" s="147"/>
      <c r="BP17" s="147"/>
      <c r="BQ17" s="147"/>
      <c r="BR17" s="147"/>
      <c r="BS17" s="147"/>
      <c r="BT17" s="147"/>
      <c r="BU17" s="147"/>
      <c r="BV17" s="147"/>
      <c r="BW17" s="147"/>
      <c r="BX17" s="147"/>
      <c r="BY17" s="147"/>
      <c r="BZ17" s="147"/>
      <c r="CA17" s="147"/>
      <c r="CB17" s="147"/>
      <c r="CC17" s="147"/>
      <c r="CD17" s="147"/>
      <c r="CE17" s="147"/>
      <c r="CF17" s="147"/>
      <c r="CG17" s="147"/>
      <c r="CH17" s="147"/>
      <c r="CI17" s="147"/>
      <c r="CJ17" s="147"/>
      <c r="CK17" s="147"/>
      <c r="CL17" s="147"/>
      <c r="CM17" s="147"/>
      <c r="CN17" s="147"/>
      <c r="CO17" s="147"/>
      <c r="CP17" s="147"/>
    </row>
    <row r="18" spans="1:94" s="153" customFormat="1" ht="26.25" customHeight="1" x14ac:dyDescent="0.25">
      <c r="A18" s="139"/>
      <c r="B18" s="168"/>
      <c r="C18" s="457" t="s">
        <v>35</v>
      </c>
      <c r="D18" s="458"/>
      <c r="E18" s="150"/>
      <c r="F18" s="165"/>
      <c r="G18" s="166"/>
      <c r="H18" s="169"/>
      <c r="I18" s="166"/>
      <c r="J18" s="166"/>
      <c r="K18" s="166"/>
      <c r="L18" s="166"/>
      <c r="M18" s="166"/>
      <c r="N18" s="166"/>
      <c r="O18"/>
      <c r="P18"/>
      <c r="Q18"/>
      <c r="R18"/>
      <c r="S18"/>
      <c r="T18"/>
      <c r="U18"/>
      <c r="V18"/>
      <c r="W18"/>
      <c r="X18"/>
      <c r="Y18"/>
      <c r="Z18" s="344"/>
      <c r="AA18" s="336"/>
      <c r="AB18" s="336"/>
      <c r="AC18" s="336"/>
      <c r="AD18" s="329"/>
      <c r="AE18" s="147"/>
      <c r="AF18" s="147"/>
      <c r="AG18" s="147"/>
      <c r="AH18" s="147"/>
      <c r="AI18" s="147"/>
      <c r="AJ18" s="147"/>
      <c r="AK18" s="147"/>
      <c r="AL18" s="147"/>
      <c r="AM18" s="147"/>
      <c r="AN18" s="147"/>
      <c r="AO18" s="147"/>
      <c r="AP18" s="147"/>
      <c r="AQ18" s="147"/>
      <c r="AR18" s="147"/>
      <c r="AS18" s="147"/>
      <c r="AT18" s="147"/>
      <c r="AU18" s="147"/>
      <c r="AV18" s="147"/>
      <c r="AW18" s="147"/>
      <c r="AX18" s="147"/>
      <c r="AY18" s="147"/>
      <c r="AZ18" s="147"/>
      <c r="BA18" s="147"/>
      <c r="BB18" s="147"/>
      <c r="BC18" s="147"/>
      <c r="BD18" s="147"/>
      <c r="BE18" s="147"/>
      <c r="BF18" s="147"/>
      <c r="BG18" s="147"/>
      <c r="BH18" s="147"/>
      <c r="BI18" s="147"/>
      <c r="BJ18" s="147"/>
      <c r="BK18" s="147"/>
      <c r="BL18" s="147"/>
      <c r="BM18" s="147"/>
      <c r="BN18" s="147"/>
      <c r="BO18" s="147"/>
      <c r="BP18" s="147"/>
      <c r="BQ18" s="147"/>
      <c r="BR18" s="147"/>
      <c r="BS18" s="147"/>
      <c r="BT18" s="147"/>
      <c r="BU18" s="147"/>
      <c r="BV18" s="147"/>
      <c r="BW18" s="147"/>
      <c r="BX18" s="147"/>
      <c r="BY18" s="147"/>
      <c r="BZ18" s="147"/>
      <c r="CA18" s="147"/>
      <c r="CB18" s="147"/>
      <c r="CC18" s="147"/>
      <c r="CD18" s="147"/>
      <c r="CE18" s="147"/>
      <c r="CF18" s="147"/>
      <c r="CG18" s="147"/>
      <c r="CH18" s="147"/>
      <c r="CI18" s="147"/>
      <c r="CJ18" s="147"/>
      <c r="CK18" s="147"/>
      <c r="CL18" s="147"/>
    </row>
    <row r="19" spans="1:94" s="153" customFormat="1" ht="25.5" x14ac:dyDescent="0.25">
      <c r="A19" s="238"/>
      <c r="B19" s="202"/>
      <c r="C19" s="239" t="s">
        <v>86</v>
      </c>
      <c r="D19" s="240" t="s">
        <v>87</v>
      </c>
      <c r="E19" s="241"/>
      <c r="F19" s="165"/>
      <c r="G19" s="166"/>
      <c r="H19" s="169"/>
      <c r="I19" s="170"/>
      <c r="J19" s="166"/>
      <c r="K19" s="166"/>
      <c r="L19" s="169"/>
      <c r="M19" s="166"/>
      <c r="N19" s="166"/>
      <c r="O19"/>
      <c r="P19"/>
      <c r="Q19"/>
      <c r="R19"/>
      <c r="S19"/>
      <c r="T19"/>
      <c r="U19"/>
      <c r="V19"/>
      <c r="W19"/>
      <c r="X19"/>
      <c r="Y19"/>
      <c r="Z19" s="344"/>
      <c r="AA19" s="363"/>
      <c r="AB19" s="363"/>
      <c r="AC19" s="363"/>
      <c r="AD19" s="329"/>
      <c r="AE19" s="147"/>
      <c r="AF19" s="147"/>
      <c r="AG19" s="147"/>
      <c r="AH19" s="147"/>
      <c r="AI19" s="147"/>
      <c r="AJ19" s="147"/>
      <c r="AK19" s="147"/>
      <c r="AL19" s="147"/>
      <c r="AM19" s="147"/>
      <c r="AN19" s="147"/>
      <c r="AO19" s="147"/>
      <c r="AP19" s="147"/>
      <c r="AQ19" s="147"/>
      <c r="AR19" s="147"/>
      <c r="AS19" s="147"/>
      <c r="AT19" s="147"/>
      <c r="AU19" s="147"/>
      <c r="AV19" s="147"/>
      <c r="AW19" s="147"/>
      <c r="AX19" s="147"/>
      <c r="AY19" s="147"/>
      <c r="AZ19" s="147"/>
      <c r="BA19" s="147"/>
      <c r="BB19" s="147"/>
      <c r="BC19" s="147"/>
      <c r="BD19" s="147"/>
      <c r="BE19" s="147"/>
      <c r="BF19" s="147"/>
      <c r="BG19" s="147"/>
      <c r="BH19" s="147"/>
      <c r="BI19" s="147"/>
      <c r="BJ19" s="147"/>
      <c r="BK19" s="147"/>
      <c r="BL19" s="147"/>
      <c r="BM19" s="147"/>
      <c r="BN19" s="147"/>
      <c r="BO19" s="147"/>
      <c r="BP19" s="147"/>
      <c r="BQ19" s="147"/>
      <c r="BR19" s="147"/>
      <c r="BS19" s="147"/>
      <c r="BT19" s="147"/>
      <c r="BU19" s="147"/>
      <c r="BV19" s="147"/>
      <c r="BW19" s="147"/>
      <c r="BX19" s="147"/>
      <c r="BY19" s="147"/>
      <c r="BZ19" s="147"/>
      <c r="CA19" s="147"/>
      <c r="CB19" s="147"/>
      <c r="CC19" s="147"/>
      <c r="CD19" s="147"/>
      <c r="CE19" s="147"/>
      <c r="CF19" s="147"/>
      <c r="CG19" s="147"/>
      <c r="CH19" s="147"/>
      <c r="CI19" s="147"/>
      <c r="CJ19" s="147"/>
      <c r="CK19" s="147"/>
      <c r="CL19" s="147"/>
      <c r="CM19" s="147"/>
      <c r="CN19" s="147"/>
      <c r="CO19" s="147"/>
      <c r="CP19" s="147"/>
    </row>
    <row r="20" spans="1:94" s="177" customFormat="1" ht="15" x14ac:dyDescent="0.25">
      <c r="A20" s="171"/>
      <c r="B20" s="172"/>
      <c r="C20" s="244"/>
      <c r="D20" s="242"/>
      <c r="E20" s="173"/>
      <c r="F20" s="174">
        <v>0</v>
      </c>
      <c r="G20" s="175">
        <v>0</v>
      </c>
      <c r="H20" s="176">
        <f t="shared" ref="H20:H30" si="0">IF(AND($F20&lt;&gt;0,$G20&lt;&gt;0,OR($E20=1,$E20=3)),$F20*Health,0)</f>
        <v>0</v>
      </c>
      <c r="I20" s="176">
        <f t="shared" ref="I20:I30" si="1">IF(AND($E20=1,$C20=""),$G20*PermVB+$G20*Retire1,IF($E20=1,$G20*PermVB+$G20*VLOOKUP($C20,Retirement_Rates,3,FALSE),IF($E20=2,$G20*GroupVB,IF(AND($E20=3,$C20=""),$G20*ElectVB+$G20*Retire1,IF($E20=3,$G20*ElectVB+$G20*VLOOKUP($C20,Retirement_Rates,3,FALSE),0)))))</f>
        <v>0</v>
      </c>
      <c r="J20" s="159">
        <f>IF($E20&gt;0,SUM($G20:$I20),0)</f>
        <v>0</v>
      </c>
      <c r="K20" s="166"/>
      <c r="L20" s="176">
        <f t="shared" ref="L20:L30" si="2">IF(AND($F20&lt;&gt;0,$G20&lt;&gt;0,OR($E20=1,$E20=3)),$F20*HealthCHG,0)</f>
        <v>0</v>
      </c>
      <c r="M20" s="176">
        <f>IF(AND($E20=1,$C20=""),$G20*PermVBCHG+$G20*Retire1CHG,IF($E20=1,$G20*PermVBCHG+$G20*VLOOKUP($C20,Retirement_Rates,5,FALSE),IF($E20=2,0,IF(AND($E20=3,$C20=""),$G20*ElectVBCHG+$G20*Retire1CHG,IF($E20=3,$G20*ElectVBCHG+$G20*VLOOKUP($C20,Retirement_Rates,5,FALSE),0)))))</f>
        <v>0</v>
      </c>
      <c r="N20" s="176">
        <f>SUM(L20:M20)</f>
        <v>0</v>
      </c>
      <c r="O20"/>
      <c r="P20"/>
      <c r="Q20"/>
      <c r="R20"/>
      <c r="S20"/>
      <c r="T20"/>
      <c r="U20"/>
      <c r="V20"/>
      <c r="W20"/>
      <c r="X20"/>
      <c r="Y20"/>
      <c r="Z20" s="344"/>
      <c r="AA20" s="363"/>
      <c r="AB20" s="363"/>
      <c r="AC20" s="363"/>
      <c r="AD20" s="329"/>
      <c r="AE20" s="147"/>
      <c r="AF20" s="147"/>
      <c r="AG20" s="147"/>
      <c r="AH20" s="147"/>
      <c r="AI20" s="147"/>
      <c r="AJ20" s="147"/>
      <c r="AK20" s="147"/>
      <c r="AL20" s="147"/>
      <c r="AM20" s="147"/>
      <c r="AN20" s="147"/>
      <c r="AO20" s="147"/>
      <c r="AP20" s="147"/>
      <c r="AQ20" s="147"/>
      <c r="AR20" s="147"/>
      <c r="AS20" s="147"/>
      <c r="AT20" s="147"/>
      <c r="AU20" s="147"/>
      <c r="AV20" s="147"/>
      <c r="AW20" s="147"/>
      <c r="AX20" s="147"/>
      <c r="AY20" s="147"/>
      <c r="AZ20" s="147"/>
      <c r="BA20" s="147"/>
      <c r="BB20" s="147"/>
      <c r="BC20" s="147"/>
      <c r="BD20" s="147"/>
      <c r="BE20" s="147"/>
      <c r="BF20" s="147"/>
      <c r="BG20" s="147"/>
      <c r="BH20" s="147"/>
      <c r="BI20" s="147"/>
      <c r="BJ20" s="147"/>
      <c r="BK20" s="147"/>
      <c r="BL20" s="147"/>
      <c r="BM20" s="147"/>
      <c r="BN20" s="147"/>
      <c r="BO20" s="147"/>
      <c r="BP20" s="147"/>
      <c r="BQ20" s="147"/>
      <c r="BR20" s="147"/>
      <c r="BS20" s="147"/>
      <c r="BT20" s="147"/>
      <c r="BU20" s="147"/>
      <c r="BV20" s="147"/>
      <c r="BW20" s="147"/>
      <c r="BX20" s="147"/>
      <c r="BY20" s="147"/>
      <c r="BZ20" s="147"/>
      <c r="CA20" s="147"/>
      <c r="CB20" s="147"/>
      <c r="CC20" s="147"/>
      <c r="CD20" s="147"/>
      <c r="CE20" s="147"/>
      <c r="CF20" s="147"/>
      <c r="CG20" s="147"/>
      <c r="CH20" s="147"/>
      <c r="CI20" s="147"/>
      <c r="CJ20" s="147"/>
      <c r="CK20" s="147"/>
      <c r="CL20" s="147"/>
      <c r="CM20" s="147"/>
      <c r="CN20" s="147"/>
      <c r="CO20" s="147"/>
      <c r="CP20" s="147"/>
    </row>
    <row r="21" spans="1:94" s="177" customFormat="1" ht="15" x14ac:dyDescent="0.25">
      <c r="A21" s="178"/>
      <c r="B21" s="179"/>
      <c r="C21" s="244"/>
      <c r="D21" s="242"/>
      <c r="E21" s="180"/>
      <c r="F21" s="181">
        <v>0</v>
      </c>
      <c r="G21" s="175">
        <v>0</v>
      </c>
      <c r="H21" s="176">
        <f t="shared" si="0"/>
        <v>0</v>
      </c>
      <c r="I21" s="176">
        <f t="shared" si="1"/>
        <v>0</v>
      </c>
      <c r="J21" s="159">
        <f t="shared" ref="J21:J35" si="3">IF($E21&gt;0,SUM($G21:$I21),0)</f>
        <v>0</v>
      </c>
      <c r="K21" s="166"/>
      <c r="L21" s="176">
        <f t="shared" si="2"/>
        <v>0</v>
      </c>
      <c r="M21" s="176">
        <f t="shared" ref="M21:M30" si="4">IF(AND($E21=1,$C21=""),$G21*PermVBCHG+$G21*Retire1CHG,IF($E21=1,$G21*PermVBCHG+$G21*VLOOKUP($C21,Retirement_Rates,5,FALSE),IF($E21=2,0,IF(AND($E21=3,$C21=""),$G21*ElectVBCHG+$G21*Retire1CHG,IF($E21=3,$G21*ElectVBCHG+$G21*VLOOKUP($C21,Retirement_Rates,5,FALSE),0)))))</f>
        <v>0</v>
      </c>
      <c r="N21" s="183">
        <f t="shared" ref="N21:N30" si="5">SUM(L21:M21)</f>
        <v>0</v>
      </c>
      <c r="O21"/>
      <c r="P21"/>
      <c r="Q21"/>
      <c r="R21"/>
      <c r="S21"/>
      <c r="T21"/>
      <c r="U21"/>
      <c r="V21"/>
      <c r="W21"/>
      <c r="X21"/>
      <c r="Y21"/>
      <c r="Z21" s="344"/>
      <c r="AA21" s="363"/>
      <c r="AB21" s="363"/>
      <c r="AC21" s="363"/>
      <c r="AD21" s="329"/>
      <c r="AE21" s="147"/>
      <c r="AF21" s="147"/>
      <c r="AG21" s="147"/>
      <c r="AH21" s="147"/>
      <c r="AI21" s="147"/>
      <c r="AJ21" s="147"/>
      <c r="AK21" s="147"/>
      <c r="AL21" s="147"/>
      <c r="AM21" s="147"/>
      <c r="AN21" s="147"/>
      <c r="AO21" s="147"/>
      <c r="AP21" s="147"/>
      <c r="AQ21" s="147"/>
      <c r="AR21" s="147"/>
      <c r="AS21" s="147"/>
      <c r="AT21" s="147"/>
      <c r="AU21" s="147"/>
      <c r="AV21" s="147"/>
      <c r="AW21" s="147"/>
      <c r="AX21" s="147"/>
      <c r="AY21" s="147"/>
      <c r="AZ21" s="147"/>
      <c r="BA21" s="147"/>
      <c r="BB21" s="147"/>
      <c r="BC21" s="147"/>
      <c r="BD21" s="147"/>
      <c r="BE21" s="147"/>
      <c r="BF21" s="147"/>
      <c r="BG21" s="147"/>
      <c r="BH21" s="147"/>
      <c r="BI21" s="147"/>
      <c r="BJ21" s="147"/>
      <c r="BK21" s="147"/>
      <c r="BL21" s="147"/>
      <c r="BM21" s="147"/>
      <c r="BN21" s="147"/>
      <c r="BO21" s="147"/>
      <c r="BP21" s="147"/>
      <c r="BQ21" s="147"/>
      <c r="BR21" s="147"/>
      <c r="BS21" s="147"/>
      <c r="BT21" s="147"/>
      <c r="BU21" s="147"/>
      <c r="BV21" s="147"/>
      <c r="BW21" s="147"/>
      <c r="BX21" s="147"/>
      <c r="BY21" s="147"/>
      <c r="BZ21" s="147"/>
      <c r="CA21" s="147"/>
      <c r="CB21" s="147"/>
      <c r="CC21" s="147"/>
      <c r="CD21" s="147"/>
      <c r="CE21" s="147"/>
      <c r="CF21" s="147"/>
      <c r="CG21" s="147"/>
      <c r="CH21" s="147"/>
      <c r="CI21" s="147"/>
      <c r="CJ21" s="147"/>
      <c r="CK21" s="147"/>
      <c r="CL21" s="147"/>
      <c r="CM21" s="147"/>
      <c r="CN21" s="147"/>
      <c r="CO21" s="147"/>
      <c r="CP21" s="147"/>
    </row>
    <row r="22" spans="1:94" s="177" customFormat="1" ht="15" x14ac:dyDescent="0.25">
      <c r="A22" s="178"/>
      <c r="B22" s="179"/>
      <c r="C22" s="244"/>
      <c r="D22" s="242"/>
      <c r="E22" s="180"/>
      <c r="F22" s="181">
        <v>0</v>
      </c>
      <c r="G22" s="175">
        <v>0</v>
      </c>
      <c r="H22" s="176">
        <f t="shared" si="0"/>
        <v>0</v>
      </c>
      <c r="I22" s="176">
        <f t="shared" si="1"/>
        <v>0</v>
      </c>
      <c r="J22" s="159">
        <f t="shared" si="3"/>
        <v>0</v>
      </c>
      <c r="K22" s="166"/>
      <c r="L22" s="176">
        <f t="shared" si="2"/>
        <v>0</v>
      </c>
      <c r="M22" s="176">
        <f t="shared" si="4"/>
        <v>0</v>
      </c>
      <c r="N22" s="183">
        <f t="shared" si="5"/>
        <v>0</v>
      </c>
      <c r="O22"/>
      <c r="P22"/>
      <c r="Q22"/>
      <c r="R22"/>
      <c r="S22"/>
      <c r="T22"/>
      <c r="U22"/>
      <c r="V22"/>
      <c r="W22"/>
      <c r="X22"/>
      <c r="Y22"/>
      <c r="Z22" s="344"/>
      <c r="AA22" s="363"/>
      <c r="AB22" s="363"/>
      <c r="AC22" s="363"/>
      <c r="AD22" s="329"/>
      <c r="AE22" s="147"/>
      <c r="AF22" s="147"/>
      <c r="AG22" s="147"/>
      <c r="AH22" s="147"/>
      <c r="AI22" s="147"/>
      <c r="AJ22" s="147"/>
      <c r="AK22" s="147"/>
      <c r="AL22" s="147"/>
      <c r="AM22" s="147"/>
      <c r="AN22" s="147"/>
      <c r="AO22" s="147"/>
      <c r="AP22" s="147"/>
      <c r="AQ22" s="147"/>
      <c r="AR22" s="147"/>
      <c r="AS22" s="147"/>
      <c r="AT22" s="147"/>
      <c r="AU22" s="147"/>
      <c r="AV22" s="147"/>
      <c r="AW22" s="147"/>
      <c r="AX22" s="147"/>
      <c r="AY22" s="147"/>
      <c r="AZ22" s="147"/>
      <c r="BA22" s="147"/>
      <c r="BB22" s="147"/>
      <c r="BC22" s="147"/>
      <c r="BD22" s="147"/>
      <c r="BE22" s="147"/>
      <c r="BF22" s="147"/>
      <c r="BG22" s="147"/>
      <c r="BH22" s="147"/>
      <c r="BI22" s="147"/>
      <c r="BJ22" s="147"/>
      <c r="BK22" s="147"/>
      <c r="BL22" s="147"/>
      <c r="BM22" s="147"/>
      <c r="BN22" s="147"/>
      <c r="BO22" s="147"/>
      <c r="BP22" s="147"/>
      <c r="BQ22" s="147"/>
      <c r="BR22" s="147"/>
      <c r="BS22" s="147"/>
      <c r="BT22" s="147"/>
      <c r="BU22" s="147"/>
      <c r="BV22" s="147"/>
      <c r="BW22" s="147"/>
      <c r="BX22" s="147"/>
      <c r="BY22" s="147"/>
      <c r="BZ22" s="147"/>
      <c r="CA22" s="147"/>
      <c r="CB22" s="147"/>
      <c r="CC22" s="147"/>
      <c r="CD22" s="147"/>
      <c r="CE22" s="147"/>
      <c r="CF22" s="147"/>
      <c r="CG22" s="147"/>
      <c r="CH22" s="147"/>
      <c r="CI22" s="147"/>
      <c r="CJ22" s="147"/>
      <c r="CK22" s="147"/>
      <c r="CL22" s="147"/>
      <c r="CM22" s="147"/>
      <c r="CN22" s="147"/>
      <c r="CO22" s="147"/>
      <c r="CP22" s="147"/>
    </row>
    <row r="23" spans="1:94" s="177" customFormat="1" ht="15" x14ac:dyDescent="0.25">
      <c r="A23" s="178"/>
      <c r="B23" s="179"/>
      <c r="C23" s="244"/>
      <c r="D23" s="242"/>
      <c r="E23" s="180"/>
      <c r="F23" s="181">
        <v>0</v>
      </c>
      <c r="G23" s="175">
        <v>0</v>
      </c>
      <c r="H23" s="176">
        <f t="shared" si="0"/>
        <v>0</v>
      </c>
      <c r="I23" s="176">
        <f t="shared" si="1"/>
        <v>0</v>
      </c>
      <c r="J23" s="159">
        <f t="shared" si="3"/>
        <v>0</v>
      </c>
      <c r="K23" s="166"/>
      <c r="L23" s="176">
        <f t="shared" si="2"/>
        <v>0</v>
      </c>
      <c r="M23" s="176">
        <f t="shared" si="4"/>
        <v>0</v>
      </c>
      <c r="N23" s="183">
        <f t="shared" si="5"/>
        <v>0</v>
      </c>
      <c r="O23"/>
      <c r="P23"/>
      <c r="Q23"/>
      <c r="R23"/>
      <c r="S23"/>
      <c r="T23"/>
      <c r="U23"/>
      <c r="V23"/>
      <c r="W23"/>
      <c r="X23"/>
      <c r="Y23"/>
      <c r="Z23" s="344"/>
      <c r="AA23" s="363"/>
      <c r="AB23" s="363"/>
      <c r="AC23" s="363"/>
      <c r="AD23" s="329"/>
      <c r="AE23" s="147"/>
      <c r="AF23" s="147"/>
      <c r="AG23" s="147"/>
      <c r="AH23" s="147"/>
      <c r="AI23" s="147"/>
      <c r="AJ23" s="147"/>
      <c r="AK23" s="147"/>
      <c r="AL23" s="147"/>
      <c r="AM23" s="147"/>
      <c r="AN23" s="147"/>
      <c r="AO23" s="147"/>
      <c r="AP23" s="147"/>
      <c r="AQ23" s="147"/>
      <c r="AR23" s="147"/>
      <c r="AS23" s="147"/>
      <c r="AT23" s="147"/>
      <c r="AU23" s="147"/>
      <c r="AV23" s="147"/>
      <c r="AW23" s="147"/>
      <c r="AX23" s="147"/>
      <c r="AY23" s="147"/>
      <c r="AZ23" s="147"/>
      <c r="BA23" s="147"/>
      <c r="BB23" s="147"/>
      <c r="BC23" s="147"/>
      <c r="BD23" s="147"/>
      <c r="BE23" s="147"/>
      <c r="BF23" s="147"/>
      <c r="BG23" s="147"/>
      <c r="BH23" s="147"/>
      <c r="BI23" s="147"/>
      <c r="BJ23" s="147"/>
      <c r="BK23" s="147"/>
      <c r="BL23" s="147"/>
      <c r="BM23" s="147"/>
      <c r="BN23" s="147"/>
      <c r="BO23" s="147"/>
      <c r="BP23" s="147"/>
      <c r="BQ23" s="147"/>
      <c r="BR23" s="147"/>
      <c r="BS23" s="147"/>
      <c r="BT23" s="147"/>
      <c r="BU23" s="147"/>
      <c r="BV23" s="147"/>
      <c r="BW23" s="147"/>
      <c r="BX23" s="147"/>
      <c r="BY23" s="147"/>
      <c r="BZ23" s="147"/>
      <c r="CA23" s="147"/>
      <c r="CB23" s="147"/>
      <c r="CC23" s="147"/>
      <c r="CD23" s="147"/>
      <c r="CE23" s="147"/>
      <c r="CF23" s="147"/>
      <c r="CG23" s="147"/>
      <c r="CH23" s="147"/>
      <c r="CI23" s="147"/>
      <c r="CJ23" s="147"/>
      <c r="CK23" s="147"/>
      <c r="CL23" s="147"/>
      <c r="CM23" s="147"/>
      <c r="CN23" s="147"/>
      <c r="CO23" s="147"/>
      <c r="CP23" s="147"/>
    </row>
    <row r="24" spans="1:94" s="177" customFormat="1" ht="15" x14ac:dyDescent="0.25">
      <c r="A24" s="178"/>
      <c r="B24" s="179"/>
      <c r="C24" s="244"/>
      <c r="D24" s="242"/>
      <c r="E24" s="180"/>
      <c r="F24" s="181">
        <v>0</v>
      </c>
      <c r="G24" s="175">
        <v>0</v>
      </c>
      <c r="H24" s="176">
        <f t="shared" si="0"/>
        <v>0</v>
      </c>
      <c r="I24" s="176">
        <f t="shared" si="1"/>
        <v>0</v>
      </c>
      <c r="J24" s="159">
        <f t="shared" si="3"/>
        <v>0</v>
      </c>
      <c r="K24" s="166"/>
      <c r="L24" s="176">
        <f t="shared" si="2"/>
        <v>0</v>
      </c>
      <c r="M24" s="176">
        <f t="shared" si="4"/>
        <v>0</v>
      </c>
      <c r="N24" s="183">
        <f t="shared" si="5"/>
        <v>0</v>
      </c>
      <c r="O24"/>
      <c r="P24"/>
      <c r="Q24"/>
      <c r="R24"/>
      <c r="S24"/>
      <c r="T24"/>
      <c r="U24"/>
      <c r="V24"/>
      <c r="W24"/>
      <c r="X24"/>
      <c r="Y24"/>
      <c r="Z24" s="344"/>
      <c r="AA24" s="345"/>
      <c r="AB24" s="363"/>
      <c r="AC24" s="363"/>
      <c r="AD24" s="329"/>
      <c r="AE24" s="147"/>
      <c r="AF24" s="147"/>
      <c r="AG24" s="147"/>
      <c r="AH24" s="147"/>
      <c r="AI24" s="147"/>
      <c r="AJ24" s="147"/>
      <c r="AK24" s="147"/>
      <c r="AL24" s="147"/>
      <c r="AM24" s="147"/>
      <c r="AN24" s="147"/>
      <c r="AO24" s="147"/>
      <c r="AP24" s="147"/>
      <c r="AQ24" s="147"/>
      <c r="AR24" s="147"/>
      <c r="AS24" s="147"/>
      <c r="AT24" s="147"/>
      <c r="AU24" s="147"/>
      <c r="AV24" s="147"/>
      <c r="AW24" s="147"/>
      <c r="AX24" s="147"/>
      <c r="AY24" s="147"/>
      <c r="AZ24" s="147"/>
      <c r="BA24" s="147"/>
      <c r="BB24" s="147"/>
      <c r="BC24" s="147"/>
      <c r="BD24" s="147"/>
      <c r="BE24" s="147"/>
      <c r="BF24" s="147"/>
      <c r="BG24" s="147"/>
      <c r="BH24" s="147"/>
      <c r="BI24" s="147"/>
      <c r="BJ24" s="147"/>
      <c r="BK24" s="147"/>
      <c r="BL24" s="147"/>
      <c r="BM24" s="147"/>
      <c r="BN24" s="147"/>
      <c r="BO24" s="147"/>
      <c r="BP24" s="147"/>
      <c r="BQ24" s="147"/>
      <c r="BR24" s="147"/>
      <c r="BS24" s="147"/>
      <c r="BT24" s="147"/>
      <c r="BU24" s="147"/>
      <c r="BV24" s="147"/>
      <c r="BW24" s="147"/>
      <c r="BX24" s="147"/>
      <c r="BY24" s="147"/>
      <c r="BZ24" s="147"/>
      <c r="CA24" s="147"/>
      <c r="CB24" s="147"/>
      <c r="CC24" s="147"/>
      <c r="CD24" s="147"/>
      <c r="CE24" s="147"/>
      <c r="CF24" s="147"/>
      <c r="CG24" s="147"/>
      <c r="CH24" s="147"/>
      <c r="CI24" s="147"/>
      <c r="CJ24" s="147"/>
      <c r="CK24" s="147"/>
      <c r="CL24" s="147"/>
      <c r="CM24" s="147"/>
      <c r="CN24" s="147"/>
      <c r="CO24" s="147"/>
      <c r="CP24" s="147"/>
    </row>
    <row r="25" spans="1:94" s="177" customFormat="1" ht="15" x14ac:dyDescent="0.25">
      <c r="A25" s="178"/>
      <c r="B25" s="179"/>
      <c r="C25" s="244"/>
      <c r="D25" s="242"/>
      <c r="E25" s="180"/>
      <c r="F25" s="181">
        <v>0</v>
      </c>
      <c r="G25" s="182">
        <v>0</v>
      </c>
      <c r="H25" s="176">
        <f t="shared" si="0"/>
        <v>0</v>
      </c>
      <c r="I25" s="176">
        <f t="shared" si="1"/>
        <v>0</v>
      </c>
      <c r="J25" s="159">
        <f t="shared" si="3"/>
        <v>0</v>
      </c>
      <c r="K25" s="166"/>
      <c r="L25" s="176">
        <f t="shared" si="2"/>
        <v>0</v>
      </c>
      <c r="M25" s="176">
        <f t="shared" si="4"/>
        <v>0</v>
      </c>
      <c r="N25" s="183">
        <f t="shared" si="5"/>
        <v>0</v>
      </c>
      <c r="O25"/>
      <c r="P25"/>
      <c r="Q25"/>
      <c r="R25"/>
      <c r="S25"/>
      <c r="T25"/>
      <c r="U25"/>
      <c r="V25"/>
      <c r="W25"/>
      <c r="X25"/>
      <c r="Y25"/>
      <c r="Z25" s="344"/>
      <c r="AA25" s="345"/>
      <c r="AB25" s="363"/>
      <c r="AC25" s="363"/>
      <c r="AD25" s="329"/>
      <c r="AE25" s="147"/>
      <c r="AF25" s="147"/>
      <c r="AG25" s="147"/>
      <c r="AH25" s="147"/>
      <c r="AI25" s="147"/>
      <c r="AJ25" s="147"/>
      <c r="AK25" s="147"/>
      <c r="AL25" s="147"/>
      <c r="AM25" s="147"/>
      <c r="AN25" s="147"/>
      <c r="AO25" s="147"/>
      <c r="AP25" s="147"/>
      <c r="AQ25" s="147"/>
      <c r="AR25" s="147"/>
      <c r="AS25" s="147"/>
      <c r="AT25" s="147"/>
      <c r="AU25" s="147"/>
      <c r="AV25" s="147"/>
      <c r="AW25" s="147"/>
      <c r="AX25" s="147"/>
      <c r="AY25" s="147"/>
      <c r="AZ25" s="147"/>
      <c r="BA25" s="147"/>
      <c r="BB25" s="147"/>
      <c r="BC25" s="147"/>
      <c r="BD25" s="147"/>
      <c r="BE25" s="147"/>
      <c r="BF25" s="147"/>
      <c r="BG25" s="147"/>
      <c r="BH25" s="147"/>
      <c r="BI25" s="147"/>
      <c r="BJ25" s="147"/>
      <c r="BK25" s="147"/>
      <c r="BL25" s="147"/>
      <c r="BM25" s="147"/>
      <c r="BN25" s="147"/>
      <c r="BO25" s="147"/>
      <c r="BP25" s="147"/>
      <c r="BQ25" s="147"/>
      <c r="BR25" s="147"/>
      <c r="BS25" s="147"/>
      <c r="BT25" s="147"/>
      <c r="BU25" s="147"/>
      <c r="BV25" s="147"/>
      <c r="BW25" s="147"/>
      <c r="BX25" s="147"/>
      <c r="BY25" s="147"/>
      <c r="BZ25" s="147"/>
      <c r="CA25" s="147"/>
      <c r="CB25" s="147"/>
      <c r="CC25" s="147"/>
      <c r="CD25" s="147"/>
      <c r="CE25" s="147"/>
      <c r="CF25" s="147"/>
      <c r="CG25" s="147"/>
      <c r="CH25" s="147"/>
      <c r="CI25" s="147"/>
      <c r="CJ25" s="147"/>
      <c r="CK25" s="147"/>
      <c r="CL25" s="147"/>
      <c r="CM25" s="147"/>
      <c r="CN25" s="147"/>
      <c r="CO25" s="147"/>
      <c r="CP25" s="147"/>
    </row>
    <row r="26" spans="1:94" s="177" customFormat="1" ht="15" x14ac:dyDescent="0.25">
      <c r="A26" s="178"/>
      <c r="B26" s="179"/>
      <c r="C26" s="244"/>
      <c r="D26" s="242"/>
      <c r="E26" s="180"/>
      <c r="F26" s="181">
        <v>0</v>
      </c>
      <c r="G26" s="182">
        <v>0</v>
      </c>
      <c r="H26" s="176">
        <f t="shared" si="0"/>
        <v>0</v>
      </c>
      <c r="I26" s="176">
        <f t="shared" si="1"/>
        <v>0</v>
      </c>
      <c r="J26" s="159">
        <f t="shared" si="3"/>
        <v>0</v>
      </c>
      <c r="K26" s="166"/>
      <c r="L26" s="176">
        <f t="shared" si="2"/>
        <v>0</v>
      </c>
      <c r="M26" s="176">
        <f t="shared" si="4"/>
        <v>0</v>
      </c>
      <c r="N26" s="183">
        <f t="shared" si="5"/>
        <v>0</v>
      </c>
      <c r="O26"/>
      <c r="P26"/>
      <c r="Q26"/>
      <c r="R26"/>
      <c r="S26"/>
      <c r="T26"/>
      <c r="U26"/>
      <c r="V26"/>
      <c r="W26"/>
      <c r="X26"/>
      <c r="Y26"/>
      <c r="Z26" s="344"/>
      <c r="AA26" s="345"/>
      <c r="AB26" s="363"/>
      <c r="AC26" s="363"/>
      <c r="AD26" s="329"/>
      <c r="AE26" s="147"/>
      <c r="AF26" s="147"/>
      <c r="AG26" s="147"/>
      <c r="AH26" s="147"/>
      <c r="AI26" s="147"/>
      <c r="AJ26" s="147"/>
      <c r="AK26" s="147"/>
      <c r="AL26" s="147"/>
      <c r="AM26" s="147"/>
      <c r="AN26" s="147"/>
      <c r="AO26" s="147"/>
      <c r="AP26" s="147"/>
      <c r="AQ26" s="147"/>
      <c r="AR26" s="147"/>
      <c r="AS26" s="147"/>
      <c r="AT26" s="147"/>
      <c r="AU26" s="147"/>
      <c r="AV26" s="147"/>
      <c r="AW26" s="147"/>
      <c r="AX26" s="147"/>
      <c r="AY26" s="147"/>
      <c r="AZ26" s="147"/>
      <c r="BA26" s="147"/>
      <c r="BB26" s="147"/>
      <c r="BC26" s="147"/>
      <c r="BD26" s="147"/>
      <c r="BE26" s="147"/>
      <c r="BF26" s="147"/>
      <c r="BG26" s="147"/>
      <c r="BH26" s="147"/>
      <c r="BI26" s="147"/>
      <c r="BJ26" s="147"/>
      <c r="BK26" s="147"/>
      <c r="BL26" s="147"/>
      <c r="BM26" s="147"/>
      <c r="BN26" s="147"/>
      <c r="BO26" s="147"/>
      <c r="BP26" s="147"/>
      <c r="BQ26" s="147"/>
      <c r="BR26" s="147"/>
      <c r="BS26" s="147"/>
      <c r="BT26" s="147"/>
      <c r="BU26" s="147"/>
      <c r="BV26" s="147"/>
      <c r="BW26" s="147"/>
      <c r="BX26" s="147"/>
      <c r="BY26" s="147"/>
      <c r="BZ26" s="147"/>
      <c r="CA26" s="147"/>
      <c r="CB26" s="147"/>
      <c r="CC26" s="147"/>
      <c r="CD26" s="147"/>
      <c r="CE26" s="147"/>
      <c r="CF26" s="147"/>
      <c r="CG26" s="147"/>
      <c r="CH26" s="147"/>
      <c r="CI26" s="147"/>
      <c r="CJ26" s="147"/>
      <c r="CK26" s="147"/>
      <c r="CL26" s="147"/>
      <c r="CM26" s="147"/>
      <c r="CN26" s="147"/>
      <c r="CO26" s="147"/>
      <c r="CP26" s="147"/>
    </row>
    <row r="27" spans="1:94" s="177" customFormat="1" ht="15" x14ac:dyDescent="0.25">
      <c r="A27" s="178"/>
      <c r="B27" s="179"/>
      <c r="C27" s="244"/>
      <c r="D27" s="242"/>
      <c r="E27" s="180"/>
      <c r="F27" s="181">
        <v>0</v>
      </c>
      <c r="G27" s="182">
        <v>0</v>
      </c>
      <c r="H27" s="176">
        <f t="shared" si="0"/>
        <v>0</v>
      </c>
      <c r="I27" s="176">
        <f t="shared" si="1"/>
        <v>0</v>
      </c>
      <c r="J27" s="159">
        <f t="shared" si="3"/>
        <v>0</v>
      </c>
      <c r="K27" s="166"/>
      <c r="L27" s="176">
        <f t="shared" si="2"/>
        <v>0</v>
      </c>
      <c r="M27" s="176">
        <f t="shared" si="4"/>
        <v>0</v>
      </c>
      <c r="N27" s="183">
        <f t="shared" si="5"/>
        <v>0</v>
      </c>
      <c r="O27"/>
      <c r="P27"/>
      <c r="Q27"/>
      <c r="R27"/>
      <c r="S27"/>
      <c r="T27"/>
      <c r="U27"/>
      <c r="V27"/>
      <c r="W27"/>
      <c r="X27"/>
      <c r="Y27"/>
      <c r="Z27" s="344"/>
      <c r="AA27" s="363"/>
      <c r="AB27" s="363"/>
      <c r="AC27" s="363"/>
      <c r="AD27" s="329"/>
      <c r="AE27" s="147"/>
      <c r="AF27" s="147"/>
      <c r="AG27" s="147"/>
      <c r="AH27" s="147"/>
      <c r="AI27" s="147"/>
      <c r="AJ27" s="147"/>
      <c r="AK27" s="147"/>
      <c r="AL27" s="147"/>
      <c r="AM27" s="147"/>
      <c r="AN27" s="147"/>
      <c r="AO27" s="147"/>
      <c r="AP27" s="147"/>
      <c r="AQ27" s="147"/>
      <c r="AR27" s="147"/>
      <c r="AS27" s="147"/>
      <c r="AT27" s="147"/>
      <c r="AU27" s="147"/>
      <c r="AV27" s="147"/>
      <c r="AW27" s="147"/>
      <c r="AX27" s="147"/>
      <c r="AY27" s="147"/>
      <c r="AZ27" s="147"/>
      <c r="BA27" s="147"/>
      <c r="BB27" s="147"/>
      <c r="BC27" s="147"/>
      <c r="BD27" s="147"/>
      <c r="BE27" s="147"/>
      <c r="BF27" s="147"/>
      <c r="BG27" s="147"/>
      <c r="BH27" s="147"/>
      <c r="BI27" s="147"/>
      <c r="BJ27" s="147"/>
      <c r="BK27" s="147"/>
      <c r="BL27" s="147"/>
      <c r="BM27" s="147"/>
      <c r="BN27" s="147"/>
      <c r="BO27" s="147"/>
      <c r="BP27" s="147"/>
      <c r="BQ27" s="147"/>
      <c r="BR27" s="147"/>
      <c r="BS27" s="147"/>
      <c r="BT27" s="147"/>
      <c r="BU27" s="147"/>
      <c r="BV27" s="147"/>
      <c r="BW27" s="147"/>
      <c r="BX27" s="147"/>
      <c r="BY27" s="147"/>
      <c r="BZ27" s="147"/>
      <c r="CA27" s="147"/>
      <c r="CB27" s="147"/>
      <c r="CC27" s="147"/>
      <c r="CD27" s="147"/>
      <c r="CE27" s="147"/>
      <c r="CF27" s="147"/>
      <c r="CG27" s="147"/>
      <c r="CH27" s="147"/>
      <c r="CI27" s="147"/>
      <c r="CJ27" s="147"/>
      <c r="CK27" s="147"/>
      <c r="CL27" s="147"/>
      <c r="CM27" s="147"/>
      <c r="CN27" s="147"/>
      <c r="CO27" s="147"/>
      <c r="CP27" s="147"/>
    </row>
    <row r="28" spans="1:94" s="177" customFormat="1" ht="15" x14ac:dyDescent="0.25">
      <c r="A28" s="178"/>
      <c r="B28" s="179"/>
      <c r="C28" s="244"/>
      <c r="D28" s="242"/>
      <c r="E28" s="180"/>
      <c r="F28" s="181">
        <v>0</v>
      </c>
      <c r="G28" s="182">
        <v>0</v>
      </c>
      <c r="H28" s="176">
        <f t="shared" si="0"/>
        <v>0</v>
      </c>
      <c r="I28" s="176">
        <f t="shared" si="1"/>
        <v>0</v>
      </c>
      <c r="J28" s="159">
        <f t="shared" si="3"/>
        <v>0</v>
      </c>
      <c r="K28" s="166"/>
      <c r="L28" s="176">
        <f t="shared" si="2"/>
        <v>0</v>
      </c>
      <c r="M28" s="176">
        <f t="shared" si="4"/>
        <v>0</v>
      </c>
      <c r="N28" s="183">
        <f t="shared" si="5"/>
        <v>0</v>
      </c>
      <c r="O28"/>
      <c r="P28"/>
      <c r="Q28"/>
      <c r="R28"/>
      <c r="S28"/>
      <c r="T28"/>
      <c r="U28"/>
      <c r="V28"/>
      <c r="W28"/>
      <c r="X28"/>
      <c r="Y28"/>
      <c r="Z28" s="344"/>
      <c r="AA28" s="363"/>
      <c r="AB28" s="363"/>
      <c r="AC28" s="363"/>
      <c r="AD28" s="329"/>
      <c r="AE28" s="147"/>
      <c r="AF28" s="147"/>
      <c r="AG28" s="147"/>
      <c r="AH28" s="147"/>
      <c r="AI28" s="147"/>
      <c r="AJ28" s="147"/>
      <c r="AK28" s="147"/>
      <c r="AL28" s="147"/>
      <c r="AM28" s="147"/>
      <c r="AN28" s="147"/>
      <c r="AO28" s="147"/>
      <c r="AP28" s="147"/>
      <c r="AQ28" s="147"/>
      <c r="AR28" s="147"/>
      <c r="AS28" s="147"/>
      <c r="AT28" s="147"/>
      <c r="AU28" s="147"/>
      <c r="AV28" s="147"/>
      <c r="AW28" s="147"/>
      <c r="AX28" s="147"/>
      <c r="AY28" s="147"/>
      <c r="AZ28" s="147"/>
      <c r="BA28" s="147"/>
      <c r="BB28" s="147"/>
      <c r="BC28" s="147"/>
      <c r="BD28" s="147"/>
      <c r="BE28" s="147"/>
      <c r="BF28" s="147"/>
      <c r="BG28" s="147"/>
      <c r="BH28" s="147"/>
      <c r="BI28" s="147"/>
      <c r="BJ28" s="147"/>
      <c r="BK28" s="147"/>
      <c r="BL28" s="147"/>
      <c r="BM28" s="147"/>
      <c r="BN28" s="147"/>
      <c r="BO28" s="147"/>
      <c r="BP28" s="147"/>
      <c r="BQ28" s="147"/>
      <c r="BR28" s="147"/>
      <c r="BS28" s="147"/>
      <c r="BT28" s="147"/>
      <c r="BU28" s="147"/>
      <c r="BV28" s="147"/>
      <c r="BW28" s="147"/>
      <c r="BX28" s="147"/>
      <c r="BY28" s="147"/>
      <c r="BZ28" s="147"/>
      <c r="CA28" s="147"/>
      <c r="CB28" s="147"/>
      <c r="CC28" s="147"/>
      <c r="CD28" s="147"/>
      <c r="CE28" s="147"/>
      <c r="CF28" s="147"/>
      <c r="CG28" s="147"/>
      <c r="CH28" s="147"/>
      <c r="CI28" s="147"/>
      <c r="CJ28" s="147"/>
      <c r="CK28" s="147"/>
      <c r="CL28" s="147"/>
      <c r="CM28" s="147"/>
      <c r="CN28" s="147"/>
      <c r="CO28" s="147"/>
      <c r="CP28" s="147"/>
    </row>
    <row r="29" spans="1:94" s="177" customFormat="1" ht="15" x14ac:dyDescent="0.25">
      <c r="A29" s="179"/>
      <c r="B29" s="179"/>
      <c r="C29" s="171"/>
      <c r="D29" s="243"/>
      <c r="E29" s="180"/>
      <c r="F29" s="181">
        <v>0</v>
      </c>
      <c r="G29" s="182">
        <v>0</v>
      </c>
      <c r="H29" s="176">
        <f t="shared" si="0"/>
        <v>0</v>
      </c>
      <c r="I29" s="176">
        <f t="shared" si="1"/>
        <v>0</v>
      </c>
      <c r="J29" s="159">
        <f t="shared" si="3"/>
        <v>0</v>
      </c>
      <c r="K29" s="166"/>
      <c r="L29" s="176">
        <f t="shared" si="2"/>
        <v>0</v>
      </c>
      <c r="M29" s="176">
        <f t="shared" si="4"/>
        <v>0</v>
      </c>
      <c r="N29" s="183">
        <f t="shared" si="5"/>
        <v>0</v>
      </c>
      <c r="O29"/>
      <c r="P29"/>
      <c r="Q29"/>
      <c r="R29"/>
      <c r="S29"/>
      <c r="T29"/>
      <c r="U29"/>
      <c r="V29"/>
      <c r="W29"/>
      <c r="X29"/>
      <c r="Y29"/>
      <c r="Z29" s="344"/>
      <c r="AA29" s="363"/>
      <c r="AB29" s="363"/>
      <c r="AC29" s="363"/>
      <c r="AD29" s="329"/>
      <c r="AE29" s="147"/>
      <c r="AF29" s="147"/>
      <c r="AG29" s="147"/>
      <c r="AH29" s="147"/>
      <c r="AI29" s="147"/>
      <c r="AJ29" s="147"/>
      <c r="AK29" s="147"/>
      <c r="AL29" s="147"/>
      <c r="AM29" s="147"/>
      <c r="AN29" s="147"/>
      <c r="AO29" s="147"/>
      <c r="AP29" s="147"/>
      <c r="AQ29" s="147"/>
      <c r="AR29" s="147"/>
      <c r="AS29" s="147"/>
      <c r="AT29" s="147"/>
      <c r="AU29" s="147"/>
      <c r="AV29" s="147"/>
      <c r="AW29" s="147"/>
      <c r="AX29" s="147"/>
      <c r="AY29" s="147"/>
      <c r="AZ29" s="147"/>
      <c r="BA29" s="147"/>
      <c r="BB29" s="147"/>
      <c r="BC29" s="147"/>
      <c r="BD29" s="147"/>
      <c r="BE29" s="147"/>
      <c r="BF29" s="147"/>
      <c r="BG29" s="147"/>
      <c r="BH29" s="147"/>
      <c r="BI29" s="147"/>
      <c r="BJ29" s="147"/>
      <c r="BK29" s="147"/>
      <c r="BL29" s="147"/>
      <c r="BM29" s="147"/>
      <c r="BN29" s="147"/>
      <c r="BO29" s="147"/>
      <c r="BP29" s="147"/>
      <c r="BQ29" s="147"/>
      <c r="BR29" s="147"/>
      <c r="BS29" s="147"/>
      <c r="BT29" s="147"/>
      <c r="BU29" s="147"/>
      <c r="BV29" s="147"/>
      <c r="BW29" s="147"/>
      <c r="BX29" s="147"/>
      <c r="BY29" s="147"/>
      <c r="BZ29" s="147"/>
      <c r="CA29" s="147"/>
      <c r="CB29" s="147"/>
      <c r="CC29" s="147"/>
      <c r="CD29" s="147"/>
      <c r="CE29" s="147"/>
      <c r="CF29" s="147"/>
      <c r="CG29" s="147"/>
      <c r="CH29" s="147"/>
      <c r="CI29" s="147"/>
      <c r="CJ29" s="147"/>
      <c r="CK29" s="147"/>
      <c r="CL29" s="147"/>
      <c r="CM29" s="147"/>
      <c r="CN29" s="147"/>
      <c r="CO29" s="147"/>
      <c r="CP29" s="147"/>
    </row>
    <row r="30" spans="1:94" s="177" customFormat="1" ht="15" x14ac:dyDescent="0.25">
      <c r="A30" s="179"/>
      <c r="B30" s="184"/>
      <c r="C30" s="171"/>
      <c r="D30" s="243"/>
      <c r="E30" s="180"/>
      <c r="F30" s="181">
        <v>0</v>
      </c>
      <c r="G30" s="182">
        <v>0</v>
      </c>
      <c r="H30" s="176">
        <f t="shared" si="0"/>
        <v>0</v>
      </c>
      <c r="I30" s="176">
        <f t="shared" si="1"/>
        <v>0</v>
      </c>
      <c r="J30" s="159">
        <f t="shared" si="3"/>
        <v>0</v>
      </c>
      <c r="K30" s="166"/>
      <c r="L30" s="176">
        <f t="shared" si="2"/>
        <v>0</v>
      </c>
      <c r="M30" s="176">
        <f t="shared" si="4"/>
        <v>0</v>
      </c>
      <c r="N30" s="183">
        <f t="shared" si="5"/>
        <v>0</v>
      </c>
      <c r="O30"/>
      <c r="P30"/>
      <c r="Q30"/>
      <c r="R30"/>
      <c r="S30"/>
      <c r="T30"/>
      <c r="U30"/>
      <c r="V30"/>
      <c r="W30"/>
      <c r="X30"/>
      <c r="Y30"/>
      <c r="Z30" s="344"/>
      <c r="AA30" s="363"/>
      <c r="AB30" s="363"/>
      <c r="AC30" s="363"/>
      <c r="AD30" s="329"/>
      <c r="AE30" s="147"/>
      <c r="AF30" s="147"/>
      <c r="AG30" s="147"/>
      <c r="AH30" s="147"/>
      <c r="AI30" s="147"/>
      <c r="AJ30" s="147"/>
      <c r="AK30" s="147"/>
      <c r="AL30" s="147"/>
      <c r="AM30" s="147"/>
      <c r="AN30" s="147"/>
      <c r="AO30" s="147"/>
      <c r="AP30" s="147"/>
      <c r="AQ30" s="147"/>
      <c r="AR30" s="147"/>
      <c r="AS30" s="147"/>
      <c r="AT30" s="147"/>
      <c r="AU30" s="147"/>
      <c r="AV30" s="147"/>
      <c r="AW30" s="147"/>
      <c r="AX30" s="147"/>
      <c r="AY30" s="147"/>
      <c r="AZ30" s="147"/>
      <c r="BA30" s="147"/>
      <c r="BB30" s="147"/>
      <c r="BC30" s="147"/>
      <c r="BD30" s="147"/>
      <c r="BE30" s="147"/>
      <c r="BF30" s="147"/>
      <c r="BG30" s="147"/>
      <c r="BH30" s="147"/>
      <c r="BI30" s="147"/>
      <c r="BJ30" s="147"/>
      <c r="BK30" s="147"/>
      <c r="BL30" s="147"/>
      <c r="BM30" s="147"/>
      <c r="BN30" s="147"/>
      <c r="BO30" s="147"/>
      <c r="BP30" s="147"/>
      <c r="BQ30" s="147"/>
      <c r="BR30" s="147"/>
      <c r="BS30" s="147"/>
      <c r="BT30" s="147"/>
      <c r="BU30" s="147"/>
      <c r="BV30" s="147"/>
      <c r="BW30" s="147"/>
      <c r="BX30" s="147"/>
      <c r="BY30" s="147"/>
      <c r="BZ30" s="147"/>
      <c r="CA30" s="147"/>
      <c r="CB30" s="147"/>
      <c r="CC30" s="147"/>
      <c r="CD30" s="147"/>
      <c r="CE30" s="147"/>
      <c r="CF30" s="147"/>
      <c r="CG30" s="147"/>
      <c r="CH30" s="147"/>
      <c r="CI30" s="147"/>
      <c r="CJ30" s="147"/>
      <c r="CK30" s="147"/>
      <c r="CL30" s="147"/>
      <c r="CM30" s="147"/>
      <c r="CN30" s="147"/>
      <c r="CO30" s="147"/>
      <c r="CP30" s="147"/>
    </row>
    <row r="31" spans="1:94" s="153" customFormat="1" ht="15" x14ac:dyDescent="0.25">
      <c r="A31" s="139"/>
      <c r="B31" s="168"/>
      <c r="C31" s="245"/>
      <c r="D31" s="246" t="s">
        <v>36</v>
      </c>
      <c r="E31" s="150"/>
      <c r="F31" s="165"/>
      <c r="G31" s="166"/>
      <c r="H31" s="166"/>
      <c r="I31" s="166"/>
      <c r="J31" s="166"/>
      <c r="K31" s="166"/>
      <c r="L31" s="166"/>
      <c r="M31" s="166"/>
      <c r="N31" s="166"/>
      <c r="O31"/>
      <c r="P31"/>
      <c r="Q31"/>
      <c r="R31"/>
      <c r="S31"/>
      <c r="T31"/>
      <c r="U31"/>
      <c r="V31"/>
      <c r="W31"/>
      <c r="X31"/>
      <c r="Y31"/>
      <c r="Z31" s="344"/>
      <c r="AA31" s="363"/>
      <c r="AB31" s="363"/>
      <c r="AC31" s="363"/>
      <c r="AD31" s="329"/>
      <c r="AE31" s="147"/>
      <c r="AF31" s="147"/>
      <c r="AG31" s="147"/>
      <c r="AH31" s="147"/>
      <c r="AI31" s="147"/>
      <c r="AJ31" s="147"/>
      <c r="AK31" s="147"/>
      <c r="AL31" s="147"/>
      <c r="AM31" s="147"/>
      <c r="AN31" s="147"/>
      <c r="AO31" s="147"/>
      <c r="AP31" s="147"/>
      <c r="AQ31" s="147"/>
      <c r="AR31" s="147"/>
      <c r="AS31" s="147"/>
      <c r="AT31" s="147"/>
      <c r="AU31" s="147"/>
      <c r="AV31" s="147"/>
      <c r="AW31" s="147"/>
      <c r="AX31" s="147"/>
      <c r="AY31" s="147"/>
      <c r="AZ31" s="147"/>
      <c r="BA31" s="147"/>
      <c r="BB31" s="147"/>
      <c r="BC31" s="147"/>
      <c r="BD31" s="147"/>
      <c r="BE31" s="147"/>
      <c r="BF31" s="147"/>
      <c r="BG31" s="147"/>
      <c r="BH31" s="147"/>
      <c r="BI31" s="147"/>
      <c r="BJ31" s="147"/>
      <c r="BK31" s="147"/>
      <c r="BL31" s="147"/>
      <c r="BM31" s="147"/>
      <c r="BN31" s="147"/>
      <c r="BO31" s="147"/>
      <c r="BP31" s="147"/>
      <c r="BQ31" s="147"/>
      <c r="BR31" s="147"/>
      <c r="BS31" s="147"/>
      <c r="BT31" s="147"/>
      <c r="BU31" s="147"/>
      <c r="BV31" s="147"/>
      <c r="BW31" s="147"/>
      <c r="BX31" s="147"/>
      <c r="BY31" s="147"/>
      <c r="BZ31" s="147"/>
      <c r="CA31" s="147"/>
      <c r="CB31" s="147"/>
      <c r="CC31" s="147"/>
      <c r="CD31" s="147"/>
      <c r="CE31" s="147"/>
      <c r="CF31" s="147"/>
      <c r="CG31" s="147"/>
      <c r="CH31" s="147"/>
      <c r="CI31" s="147"/>
      <c r="CJ31" s="147"/>
      <c r="CK31" s="147"/>
      <c r="CL31" s="147"/>
      <c r="CM31" s="147"/>
      <c r="CN31" s="147"/>
      <c r="CO31" s="147"/>
      <c r="CP31" s="147"/>
    </row>
    <row r="32" spans="1:94" s="177" customFormat="1" ht="15" x14ac:dyDescent="0.25">
      <c r="A32" s="185"/>
      <c r="B32" s="185"/>
      <c r="C32" s="244"/>
      <c r="D32" s="242"/>
      <c r="E32" s="173"/>
      <c r="F32" s="174">
        <v>0</v>
      </c>
      <c r="G32" s="175">
        <v>0</v>
      </c>
      <c r="H32" s="176">
        <f t="shared" ref="H32:H35" si="6">IF(AND($F32&lt;&gt;0,$G32&lt;&gt;0,OR($E32=1,$E32=3)),$F32*Health,0)</f>
        <v>0</v>
      </c>
      <c r="I32" s="176">
        <f t="shared" ref="I32:I34" si="7">IF(AND($E32=1,$C32=""),$G32*PermVB+$G32*Retire1,IF($E32=1,$G32*PermVB+$G32*VLOOKUP($C32,Retirement_Rates,3,FALSE),IF($E32=2,$G32*GroupVB,IF(AND($E32=3,$C32=""),$G32*ElectVB+$G32*Retire1,IF($E32=3,$G32*ElectVB+$G32*VLOOKUP($C32,Retirement_Rates,3,FALSE),0)))))</f>
        <v>0</v>
      </c>
      <c r="J32" s="279">
        <f t="shared" si="3"/>
        <v>0</v>
      </c>
      <c r="K32" s="166"/>
      <c r="L32" s="176">
        <f t="shared" ref="L32:L35" si="8">IF(AND($F32&lt;&gt;0,$G32&lt;&gt;0,OR($E32=1,$E32=3)),$F32*HealthCHG,0)</f>
        <v>0</v>
      </c>
      <c r="M32" s="176">
        <f t="shared" ref="M32:M35" si="9">IF(AND($E32=1,$C32=""),$G32*PermVBCHG+$G32*Retire1CHG,IF($E32=1,$G32*PermVBCHG+$G32*VLOOKUP($C32,Retirement_Rates,5,FALSE),IF($E32=2,0,IF(AND($E32=3,$C32=""),$G32*ElectVBCHG+$G32*Retire1CHG,IF($E32=3,$G32*ElectVBCHG+$G32*VLOOKUP($C32,Retirement_Rates,5,FALSE),0)))))</f>
        <v>0</v>
      </c>
      <c r="N32" s="176">
        <f t="shared" ref="N32:N35" si="10">SUM(L32:M32)</f>
        <v>0</v>
      </c>
      <c r="O32"/>
      <c r="P32"/>
      <c r="Q32"/>
      <c r="R32"/>
      <c r="S32"/>
      <c r="T32"/>
      <c r="U32"/>
      <c r="V32"/>
      <c r="W32"/>
      <c r="X32"/>
      <c r="Y32"/>
      <c r="Z32" s="344"/>
      <c r="AA32" s="363"/>
      <c r="AB32" s="363"/>
      <c r="AC32" s="363"/>
      <c r="AD32" s="329"/>
      <c r="AE32" s="147"/>
      <c r="AF32" s="147"/>
      <c r="AG32" s="147"/>
      <c r="AH32" s="147"/>
      <c r="AI32" s="147"/>
      <c r="AJ32" s="147"/>
      <c r="AK32" s="147"/>
      <c r="AL32" s="147"/>
      <c r="AM32" s="147"/>
      <c r="AN32" s="147"/>
      <c r="AO32" s="147"/>
      <c r="AP32" s="147"/>
      <c r="AQ32" s="147"/>
      <c r="AR32" s="147"/>
      <c r="AS32" s="147"/>
      <c r="AT32" s="147"/>
      <c r="AU32" s="147"/>
      <c r="AV32" s="147"/>
      <c r="AW32" s="147"/>
      <c r="AX32" s="147"/>
      <c r="AY32" s="147"/>
      <c r="AZ32" s="147"/>
      <c r="BA32" s="147"/>
      <c r="BB32" s="147"/>
      <c r="BC32" s="147"/>
      <c r="BD32" s="147"/>
      <c r="BE32" s="147"/>
      <c r="BF32" s="147"/>
      <c r="BG32" s="147"/>
      <c r="BH32" s="147"/>
      <c r="BI32" s="147"/>
      <c r="BJ32" s="147"/>
      <c r="BK32" s="147"/>
      <c r="BL32" s="147"/>
      <c r="BM32" s="147"/>
      <c r="BN32" s="147"/>
      <c r="BO32" s="147"/>
      <c r="BP32" s="147"/>
      <c r="BQ32" s="147"/>
      <c r="BR32" s="147"/>
      <c r="BS32" s="147"/>
      <c r="BT32" s="147"/>
      <c r="BU32" s="147"/>
      <c r="BV32" s="147"/>
      <c r="BW32" s="147"/>
      <c r="BX32" s="147"/>
      <c r="BY32" s="147"/>
      <c r="BZ32" s="147"/>
      <c r="CA32" s="147"/>
      <c r="CB32" s="147"/>
      <c r="CC32" s="147"/>
      <c r="CD32" s="147"/>
      <c r="CE32" s="147"/>
      <c r="CF32" s="147"/>
      <c r="CG32" s="147"/>
      <c r="CH32" s="147"/>
      <c r="CI32" s="147"/>
      <c r="CJ32" s="147"/>
      <c r="CK32" s="147"/>
      <c r="CL32" s="147"/>
      <c r="CM32" s="147"/>
      <c r="CN32" s="147"/>
      <c r="CO32" s="147"/>
      <c r="CP32" s="147"/>
    </row>
    <row r="33" spans="1:94" s="177" customFormat="1" ht="15" x14ac:dyDescent="0.25">
      <c r="A33" s="186"/>
      <c r="B33" s="187"/>
      <c r="C33" s="244"/>
      <c r="D33" s="242"/>
      <c r="E33" s="180"/>
      <c r="F33" s="181">
        <v>0</v>
      </c>
      <c r="G33" s="182">
        <v>0</v>
      </c>
      <c r="H33" s="176">
        <f t="shared" si="6"/>
        <v>0</v>
      </c>
      <c r="I33" s="176">
        <f t="shared" si="7"/>
        <v>0</v>
      </c>
      <c r="J33" s="279">
        <f t="shared" si="3"/>
        <v>0</v>
      </c>
      <c r="K33" s="166"/>
      <c r="L33" s="176">
        <f t="shared" si="8"/>
        <v>0</v>
      </c>
      <c r="M33" s="176">
        <f t="shared" si="9"/>
        <v>0</v>
      </c>
      <c r="N33" s="183">
        <f t="shared" si="10"/>
        <v>0</v>
      </c>
      <c r="O33"/>
      <c r="P33"/>
      <c r="Q33"/>
      <c r="R33"/>
      <c r="S33"/>
      <c r="T33"/>
      <c r="U33"/>
      <c r="V33"/>
      <c r="W33"/>
      <c r="X33"/>
      <c r="Y33"/>
      <c r="Z33" s="344"/>
      <c r="AA33" s="363"/>
      <c r="AB33" s="363"/>
      <c r="AC33" s="363"/>
      <c r="AD33" s="329"/>
      <c r="AE33" s="147"/>
      <c r="AF33" s="147"/>
      <c r="AG33" s="147"/>
      <c r="AH33" s="147"/>
      <c r="AI33" s="147"/>
      <c r="AJ33" s="147"/>
      <c r="AK33" s="147"/>
      <c r="AL33" s="147"/>
      <c r="AM33" s="147"/>
      <c r="AN33" s="147"/>
      <c r="AO33" s="147"/>
      <c r="AP33" s="147"/>
      <c r="AQ33" s="147"/>
      <c r="AR33" s="147"/>
      <c r="AS33" s="147"/>
      <c r="AT33" s="147"/>
      <c r="AU33" s="147"/>
      <c r="AV33" s="147"/>
      <c r="AW33" s="147"/>
      <c r="AX33" s="147"/>
      <c r="AY33" s="147"/>
      <c r="AZ33" s="147"/>
      <c r="BA33" s="147"/>
      <c r="BB33" s="147"/>
      <c r="BC33" s="147"/>
      <c r="BD33" s="147"/>
      <c r="BE33" s="147"/>
      <c r="BF33" s="147"/>
      <c r="BG33" s="147"/>
      <c r="BH33" s="147"/>
      <c r="BI33" s="147"/>
      <c r="BJ33" s="147"/>
      <c r="BK33" s="147"/>
      <c r="BL33" s="147"/>
      <c r="BM33" s="147"/>
      <c r="BN33" s="147"/>
      <c r="BO33" s="147"/>
      <c r="BP33" s="147"/>
      <c r="BQ33" s="147"/>
      <c r="BR33" s="147"/>
      <c r="BS33" s="147"/>
      <c r="BT33" s="147"/>
      <c r="BU33" s="147"/>
      <c r="BV33" s="147"/>
      <c r="BW33" s="147"/>
      <c r="BX33" s="147"/>
      <c r="BY33" s="147"/>
      <c r="BZ33" s="147"/>
      <c r="CA33" s="147"/>
      <c r="CB33" s="147"/>
      <c r="CC33" s="147"/>
      <c r="CD33" s="147"/>
      <c r="CE33" s="147"/>
      <c r="CF33" s="147"/>
      <c r="CG33" s="147"/>
      <c r="CH33" s="147"/>
      <c r="CI33" s="147"/>
      <c r="CJ33" s="147"/>
      <c r="CK33" s="147"/>
      <c r="CL33" s="147"/>
      <c r="CM33" s="147"/>
      <c r="CN33" s="147"/>
      <c r="CO33" s="147"/>
      <c r="CP33" s="147"/>
    </row>
    <row r="34" spans="1:94" s="177" customFormat="1" ht="15" x14ac:dyDescent="0.25">
      <c r="A34" s="186"/>
      <c r="B34" s="187"/>
      <c r="C34" s="244"/>
      <c r="D34" s="242"/>
      <c r="E34" s="180"/>
      <c r="F34" s="181">
        <v>0</v>
      </c>
      <c r="G34" s="182">
        <v>0</v>
      </c>
      <c r="H34" s="176">
        <f t="shared" si="6"/>
        <v>0</v>
      </c>
      <c r="I34" s="176">
        <f t="shared" si="7"/>
        <v>0</v>
      </c>
      <c r="J34" s="279">
        <f t="shared" si="3"/>
        <v>0</v>
      </c>
      <c r="K34" s="280"/>
      <c r="L34" s="176">
        <f t="shared" si="8"/>
        <v>0</v>
      </c>
      <c r="M34" s="176">
        <f t="shared" si="9"/>
        <v>0</v>
      </c>
      <c r="N34" s="183">
        <f t="shared" si="10"/>
        <v>0</v>
      </c>
      <c r="O34"/>
      <c r="P34"/>
      <c r="Q34"/>
      <c r="R34"/>
      <c r="S34"/>
      <c r="T34"/>
      <c r="U34"/>
      <c r="V34"/>
      <c r="W34"/>
      <c r="X34"/>
      <c r="Y34"/>
      <c r="Z34" s="344"/>
      <c r="AA34" s="363"/>
      <c r="AB34" s="363"/>
      <c r="AC34" s="363"/>
      <c r="AD34" s="329"/>
      <c r="AE34" s="147"/>
      <c r="AF34" s="147"/>
      <c r="AG34" s="147"/>
      <c r="AH34" s="147"/>
      <c r="AI34" s="147"/>
      <c r="AJ34" s="147"/>
      <c r="AK34" s="147"/>
      <c r="AL34" s="147"/>
      <c r="AM34" s="147"/>
      <c r="AN34" s="147"/>
      <c r="AO34" s="147"/>
      <c r="AP34" s="147"/>
      <c r="AQ34" s="147"/>
      <c r="AR34" s="147"/>
      <c r="AS34" s="147"/>
      <c r="AT34" s="147"/>
      <c r="AU34" s="147"/>
      <c r="AV34" s="147"/>
      <c r="AW34" s="147"/>
      <c r="AX34" s="147"/>
      <c r="AY34" s="147"/>
      <c r="AZ34" s="147"/>
      <c r="BA34" s="147"/>
      <c r="BB34" s="147"/>
      <c r="BC34" s="147"/>
      <c r="BD34" s="147"/>
      <c r="BE34" s="147"/>
      <c r="BF34" s="147"/>
      <c r="BG34" s="147"/>
      <c r="BH34" s="147"/>
      <c r="BI34" s="147"/>
      <c r="BJ34" s="147"/>
      <c r="BK34" s="147"/>
      <c r="BL34" s="147"/>
      <c r="BM34" s="147"/>
      <c r="BN34" s="147"/>
      <c r="BO34" s="147"/>
      <c r="BP34" s="147"/>
      <c r="BQ34" s="147"/>
      <c r="BR34" s="147"/>
      <c r="BS34" s="147"/>
      <c r="BT34" s="147"/>
      <c r="BU34" s="147"/>
      <c r="BV34" s="147"/>
      <c r="BW34" s="147"/>
      <c r="BX34" s="147"/>
      <c r="BY34" s="147"/>
      <c r="BZ34" s="147"/>
      <c r="CA34" s="147"/>
      <c r="CB34" s="147"/>
      <c r="CC34" s="147"/>
      <c r="CD34" s="147"/>
      <c r="CE34" s="147"/>
      <c r="CF34" s="147"/>
      <c r="CG34" s="147"/>
      <c r="CH34" s="147"/>
      <c r="CI34" s="147"/>
      <c r="CJ34" s="147"/>
      <c r="CK34" s="147"/>
      <c r="CL34" s="147"/>
      <c r="CM34" s="147"/>
      <c r="CN34" s="147"/>
      <c r="CO34" s="147"/>
      <c r="CP34" s="147"/>
    </row>
    <row r="35" spans="1:94" s="177" customFormat="1" ht="15" x14ac:dyDescent="0.25">
      <c r="A35" s="186"/>
      <c r="B35" s="187"/>
      <c r="C35" s="244"/>
      <c r="D35" s="242"/>
      <c r="E35" s="180"/>
      <c r="F35" s="181">
        <v>0</v>
      </c>
      <c r="G35" s="182">
        <v>0</v>
      </c>
      <c r="H35" s="176">
        <f t="shared" si="6"/>
        <v>0</v>
      </c>
      <c r="I35" s="176">
        <f>IF(AND($E35=1,$C35=""),$G35*(PermVB+Retire1),IF($E35=1,$G35*PermVB+$G35*VLOOKUP($C35,Retirement_Rates,3,FALSE),IF($E35=2,$G35*GroupVB,IF(AND($E35=3,$C35=""),$G35*ElectVB+$G35*Retire1,IF($E35=3,$G35*ElectVB+$G35*VLOOKUP($C35,Retirement_Rates,3,FALSE),0)))))</f>
        <v>0</v>
      </c>
      <c r="J35" s="279">
        <f t="shared" si="3"/>
        <v>0</v>
      </c>
      <c r="K35" s="309"/>
      <c r="L35" s="176">
        <f t="shared" si="8"/>
        <v>0</v>
      </c>
      <c r="M35" s="176">
        <f t="shared" si="9"/>
        <v>0</v>
      </c>
      <c r="N35" s="183">
        <f t="shared" si="10"/>
        <v>0</v>
      </c>
      <c r="O35"/>
      <c r="P35"/>
      <c r="Q35"/>
      <c r="R35"/>
      <c r="S35"/>
      <c r="T35"/>
      <c r="U35"/>
      <c r="V35"/>
      <c r="W35"/>
      <c r="X35"/>
      <c r="Y35"/>
      <c r="Z35" s="344"/>
      <c r="AA35" s="363"/>
      <c r="AB35" s="363"/>
      <c r="AC35" s="363"/>
      <c r="AD35" s="329"/>
      <c r="AE35" s="147"/>
      <c r="AF35" s="147"/>
      <c r="AG35" s="147"/>
      <c r="AH35" s="147"/>
      <c r="AI35" s="147"/>
      <c r="AJ35" s="147"/>
      <c r="AK35" s="147"/>
      <c r="AL35" s="147"/>
      <c r="AM35" s="147"/>
      <c r="AN35" s="147"/>
      <c r="AO35" s="147"/>
      <c r="AP35" s="147"/>
      <c r="AQ35" s="147"/>
      <c r="AR35" s="147"/>
      <c r="AS35" s="147"/>
      <c r="AT35" s="147"/>
      <c r="AU35" s="147"/>
      <c r="AV35" s="147"/>
      <c r="AW35" s="147"/>
      <c r="AX35" s="147"/>
      <c r="AY35" s="147"/>
      <c r="AZ35" s="147"/>
      <c r="BA35" s="147"/>
      <c r="BB35" s="147"/>
      <c r="BC35" s="147"/>
      <c r="BD35" s="147"/>
      <c r="BE35" s="147"/>
      <c r="BF35" s="147"/>
      <c r="BG35" s="147"/>
      <c r="BH35" s="147"/>
      <c r="BI35" s="147"/>
      <c r="BJ35" s="147"/>
      <c r="BK35" s="147"/>
      <c r="BL35" s="147"/>
      <c r="BM35" s="147"/>
      <c r="BN35" s="147"/>
      <c r="BO35" s="147"/>
      <c r="BP35" s="147"/>
      <c r="BQ35" s="147"/>
      <c r="BR35" s="147"/>
      <c r="BS35" s="147"/>
      <c r="BT35" s="147"/>
      <c r="BU35" s="147"/>
      <c r="BV35" s="147"/>
      <c r="BW35" s="147"/>
      <c r="BX35" s="147"/>
      <c r="BY35" s="147"/>
      <c r="BZ35" s="147"/>
      <c r="CA35" s="147"/>
      <c r="CB35" s="147"/>
      <c r="CC35" s="147"/>
      <c r="CD35" s="147"/>
      <c r="CE35" s="147"/>
      <c r="CF35" s="147"/>
      <c r="CG35" s="147"/>
      <c r="CH35" s="147"/>
      <c r="CI35" s="147"/>
      <c r="CJ35" s="147"/>
      <c r="CK35" s="147"/>
      <c r="CL35" s="147"/>
      <c r="CM35" s="147"/>
      <c r="CN35" s="147"/>
      <c r="CO35" s="147"/>
      <c r="CP35" s="147"/>
    </row>
    <row r="36" spans="1:94" s="213" customFormat="1" ht="15" x14ac:dyDescent="0.25">
      <c r="A36" s="281"/>
      <c r="B36" s="282"/>
      <c r="C36" s="283"/>
      <c r="D36" s="284"/>
      <c r="E36" s="285"/>
      <c r="F36" s="197"/>
      <c r="G36" s="259"/>
      <c r="H36" s="259"/>
      <c r="I36" s="259"/>
      <c r="J36" s="286"/>
      <c r="K36" s="280"/>
      <c r="L36" s="321"/>
      <c r="M36" s="259"/>
      <c r="N36" s="259"/>
      <c r="O36"/>
      <c r="P36"/>
      <c r="Q36"/>
      <c r="R36"/>
      <c r="S36"/>
      <c r="T36"/>
      <c r="U36"/>
      <c r="V36"/>
      <c r="W36"/>
      <c r="X36"/>
      <c r="Y36"/>
      <c r="Z36" s="344"/>
      <c r="AA36" s="363" t="s">
        <v>94</v>
      </c>
      <c r="AB36" s="333" t="s">
        <v>95</v>
      </c>
      <c r="AC36" s="333" t="s">
        <v>106</v>
      </c>
      <c r="AD36" s="330"/>
    </row>
    <row r="37" spans="1:94" s="153" customFormat="1" ht="17.25" customHeight="1" x14ac:dyDescent="0.25">
      <c r="A37" s="139"/>
      <c r="B37" s="188"/>
      <c r="C37" s="459" t="s">
        <v>37</v>
      </c>
      <c r="D37" s="460"/>
      <c r="E37" s="150"/>
      <c r="F37" s="165"/>
      <c r="G37" s="166"/>
      <c r="H37" s="166"/>
      <c r="I37" s="166"/>
      <c r="J37" s="322"/>
      <c r="K37" s="166"/>
      <c r="L37" s="166"/>
      <c r="M37" s="166"/>
      <c r="N37" s="166"/>
      <c r="O37"/>
      <c r="P37"/>
      <c r="Q37"/>
      <c r="R37"/>
      <c r="S37"/>
      <c r="T37"/>
      <c r="U37"/>
      <c r="V37"/>
      <c r="W37"/>
      <c r="X37"/>
      <c r="Y37"/>
      <c r="Z37" s="344"/>
      <c r="AA37" s="461" t="s">
        <v>107</v>
      </c>
      <c r="AB37" s="462"/>
      <c r="AC37" s="462"/>
      <c r="AD37" s="329"/>
      <c r="AE37" s="147"/>
      <c r="AF37" s="147"/>
      <c r="AG37" s="147"/>
      <c r="AH37" s="147"/>
      <c r="AI37" s="147"/>
      <c r="AJ37" s="147"/>
      <c r="AK37" s="147"/>
      <c r="AL37" s="147"/>
      <c r="AM37" s="147"/>
      <c r="AN37" s="147"/>
      <c r="AO37" s="147"/>
      <c r="AP37" s="147"/>
      <c r="AQ37" s="147"/>
      <c r="AR37" s="147"/>
      <c r="AS37" s="147"/>
      <c r="AT37" s="147"/>
      <c r="AU37" s="147"/>
      <c r="AV37" s="147"/>
      <c r="AW37" s="147"/>
      <c r="AX37" s="147"/>
      <c r="AY37" s="147"/>
      <c r="AZ37" s="147"/>
      <c r="BA37" s="147"/>
      <c r="BB37" s="147"/>
      <c r="BC37" s="147"/>
      <c r="BD37" s="147"/>
      <c r="BE37" s="147"/>
      <c r="BF37" s="147"/>
      <c r="BG37" s="147"/>
      <c r="BH37" s="147"/>
      <c r="BI37" s="147"/>
      <c r="BJ37" s="147"/>
      <c r="BK37" s="147"/>
      <c r="BL37" s="147"/>
      <c r="BM37" s="147"/>
      <c r="BN37" s="147"/>
      <c r="BO37" s="147"/>
      <c r="BP37" s="147"/>
      <c r="BQ37" s="147"/>
      <c r="BR37" s="147"/>
      <c r="BS37" s="147"/>
      <c r="BT37" s="147"/>
      <c r="BU37" s="147"/>
      <c r="BV37" s="147"/>
      <c r="BW37" s="147"/>
      <c r="BX37" s="147"/>
      <c r="BY37" s="147"/>
      <c r="BZ37" s="147"/>
      <c r="CA37" s="147"/>
      <c r="CB37" s="147"/>
      <c r="CC37" s="147"/>
      <c r="CD37" s="147"/>
      <c r="CE37" s="147"/>
      <c r="CF37" s="147"/>
      <c r="CG37" s="147"/>
      <c r="CH37" s="147"/>
      <c r="CI37" s="147"/>
      <c r="CJ37" s="147"/>
      <c r="CK37" s="147"/>
      <c r="CL37" s="147"/>
      <c r="CM37" s="147"/>
      <c r="CN37" s="147"/>
      <c r="CO37" s="147"/>
      <c r="CP37" s="147"/>
    </row>
    <row r="38" spans="1:94" s="153" customFormat="1" ht="15" x14ac:dyDescent="0.25">
      <c r="A38" s="139"/>
      <c r="B38" s="188"/>
      <c r="C38" s="443" t="str">
        <f>perm_name</f>
        <v>Permanent Positions</v>
      </c>
      <c r="D38" s="444"/>
      <c r="E38" s="189">
        <v>1</v>
      </c>
      <c r="F38" s="190">
        <f>SUMIF($E9:$E35,$E38,$F9:$F35)</f>
        <v>0.15000000000000002</v>
      </c>
      <c r="G38" s="191">
        <f>SUMIF($E10:$E35,$E38,$G10:$G35)</f>
        <v>9261.2000000000007</v>
      </c>
      <c r="H38" s="192">
        <f>SUMIF($E10:$E35,$E38,$H10:$H35)</f>
        <v>1747.5</v>
      </c>
      <c r="I38" s="192">
        <f>SUMIF($E10:$E35,$E38,$I10:$I35)</f>
        <v>1976.9883640000003</v>
      </c>
      <c r="J38" s="192">
        <f>SUM(G38:I38)</f>
        <v>12985.688364000001</v>
      </c>
      <c r="K38" s="166"/>
      <c r="L38" s="191">
        <f>SUMIF($E10:$E35,$E38,$L10:$L35)</f>
        <v>0</v>
      </c>
      <c r="M38" s="192">
        <f>SUMIF($E10:$E35,$E38,$M10:$M35)</f>
        <v>-44.453759999999996</v>
      </c>
      <c r="N38" s="192">
        <f>SUM(L38:M38)</f>
        <v>-44.453759999999996</v>
      </c>
      <c r="O38"/>
      <c r="P38"/>
      <c r="Q38"/>
      <c r="R38"/>
      <c r="S38"/>
      <c r="T38"/>
      <c r="U38"/>
      <c r="V38"/>
      <c r="W38"/>
      <c r="X38"/>
      <c r="Y38"/>
      <c r="Z38" s="344"/>
      <c r="AA38" s="338">
        <f>ROUND(AdjPermSalary*CECPerm,-2)</f>
        <v>100</v>
      </c>
      <c r="AB38" s="338">
        <f>ROUND((AdjPermVB*CECPerm+AdjPermVBBY*CECPerm),-2)</f>
        <v>0</v>
      </c>
      <c r="AC38" s="338">
        <f>SUM(AA38:AB38)</f>
        <v>100</v>
      </c>
      <c r="AD38" s="329"/>
      <c r="AE38" s="147"/>
      <c r="AF38" s="147"/>
      <c r="AG38" s="147"/>
      <c r="AH38" s="147"/>
      <c r="AI38" s="147"/>
      <c r="AJ38" s="147"/>
      <c r="AK38" s="147"/>
      <c r="AL38" s="147"/>
      <c r="AM38" s="147"/>
      <c r="AN38" s="147"/>
      <c r="AO38" s="147"/>
      <c r="AP38" s="147"/>
      <c r="AQ38" s="147"/>
      <c r="AR38" s="147"/>
      <c r="AS38" s="147"/>
      <c r="AT38" s="147"/>
      <c r="AU38" s="147"/>
      <c r="AV38" s="147"/>
      <c r="AW38" s="147"/>
      <c r="AX38" s="147"/>
      <c r="AY38" s="147"/>
      <c r="AZ38" s="147"/>
      <c r="BA38" s="147"/>
      <c r="BB38" s="147"/>
      <c r="BC38" s="147"/>
      <c r="BD38" s="147"/>
      <c r="BE38" s="147"/>
      <c r="BF38" s="147"/>
      <c r="BG38" s="147"/>
      <c r="BH38" s="147"/>
      <c r="BI38" s="147"/>
      <c r="BJ38" s="147"/>
      <c r="BK38" s="147"/>
      <c r="BL38" s="147"/>
      <c r="BM38" s="147"/>
      <c r="BN38" s="147"/>
      <c r="BO38" s="147"/>
      <c r="BP38" s="147"/>
      <c r="BQ38" s="147"/>
      <c r="BR38" s="147"/>
      <c r="BS38" s="147"/>
      <c r="BT38" s="147"/>
      <c r="BU38" s="147"/>
      <c r="BV38" s="147"/>
      <c r="BW38" s="147"/>
      <c r="BX38" s="147"/>
      <c r="BY38" s="147"/>
      <c r="BZ38" s="147"/>
      <c r="CA38" s="147"/>
      <c r="CB38" s="147"/>
      <c r="CC38" s="147"/>
      <c r="CD38" s="147"/>
      <c r="CE38" s="147"/>
      <c r="CF38" s="147"/>
      <c r="CG38" s="147"/>
      <c r="CH38" s="147"/>
      <c r="CI38" s="147"/>
      <c r="CJ38" s="147"/>
      <c r="CK38" s="147"/>
      <c r="CL38" s="147"/>
      <c r="CM38" s="147"/>
      <c r="CN38" s="147"/>
      <c r="CO38" s="147"/>
      <c r="CP38" s="147"/>
    </row>
    <row r="39" spans="1:94" s="153" customFormat="1" ht="15" x14ac:dyDescent="0.25">
      <c r="A39" s="139"/>
      <c r="B39" s="188"/>
      <c r="C39" s="443" t="str">
        <f>Group_name</f>
        <v>Board &amp; Group Positions</v>
      </c>
      <c r="D39" s="444"/>
      <c r="E39" s="189">
        <v>2</v>
      </c>
      <c r="F39" s="151">
        <f>SUMIF($E9:$E35,$E39,$F9:$F35)</f>
        <v>0</v>
      </c>
      <c r="G39" s="193">
        <f>SUMIF($E10:$E35,$E39,$G10:$G35)</f>
        <v>0</v>
      </c>
      <c r="H39" s="152">
        <f>SUMIF($E10:$E35,$E39,$H10:$H35)</f>
        <v>0</v>
      </c>
      <c r="I39" s="152">
        <f>SUMIF($E10:$E35,$E39,$I10:$I35)</f>
        <v>0</v>
      </c>
      <c r="J39" s="152">
        <f>SUM(G39:I39)</f>
        <v>0</v>
      </c>
      <c r="K39" s="259"/>
      <c r="L39" s="193">
        <f>SUMIF($E10:$E35,$E39,$L10:$L35)</f>
        <v>0</v>
      </c>
      <c r="M39" s="152">
        <f>SUMIF($E11:$E37,$E39,$M11:$M37)</f>
        <v>0</v>
      </c>
      <c r="N39" s="152">
        <f>SUM(L39:M39)</f>
        <v>0</v>
      </c>
      <c r="O39"/>
      <c r="P39"/>
      <c r="Q39"/>
      <c r="R39"/>
      <c r="S39"/>
      <c r="T39"/>
      <c r="U39"/>
      <c r="V39"/>
      <c r="W39"/>
      <c r="X39"/>
      <c r="Y39"/>
      <c r="Z39" s="344"/>
      <c r="AA39" s="338">
        <f>ROUND(AdjGroupSalary*CECGroup,-2)</f>
        <v>0</v>
      </c>
      <c r="AB39" s="338">
        <f>ROUND(AdjGroupVB*CECGroup,-2)</f>
        <v>0</v>
      </c>
      <c r="AC39" s="338">
        <f>SUM(AA39:AB39)</f>
        <v>0</v>
      </c>
      <c r="AD39" s="329"/>
      <c r="AE39" s="147"/>
      <c r="AF39" s="147"/>
      <c r="AG39" s="147"/>
      <c r="AH39" s="147"/>
      <c r="AI39" s="147"/>
      <c r="AJ39" s="147"/>
      <c r="AK39" s="147"/>
      <c r="AL39" s="147"/>
      <c r="AM39" s="147"/>
      <c r="AN39" s="147"/>
      <c r="AO39" s="147"/>
      <c r="AP39" s="147"/>
      <c r="AQ39" s="147"/>
      <c r="AR39" s="147"/>
      <c r="AS39" s="147"/>
      <c r="AT39" s="147"/>
      <c r="AU39" s="147"/>
      <c r="AV39" s="147"/>
      <c r="AW39" s="147"/>
      <c r="AX39" s="147"/>
      <c r="AY39" s="147"/>
      <c r="AZ39" s="147"/>
      <c r="BA39" s="147"/>
      <c r="BB39" s="147"/>
      <c r="BC39" s="147"/>
      <c r="BD39" s="147"/>
      <c r="BE39" s="147"/>
      <c r="BF39" s="147"/>
      <c r="BG39" s="147"/>
      <c r="BH39" s="147"/>
      <c r="BI39" s="147"/>
      <c r="BJ39" s="147"/>
      <c r="BK39" s="147"/>
      <c r="BL39" s="147"/>
      <c r="BM39" s="147"/>
      <c r="BN39" s="147"/>
      <c r="BO39" s="147"/>
      <c r="BP39" s="147"/>
      <c r="BQ39" s="147"/>
      <c r="BR39" s="147"/>
      <c r="BS39" s="147"/>
      <c r="BT39" s="147"/>
      <c r="BU39" s="147"/>
      <c r="BV39" s="147"/>
      <c r="BW39" s="147"/>
      <c r="BX39" s="147"/>
      <c r="BY39" s="147"/>
      <c r="BZ39" s="147"/>
      <c r="CA39" s="147"/>
      <c r="CB39" s="147"/>
      <c r="CC39" s="147"/>
      <c r="CD39" s="147"/>
      <c r="CE39" s="147"/>
      <c r="CF39" s="147"/>
      <c r="CG39" s="147"/>
      <c r="CH39" s="147"/>
      <c r="CI39" s="147"/>
      <c r="CJ39" s="147"/>
      <c r="CK39" s="147"/>
      <c r="CL39" s="147"/>
      <c r="CM39" s="147"/>
      <c r="CN39" s="147"/>
      <c r="CO39" s="147"/>
      <c r="CP39" s="147"/>
    </row>
    <row r="40" spans="1:94" s="153" customFormat="1" ht="15" x14ac:dyDescent="0.25">
      <c r="A40" s="139"/>
      <c r="B40" s="188"/>
      <c r="C40" s="364" t="str">
        <f>Elect_name</f>
        <v>Elected Officials &amp; Full Time Commissioners</v>
      </c>
      <c r="D40" s="365"/>
      <c r="E40" s="189">
        <v>3</v>
      </c>
      <c r="F40" s="151">
        <f>SUMIF($E9:$E35,$E40,$F9:$F35)</f>
        <v>0</v>
      </c>
      <c r="G40" s="193">
        <f>SUMIF($E10:$E35,$E40,$G10:$G35)</f>
        <v>0</v>
      </c>
      <c r="H40" s="152">
        <f>SUMIF($E10:$E35,$E40,$H10:$H35)</f>
        <v>0</v>
      </c>
      <c r="I40" s="152">
        <f>SUMIF($E10:$E35,$E40,$I10:$I35)</f>
        <v>0</v>
      </c>
      <c r="J40" s="152">
        <f>SUM(G40:I40)</f>
        <v>0</v>
      </c>
      <c r="K40" s="259"/>
      <c r="L40" s="193">
        <f>SUMIF($E10:$E35,$E40,$L10:$L35)</f>
        <v>0</v>
      </c>
      <c r="M40" s="152">
        <f>SUMIF($E10:$E35,$E40,$M10:$M35)</f>
        <v>0</v>
      </c>
      <c r="N40" s="152">
        <f>SUM(L40:M40)</f>
        <v>0</v>
      </c>
      <c r="O40"/>
      <c r="P40"/>
      <c r="Q40"/>
      <c r="R40"/>
      <c r="S40"/>
      <c r="T40"/>
      <c r="U40"/>
      <c r="V40"/>
      <c r="W40"/>
      <c r="X40"/>
      <c r="Y40"/>
      <c r="Z40" s="344"/>
      <c r="AA40" s="363"/>
      <c r="AB40" s="363"/>
      <c r="AC40" s="363"/>
      <c r="AD40" s="329"/>
      <c r="AE40" s="147"/>
      <c r="AF40" s="147"/>
      <c r="AG40" s="147"/>
      <c r="AH40" s="147"/>
      <c r="AI40" s="147"/>
      <c r="AJ40" s="147"/>
      <c r="AK40" s="147"/>
      <c r="AL40" s="147"/>
      <c r="AM40" s="147"/>
      <c r="AN40" s="147"/>
      <c r="AO40" s="147"/>
      <c r="AP40" s="147"/>
      <c r="AQ40" s="147"/>
      <c r="AR40" s="147"/>
      <c r="AS40" s="147"/>
      <c r="AT40" s="147"/>
      <c r="AU40" s="147"/>
      <c r="AV40" s="147"/>
      <c r="AW40" s="147"/>
      <c r="AX40" s="147"/>
      <c r="AY40" s="147"/>
      <c r="AZ40" s="147"/>
      <c r="BA40" s="147"/>
      <c r="BB40" s="147"/>
      <c r="BC40" s="147"/>
      <c r="BD40" s="147"/>
      <c r="BE40" s="147"/>
      <c r="BF40" s="147"/>
      <c r="BG40" s="147"/>
      <c r="BH40" s="147"/>
      <c r="BI40" s="147"/>
      <c r="BJ40" s="147"/>
      <c r="BK40" s="147"/>
      <c r="BL40" s="147"/>
      <c r="BM40" s="147"/>
      <c r="BN40" s="147"/>
      <c r="BO40" s="147"/>
      <c r="BP40" s="147"/>
      <c r="BQ40" s="147"/>
      <c r="BR40" s="147"/>
      <c r="BS40" s="147"/>
      <c r="BT40" s="147"/>
      <c r="BU40" s="147"/>
      <c r="BV40" s="147"/>
      <c r="BW40" s="147"/>
      <c r="BX40" s="147"/>
      <c r="BY40" s="147"/>
      <c r="BZ40" s="147"/>
      <c r="CA40" s="147"/>
      <c r="CB40" s="147"/>
      <c r="CC40" s="147"/>
      <c r="CD40" s="147"/>
      <c r="CE40" s="147"/>
      <c r="CF40" s="147"/>
      <c r="CG40" s="147"/>
      <c r="CH40" s="147"/>
      <c r="CI40" s="147"/>
      <c r="CJ40" s="147"/>
      <c r="CK40" s="147"/>
      <c r="CL40" s="147"/>
      <c r="CM40" s="147"/>
      <c r="CN40" s="147"/>
      <c r="CO40" s="147"/>
      <c r="CP40" s="147"/>
    </row>
    <row r="41" spans="1:94" s="153" customFormat="1" ht="15" x14ac:dyDescent="0.25">
      <c r="A41" s="139"/>
      <c r="B41" s="188"/>
      <c r="C41" s="443" t="s">
        <v>38</v>
      </c>
      <c r="D41" s="444"/>
      <c r="E41" s="189"/>
      <c r="F41" s="161">
        <f>SUM(F38:F40)</f>
        <v>0.15000000000000002</v>
      </c>
      <c r="G41" s="195">
        <f>SUM($G$38:$G$40)</f>
        <v>9261.2000000000007</v>
      </c>
      <c r="H41" s="162">
        <f>SUM($H$38:$H$40)</f>
        <v>1747.5</v>
      </c>
      <c r="I41" s="162">
        <f>SUM($I$38:$I$40)</f>
        <v>1976.9883640000003</v>
      </c>
      <c r="J41" s="162">
        <f>SUM($J$38:$J$40)</f>
        <v>12985.688364000001</v>
      </c>
      <c r="K41" s="259"/>
      <c r="L41" s="195">
        <f>SUM($L$38:$L$40)</f>
        <v>0</v>
      </c>
      <c r="M41" s="162">
        <f>SUM($M$38:$M$40)</f>
        <v>-44.453759999999996</v>
      </c>
      <c r="N41" s="162">
        <f>SUM(L41:M41)</f>
        <v>-44.453759999999996</v>
      </c>
      <c r="O41"/>
      <c r="P41"/>
      <c r="Q41"/>
      <c r="R41"/>
      <c r="S41"/>
      <c r="T41"/>
      <c r="U41"/>
      <c r="V41"/>
      <c r="W41"/>
      <c r="X41"/>
      <c r="Y41"/>
      <c r="Z41" s="344"/>
      <c r="AA41" s="363" t="s">
        <v>94</v>
      </c>
      <c r="AB41" s="333" t="s">
        <v>95</v>
      </c>
      <c r="AC41" s="333" t="s">
        <v>106</v>
      </c>
      <c r="AD41" s="329"/>
      <c r="AE41" s="147"/>
      <c r="AF41" s="147"/>
      <c r="AG41" s="147"/>
      <c r="AH41" s="147"/>
      <c r="AI41" s="147"/>
      <c r="AJ41" s="147"/>
      <c r="AK41" s="147"/>
      <c r="AL41" s="147"/>
      <c r="AM41" s="147"/>
      <c r="AN41" s="147"/>
      <c r="AO41" s="147"/>
      <c r="AP41" s="147"/>
      <c r="AQ41" s="147"/>
      <c r="AR41" s="147"/>
      <c r="AS41" s="147"/>
      <c r="AT41" s="147"/>
      <c r="AU41" s="147"/>
      <c r="AV41" s="147"/>
      <c r="AW41" s="147"/>
      <c r="AX41" s="147"/>
      <c r="AY41" s="147"/>
      <c r="AZ41" s="147"/>
      <c r="BA41" s="147"/>
      <c r="BB41" s="147"/>
      <c r="BC41" s="147"/>
      <c r="BD41" s="147"/>
      <c r="BE41" s="147"/>
      <c r="BF41" s="147"/>
      <c r="BG41" s="147"/>
      <c r="BH41" s="147"/>
      <c r="BI41" s="147"/>
      <c r="BJ41" s="147"/>
      <c r="BK41" s="147"/>
      <c r="BL41" s="147"/>
      <c r="BM41" s="147"/>
      <c r="BN41" s="147"/>
      <c r="BO41" s="147"/>
      <c r="BP41" s="147"/>
      <c r="BQ41" s="147"/>
      <c r="BR41" s="147"/>
      <c r="BS41" s="147"/>
      <c r="BT41" s="147"/>
      <c r="BU41" s="147"/>
      <c r="BV41" s="147"/>
      <c r="BW41" s="147"/>
      <c r="BX41" s="147"/>
      <c r="BY41" s="147"/>
      <c r="BZ41" s="147"/>
      <c r="CA41" s="147"/>
      <c r="CB41" s="147"/>
      <c r="CC41" s="147"/>
      <c r="CD41" s="147"/>
      <c r="CE41" s="147"/>
      <c r="CF41" s="147"/>
      <c r="CG41" s="147"/>
      <c r="CH41" s="147"/>
      <c r="CI41" s="147"/>
      <c r="CJ41" s="147"/>
      <c r="CK41" s="147"/>
      <c r="CL41" s="147"/>
      <c r="CM41" s="147"/>
      <c r="CN41" s="147"/>
      <c r="CO41" s="147"/>
      <c r="CP41" s="147"/>
    </row>
    <row r="42" spans="1:94" s="153" customFormat="1" ht="4.5" customHeight="1" x14ac:dyDescent="0.25">
      <c r="A42" s="139"/>
      <c r="B42" s="188"/>
      <c r="C42" s="445"/>
      <c r="D42" s="446"/>
      <c r="E42" s="196"/>
      <c r="F42" s="197"/>
      <c r="G42" s="198"/>
      <c r="H42" s="199"/>
      <c r="I42" s="199"/>
      <c r="J42" s="324"/>
      <c r="K42" s="200"/>
      <c r="L42" s="323"/>
      <c r="M42" s="323"/>
      <c r="N42" s="201"/>
      <c r="O42"/>
      <c r="P42"/>
      <c r="Q42"/>
      <c r="R42"/>
      <c r="S42"/>
      <c r="T42"/>
      <c r="U42"/>
      <c r="V42"/>
      <c r="W42"/>
      <c r="X42"/>
      <c r="Y42"/>
      <c r="Z42" s="344"/>
      <c r="AA42" s="363"/>
      <c r="AB42" s="363"/>
      <c r="AC42" s="363"/>
      <c r="AD42" s="329"/>
      <c r="AE42" s="147"/>
      <c r="AF42" s="147"/>
      <c r="AG42" s="147"/>
      <c r="AH42" s="147"/>
      <c r="AI42" s="147"/>
      <c r="AJ42" s="147"/>
      <c r="AK42" s="147"/>
      <c r="AL42" s="147"/>
      <c r="AM42" s="147"/>
      <c r="AN42" s="147"/>
      <c r="AO42" s="147"/>
      <c r="AP42" s="147"/>
      <c r="AQ42" s="147"/>
      <c r="AR42" s="147"/>
      <c r="AS42" s="147"/>
      <c r="AT42" s="147"/>
      <c r="AU42" s="147"/>
      <c r="AV42" s="147"/>
      <c r="AW42" s="147"/>
      <c r="AX42" s="147"/>
      <c r="AY42" s="147"/>
      <c r="AZ42" s="147"/>
      <c r="BA42" s="147"/>
      <c r="BB42" s="147"/>
      <c r="BC42" s="147"/>
      <c r="BD42" s="147"/>
      <c r="BE42" s="147"/>
      <c r="BF42" s="147"/>
      <c r="BG42" s="147"/>
      <c r="BH42" s="147"/>
      <c r="BI42" s="147"/>
      <c r="BJ42" s="147"/>
      <c r="BK42" s="147"/>
      <c r="BL42" s="147"/>
      <c r="BM42" s="147"/>
      <c r="BN42" s="147"/>
      <c r="BO42" s="147"/>
      <c r="BP42" s="147"/>
      <c r="BQ42" s="147"/>
      <c r="BR42" s="147"/>
      <c r="BS42" s="147"/>
      <c r="BT42" s="147"/>
      <c r="BU42" s="147"/>
      <c r="BV42" s="147"/>
      <c r="BW42" s="147"/>
      <c r="BX42" s="147"/>
      <c r="BY42" s="147"/>
      <c r="BZ42" s="147"/>
      <c r="CA42" s="147"/>
      <c r="CB42" s="147"/>
      <c r="CC42" s="147"/>
      <c r="CD42" s="147"/>
      <c r="CE42" s="147"/>
      <c r="CF42" s="147"/>
      <c r="CG42" s="147"/>
      <c r="CH42" s="147"/>
      <c r="CI42" s="147"/>
      <c r="CJ42" s="147"/>
      <c r="CK42" s="147"/>
      <c r="CL42" s="147"/>
      <c r="CM42" s="147"/>
      <c r="CN42" s="147"/>
      <c r="CO42" s="147"/>
      <c r="CP42" s="147"/>
    </row>
    <row r="43" spans="1:94" s="153" customFormat="1" ht="15.75" customHeight="1" x14ac:dyDescent="0.25">
      <c r="A43" s="139"/>
      <c r="B43" s="202"/>
      <c r="C43" s="447" t="s">
        <v>39</v>
      </c>
      <c r="D43" s="448"/>
      <c r="E43" s="203" t="s">
        <v>40</v>
      </c>
      <c r="F43" s="205">
        <f>ROUND(F51-F41,2)</f>
        <v>-0.05</v>
      </c>
      <c r="G43" s="206">
        <f>ROUND(G51-G41,-2)</f>
        <v>2000</v>
      </c>
      <c r="H43" s="159">
        <f>ROUND(H51-H41,-2)</f>
        <v>400</v>
      </c>
      <c r="I43" s="159">
        <f>ROUND(I51-I41,-2)</f>
        <v>400</v>
      </c>
      <c r="J43" s="159">
        <f>SUM(G43:I43)</f>
        <v>2800</v>
      </c>
      <c r="K43" s="424" t="str">
        <f>IF(E51=0,"ERROR! Enter Original Appropriation amount in DU 3.00!","Calculated "&amp;IF(J43&gt;0,"overfunding ","underfunding ")&amp;"is "&amp;TEXT(J43/J51,"#.0%;(#.0% );0% ;")&amp;" of Original Appropriation")</f>
        <v>Calculated overfunding is 17.7% of Original Appropriation</v>
      </c>
      <c r="L43" s="425"/>
      <c r="M43" s="425"/>
      <c r="N43" s="426"/>
      <c r="O43"/>
      <c r="P43"/>
      <c r="Q43"/>
      <c r="R43"/>
      <c r="S43"/>
      <c r="T43"/>
      <c r="U43"/>
      <c r="V43"/>
      <c r="W43"/>
      <c r="X43"/>
      <c r="Y43"/>
      <c r="Z43" s="344"/>
      <c r="AA43" s="451" t="s">
        <v>108</v>
      </c>
      <c r="AB43" s="452"/>
      <c r="AC43" s="452"/>
      <c r="AD43" s="329"/>
      <c r="AE43" s="147"/>
      <c r="AF43" s="147"/>
      <c r="AG43" s="147"/>
      <c r="AH43" s="147"/>
      <c r="AI43" s="147"/>
      <c r="AJ43" s="147"/>
      <c r="AK43" s="147"/>
      <c r="AL43" s="147"/>
      <c r="AM43" s="147"/>
      <c r="AN43" s="147"/>
      <c r="AO43" s="147"/>
      <c r="AP43" s="147"/>
      <c r="AQ43" s="147"/>
      <c r="AR43" s="147"/>
      <c r="AS43" s="147"/>
      <c r="AT43" s="147"/>
      <c r="AU43" s="147"/>
      <c r="AV43" s="147"/>
      <c r="AW43" s="147"/>
      <c r="AX43" s="147"/>
      <c r="AY43" s="147"/>
      <c r="AZ43" s="147"/>
      <c r="BA43" s="147"/>
      <c r="BB43" s="147"/>
      <c r="BC43" s="147"/>
      <c r="BD43" s="147"/>
      <c r="BE43" s="147"/>
      <c r="BF43" s="147"/>
      <c r="BG43" s="147"/>
      <c r="BH43" s="147"/>
      <c r="BI43" s="147"/>
      <c r="BJ43" s="147"/>
      <c r="BK43" s="147"/>
      <c r="BL43" s="147"/>
      <c r="BM43" s="147"/>
      <c r="BN43" s="147"/>
      <c r="BO43" s="147"/>
      <c r="BP43" s="147"/>
      <c r="BQ43" s="147"/>
      <c r="BR43" s="147"/>
      <c r="BS43" s="147"/>
      <c r="BT43" s="147"/>
      <c r="BU43" s="147"/>
      <c r="BV43" s="147"/>
      <c r="BW43" s="147"/>
      <c r="BX43" s="147"/>
      <c r="BY43" s="147"/>
      <c r="BZ43" s="147"/>
      <c r="CA43" s="147"/>
      <c r="CB43" s="147"/>
      <c r="CC43" s="147"/>
      <c r="CD43" s="147"/>
      <c r="CE43" s="147"/>
      <c r="CF43" s="147"/>
      <c r="CG43" s="147"/>
      <c r="CH43" s="147"/>
      <c r="CI43" s="147"/>
      <c r="CJ43" s="147"/>
      <c r="CK43" s="147"/>
      <c r="CL43" s="147"/>
      <c r="CM43" s="147"/>
      <c r="CN43" s="147"/>
      <c r="CO43" s="147"/>
      <c r="CP43" s="147"/>
    </row>
    <row r="44" spans="1:94" s="153" customFormat="1" ht="15.75" customHeight="1" x14ac:dyDescent="0.25">
      <c r="A44" s="139"/>
      <c r="B44" s="202"/>
      <c r="C44" s="449"/>
      <c r="D44" s="450"/>
      <c r="E44" s="204" t="s">
        <v>41</v>
      </c>
      <c r="F44" s="205">
        <f>ROUND(F60-F41,2)</f>
        <v>-0.05</v>
      </c>
      <c r="G44" s="206">
        <f>ROUND(G60-G41,-2)</f>
        <v>2000</v>
      </c>
      <c r="H44" s="159">
        <f>ROUND(H60-H41,-2)</f>
        <v>400</v>
      </c>
      <c r="I44" s="159">
        <f>ROUND(I60-I41,-2)</f>
        <v>400</v>
      </c>
      <c r="J44" s="159">
        <f>SUM(G44:I44)</f>
        <v>2800</v>
      </c>
      <c r="K44" s="424" t="str">
        <f>IF(E51=0,"ERROR! Enter Original Appropriation amount in DU 3.00!","Calculated "&amp;IF(J44&gt;0,"overfunding ","underfunding ")&amp;"is "&amp;TEXT(J44/J60,"#.0%;(#.0% );0% ;")&amp;" of Estimated Expenditures")</f>
        <v>Calculated overfunding is 17.7% of Estimated Expenditures</v>
      </c>
      <c r="L44" s="425"/>
      <c r="M44" s="425"/>
      <c r="N44" s="426"/>
      <c r="O44"/>
      <c r="P44"/>
      <c r="Q44"/>
      <c r="R44"/>
      <c r="S44"/>
      <c r="T44"/>
      <c r="U44"/>
      <c r="V44"/>
      <c r="W44"/>
      <c r="X44"/>
      <c r="Y44"/>
      <c r="Z44" s="344"/>
      <c r="AA44" s="338">
        <f>NEW_AdjPermSalary-NEW_PermSalaryFilled</f>
        <v>0</v>
      </c>
      <c r="AB44" s="338">
        <f>NEW_AdjPermVB-NEW_PermVBFilled</f>
        <v>0</v>
      </c>
      <c r="AC44" s="338">
        <f>SUM(AA44:AB44)</f>
        <v>0</v>
      </c>
      <c r="AD44" s="329"/>
      <c r="AE44" s="147"/>
      <c r="AF44" s="147"/>
      <c r="AG44" s="147"/>
      <c r="AH44" s="147"/>
      <c r="AI44" s="147"/>
      <c r="AJ44" s="147"/>
      <c r="AK44" s="147"/>
      <c r="AL44" s="147"/>
      <c r="AM44" s="147"/>
      <c r="AN44" s="147"/>
      <c r="AO44" s="147"/>
      <c r="AP44" s="147"/>
      <c r="AQ44" s="147"/>
      <c r="AR44" s="147"/>
      <c r="AS44" s="147"/>
      <c r="AT44" s="147"/>
      <c r="AU44" s="147"/>
      <c r="AV44" s="147"/>
      <c r="AW44" s="147"/>
      <c r="AX44" s="147"/>
      <c r="AY44" s="147"/>
      <c r="AZ44" s="147"/>
      <c r="BA44" s="147"/>
      <c r="BB44" s="147"/>
      <c r="BC44" s="147"/>
      <c r="BD44" s="147"/>
      <c r="BE44" s="147"/>
      <c r="BF44" s="147"/>
      <c r="BG44" s="147"/>
      <c r="BH44" s="147"/>
      <c r="BI44" s="147"/>
      <c r="BJ44" s="147"/>
      <c r="BK44" s="147"/>
      <c r="BL44" s="147"/>
      <c r="BM44" s="147"/>
      <c r="BN44" s="147"/>
      <c r="BO44" s="147"/>
      <c r="BP44" s="147"/>
      <c r="BQ44" s="147"/>
      <c r="BR44" s="147"/>
      <c r="BS44" s="147"/>
      <c r="BT44" s="147"/>
      <c r="BU44" s="147"/>
      <c r="BV44" s="147"/>
      <c r="BW44" s="147"/>
      <c r="BX44" s="147"/>
      <c r="BY44" s="147"/>
      <c r="BZ44" s="147"/>
      <c r="CA44" s="147"/>
      <c r="CB44" s="147"/>
      <c r="CC44" s="147"/>
      <c r="CD44" s="147"/>
      <c r="CE44" s="147"/>
      <c r="CF44" s="147"/>
      <c r="CG44" s="147"/>
      <c r="CH44" s="147"/>
      <c r="CI44" s="147"/>
      <c r="CJ44" s="147"/>
      <c r="CK44" s="147"/>
      <c r="CL44" s="147"/>
      <c r="CM44" s="147"/>
      <c r="CN44" s="147"/>
      <c r="CO44" s="147"/>
      <c r="CP44" s="147"/>
    </row>
    <row r="45" spans="1:94" s="153" customFormat="1" ht="15.75" customHeight="1" x14ac:dyDescent="0.25">
      <c r="A45" s="139"/>
      <c r="B45" s="202"/>
      <c r="C45" s="215"/>
      <c r="D45" s="215"/>
      <c r="E45" s="204" t="s">
        <v>99</v>
      </c>
      <c r="F45" s="205">
        <f>ROUND(F67-F41-F63,2)</f>
        <v>-0.05</v>
      </c>
      <c r="G45" s="206">
        <f>ROUND(G67-G41-G63,-2)</f>
        <v>2000</v>
      </c>
      <c r="H45" s="206">
        <f>ROUND(H67-H41-H63,-2)</f>
        <v>400</v>
      </c>
      <c r="I45" s="206">
        <f>ROUND(I67-I41-I63,-2)</f>
        <v>400</v>
      </c>
      <c r="J45" s="159">
        <f>SUM(G45:I45)</f>
        <v>2800</v>
      </c>
      <c r="K45" s="424" t="str">
        <f>IF(J67=0,"Program has a zero base",IF(E51=0,"ERROR! Enter Original Appropriation amount in DU 3.00!","Calculated "&amp;IF(J45&gt;0,"overfunding ","underfunding ")&amp;"is "&amp;TEXT(J45/J67,"#.0%;(#.0% );0% ;")&amp;" of the Base"))</f>
        <v>Calculated overfunding is 17.7% of the Base</v>
      </c>
      <c r="L45" s="425"/>
      <c r="M45" s="425"/>
      <c r="N45" s="426"/>
      <c r="O45"/>
      <c r="P45"/>
      <c r="Q45"/>
      <c r="R45"/>
      <c r="S45"/>
      <c r="T45"/>
      <c r="U45"/>
      <c r="V45"/>
      <c r="W45"/>
      <c r="X45"/>
      <c r="Y45"/>
      <c r="Z45" s="344"/>
      <c r="AA45" s="338">
        <f>NEW_AdjGroupSalary-NEW_GroupSalaryFilled</f>
        <v>0</v>
      </c>
      <c r="AB45" s="338">
        <f>NEW_AdjGroupVB-NEW_GroupVBFilled</f>
        <v>0</v>
      </c>
      <c r="AC45" s="338">
        <f>SUM(AA45:AB45)</f>
        <v>0</v>
      </c>
      <c r="AD45" s="329"/>
      <c r="AE45" s="147"/>
      <c r="AF45" s="147"/>
      <c r="AG45" s="147"/>
      <c r="AH45" s="147"/>
      <c r="AI45" s="147"/>
      <c r="AJ45" s="147"/>
      <c r="AK45" s="147"/>
      <c r="AL45" s="147"/>
      <c r="AM45" s="147"/>
      <c r="AN45" s="147"/>
      <c r="AO45" s="147"/>
      <c r="AP45" s="147"/>
      <c r="AQ45" s="147"/>
      <c r="AR45" s="147"/>
      <c r="AS45" s="147"/>
      <c r="AT45" s="147"/>
      <c r="AU45" s="147"/>
      <c r="AV45" s="147"/>
      <c r="AW45" s="147"/>
      <c r="AX45" s="147"/>
      <c r="AY45" s="147"/>
      <c r="AZ45" s="147"/>
      <c r="BA45" s="147"/>
      <c r="BB45" s="147"/>
      <c r="BC45" s="147"/>
      <c r="BD45" s="147"/>
      <c r="BE45" s="147"/>
      <c r="BF45" s="147"/>
      <c r="BG45" s="147"/>
      <c r="BH45" s="147"/>
      <c r="BI45" s="147"/>
      <c r="BJ45" s="147"/>
      <c r="BK45" s="147"/>
      <c r="BL45" s="147"/>
      <c r="BM45" s="147"/>
      <c r="BN45" s="147"/>
      <c r="BO45" s="147"/>
      <c r="BP45" s="147"/>
      <c r="BQ45" s="147"/>
      <c r="BR45" s="147"/>
      <c r="BS45" s="147"/>
      <c r="BT45" s="147"/>
      <c r="BU45" s="147"/>
      <c r="BV45" s="147"/>
      <c r="BW45" s="147"/>
      <c r="BX45" s="147"/>
      <c r="BY45" s="147"/>
      <c r="BZ45" s="147"/>
      <c r="CA45" s="147"/>
      <c r="CB45" s="147"/>
      <c r="CC45" s="147"/>
      <c r="CD45" s="147"/>
      <c r="CE45" s="147"/>
      <c r="CF45" s="147"/>
      <c r="CG45" s="147"/>
      <c r="CH45" s="147"/>
      <c r="CI45" s="147"/>
      <c r="CJ45" s="147"/>
      <c r="CK45" s="147"/>
      <c r="CL45" s="147"/>
      <c r="CM45" s="147"/>
      <c r="CN45" s="147"/>
      <c r="CO45" s="147"/>
      <c r="CP45" s="147"/>
    </row>
    <row r="46" spans="1:94" s="153" customFormat="1" ht="28.5" customHeight="1" x14ac:dyDescent="0.25">
      <c r="A46" s="139"/>
      <c r="B46" s="202"/>
      <c r="C46" s="215"/>
      <c r="D46" s="215"/>
      <c r="E46" s="427" t="s">
        <v>100</v>
      </c>
      <c r="F46" s="428"/>
      <c r="G46" s="428"/>
      <c r="H46" s="428"/>
      <c r="I46" s="428"/>
      <c r="J46" s="429"/>
      <c r="K46" s="433" t="str">
        <f>IF(OR(J45&lt;0,F45&lt;0),"You may not have sufficient funding or authorized FTP, and may need to make additional adjustments to finalize this form.  Please contact both your DFM and LSO analysts.","")</f>
        <v>You may not have sufficient funding or authorized FTP, and may need to make additional adjustments to finalize this form.  Please contact both your DFM and LSO analysts.</v>
      </c>
      <c r="L46" s="434"/>
      <c r="M46" s="434"/>
      <c r="N46" s="435"/>
      <c r="O46"/>
      <c r="P46"/>
      <c r="Q46"/>
      <c r="R46"/>
      <c r="S46"/>
      <c r="T46"/>
      <c r="U46"/>
      <c r="V46"/>
      <c r="W46"/>
      <c r="X46"/>
      <c r="Y46"/>
      <c r="Z46" s="344"/>
      <c r="AA46" s="363"/>
      <c r="AB46" s="363"/>
      <c r="AC46" s="363"/>
      <c r="AD46" s="329"/>
      <c r="AE46" s="147"/>
      <c r="AF46" s="147"/>
      <c r="AG46" s="147"/>
      <c r="AH46" s="147"/>
      <c r="AI46" s="147"/>
      <c r="AJ46" s="147"/>
      <c r="AK46" s="147"/>
      <c r="AL46" s="147"/>
      <c r="AM46" s="147"/>
      <c r="AN46" s="147"/>
      <c r="AO46" s="147"/>
      <c r="AP46" s="147"/>
      <c r="AQ46" s="147"/>
      <c r="AR46" s="147"/>
      <c r="AS46" s="147"/>
      <c r="AT46" s="147"/>
      <c r="AU46" s="147"/>
      <c r="AV46" s="147"/>
      <c r="AW46" s="147"/>
      <c r="AX46" s="147"/>
      <c r="AY46" s="147"/>
      <c r="AZ46" s="147"/>
      <c r="BA46" s="147"/>
      <c r="BB46" s="147"/>
      <c r="BC46" s="147"/>
      <c r="BD46" s="147"/>
      <c r="BE46" s="147"/>
      <c r="BF46" s="147"/>
      <c r="BG46" s="147"/>
      <c r="BH46" s="147"/>
      <c r="BI46" s="147"/>
      <c r="BJ46" s="147"/>
      <c r="BK46" s="147"/>
      <c r="BL46" s="147"/>
      <c r="BM46" s="147"/>
      <c r="BN46" s="147"/>
      <c r="BO46" s="147"/>
      <c r="BP46" s="147"/>
      <c r="BQ46" s="147"/>
      <c r="BR46" s="147"/>
      <c r="BS46" s="147"/>
      <c r="BT46" s="147"/>
      <c r="BU46" s="147"/>
      <c r="BV46" s="147"/>
      <c r="BW46" s="147"/>
      <c r="BX46" s="147"/>
      <c r="BY46" s="147"/>
      <c r="BZ46" s="147"/>
      <c r="CA46" s="147"/>
      <c r="CB46" s="147"/>
      <c r="CC46" s="147"/>
      <c r="CD46" s="147"/>
      <c r="CE46" s="147"/>
      <c r="CF46" s="147"/>
      <c r="CG46" s="147"/>
      <c r="CH46" s="147"/>
      <c r="CI46" s="147"/>
      <c r="CJ46" s="147"/>
      <c r="CK46" s="147"/>
      <c r="CL46" s="147"/>
      <c r="CM46" s="147"/>
      <c r="CN46" s="147"/>
      <c r="CO46" s="147"/>
      <c r="CP46" s="147"/>
    </row>
    <row r="47" spans="1:94" s="153" customFormat="1" ht="21.75" customHeight="1" x14ac:dyDescent="0.25">
      <c r="A47" s="139"/>
      <c r="B47" s="202"/>
      <c r="C47" s="215"/>
      <c r="D47" s="215"/>
      <c r="E47" s="430"/>
      <c r="F47" s="431"/>
      <c r="G47" s="431"/>
      <c r="H47" s="431"/>
      <c r="I47" s="431"/>
      <c r="J47" s="432"/>
      <c r="K47" s="436"/>
      <c r="L47" s="437"/>
      <c r="M47" s="437"/>
      <c r="N47" s="438"/>
      <c r="O47"/>
      <c r="P47"/>
      <c r="Q47"/>
      <c r="R47"/>
      <c r="S47"/>
      <c r="T47"/>
      <c r="U47"/>
      <c r="V47"/>
      <c r="W47"/>
      <c r="X47"/>
      <c r="Y47"/>
      <c r="Z47" s="344"/>
      <c r="AA47" s="363"/>
      <c r="AB47" s="363"/>
      <c r="AC47" s="363"/>
      <c r="AD47" s="329"/>
      <c r="AE47" s="147"/>
      <c r="AF47" s="147"/>
      <c r="AG47" s="147"/>
      <c r="AH47" s="147"/>
      <c r="AI47" s="147"/>
      <c r="AJ47" s="147"/>
      <c r="AK47" s="147"/>
      <c r="AL47" s="147"/>
      <c r="AM47" s="147"/>
      <c r="AN47" s="147"/>
      <c r="AO47" s="147"/>
      <c r="AP47" s="147"/>
      <c r="AQ47" s="147"/>
      <c r="AR47" s="147"/>
      <c r="AS47" s="147"/>
      <c r="AT47" s="147"/>
      <c r="AU47" s="147"/>
      <c r="AV47" s="147"/>
      <c r="AW47" s="147"/>
      <c r="AX47" s="147"/>
      <c r="AY47" s="147"/>
      <c r="AZ47" s="147"/>
      <c r="BA47" s="147"/>
      <c r="BB47" s="147"/>
      <c r="BC47" s="147"/>
      <c r="BD47" s="147"/>
      <c r="BE47" s="147"/>
      <c r="BF47" s="147"/>
      <c r="BG47" s="147"/>
      <c r="BH47" s="147"/>
      <c r="BI47" s="147"/>
      <c r="BJ47" s="147"/>
      <c r="BK47" s="147"/>
      <c r="BL47" s="147"/>
      <c r="BM47" s="147"/>
      <c r="BN47" s="147"/>
      <c r="BO47" s="147"/>
      <c r="BP47" s="147"/>
      <c r="BQ47" s="147"/>
      <c r="BR47" s="147"/>
      <c r="BS47" s="147"/>
      <c r="BT47" s="147"/>
      <c r="BU47" s="147"/>
      <c r="BV47" s="147"/>
      <c r="BW47" s="147"/>
      <c r="BX47" s="147"/>
      <c r="BY47" s="147"/>
      <c r="BZ47" s="147"/>
      <c r="CA47" s="147"/>
      <c r="CB47" s="147"/>
      <c r="CC47" s="147"/>
      <c r="CD47" s="147"/>
      <c r="CE47" s="147"/>
      <c r="CF47" s="147"/>
      <c r="CG47" s="147"/>
      <c r="CH47" s="147"/>
      <c r="CI47" s="147"/>
      <c r="CJ47" s="147"/>
      <c r="CK47" s="147"/>
      <c r="CL47" s="147"/>
      <c r="CM47" s="147"/>
      <c r="CN47" s="147"/>
      <c r="CO47" s="147"/>
      <c r="CP47" s="147"/>
    </row>
    <row r="48" spans="1:94" s="214" customFormat="1" ht="8.25" customHeight="1" x14ac:dyDescent="0.25">
      <c r="A48" s="207"/>
      <c r="B48" s="208"/>
      <c r="C48" s="136"/>
      <c r="D48" s="136"/>
      <c r="E48" s="209"/>
      <c r="F48" s="210"/>
      <c r="G48" s="211"/>
      <c r="H48" s="211"/>
      <c r="I48" s="211"/>
      <c r="J48" s="211"/>
      <c r="K48" s="211"/>
      <c r="L48" s="137"/>
      <c r="M48" s="138"/>
      <c r="N48" s="212"/>
      <c r="O48"/>
      <c r="P48"/>
      <c r="Q48"/>
      <c r="R48"/>
      <c r="S48"/>
      <c r="T48"/>
      <c r="U48"/>
      <c r="V48"/>
      <c r="W48"/>
      <c r="X48"/>
      <c r="Y48"/>
      <c r="Z48" s="344"/>
      <c r="AA48" s="339"/>
      <c r="AB48" s="339"/>
      <c r="AC48" s="339"/>
      <c r="AD48" s="330"/>
      <c r="AE48" s="213"/>
      <c r="AF48" s="213"/>
      <c r="AG48" s="213"/>
      <c r="AH48" s="213"/>
      <c r="AI48" s="213"/>
      <c r="AJ48" s="213"/>
      <c r="AK48" s="213"/>
      <c r="AL48" s="213"/>
      <c r="AM48" s="213"/>
      <c r="AN48" s="213"/>
      <c r="AO48" s="213"/>
      <c r="AP48" s="213"/>
      <c r="AQ48" s="213"/>
      <c r="AR48" s="213"/>
      <c r="AS48" s="213"/>
      <c r="AT48" s="213"/>
      <c r="AU48" s="213"/>
      <c r="AV48" s="213"/>
      <c r="AW48" s="213"/>
      <c r="AX48" s="213"/>
      <c r="AY48" s="213"/>
      <c r="AZ48" s="213"/>
      <c r="BA48" s="213"/>
      <c r="BB48" s="213"/>
      <c r="BC48" s="213"/>
      <c r="BD48" s="213"/>
      <c r="BE48" s="213"/>
      <c r="BF48" s="213"/>
      <c r="BG48" s="213"/>
      <c r="BH48" s="213"/>
      <c r="BI48" s="213"/>
      <c r="BJ48" s="213"/>
      <c r="BK48" s="213"/>
      <c r="BL48" s="213"/>
      <c r="BM48" s="213"/>
      <c r="BN48" s="213"/>
      <c r="BO48" s="213"/>
      <c r="BP48" s="213"/>
      <c r="BQ48" s="213"/>
      <c r="BR48" s="213"/>
      <c r="BS48" s="213"/>
      <c r="BT48" s="213"/>
      <c r="BU48" s="213"/>
      <c r="BV48" s="213"/>
      <c r="BW48" s="213"/>
      <c r="BX48" s="213"/>
      <c r="BY48" s="213"/>
      <c r="BZ48" s="213"/>
      <c r="CA48" s="213"/>
      <c r="CB48" s="213"/>
      <c r="CC48" s="213"/>
      <c r="CD48" s="213"/>
      <c r="CE48" s="213"/>
      <c r="CF48" s="213"/>
      <c r="CG48" s="213"/>
      <c r="CH48" s="213"/>
      <c r="CI48" s="213"/>
      <c r="CJ48" s="213"/>
      <c r="CK48" s="213"/>
      <c r="CL48" s="213"/>
      <c r="CM48" s="213"/>
      <c r="CN48" s="213"/>
      <c r="CO48" s="213"/>
      <c r="CP48" s="213"/>
    </row>
    <row r="49" spans="1:94" s="53" customFormat="1" ht="6" customHeight="1" x14ac:dyDescent="0.25">
      <c r="A49" s="63"/>
      <c r="B49" s="64"/>
      <c r="C49" s="65"/>
      <c r="D49" s="66"/>
      <c r="E49" s="67"/>
      <c r="F49" s="68"/>
      <c r="G49" s="64"/>
      <c r="H49" s="64"/>
      <c r="I49" s="64"/>
      <c r="J49" s="64"/>
      <c r="K49" s="64"/>
      <c r="L49" s="69"/>
      <c r="M49" s="69"/>
      <c r="N49" s="70"/>
      <c r="O49"/>
      <c r="P49"/>
      <c r="Q49"/>
      <c r="R49"/>
      <c r="S49"/>
      <c r="T49"/>
      <c r="U49"/>
      <c r="V49"/>
      <c r="W49"/>
      <c r="X49"/>
      <c r="Y49"/>
      <c r="Z49" s="344"/>
      <c r="AA49" s="363"/>
      <c r="AB49" s="363"/>
      <c r="AC49" s="363"/>
      <c r="AD49" s="110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1"/>
      <c r="AV49" s="41"/>
      <c r="AW49" s="41"/>
      <c r="AX49" s="41"/>
      <c r="AY49" s="41"/>
      <c r="AZ49" s="41"/>
      <c r="BA49" s="41"/>
      <c r="BB49" s="41"/>
      <c r="BC49" s="41"/>
      <c r="BD49" s="41"/>
      <c r="BE49" s="41"/>
      <c r="BF49" s="41"/>
      <c r="BG49" s="41"/>
      <c r="BH49" s="41"/>
      <c r="BI49" s="41"/>
      <c r="BJ49" s="41"/>
      <c r="BK49" s="41"/>
      <c r="BL49" s="41"/>
      <c r="BM49" s="41"/>
      <c r="BN49" s="41"/>
      <c r="BO49" s="41"/>
      <c r="BP49" s="41"/>
      <c r="BQ49" s="41"/>
      <c r="BR49" s="41"/>
      <c r="BS49" s="41"/>
      <c r="BT49" s="41"/>
      <c r="BU49" s="41"/>
      <c r="BV49" s="41"/>
      <c r="BW49" s="41"/>
      <c r="BX49" s="41"/>
      <c r="BY49" s="41"/>
      <c r="BZ49" s="41"/>
      <c r="CA49" s="41"/>
      <c r="CB49" s="41"/>
      <c r="CC49" s="41"/>
      <c r="CD49" s="41"/>
      <c r="CE49" s="41"/>
      <c r="CF49" s="41"/>
      <c r="CG49" s="41"/>
      <c r="CH49" s="41"/>
      <c r="CI49" s="41"/>
      <c r="CJ49" s="41"/>
      <c r="CK49" s="41"/>
      <c r="CL49" s="41"/>
      <c r="CM49" s="41"/>
      <c r="CN49" s="41"/>
      <c r="CO49" s="41"/>
      <c r="CP49" s="41"/>
    </row>
    <row r="50" spans="1:94" s="53" customFormat="1" ht="24.75" customHeight="1" x14ac:dyDescent="0.25">
      <c r="A50" s="257" t="s">
        <v>42</v>
      </c>
      <c r="B50" s="71"/>
      <c r="C50" s="439"/>
      <c r="D50" s="440"/>
      <c r="E50" s="72" t="s">
        <v>43</v>
      </c>
      <c r="F50" s="73" t="s">
        <v>24</v>
      </c>
      <c r="G50" s="72" t="str">
        <f>"FY "&amp;M4-2001&amp;" Salary"</f>
        <v>FY 22 Salary</v>
      </c>
      <c r="H50" s="72" t="str">
        <f>"FY "&amp;M4-2001&amp;" Health Ben"</f>
        <v>FY 22 Health Ben</v>
      </c>
      <c r="I50" s="72" t="str">
        <f>"FY "&amp;M4-2001&amp;" Var Ben"</f>
        <v>FY 22 Var Ben</v>
      </c>
      <c r="J50" s="72" t="str">
        <f>"FY "&amp;M4-1&amp;" Total"</f>
        <v>FY 2022 Total</v>
      </c>
      <c r="K50" s="307" t="str">
        <f>"FY "&amp;FiscalYear&amp;" SALARY CHG"</f>
        <v>FY 2023 SALARY CHG</v>
      </c>
      <c r="L50" s="74" t="str">
        <f>"FY "&amp;M4-2000&amp;" Chg Health Bens"</f>
        <v>FY 23 Chg Health Bens</v>
      </c>
      <c r="M50" s="74" t="str">
        <f>"FY "&amp;M4-2000&amp;" Chg Var Bens"</f>
        <v>FY 23 Chg Var Bens</v>
      </c>
      <c r="N50" s="74" t="s">
        <v>44</v>
      </c>
      <c r="O50"/>
      <c r="P50"/>
      <c r="Q50"/>
      <c r="R50"/>
      <c r="S50"/>
      <c r="T50"/>
      <c r="U50"/>
      <c r="V50"/>
      <c r="W50"/>
      <c r="X50"/>
      <c r="Y50"/>
      <c r="Z50" s="344"/>
      <c r="AA50" s="363"/>
      <c r="AB50" s="363"/>
      <c r="AC50" s="363"/>
      <c r="AD50" s="110"/>
      <c r="AE50" s="41"/>
      <c r="AF50" s="41"/>
      <c r="AG50" s="41"/>
      <c r="AH50" s="41"/>
      <c r="AI50" s="41"/>
      <c r="AJ50" s="41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U50" s="41"/>
      <c r="AV50" s="41"/>
      <c r="AW50" s="41"/>
      <c r="AX50" s="41"/>
      <c r="AY50" s="41"/>
      <c r="AZ50" s="41"/>
      <c r="BA50" s="41"/>
      <c r="BB50" s="41"/>
      <c r="BC50" s="41"/>
      <c r="BD50" s="41"/>
      <c r="BE50" s="41"/>
      <c r="BF50" s="41"/>
      <c r="BG50" s="41"/>
      <c r="BH50" s="41"/>
      <c r="BI50" s="41"/>
      <c r="BJ50" s="41"/>
      <c r="BK50" s="41"/>
      <c r="BL50" s="41"/>
      <c r="BM50" s="41"/>
      <c r="BN50" s="41"/>
      <c r="BO50" s="41"/>
      <c r="BP50" s="41"/>
      <c r="BQ50" s="41"/>
      <c r="BR50" s="41"/>
      <c r="BS50" s="41"/>
      <c r="BT50" s="41"/>
      <c r="BU50" s="41"/>
      <c r="BV50" s="41"/>
      <c r="BW50" s="41"/>
      <c r="BX50" s="41"/>
      <c r="BY50" s="41"/>
      <c r="BZ50" s="41"/>
      <c r="CA50" s="41"/>
      <c r="CB50" s="41"/>
      <c r="CC50" s="41"/>
      <c r="CD50" s="41"/>
      <c r="CE50" s="41"/>
      <c r="CF50" s="41"/>
      <c r="CG50" s="41"/>
      <c r="CH50" s="41"/>
      <c r="CI50" s="41"/>
      <c r="CJ50" s="41"/>
      <c r="CK50" s="41"/>
      <c r="CL50" s="41"/>
      <c r="CM50" s="41"/>
      <c r="CN50" s="41"/>
      <c r="CO50" s="41"/>
      <c r="CP50" s="41"/>
    </row>
    <row r="51" spans="1:94" s="53" customFormat="1" ht="15.75" customHeight="1" x14ac:dyDescent="0.25">
      <c r="A51" s="75">
        <v>3</v>
      </c>
      <c r="B51" s="76" t="s">
        <v>45</v>
      </c>
      <c r="C51" s="54" t="str">
        <f>"FY "&amp;M4-1</f>
        <v>FY 2022</v>
      </c>
      <c r="D51" s="77" t="s">
        <v>31</v>
      </c>
      <c r="E51" s="78">
        <f>OrigApprop</f>
        <v>15800</v>
      </c>
      <c r="F51" s="272">
        <f>AppropFTP</f>
        <v>0.1</v>
      </c>
      <c r="G51" s="274">
        <f>IF(E51=0,0,(G41/$J$41)*$E$51)</f>
        <v>11268.325243786052</v>
      </c>
      <c r="H51" s="274">
        <f>IF(E51=0,0,(H41/$J$41)*$E$51)</f>
        <v>2126.2253664229393</v>
      </c>
      <c r="I51" s="275">
        <f>IF(E51=0,0,(I41/$J$41)*$E$51)</f>
        <v>2405.4493897910083</v>
      </c>
      <c r="J51" s="90">
        <f>SUM(G51:I51)</f>
        <v>15800</v>
      </c>
      <c r="K51" s="263"/>
      <c r="L51" s="61"/>
      <c r="M51" s="81"/>
      <c r="N51" s="81"/>
      <c r="O51"/>
      <c r="P51"/>
      <c r="Q51"/>
      <c r="R51"/>
      <c r="S51"/>
      <c r="T51"/>
      <c r="U51"/>
      <c r="V51"/>
      <c r="W51"/>
      <c r="X51"/>
      <c r="Y51"/>
      <c r="Z51" s="344"/>
      <c r="AA51" s="346"/>
      <c r="AB51" s="363"/>
      <c r="AC51" s="363"/>
      <c r="AD51" s="110"/>
      <c r="AE51" s="41"/>
      <c r="AF51" s="41"/>
      <c r="AG51" s="41"/>
      <c r="AH51" s="41"/>
      <c r="AI51" s="41"/>
      <c r="AJ51" s="41"/>
      <c r="AK51" s="41"/>
      <c r="AL51" s="41"/>
      <c r="AM51" s="41"/>
      <c r="AN51" s="41"/>
      <c r="AO51" s="41"/>
      <c r="AP51" s="41"/>
      <c r="AQ51" s="41"/>
      <c r="AR51" s="41"/>
      <c r="AS51" s="41"/>
      <c r="AT51" s="41"/>
      <c r="AU51" s="41"/>
      <c r="AV51" s="41"/>
      <c r="AW51" s="41"/>
      <c r="AX51" s="41"/>
      <c r="AY51" s="41"/>
      <c r="AZ51" s="41"/>
      <c r="BA51" s="41"/>
      <c r="BB51" s="41"/>
      <c r="BC51" s="41"/>
      <c r="BD51" s="41"/>
      <c r="BE51" s="41"/>
      <c r="BF51" s="41"/>
      <c r="BG51" s="41"/>
      <c r="BH51" s="41"/>
      <c r="BI51" s="41"/>
      <c r="BJ51" s="41"/>
      <c r="BK51" s="41"/>
      <c r="BL51" s="41"/>
      <c r="BM51" s="41"/>
      <c r="BN51" s="41"/>
      <c r="BO51" s="41"/>
      <c r="BP51" s="41"/>
      <c r="BQ51" s="41"/>
      <c r="BR51" s="41"/>
      <c r="BS51" s="41"/>
      <c r="BT51" s="41"/>
      <c r="BU51" s="41"/>
      <c r="BV51" s="41"/>
      <c r="BW51" s="41"/>
      <c r="BX51" s="41"/>
      <c r="BY51" s="41"/>
      <c r="BZ51" s="41"/>
      <c r="CA51" s="41"/>
      <c r="CB51" s="41"/>
      <c r="CC51" s="41"/>
      <c r="CD51" s="41"/>
      <c r="CE51" s="41"/>
      <c r="CF51" s="41"/>
      <c r="CG51" s="41"/>
      <c r="CH51" s="41"/>
      <c r="CI51" s="41"/>
      <c r="CJ51" s="41"/>
      <c r="CK51" s="41"/>
      <c r="CL51" s="41"/>
      <c r="CM51" s="41"/>
      <c r="CN51" s="41"/>
      <c r="CO51" s="41"/>
      <c r="CP51" s="41"/>
    </row>
    <row r="52" spans="1:94" s="53" customFormat="1" ht="15.75" customHeight="1" x14ac:dyDescent="0.25">
      <c r="A52" s="82"/>
      <c r="B52" s="83"/>
      <c r="C52" s="84"/>
      <c r="D52" s="132" t="s">
        <v>46</v>
      </c>
      <c r="E52" s="133"/>
      <c r="F52" s="55">
        <f>F51</f>
        <v>0.1</v>
      </c>
      <c r="G52" s="79">
        <f>ROUND(G51,-2)</f>
        <v>11300</v>
      </c>
      <c r="H52" s="79">
        <f>ROUND(H51,-2)</f>
        <v>2100</v>
      </c>
      <c r="I52" s="266">
        <f>ROUND(I51,-2)</f>
        <v>2400</v>
      </c>
      <c r="J52" s="80">
        <f>ROUND(J51,-2)</f>
        <v>15800</v>
      </c>
      <c r="K52" s="263"/>
      <c r="L52" s="61"/>
      <c r="M52" s="81"/>
      <c r="N52" s="81"/>
      <c r="O52"/>
      <c r="P52"/>
      <c r="Q52"/>
      <c r="R52"/>
      <c r="S52"/>
      <c r="T52"/>
      <c r="U52"/>
      <c r="V52"/>
      <c r="W52"/>
      <c r="X52"/>
      <c r="Y52"/>
      <c r="Z52" s="344"/>
      <c r="AA52" s="347"/>
      <c r="AB52" s="363"/>
      <c r="AC52" s="363"/>
      <c r="AD52" s="110"/>
      <c r="AE52" s="41"/>
      <c r="AF52" s="41"/>
      <c r="AG52" s="41"/>
      <c r="AH52" s="41"/>
      <c r="AI52" s="41"/>
      <c r="AJ52" s="41"/>
      <c r="AK52" s="41"/>
      <c r="AL52" s="41"/>
      <c r="AM52" s="41"/>
      <c r="AN52" s="41"/>
      <c r="AO52" s="41"/>
      <c r="AP52" s="41"/>
      <c r="AQ52" s="41"/>
      <c r="AR52" s="41"/>
      <c r="AS52" s="41"/>
      <c r="AT52" s="41"/>
      <c r="AU52" s="41"/>
      <c r="AV52" s="41"/>
      <c r="AW52" s="41"/>
      <c r="AX52" s="41"/>
      <c r="AY52" s="41"/>
      <c r="AZ52" s="41"/>
      <c r="BA52" s="41"/>
      <c r="BB52" s="41"/>
      <c r="BC52" s="41"/>
      <c r="BD52" s="41"/>
      <c r="BE52" s="41"/>
      <c r="BF52" s="41"/>
      <c r="BG52" s="41"/>
      <c r="BH52" s="41"/>
      <c r="BI52" s="41"/>
      <c r="BJ52" s="41"/>
      <c r="BK52" s="41"/>
      <c r="BL52" s="41"/>
      <c r="BM52" s="41"/>
      <c r="BN52" s="41"/>
      <c r="BO52" s="41"/>
      <c r="BP52" s="41"/>
      <c r="BQ52" s="41"/>
      <c r="BR52" s="41"/>
      <c r="BS52" s="41"/>
      <c r="BT52" s="41"/>
      <c r="BU52" s="41"/>
      <c r="BV52" s="41"/>
      <c r="BW52" s="41"/>
      <c r="BX52" s="41"/>
      <c r="BY52" s="41"/>
      <c r="BZ52" s="41"/>
      <c r="CA52" s="41"/>
      <c r="CB52" s="41"/>
      <c r="CC52" s="41"/>
      <c r="CD52" s="41"/>
      <c r="CE52" s="41"/>
      <c r="CF52" s="41"/>
      <c r="CG52" s="41"/>
      <c r="CH52" s="41"/>
      <c r="CI52" s="41"/>
      <c r="CJ52" s="41"/>
      <c r="CK52" s="41"/>
      <c r="CL52" s="41"/>
      <c r="CM52" s="41"/>
      <c r="CN52" s="41"/>
      <c r="CO52" s="41"/>
      <c r="CP52" s="41"/>
    </row>
    <row r="53" spans="1:94" s="53" customFormat="1" ht="15" x14ac:dyDescent="0.25">
      <c r="A53" s="85"/>
      <c r="B53" s="83"/>
      <c r="C53" s="441" t="s">
        <v>47</v>
      </c>
      <c r="D53" s="442"/>
      <c r="E53" s="271"/>
      <c r="F53" s="273"/>
      <c r="G53" s="62"/>
      <c r="H53" s="62"/>
      <c r="I53" s="62"/>
      <c r="J53" s="62"/>
      <c r="K53" s="62"/>
      <c r="L53" s="61"/>
      <c r="M53" s="86"/>
      <c r="N53" s="86"/>
      <c r="O53"/>
      <c r="P53"/>
      <c r="Q53"/>
      <c r="R53"/>
      <c r="S53"/>
      <c r="T53"/>
      <c r="U53"/>
      <c r="V53"/>
      <c r="W53"/>
      <c r="X53"/>
      <c r="Y53"/>
      <c r="Z53" s="344"/>
      <c r="AA53" s="363"/>
      <c r="AB53" s="363"/>
      <c r="AC53" s="363"/>
      <c r="AD53" s="110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U53" s="41"/>
      <c r="AV53" s="41"/>
      <c r="AW53" s="41"/>
      <c r="AX53" s="41"/>
      <c r="AY53" s="41"/>
      <c r="AZ53" s="41"/>
      <c r="BA53" s="41"/>
      <c r="BB53" s="41"/>
      <c r="BC53" s="41"/>
      <c r="BD53" s="41"/>
      <c r="BE53" s="41"/>
      <c r="BF53" s="41"/>
      <c r="BG53" s="41"/>
      <c r="BH53" s="41"/>
      <c r="BI53" s="41"/>
      <c r="BJ53" s="41"/>
      <c r="BK53" s="41"/>
      <c r="BL53" s="41"/>
      <c r="BM53" s="41"/>
      <c r="BN53" s="41"/>
      <c r="BO53" s="41"/>
      <c r="BP53" s="41"/>
      <c r="BQ53" s="41"/>
      <c r="BR53" s="41"/>
      <c r="BS53" s="41"/>
      <c r="BT53" s="41"/>
      <c r="BU53" s="41"/>
      <c r="BV53" s="41"/>
      <c r="BW53" s="41"/>
      <c r="BX53" s="41"/>
      <c r="BY53" s="41"/>
      <c r="BZ53" s="41"/>
      <c r="CA53" s="41"/>
      <c r="CB53" s="41"/>
      <c r="CC53" s="41"/>
      <c r="CD53" s="41"/>
      <c r="CE53" s="41"/>
      <c r="CF53" s="41"/>
      <c r="CG53" s="41"/>
      <c r="CH53" s="41"/>
      <c r="CI53" s="41"/>
      <c r="CJ53" s="41"/>
      <c r="CK53" s="41"/>
      <c r="CL53" s="41"/>
      <c r="CM53" s="41"/>
      <c r="CN53" s="41"/>
      <c r="CO53" s="41"/>
      <c r="CP53" s="41"/>
    </row>
    <row r="54" spans="1:94" s="53" customFormat="1" ht="15.75" customHeight="1" x14ac:dyDescent="0.25">
      <c r="A54" s="85">
        <v>4.1100000000000003</v>
      </c>
      <c r="B54" s="83"/>
      <c r="C54" s="408" t="s">
        <v>48</v>
      </c>
      <c r="D54" s="409"/>
      <c r="E54" s="59"/>
      <c r="F54" s="58">
        <v>0</v>
      </c>
      <c r="G54" s="88">
        <v>0</v>
      </c>
      <c r="H54" s="88">
        <v>0</v>
      </c>
      <c r="I54" s="265">
        <v>0</v>
      </c>
      <c r="J54" s="89">
        <f>SUM(G54:I54)</f>
        <v>0</v>
      </c>
      <c r="K54" s="62"/>
      <c r="L54" s="61"/>
      <c r="M54" s="86"/>
      <c r="N54" s="86"/>
      <c r="O54"/>
      <c r="P54"/>
      <c r="Q54"/>
      <c r="R54"/>
      <c r="S54"/>
      <c r="T54"/>
      <c r="U54"/>
      <c r="V54"/>
      <c r="W54"/>
      <c r="X54"/>
      <c r="Y54"/>
      <c r="Z54" s="344"/>
      <c r="AA54" s="363"/>
      <c r="AB54" s="363"/>
      <c r="AC54" s="363"/>
      <c r="AD54" s="110"/>
      <c r="AE54" s="41"/>
      <c r="AF54" s="41"/>
      <c r="AG54" s="41"/>
      <c r="AH54" s="41"/>
      <c r="AI54" s="41"/>
      <c r="AJ54" s="41"/>
      <c r="AK54" s="41"/>
      <c r="AL54" s="41"/>
      <c r="AM54" s="41"/>
      <c r="AN54" s="41"/>
      <c r="AO54" s="41"/>
      <c r="AP54" s="41"/>
      <c r="AQ54" s="41"/>
      <c r="AR54" s="41"/>
      <c r="AS54" s="41"/>
      <c r="AT54" s="41"/>
      <c r="AU54" s="41"/>
      <c r="AV54" s="41"/>
      <c r="AW54" s="41"/>
      <c r="AX54" s="41"/>
      <c r="AY54" s="41"/>
      <c r="AZ54" s="41"/>
      <c r="BA54" s="41"/>
      <c r="BB54" s="41"/>
      <c r="BC54" s="41"/>
      <c r="BD54" s="41"/>
      <c r="BE54" s="41"/>
      <c r="BF54" s="41"/>
      <c r="BG54" s="41"/>
      <c r="BH54" s="41"/>
      <c r="BI54" s="41"/>
      <c r="BJ54" s="41"/>
      <c r="BK54" s="41"/>
      <c r="BL54" s="41"/>
      <c r="BM54" s="41"/>
      <c r="BN54" s="41"/>
      <c r="BO54" s="41"/>
      <c r="BP54" s="41"/>
      <c r="BQ54" s="41"/>
      <c r="BR54" s="41"/>
      <c r="BS54" s="41"/>
      <c r="BT54" s="41"/>
      <c r="BU54" s="41"/>
      <c r="BV54" s="41"/>
      <c r="BW54" s="41"/>
      <c r="BX54" s="41"/>
      <c r="BY54" s="41"/>
      <c r="BZ54" s="41"/>
      <c r="CA54" s="41"/>
      <c r="CB54" s="41"/>
      <c r="CC54" s="41"/>
      <c r="CD54" s="41"/>
      <c r="CE54" s="41"/>
      <c r="CF54" s="41"/>
      <c r="CG54" s="41"/>
      <c r="CH54" s="41"/>
      <c r="CI54" s="41"/>
      <c r="CJ54" s="41"/>
      <c r="CK54" s="41"/>
      <c r="CL54" s="41"/>
      <c r="CM54" s="41"/>
      <c r="CN54" s="41"/>
      <c r="CO54" s="41"/>
      <c r="CP54" s="41"/>
    </row>
    <row r="55" spans="1:94" s="53" customFormat="1" ht="15.75" customHeight="1" x14ac:dyDescent="0.25">
      <c r="A55" s="85">
        <v>4.3099999999999996</v>
      </c>
      <c r="B55" s="83"/>
      <c r="C55" s="421" t="s">
        <v>49</v>
      </c>
      <c r="D55" s="422"/>
      <c r="E55" s="59"/>
      <c r="F55" s="277">
        <v>0</v>
      </c>
      <c r="G55" s="92">
        <v>0</v>
      </c>
      <c r="H55" s="92">
        <v>0</v>
      </c>
      <c r="I55" s="264">
        <v>0</v>
      </c>
      <c r="J55" s="287">
        <f>SUM(G55:I55)</f>
        <v>0</v>
      </c>
      <c r="K55" s="62"/>
      <c r="L55" s="88"/>
      <c r="M55" s="261"/>
      <c r="N55" s="89">
        <f>SUM(L55:M55)</f>
        <v>0</v>
      </c>
      <c r="O55"/>
      <c r="P55"/>
      <c r="Q55"/>
      <c r="R55"/>
      <c r="S55"/>
      <c r="T55"/>
      <c r="U55"/>
      <c r="V55"/>
      <c r="W55"/>
      <c r="X55"/>
      <c r="Y55"/>
      <c r="Z55" s="344"/>
      <c r="AA55" s="363"/>
      <c r="AB55" s="363"/>
      <c r="AC55" s="363"/>
      <c r="AD55" s="110"/>
      <c r="AE55" s="41"/>
      <c r="AF55" s="41"/>
      <c r="AG55" s="41"/>
      <c r="AH55" s="41"/>
      <c r="AI55" s="41"/>
      <c r="AJ55" s="41"/>
      <c r="AK55" s="41"/>
      <c r="AL55" s="41"/>
      <c r="AM55" s="41"/>
      <c r="AN55" s="41"/>
      <c r="AO55" s="41"/>
      <c r="AP55" s="41"/>
      <c r="AQ55" s="41"/>
      <c r="AR55" s="41"/>
      <c r="AS55" s="41"/>
      <c r="AT55" s="41"/>
      <c r="AU55" s="41"/>
      <c r="AV55" s="41"/>
      <c r="AW55" s="41"/>
      <c r="AX55" s="41"/>
      <c r="AY55" s="41"/>
      <c r="AZ55" s="41"/>
      <c r="BA55" s="41"/>
      <c r="BB55" s="41"/>
      <c r="BC55" s="41"/>
      <c r="BD55" s="41"/>
      <c r="BE55" s="41"/>
      <c r="BF55" s="41"/>
      <c r="BG55" s="41"/>
      <c r="BH55" s="41"/>
      <c r="BI55" s="41"/>
      <c r="BJ55" s="41"/>
      <c r="BK55" s="41"/>
      <c r="BL55" s="41"/>
      <c r="BM55" s="41"/>
      <c r="BN55" s="41"/>
      <c r="BO55" s="41"/>
      <c r="BP55" s="41"/>
      <c r="BQ55" s="41"/>
      <c r="BR55" s="41"/>
      <c r="BS55" s="41"/>
      <c r="BT55" s="41"/>
      <c r="BU55" s="41"/>
      <c r="BV55" s="41"/>
      <c r="BW55" s="41"/>
      <c r="BX55" s="41"/>
      <c r="BY55" s="41"/>
      <c r="BZ55" s="41"/>
      <c r="CA55" s="41"/>
      <c r="CB55" s="41"/>
      <c r="CC55" s="41"/>
      <c r="CD55" s="41"/>
      <c r="CE55" s="41"/>
      <c r="CF55" s="41"/>
      <c r="CG55" s="41"/>
      <c r="CH55" s="41"/>
      <c r="CI55" s="41"/>
      <c r="CJ55" s="41"/>
      <c r="CK55" s="41"/>
      <c r="CL55" s="41"/>
      <c r="CM55" s="41"/>
      <c r="CN55" s="41"/>
      <c r="CO55" s="41"/>
      <c r="CP55" s="41"/>
    </row>
    <row r="56" spans="1:94" s="53" customFormat="1" ht="15.75" customHeight="1" x14ac:dyDescent="0.25">
      <c r="A56" s="75">
        <v>5</v>
      </c>
      <c r="B56" s="76"/>
      <c r="C56" s="54" t="str">
        <f>"FY "&amp;M4-1</f>
        <v>FY 2022</v>
      </c>
      <c r="D56" s="131" t="s">
        <v>50</v>
      </c>
      <c r="E56" s="135"/>
      <c r="F56" s="55">
        <f>SUM(F52:F55)</f>
        <v>0.1</v>
      </c>
      <c r="G56" s="80">
        <f>SUM(G52:G55)</f>
        <v>11300</v>
      </c>
      <c r="H56" s="80">
        <f>SUM(H52:H55)</f>
        <v>2100</v>
      </c>
      <c r="I56" s="260">
        <f>SUM(I52:I55)</f>
        <v>2400</v>
      </c>
      <c r="J56" s="80">
        <f>SUM(J52:J55)</f>
        <v>15800</v>
      </c>
      <c r="K56" s="263"/>
      <c r="L56" s="61"/>
      <c r="M56" s="61"/>
      <c r="N56" s="61"/>
      <c r="O56"/>
      <c r="P56"/>
      <c r="Q56"/>
      <c r="R56"/>
      <c r="S56"/>
      <c r="T56"/>
      <c r="U56"/>
      <c r="V56"/>
      <c r="W56"/>
      <c r="X56"/>
      <c r="Y56"/>
      <c r="Z56" s="344"/>
      <c r="AA56" s="363"/>
      <c r="AB56" s="363"/>
      <c r="AC56" s="363"/>
      <c r="AD56" s="110"/>
      <c r="AE56" s="41"/>
      <c r="AF56" s="41"/>
      <c r="AG56" s="41"/>
      <c r="AH56" s="41"/>
      <c r="AI56" s="41"/>
      <c r="AJ56" s="41"/>
      <c r="AK56" s="41"/>
      <c r="AL56" s="41"/>
      <c r="AM56" s="41"/>
      <c r="AN56" s="41"/>
      <c r="AO56" s="41"/>
      <c r="AP56" s="41"/>
      <c r="AQ56" s="41"/>
      <c r="AR56" s="41"/>
      <c r="AS56" s="41"/>
      <c r="AT56" s="41"/>
      <c r="AU56" s="41"/>
      <c r="AV56" s="41"/>
      <c r="AW56" s="41"/>
      <c r="AX56" s="41"/>
      <c r="AY56" s="41"/>
      <c r="AZ56" s="41"/>
      <c r="BA56" s="41"/>
      <c r="BB56" s="41"/>
      <c r="BC56" s="41"/>
      <c r="BD56" s="41"/>
      <c r="BE56" s="41"/>
      <c r="BF56" s="41"/>
      <c r="BG56" s="41"/>
      <c r="BH56" s="41"/>
      <c r="BI56" s="41"/>
      <c r="BJ56" s="41"/>
      <c r="BK56" s="41"/>
      <c r="BL56" s="41"/>
      <c r="BM56" s="41"/>
      <c r="BN56" s="41"/>
      <c r="BO56" s="41"/>
      <c r="BP56" s="41"/>
      <c r="BQ56" s="41"/>
      <c r="BR56" s="41"/>
      <c r="BS56" s="41"/>
      <c r="BT56" s="41"/>
      <c r="BU56" s="41"/>
      <c r="BV56" s="41"/>
      <c r="BW56" s="41"/>
      <c r="BX56" s="41"/>
      <c r="BY56" s="41"/>
      <c r="BZ56" s="41"/>
      <c r="CA56" s="41"/>
      <c r="CB56" s="41"/>
      <c r="CC56" s="41"/>
      <c r="CD56" s="41"/>
      <c r="CE56" s="41"/>
      <c r="CF56" s="41"/>
      <c r="CG56" s="41"/>
      <c r="CH56" s="41"/>
      <c r="CI56" s="41"/>
      <c r="CJ56" s="41"/>
      <c r="CK56" s="41"/>
      <c r="CL56" s="41"/>
      <c r="CM56" s="41"/>
      <c r="CN56" s="41"/>
      <c r="CO56" s="41"/>
      <c r="CP56" s="41"/>
    </row>
    <row r="57" spans="1:94" s="53" customFormat="1" ht="15.75" customHeight="1" x14ac:dyDescent="0.25">
      <c r="A57" s="85"/>
      <c r="B57" s="83"/>
      <c r="C57" s="419" t="s">
        <v>51</v>
      </c>
      <c r="D57" s="423"/>
      <c r="E57" s="367"/>
      <c r="F57" s="273"/>
      <c r="G57" s="62"/>
      <c r="H57" s="62"/>
      <c r="I57" s="62"/>
      <c r="J57" s="62"/>
      <c r="K57" s="62"/>
      <c r="L57" s="61"/>
      <c r="M57" s="61"/>
      <c r="N57" s="61"/>
      <c r="O57"/>
      <c r="P57"/>
      <c r="Q57"/>
      <c r="R57"/>
      <c r="S57"/>
      <c r="T57"/>
      <c r="U57"/>
      <c r="V57"/>
      <c r="W57"/>
      <c r="X57"/>
      <c r="Y57"/>
      <c r="Z57" s="344"/>
      <c r="AA57" s="363"/>
      <c r="AB57" s="363"/>
      <c r="AC57" s="363"/>
      <c r="AD57" s="110"/>
      <c r="AE57" s="41"/>
      <c r="AF57" s="41"/>
      <c r="AG57" s="41"/>
      <c r="AH57" s="41"/>
      <c r="AI57" s="41"/>
      <c r="AJ57" s="41"/>
      <c r="AK57" s="41"/>
      <c r="AL57" s="41"/>
      <c r="AM57" s="41"/>
      <c r="AN57" s="41"/>
      <c r="AO57" s="41"/>
      <c r="AP57" s="41"/>
      <c r="AQ57" s="41"/>
      <c r="AR57" s="41"/>
      <c r="AS57" s="41"/>
      <c r="AT57" s="41"/>
      <c r="AU57" s="41"/>
      <c r="AV57" s="41"/>
      <c r="AW57" s="41"/>
      <c r="AX57" s="41"/>
      <c r="AY57" s="41"/>
      <c r="AZ57" s="41"/>
      <c r="BA57" s="41"/>
      <c r="BB57" s="41"/>
      <c r="BC57" s="41"/>
      <c r="BD57" s="41"/>
      <c r="BE57" s="41"/>
      <c r="BF57" s="41"/>
      <c r="BG57" s="41"/>
      <c r="BH57" s="41"/>
      <c r="BI57" s="41"/>
      <c r="BJ57" s="41"/>
      <c r="BK57" s="41"/>
      <c r="BL57" s="41"/>
      <c r="BM57" s="41"/>
      <c r="BN57" s="41"/>
      <c r="BO57" s="41"/>
      <c r="BP57" s="41"/>
      <c r="BQ57" s="41"/>
      <c r="BR57" s="41"/>
      <c r="BS57" s="41"/>
      <c r="BT57" s="41"/>
      <c r="BU57" s="41"/>
      <c r="BV57" s="41"/>
      <c r="BW57" s="41"/>
      <c r="BX57" s="41"/>
      <c r="BY57" s="41"/>
      <c r="BZ57" s="41"/>
      <c r="CA57" s="41"/>
      <c r="CB57" s="41"/>
      <c r="CC57" s="41"/>
      <c r="CD57" s="41"/>
      <c r="CE57" s="41"/>
      <c r="CF57" s="41"/>
      <c r="CG57" s="41"/>
      <c r="CH57" s="41"/>
      <c r="CI57" s="41"/>
      <c r="CJ57" s="41"/>
      <c r="CK57" s="41"/>
      <c r="CL57" s="41"/>
      <c r="CM57" s="41"/>
      <c r="CN57" s="41"/>
      <c r="CO57" s="41"/>
      <c r="CP57" s="41"/>
    </row>
    <row r="58" spans="1:94" s="53" customFormat="1" ht="15.75" customHeight="1" x14ac:dyDescent="0.25">
      <c r="A58" s="85">
        <v>6.31</v>
      </c>
      <c r="B58" s="83"/>
      <c r="C58" s="408" t="s">
        <v>52</v>
      </c>
      <c r="D58" s="409"/>
      <c r="E58" s="102"/>
      <c r="F58" s="58">
        <v>0</v>
      </c>
      <c r="G58" s="88">
        <v>0</v>
      </c>
      <c r="H58" s="88">
        <v>0</v>
      </c>
      <c r="I58" s="265">
        <v>0</v>
      </c>
      <c r="J58" s="89">
        <f>SUM(G58:I58)</f>
        <v>0</v>
      </c>
      <c r="K58" s="62"/>
      <c r="L58" s="88"/>
      <c r="M58" s="262"/>
      <c r="N58" s="89">
        <f>SUM(L58:M58)</f>
        <v>0</v>
      </c>
      <c r="O58"/>
      <c r="P58"/>
      <c r="Q58"/>
      <c r="R58"/>
      <c r="S58"/>
      <c r="T58"/>
      <c r="U58"/>
      <c r="V58"/>
      <c r="W58"/>
      <c r="X58"/>
      <c r="Y58"/>
      <c r="Z58" s="344"/>
      <c r="AA58" s="363"/>
      <c r="AB58" s="363"/>
      <c r="AC58" s="363"/>
      <c r="AD58" s="110"/>
      <c r="AE58" s="41"/>
      <c r="AF58" s="41"/>
      <c r="AG58" s="41"/>
      <c r="AH58" s="41"/>
      <c r="AI58" s="41"/>
      <c r="AJ58" s="41"/>
      <c r="AK58" s="41"/>
      <c r="AL58" s="41"/>
      <c r="AM58" s="41"/>
      <c r="AN58" s="41"/>
      <c r="AO58" s="41"/>
      <c r="AP58" s="41"/>
      <c r="AQ58" s="41"/>
      <c r="AR58" s="41"/>
      <c r="AS58" s="41"/>
      <c r="AT58" s="41"/>
      <c r="AU58" s="41"/>
      <c r="AV58" s="41"/>
      <c r="AW58" s="41"/>
      <c r="AX58" s="41"/>
      <c r="AY58" s="41"/>
      <c r="AZ58" s="41"/>
      <c r="BA58" s="41"/>
      <c r="BB58" s="41"/>
      <c r="BC58" s="41"/>
      <c r="BD58" s="41"/>
      <c r="BE58" s="41"/>
      <c r="BF58" s="41"/>
      <c r="BG58" s="41"/>
      <c r="BH58" s="41"/>
      <c r="BI58" s="41"/>
      <c r="BJ58" s="41"/>
      <c r="BK58" s="41"/>
      <c r="BL58" s="41"/>
      <c r="BM58" s="41"/>
      <c r="BN58" s="41"/>
      <c r="BO58" s="41"/>
      <c r="BP58" s="41"/>
      <c r="BQ58" s="41"/>
      <c r="BR58" s="41"/>
      <c r="BS58" s="41"/>
      <c r="BT58" s="41"/>
      <c r="BU58" s="41"/>
      <c r="BV58" s="41"/>
      <c r="BW58" s="41"/>
      <c r="BX58" s="41"/>
      <c r="BY58" s="41"/>
      <c r="BZ58" s="41"/>
      <c r="CA58" s="41"/>
      <c r="CB58" s="41"/>
      <c r="CC58" s="41"/>
      <c r="CD58" s="41"/>
      <c r="CE58" s="41"/>
      <c r="CF58" s="41"/>
      <c r="CG58" s="41"/>
      <c r="CH58" s="41"/>
      <c r="CI58" s="41"/>
      <c r="CJ58" s="41"/>
      <c r="CK58" s="41"/>
      <c r="CL58" s="41"/>
      <c r="CM58" s="41"/>
      <c r="CN58" s="41"/>
      <c r="CO58" s="41"/>
      <c r="CP58" s="41"/>
    </row>
    <row r="59" spans="1:94" s="53" customFormat="1" ht="15.75" customHeight="1" x14ac:dyDescent="0.25">
      <c r="A59" s="85">
        <v>6.51</v>
      </c>
      <c r="B59" s="83"/>
      <c r="C59" s="421" t="s">
        <v>66</v>
      </c>
      <c r="D59" s="422"/>
      <c r="E59" s="102"/>
      <c r="F59" s="58">
        <v>0</v>
      </c>
      <c r="G59" s="88">
        <v>0</v>
      </c>
      <c r="H59" s="92">
        <v>0</v>
      </c>
      <c r="I59" s="264">
        <v>0</v>
      </c>
      <c r="J59" s="267">
        <f>SUM(G59:I59)</f>
        <v>0</v>
      </c>
      <c r="K59" s="62"/>
      <c r="L59" s="88"/>
      <c r="M59" s="261"/>
      <c r="N59" s="89">
        <f>SUM(L59:M59)</f>
        <v>0</v>
      </c>
      <c r="O59"/>
      <c r="P59"/>
      <c r="Q59"/>
      <c r="R59"/>
      <c r="S59"/>
      <c r="T59"/>
      <c r="U59"/>
      <c r="V59"/>
      <c r="W59"/>
      <c r="X59"/>
      <c r="Y59"/>
      <c r="Z59" s="344"/>
      <c r="AA59" s="363"/>
      <c r="AB59" s="363"/>
      <c r="AC59" s="363"/>
      <c r="AD59" s="110"/>
      <c r="AE59" s="41"/>
      <c r="AF59" s="41"/>
      <c r="AG59" s="41"/>
      <c r="AH59" s="41"/>
      <c r="AI59" s="41"/>
      <c r="AJ59" s="41"/>
      <c r="AK59" s="41"/>
      <c r="AL59" s="41"/>
      <c r="AM59" s="41"/>
      <c r="AN59" s="41"/>
      <c r="AO59" s="41"/>
      <c r="AP59" s="41"/>
      <c r="AQ59" s="41"/>
      <c r="AR59" s="41"/>
      <c r="AS59" s="41"/>
      <c r="AT59" s="41"/>
      <c r="AU59" s="41"/>
      <c r="AV59" s="41"/>
      <c r="AW59" s="41"/>
      <c r="AX59" s="41"/>
      <c r="AY59" s="41"/>
      <c r="AZ59" s="41"/>
      <c r="BA59" s="41"/>
      <c r="BB59" s="41"/>
      <c r="BC59" s="41"/>
      <c r="BD59" s="41"/>
      <c r="BE59" s="41"/>
      <c r="BF59" s="41"/>
      <c r="BG59" s="41"/>
      <c r="BH59" s="41"/>
      <c r="BI59" s="41"/>
      <c r="BJ59" s="41"/>
      <c r="BK59" s="41"/>
      <c r="BL59" s="41"/>
      <c r="BM59" s="41"/>
      <c r="BN59" s="41"/>
      <c r="BO59" s="41"/>
      <c r="BP59" s="41"/>
      <c r="BQ59" s="41"/>
      <c r="BR59" s="41"/>
      <c r="BS59" s="41"/>
      <c r="BT59" s="41"/>
      <c r="BU59" s="41"/>
      <c r="BV59" s="41"/>
      <c r="BW59" s="41"/>
      <c r="BX59" s="41"/>
      <c r="BY59" s="41"/>
      <c r="BZ59" s="41"/>
      <c r="CA59" s="41"/>
      <c r="CB59" s="41"/>
      <c r="CC59" s="41"/>
      <c r="CD59" s="41"/>
      <c r="CE59" s="41"/>
      <c r="CF59" s="41"/>
      <c r="CG59" s="41"/>
      <c r="CH59" s="41"/>
      <c r="CI59" s="41"/>
      <c r="CJ59" s="41"/>
      <c r="CK59" s="41"/>
      <c r="CL59" s="41"/>
      <c r="CM59" s="41"/>
      <c r="CN59" s="41"/>
      <c r="CO59" s="41"/>
      <c r="CP59" s="41"/>
    </row>
    <row r="60" spans="1:94" s="53" customFormat="1" ht="15.75" customHeight="1" x14ac:dyDescent="0.25">
      <c r="A60" s="75">
        <v>7</v>
      </c>
      <c r="B60" s="76"/>
      <c r="C60" s="54" t="str">
        <f>"FY "&amp;M4-1</f>
        <v>FY 2022</v>
      </c>
      <c r="D60" s="131" t="s">
        <v>53</v>
      </c>
      <c r="E60" s="135"/>
      <c r="F60" s="55">
        <f>SUM(F56:F59)</f>
        <v>0.1</v>
      </c>
      <c r="G60" s="80">
        <f>SUM(G56:G59)</f>
        <v>11300</v>
      </c>
      <c r="H60" s="80">
        <f>SUM(H56:H59)</f>
        <v>2100</v>
      </c>
      <c r="I60" s="260">
        <f>SUM(I56:I59)</f>
        <v>2400</v>
      </c>
      <c r="J60" s="80">
        <f>SUM(J56:J59)</f>
        <v>15800</v>
      </c>
      <c r="K60" s="263"/>
      <c r="L60" s="61"/>
      <c r="M60" s="61"/>
      <c r="N60" s="60"/>
      <c r="O60"/>
      <c r="P60"/>
      <c r="Q60"/>
      <c r="R60"/>
      <c r="S60"/>
      <c r="T60"/>
      <c r="U60"/>
      <c r="V60"/>
      <c r="W60"/>
      <c r="X60"/>
      <c r="Y60"/>
      <c r="Z60" s="344"/>
      <c r="AA60" s="363"/>
      <c r="AB60" s="363"/>
      <c r="AC60" s="363"/>
      <c r="AD60" s="110"/>
      <c r="AE60" s="41"/>
      <c r="AF60" s="41"/>
      <c r="AG60" s="41"/>
      <c r="AH60" s="41"/>
      <c r="AI60" s="41"/>
      <c r="AJ60" s="41"/>
      <c r="AK60" s="41"/>
      <c r="AL60" s="41"/>
      <c r="AM60" s="41"/>
      <c r="AN60" s="41"/>
      <c r="AO60" s="41"/>
      <c r="AP60" s="41"/>
      <c r="AQ60" s="41"/>
      <c r="AR60" s="41"/>
      <c r="AS60" s="41"/>
      <c r="AT60" s="41"/>
      <c r="AU60" s="41"/>
      <c r="AV60" s="41"/>
      <c r="AW60" s="41"/>
      <c r="AX60" s="41"/>
      <c r="AY60" s="41"/>
      <c r="AZ60" s="41"/>
      <c r="BA60" s="41"/>
      <c r="BB60" s="41"/>
      <c r="BC60" s="41"/>
      <c r="BD60" s="41"/>
      <c r="BE60" s="41"/>
      <c r="BF60" s="41"/>
      <c r="BG60" s="41"/>
      <c r="BH60" s="41"/>
      <c r="BI60" s="41"/>
      <c r="BJ60" s="41"/>
      <c r="BK60" s="41"/>
      <c r="BL60" s="41"/>
      <c r="BM60" s="41"/>
      <c r="BN60" s="41"/>
      <c r="BO60" s="41"/>
      <c r="BP60" s="41"/>
      <c r="BQ60" s="41"/>
      <c r="BR60" s="41"/>
      <c r="BS60" s="41"/>
      <c r="BT60" s="41"/>
      <c r="BU60" s="41"/>
      <c r="BV60" s="41"/>
      <c r="BW60" s="41"/>
      <c r="BX60" s="41"/>
      <c r="BY60" s="41"/>
      <c r="BZ60" s="41"/>
      <c r="CA60" s="41"/>
      <c r="CB60" s="41"/>
      <c r="CC60" s="41"/>
      <c r="CD60" s="41"/>
      <c r="CE60" s="41"/>
      <c r="CF60" s="41"/>
      <c r="CG60" s="41"/>
      <c r="CH60" s="41"/>
      <c r="CI60" s="41"/>
      <c r="CJ60" s="41"/>
      <c r="CK60" s="41"/>
      <c r="CL60" s="41"/>
      <c r="CM60" s="41"/>
      <c r="CN60" s="41"/>
      <c r="CO60" s="41"/>
      <c r="CP60" s="41"/>
    </row>
    <row r="61" spans="1:94" s="53" customFormat="1" ht="15.75" customHeight="1" x14ac:dyDescent="0.25">
      <c r="A61" s="85"/>
      <c r="B61" s="83"/>
      <c r="C61" s="419" t="s">
        <v>54</v>
      </c>
      <c r="D61" s="423"/>
      <c r="E61" s="367"/>
      <c r="F61" s="273"/>
      <c r="G61" s="62"/>
      <c r="H61" s="62"/>
      <c r="I61" s="62"/>
      <c r="J61" s="62"/>
      <c r="K61" s="62"/>
      <c r="L61" s="61"/>
      <c r="M61" s="61"/>
      <c r="N61" s="60"/>
      <c r="O61"/>
      <c r="P61"/>
      <c r="Q61"/>
      <c r="R61"/>
      <c r="S61"/>
      <c r="T61"/>
      <c r="U61"/>
      <c r="V61"/>
      <c r="W61"/>
      <c r="X61"/>
      <c r="Y61"/>
      <c r="Z61" s="344"/>
      <c r="AA61" s="363"/>
      <c r="AB61" s="363"/>
      <c r="AC61" s="363"/>
      <c r="AD61" s="110"/>
      <c r="AE61" s="41"/>
      <c r="AF61" s="41"/>
      <c r="AG61" s="41"/>
      <c r="AH61" s="41"/>
      <c r="AI61" s="41"/>
      <c r="AJ61" s="41"/>
      <c r="AK61" s="41"/>
      <c r="AL61" s="41"/>
      <c r="AM61" s="41"/>
      <c r="AN61" s="41"/>
      <c r="AO61" s="41"/>
      <c r="AP61" s="41"/>
      <c r="AQ61" s="41"/>
      <c r="AR61" s="41"/>
      <c r="AS61" s="41"/>
      <c r="AT61" s="41"/>
      <c r="AU61" s="41"/>
      <c r="AV61" s="41"/>
      <c r="AW61" s="41"/>
      <c r="AX61" s="41"/>
      <c r="AY61" s="41"/>
      <c r="AZ61" s="41"/>
      <c r="BA61" s="41"/>
      <c r="BB61" s="41"/>
      <c r="BC61" s="41"/>
      <c r="BD61" s="41"/>
      <c r="BE61" s="41"/>
      <c r="BF61" s="41"/>
      <c r="BG61" s="41"/>
      <c r="BH61" s="41"/>
      <c r="BI61" s="41"/>
      <c r="BJ61" s="41"/>
      <c r="BK61" s="41"/>
      <c r="BL61" s="41"/>
      <c r="BM61" s="41"/>
      <c r="BN61" s="41"/>
      <c r="BO61" s="41"/>
      <c r="BP61" s="41"/>
      <c r="BQ61" s="41"/>
      <c r="BR61" s="41"/>
      <c r="BS61" s="41"/>
      <c r="BT61" s="41"/>
      <c r="BU61" s="41"/>
      <c r="BV61" s="41"/>
      <c r="BW61" s="41"/>
      <c r="BX61" s="41"/>
      <c r="BY61" s="41"/>
      <c r="BZ61" s="41"/>
      <c r="CA61" s="41"/>
      <c r="CB61" s="41"/>
      <c r="CC61" s="41"/>
      <c r="CD61" s="41"/>
      <c r="CE61" s="41"/>
      <c r="CF61" s="41"/>
      <c r="CG61" s="41"/>
      <c r="CH61" s="41"/>
      <c r="CI61" s="41"/>
      <c r="CJ61" s="41"/>
      <c r="CK61" s="41"/>
      <c r="CL61" s="41"/>
      <c r="CM61" s="41"/>
      <c r="CN61" s="41"/>
      <c r="CO61" s="41"/>
      <c r="CP61" s="41"/>
    </row>
    <row r="62" spans="1:94" s="53" customFormat="1" ht="15.75" customHeight="1" x14ac:dyDescent="0.25">
      <c r="A62" s="85">
        <v>8.31</v>
      </c>
      <c r="B62" s="83"/>
      <c r="C62" s="408" t="s">
        <v>67</v>
      </c>
      <c r="D62" s="409"/>
      <c r="E62" s="102"/>
      <c r="F62" s="58">
        <v>0</v>
      </c>
      <c r="G62" s="88">
        <v>0</v>
      </c>
      <c r="H62" s="91">
        <v>0</v>
      </c>
      <c r="I62" s="276">
        <v>0</v>
      </c>
      <c r="J62" s="89">
        <f>SUM(G62:I62)</f>
        <v>0</v>
      </c>
      <c r="K62" s="62"/>
      <c r="L62" s="88"/>
      <c r="M62" s="261"/>
      <c r="N62" s="89">
        <f>SUM(L62:M62)</f>
        <v>0</v>
      </c>
      <c r="O62"/>
      <c r="P62"/>
      <c r="Q62"/>
      <c r="R62"/>
      <c r="S62"/>
      <c r="T62"/>
      <c r="U62"/>
      <c r="V62"/>
      <c r="W62"/>
      <c r="X62"/>
      <c r="Y62"/>
      <c r="Z62" s="344"/>
      <c r="AA62" s="363"/>
      <c r="AB62" s="363"/>
      <c r="AC62" s="363"/>
      <c r="AD62" s="110"/>
      <c r="AE62" s="41"/>
      <c r="AF62" s="41"/>
      <c r="AG62" s="41"/>
      <c r="AH62" s="41"/>
      <c r="AI62" s="41"/>
      <c r="AJ62" s="41"/>
      <c r="AK62" s="41"/>
      <c r="AL62" s="41"/>
      <c r="AM62" s="41"/>
      <c r="AN62" s="41"/>
      <c r="AO62" s="41"/>
      <c r="AP62" s="41"/>
      <c r="AQ62" s="41"/>
      <c r="AR62" s="41"/>
      <c r="AS62" s="41"/>
      <c r="AT62" s="41"/>
      <c r="AU62" s="41"/>
      <c r="AV62" s="41"/>
      <c r="AW62" s="41"/>
      <c r="AX62" s="41"/>
      <c r="AY62" s="41"/>
      <c r="AZ62" s="41"/>
      <c r="BA62" s="41"/>
      <c r="BB62" s="41"/>
      <c r="BC62" s="41"/>
      <c r="BD62" s="41"/>
      <c r="BE62" s="41"/>
      <c r="BF62" s="41"/>
      <c r="BG62" s="41"/>
      <c r="BH62" s="41"/>
      <c r="BI62" s="41"/>
      <c r="BJ62" s="41"/>
      <c r="BK62" s="41"/>
      <c r="BL62" s="41"/>
      <c r="BM62" s="41"/>
      <c r="BN62" s="41"/>
      <c r="BO62" s="41"/>
      <c r="BP62" s="41"/>
      <c r="BQ62" s="41"/>
      <c r="BR62" s="41"/>
      <c r="BS62" s="41"/>
      <c r="BT62" s="41"/>
      <c r="BU62" s="41"/>
      <c r="BV62" s="41"/>
      <c r="BW62" s="41"/>
      <c r="BX62" s="41"/>
      <c r="BY62" s="41"/>
      <c r="BZ62" s="41"/>
      <c r="CA62" s="41"/>
      <c r="CB62" s="41"/>
      <c r="CC62" s="41"/>
      <c r="CD62" s="41"/>
      <c r="CE62" s="41"/>
      <c r="CF62" s="41"/>
      <c r="CG62" s="41"/>
      <c r="CH62" s="41"/>
      <c r="CI62" s="41"/>
      <c r="CJ62" s="41"/>
      <c r="CK62" s="41"/>
      <c r="CL62" s="41"/>
      <c r="CM62" s="41"/>
      <c r="CN62" s="41"/>
      <c r="CO62" s="41"/>
      <c r="CP62" s="41"/>
    </row>
    <row r="63" spans="1:94" s="53" customFormat="1" ht="15.75" customHeight="1" x14ac:dyDescent="0.25">
      <c r="A63" s="85">
        <v>8.41</v>
      </c>
      <c r="B63" s="83"/>
      <c r="C63" s="408" t="s">
        <v>55</v>
      </c>
      <c r="D63" s="409"/>
      <c r="E63" s="102"/>
      <c r="F63" s="58">
        <v>0</v>
      </c>
      <c r="G63" s="89">
        <f>ROUND((OneTimePC_Total-H63)/(1+(PermVB+Retire1)),-2)</f>
        <v>0</v>
      </c>
      <c r="H63" s="89">
        <f>ROUND(IF(AND(F63&lt;0,OneTimePC_Total&lt;0),F63*Health,0),-2)</f>
        <v>0</v>
      </c>
      <c r="I63" s="310">
        <f>OneTimePC_Total-G63-H63</f>
        <v>0</v>
      </c>
      <c r="J63" s="89">
        <v>0</v>
      </c>
      <c r="K63" s="308"/>
      <c r="L63" s="88"/>
      <c r="M63" s="261"/>
      <c r="N63" s="89">
        <f>SUM(L63:M63)</f>
        <v>0</v>
      </c>
      <c r="O63"/>
      <c r="P63"/>
      <c r="Q63"/>
      <c r="R63"/>
      <c r="S63"/>
      <c r="T63"/>
      <c r="U63"/>
      <c r="V63"/>
      <c r="W63"/>
      <c r="X63"/>
      <c r="Y63"/>
      <c r="Z63" s="344"/>
      <c r="AA63" s="363"/>
      <c r="AB63" s="363"/>
      <c r="AC63" s="363"/>
      <c r="AD63" s="110"/>
      <c r="AE63" s="41"/>
      <c r="AF63" s="41"/>
      <c r="AG63" s="41"/>
      <c r="AH63" s="41"/>
      <c r="AI63" s="41"/>
      <c r="AJ63" s="41"/>
      <c r="AK63" s="41"/>
      <c r="AL63" s="41"/>
      <c r="AM63" s="41"/>
      <c r="AN63" s="41"/>
      <c r="AO63" s="41"/>
      <c r="AP63" s="41"/>
      <c r="AQ63" s="41"/>
      <c r="AR63" s="41"/>
      <c r="AS63" s="41"/>
      <c r="AT63" s="41"/>
      <c r="AU63" s="41"/>
      <c r="AV63" s="41"/>
      <c r="AW63" s="41"/>
      <c r="AX63" s="41"/>
      <c r="AY63" s="41"/>
      <c r="AZ63" s="41"/>
      <c r="BA63" s="41"/>
      <c r="BB63" s="41"/>
      <c r="BC63" s="41"/>
      <c r="BD63" s="41"/>
      <c r="BE63" s="41"/>
      <c r="BF63" s="41"/>
      <c r="BG63" s="41"/>
      <c r="BH63" s="41"/>
      <c r="BI63" s="41"/>
      <c r="BJ63" s="41"/>
      <c r="BK63" s="41"/>
      <c r="BL63" s="41"/>
      <c r="BM63" s="41"/>
      <c r="BN63" s="41"/>
      <c r="BO63" s="41"/>
      <c r="BP63" s="41"/>
      <c r="BQ63" s="41"/>
      <c r="BR63" s="41"/>
      <c r="BS63" s="41"/>
      <c r="BT63" s="41"/>
      <c r="BU63" s="41"/>
      <c r="BV63" s="41"/>
      <c r="BW63" s="41"/>
      <c r="BX63" s="41"/>
      <c r="BY63" s="41"/>
      <c r="BZ63" s="41"/>
      <c r="CA63" s="41"/>
      <c r="CB63" s="41"/>
      <c r="CC63" s="41"/>
      <c r="CD63" s="41"/>
      <c r="CE63" s="41"/>
      <c r="CF63" s="41"/>
      <c r="CG63" s="41"/>
      <c r="CH63" s="41"/>
      <c r="CI63" s="41"/>
      <c r="CJ63" s="41"/>
      <c r="CK63" s="41"/>
      <c r="CL63" s="41"/>
      <c r="CM63" s="41"/>
      <c r="CN63" s="41"/>
      <c r="CO63" s="41"/>
      <c r="CP63" s="41"/>
    </row>
    <row r="64" spans="1:94" s="53" customFormat="1" ht="15.75" customHeight="1" thickBot="1" x14ac:dyDescent="0.3">
      <c r="A64" s="93">
        <v>8.51</v>
      </c>
      <c r="B64" s="93"/>
      <c r="C64" s="413" t="s">
        <v>56</v>
      </c>
      <c r="D64" s="414"/>
      <c r="E64" s="134"/>
      <c r="F64" s="58">
        <v>0</v>
      </c>
      <c r="G64" s="88"/>
      <c r="H64" s="88">
        <v>0</v>
      </c>
      <c r="I64" s="265"/>
      <c r="J64" s="89">
        <f>SUM(G64:I64)</f>
        <v>0</v>
      </c>
      <c r="K64" s="62"/>
      <c r="L64" s="88"/>
      <c r="M64" s="261"/>
      <c r="N64" s="89">
        <f>SUM(L64:M64)</f>
        <v>0</v>
      </c>
      <c r="O64"/>
      <c r="P64"/>
      <c r="Q64"/>
      <c r="R64"/>
      <c r="S64"/>
      <c r="T64"/>
      <c r="U64"/>
      <c r="V64"/>
      <c r="W64"/>
      <c r="X64"/>
      <c r="Y64"/>
      <c r="Z64" s="344"/>
      <c r="AA64" s="363"/>
      <c r="AB64" s="363"/>
      <c r="AC64" s="363"/>
      <c r="AD64" s="110"/>
      <c r="AE64" s="41"/>
      <c r="AF64" s="41"/>
      <c r="AG64" s="41"/>
      <c r="AH64" s="41"/>
      <c r="AI64" s="41"/>
      <c r="AJ64" s="41"/>
      <c r="AK64" s="41"/>
      <c r="AL64" s="41"/>
      <c r="AM64" s="41"/>
      <c r="AN64" s="41"/>
      <c r="AO64" s="41"/>
      <c r="AP64" s="41"/>
      <c r="AQ64" s="41"/>
      <c r="AR64" s="41"/>
      <c r="AS64" s="41"/>
      <c r="AT64" s="41"/>
      <c r="AU64" s="41"/>
      <c r="AV64" s="41"/>
      <c r="AW64" s="41"/>
      <c r="AX64" s="41"/>
      <c r="AY64" s="41"/>
      <c r="AZ64" s="41"/>
      <c r="BA64" s="41"/>
      <c r="BB64" s="41"/>
      <c r="BC64" s="41"/>
      <c r="BD64" s="41"/>
      <c r="BE64" s="41"/>
      <c r="BF64" s="41"/>
      <c r="BG64" s="41"/>
      <c r="BH64" s="41"/>
      <c r="BI64" s="41"/>
      <c r="BJ64" s="41"/>
      <c r="BK64" s="41"/>
      <c r="BL64" s="41"/>
      <c r="BM64" s="41"/>
      <c r="BN64" s="41"/>
      <c r="BO64" s="41"/>
      <c r="BP64" s="41"/>
      <c r="BQ64" s="41"/>
      <c r="BR64" s="41"/>
      <c r="BS64" s="41"/>
      <c r="BT64" s="41"/>
      <c r="BU64" s="41"/>
      <c r="BV64" s="41"/>
      <c r="BW64" s="41"/>
      <c r="BX64" s="41"/>
      <c r="BY64" s="41"/>
      <c r="BZ64" s="41"/>
      <c r="CA64" s="41"/>
      <c r="CB64" s="41"/>
      <c r="CC64" s="41"/>
      <c r="CD64" s="41"/>
      <c r="CE64" s="41"/>
      <c r="CF64" s="41"/>
      <c r="CG64" s="41"/>
      <c r="CH64" s="41"/>
      <c r="CI64" s="41"/>
      <c r="CJ64" s="41"/>
      <c r="CK64" s="41"/>
      <c r="CL64" s="41"/>
      <c r="CM64" s="41"/>
      <c r="CN64" s="41"/>
      <c r="CO64" s="41"/>
      <c r="CP64" s="41"/>
    </row>
    <row r="65" spans="1:94" s="53" customFormat="1" ht="6" customHeight="1" thickTop="1" x14ac:dyDescent="0.25">
      <c r="A65" s="94"/>
      <c r="B65" s="95"/>
      <c r="C65" s="415"/>
      <c r="D65" s="416"/>
      <c r="E65" s="96"/>
      <c r="F65" s="97"/>
      <c r="G65" s="98"/>
      <c r="H65" s="98"/>
      <c r="I65" s="98"/>
      <c r="J65" s="98"/>
      <c r="K65" s="98"/>
      <c r="L65" s="98"/>
      <c r="M65" s="99"/>
      <c r="N65" s="95"/>
      <c r="O65"/>
      <c r="P65"/>
      <c r="Q65"/>
      <c r="R65"/>
      <c r="S65"/>
      <c r="T65"/>
      <c r="U65"/>
      <c r="V65"/>
      <c r="W65"/>
      <c r="X65"/>
      <c r="Y65"/>
      <c r="Z65" s="344"/>
      <c r="AA65" s="363"/>
      <c r="AB65" s="363"/>
      <c r="AC65" s="363"/>
      <c r="AD65" s="110"/>
      <c r="AE65" s="41"/>
      <c r="AF65" s="41"/>
      <c r="AG65" s="41"/>
      <c r="AH65" s="41"/>
      <c r="AI65" s="41"/>
      <c r="AJ65" s="41"/>
      <c r="AK65" s="41"/>
      <c r="AL65" s="41"/>
      <c r="AM65" s="41"/>
      <c r="AN65" s="41"/>
      <c r="AO65" s="41"/>
      <c r="AP65" s="41"/>
      <c r="AQ65" s="41"/>
      <c r="AR65" s="41"/>
      <c r="AS65" s="41"/>
      <c r="AT65" s="41"/>
      <c r="AU65" s="41"/>
      <c r="AV65" s="41"/>
      <c r="AW65" s="41"/>
      <c r="AX65" s="41"/>
      <c r="AY65" s="41"/>
      <c r="AZ65" s="41"/>
      <c r="BA65" s="41"/>
      <c r="BB65" s="41"/>
      <c r="BC65" s="41"/>
      <c r="BD65" s="41"/>
      <c r="BE65" s="41"/>
      <c r="BF65" s="41"/>
      <c r="BG65" s="41"/>
      <c r="BH65" s="41"/>
      <c r="BI65" s="41"/>
      <c r="BJ65" s="41"/>
      <c r="BK65" s="41"/>
      <c r="BL65" s="41"/>
      <c r="BM65" s="41"/>
      <c r="BN65" s="41"/>
      <c r="BO65" s="41"/>
      <c r="BP65" s="41"/>
      <c r="BQ65" s="41"/>
      <c r="BR65" s="41"/>
      <c r="BS65" s="41"/>
      <c r="BT65" s="41"/>
      <c r="BU65" s="41"/>
      <c r="BV65" s="41"/>
      <c r="BW65" s="41"/>
      <c r="BX65" s="41"/>
      <c r="BY65" s="41"/>
      <c r="BZ65" s="41"/>
      <c r="CA65" s="41"/>
      <c r="CB65" s="41"/>
      <c r="CC65" s="41"/>
      <c r="CD65" s="41"/>
      <c r="CE65" s="41"/>
      <c r="CF65" s="41"/>
      <c r="CG65" s="41"/>
      <c r="CH65" s="41"/>
      <c r="CI65" s="41"/>
      <c r="CJ65" s="41"/>
      <c r="CK65" s="41"/>
      <c r="CL65" s="41"/>
      <c r="CM65" s="41"/>
      <c r="CN65" s="41"/>
      <c r="CO65" s="41"/>
      <c r="CP65" s="41"/>
    </row>
    <row r="66" spans="1:94" s="107" customFormat="1" ht="15" x14ac:dyDescent="0.25">
      <c r="A66" s="100"/>
      <c r="B66" s="101"/>
      <c r="C66" s="417"/>
      <c r="D66" s="418"/>
      <c r="E66" s="102"/>
      <c r="F66" s="103" t="s">
        <v>24</v>
      </c>
      <c r="G66" s="104" t="str">
        <f>"FY "&amp;M4-2000&amp;" Salary"</f>
        <v>FY 23 Salary</v>
      </c>
      <c r="H66" s="104" t="str">
        <f>"FY"&amp;M4-2000&amp;" Health Ben"</f>
        <v>FY23 Health Ben</v>
      </c>
      <c r="I66" s="104" t="str">
        <f>"FY "&amp;M4-2000&amp;" Var Ben"</f>
        <v>FY 23 Var Ben</v>
      </c>
      <c r="J66" s="104" t="str">
        <f>"FY "&amp;M4&amp;" Total"</f>
        <v>FY 2023 Total</v>
      </c>
      <c r="K66" s="104"/>
      <c r="L66" s="105"/>
      <c r="M66" s="105"/>
      <c r="N66" s="101"/>
      <c r="O66"/>
      <c r="P66"/>
      <c r="Q66"/>
      <c r="R66"/>
      <c r="S66"/>
      <c r="T66"/>
      <c r="U66"/>
      <c r="V66"/>
      <c r="W66"/>
      <c r="X66"/>
      <c r="Y66"/>
      <c r="Z66" s="344"/>
      <c r="AA66" s="339"/>
      <c r="AB66" s="339"/>
      <c r="AC66" s="339"/>
      <c r="AD66" s="105"/>
      <c r="AE66" s="106"/>
      <c r="AF66" s="106"/>
      <c r="AG66" s="106"/>
      <c r="AH66" s="106"/>
      <c r="AI66" s="106"/>
      <c r="AJ66" s="106"/>
      <c r="AK66" s="106"/>
      <c r="AL66" s="106"/>
      <c r="AM66" s="106"/>
      <c r="AN66" s="106"/>
      <c r="AO66" s="106"/>
      <c r="AP66" s="106"/>
      <c r="AQ66" s="106"/>
      <c r="AR66" s="106"/>
      <c r="AS66" s="106"/>
      <c r="AT66" s="106"/>
      <c r="AU66" s="106"/>
      <c r="AV66" s="106"/>
      <c r="AW66" s="106"/>
      <c r="AX66" s="106"/>
      <c r="AY66" s="106"/>
      <c r="AZ66" s="106"/>
      <c r="BA66" s="106"/>
      <c r="BB66" s="106"/>
      <c r="BC66" s="106"/>
      <c r="BD66" s="106"/>
      <c r="BE66" s="106"/>
      <c r="BF66" s="106"/>
      <c r="BG66" s="106"/>
      <c r="BH66" s="106"/>
      <c r="BI66" s="106"/>
      <c r="BJ66" s="106"/>
      <c r="BK66" s="106"/>
      <c r="BL66" s="106"/>
      <c r="BM66" s="106"/>
      <c r="BN66" s="106"/>
      <c r="BO66" s="106"/>
      <c r="BP66" s="106"/>
      <c r="BQ66" s="106"/>
      <c r="BR66" s="106"/>
      <c r="BS66" s="106"/>
      <c r="BT66" s="106"/>
      <c r="BU66" s="106"/>
      <c r="BV66" s="106"/>
      <c r="BW66" s="106"/>
      <c r="BX66" s="106"/>
      <c r="BY66" s="106"/>
      <c r="BZ66" s="106"/>
      <c r="CA66" s="106"/>
      <c r="CB66" s="106"/>
      <c r="CC66" s="106"/>
      <c r="CD66" s="106"/>
      <c r="CE66" s="106"/>
      <c r="CF66" s="106"/>
      <c r="CG66" s="106"/>
      <c r="CH66" s="106"/>
      <c r="CI66" s="106"/>
      <c r="CJ66" s="106"/>
      <c r="CK66" s="106"/>
      <c r="CL66" s="106"/>
      <c r="CM66" s="106"/>
      <c r="CN66" s="106"/>
      <c r="CO66" s="106"/>
      <c r="CP66" s="106"/>
    </row>
    <row r="67" spans="1:94" s="53" customFormat="1" ht="15" x14ac:dyDescent="0.25">
      <c r="A67" s="82">
        <v>9</v>
      </c>
      <c r="B67" s="83"/>
      <c r="C67" s="84" t="str">
        <f>"FY "&amp;M4</f>
        <v>FY 2023</v>
      </c>
      <c r="D67" s="108" t="s">
        <v>57</v>
      </c>
      <c r="E67" s="109"/>
      <c r="F67" s="55">
        <f>SUM(F60:F64)</f>
        <v>0.1</v>
      </c>
      <c r="G67" s="80">
        <f>SUM(G60:G64)</f>
        <v>11300</v>
      </c>
      <c r="H67" s="80">
        <f>SUM(H60:H64)</f>
        <v>2100</v>
      </c>
      <c r="I67" s="80">
        <f>SUM(I60:I64)</f>
        <v>2400</v>
      </c>
      <c r="J67" s="80">
        <f>SUM(J60:J64)</f>
        <v>15800</v>
      </c>
      <c r="K67" s="263"/>
      <c r="L67" s="110"/>
      <c r="M67" s="110"/>
      <c r="N67" s="111"/>
      <c r="O67"/>
      <c r="P67"/>
      <c r="Q67"/>
      <c r="R67"/>
      <c r="S67"/>
      <c r="T67"/>
      <c r="U67"/>
      <c r="V67"/>
      <c r="W67"/>
      <c r="X67"/>
      <c r="Y67"/>
      <c r="Z67" s="344"/>
      <c r="AA67" s="363"/>
      <c r="AB67" s="363"/>
      <c r="AC67" s="363"/>
      <c r="AD67" s="110"/>
      <c r="AE67" s="41"/>
      <c r="AF67" s="41"/>
      <c r="AG67" s="41"/>
      <c r="AH67" s="41"/>
      <c r="AI67" s="41"/>
      <c r="AJ67" s="41"/>
      <c r="AK67" s="41"/>
      <c r="AL67" s="41"/>
      <c r="AM67" s="41"/>
      <c r="AN67" s="41"/>
      <c r="AO67" s="41"/>
      <c r="AP67" s="41"/>
      <c r="AQ67" s="41"/>
      <c r="AR67" s="41"/>
      <c r="AS67" s="41"/>
      <c r="AT67" s="41"/>
      <c r="AU67" s="41"/>
      <c r="AV67" s="41"/>
      <c r="AW67" s="41"/>
      <c r="AX67" s="41"/>
      <c r="AY67" s="41"/>
      <c r="AZ67" s="41"/>
      <c r="BA67" s="41"/>
      <c r="BB67" s="41"/>
      <c r="BC67" s="41"/>
      <c r="BD67" s="41"/>
      <c r="BE67" s="41"/>
      <c r="BF67" s="41"/>
      <c r="BG67" s="41"/>
      <c r="BH67" s="41"/>
      <c r="BI67" s="41"/>
      <c r="BJ67" s="41"/>
      <c r="BK67" s="41"/>
      <c r="BL67" s="41"/>
      <c r="BM67" s="41"/>
      <c r="BN67" s="41"/>
      <c r="BO67" s="41"/>
      <c r="BP67" s="41"/>
      <c r="BQ67" s="41"/>
      <c r="BR67" s="41"/>
      <c r="BS67" s="41"/>
      <c r="BT67" s="41"/>
      <c r="BU67" s="41"/>
      <c r="BV67" s="41"/>
      <c r="BW67" s="41"/>
      <c r="BX67" s="41"/>
      <c r="BY67" s="41"/>
      <c r="BZ67" s="41"/>
      <c r="CA67" s="41"/>
      <c r="CB67" s="41"/>
      <c r="CC67" s="41"/>
      <c r="CD67" s="41"/>
      <c r="CE67" s="41"/>
      <c r="CF67" s="41"/>
      <c r="CG67" s="41"/>
      <c r="CH67" s="41"/>
      <c r="CI67" s="41"/>
      <c r="CJ67" s="41"/>
      <c r="CK67" s="41"/>
      <c r="CL67" s="41"/>
      <c r="CM67" s="41"/>
      <c r="CN67" s="41"/>
      <c r="CO67" s="41"/>
      <c r="CP67" s="41"/>
    </row>
    <row r="68" spans="1:94" s="53" customFormat="1" ht="15.75" customHeight="1" x14ac:dyDescent="0.25">
      <c r="A68" s="85">
        <v>10.11</v>
      </c>
      <c r="B68" s="83"/>
      <c r="C68" s="419" t="s">
        <v>58</v>
      </c>
      <c r="D68" s="420"/>
      <c r="E68" s="112"/>
      <c r="F68" s="288"/>
      <c r="G68" s="287"/>
      <c r="H68" s="113">
        <f>IF(DUNine=0,0,ROUND(SUM(L41:L65),-2))</f>
        <v>0</v>
      </c>
      <c r="I68" s="113"/>
      <c r="J68" s="287">
        <f>SUM(G68:I68)</f>
        <v>0</v>
      </c>
      <c r="K68" s="291"/>
      <c r="L68" s="292"/>
      <c r="M68" s="292"/>
      <c r="N68" s="293"/>
      <c r="O68"/>
      <c r="P68"/>
      <c r="Q68"/>
      <c r="R68"/>
      <c r="S68"/>
      <c r="T68"/>
      <c r="U68"/>
      <c r="V68"/>
      <c r="W68"/>
      <c r="X68"/>
      <c r="Y68"/>
      <c r="Z68" s="344"/>
      <c r="AA68" s="363"/>
      <c r="AB68" s="363"/>
      <c r="AC68" s="363"/>
      <c r="AD68" s="110"/>
      <c r="AE68" s="41"/>
      <c r="AF68" s="41"/>
      <c r="AG68" s="41"/>
      <c r="AH68" s="41"/>
      <c r="AI68" s="41"/>
      <c r="AJ68" s="41"/>
      <c r="AK68" s="41"/>
      <c r="AL68" s="41"/>
      <c r="AM68" s="41"/>
      <c r="AN68" s="41"/>
      <c r="AO68" s="41"/>
      <c r="AP68" s="41"/>
      <c r="AQ68" s="41"/>
      <c r="AR68" s="41"/>
      <c r="AS68" s="41"/>
      <c r="AT68" s="41"/>
      <c r="AU68" s="41"/>
      <c r="AV68" s="41"/>
      <c r="AW68" s="41"/>
      <c r="AX68" s="41"/>
      <c r="AY68" s="41"/>
      <c r="AZ68" s="41"/>
      <c r="BA68" s="41"/>
      <c r="BB68" s="41"/>
      <c r="BC68" s="41"/>
      <c r="BD68" s="41"/>
      <c r="BE68" s="41"/>
      <c r="BF68" s="41"/>
      <c r="BG68" s="41"/>
      <c r="BH68" s="41"/>
      <c r="BI68" s="41"/>
      <c r="BJ68" s="41"/>
      <c r="BK68" s="41"/>
      <c r="BL68" s="41"/>
      <c r="BM68" s="41"/>
      <c r="BN68" s="41"/>
      <c r="BO68" s="41"/>
      <c r="BP68" s="41"/>
      <c r="BQ68" s="41"/>
      <c r="BR68" s="41"/>
      <c r="BS68" s="41"/>
      <c r="BT68" s="41"/>
      <c r="BU68" s="41"/>
      <c r="BV68" s="41"/>
      <c r="BW68" s="41"/>
      <c r="BX68" s="41"/>
      <c r="BY68" s="41"/>
      <c r="BZ68" s="41"/>
      <c r="CA68" s="41"/>
      <c r="CB68" s="41"/>
      <c r="CC68" s="41"/>
      <c r="CD68" s="41"/>
      <c r="CE68" s="41"/>
      <c r="CF68" s="41"/>
      <c r="CG68" s="41"/>
      <c r="CH68" s="41"/>
      <c r="CI68" s="41"/>
      <c r="CJ68" s="41"/>
      <c r="CK68" s="41"/>
      <c r="CL68" s="41"/>
      <c r="CM68" s="41"/>
      <c r="CN68" s="41"/>
      <c r="CO68" s="41"/>
      <c r="CP68" s="41"/>
    </row>
    <row r="69" spans="1:94" s="53" customFormat="1" ht="15" x14ac:dyDescent="0.25">
      <c r="A69" s="85">
        <v>10.119999999999999</v>
      </c>
      <c r="B69" s="83"/>
      <c r="C69" s="419" t="s">
        <v>59</v>
      </c>
      <c r="D69" s="420"/>
      <c r="E69" s="112"/>
      <c r="F69" s="288"/>
      <c r="G69" s="113"/>
      <c r="H69" s="113"/>
      <c r="I69" s="113">
        <f>IF(DUNine=0,0,ROUND(SUM(M41:M64),-2))</f>
        <v>0</v>
      </c>
      <c r="J69" s="287">
        <f>SUM(G69:I69)</f>
        <v>0</v>
      </c>
      <c r="K69" s="291"/>
      <c r="L69" s="292"/>
      <c r="M69" s="292"/>
      <c r="N69" s="293"/>
      <c r="O69"/>
      <c r="P69"/>
      <c r="Q69"/>
      <c r="R69"/>
      <c r="S69"/>
      <c r="T69"/>
      <c r="U69"/>
      <c r="V69"/>
      <c r="W69"/>
      <c r="X69"/>
      <c r="Y69"/>
      <c r="Z69" s="344"/>
      <c r="AA69" s="363"/>
      <c r="AB69" s="363"/>
      <c r="AC69" s="363"/>
      <c r="AD69" s="110"/>
      <c r="AE69" s="41"/>
      <c r="AF69" s="41"/>
      <c r="AG69" s="41"/>
      <c r="AH69" s="41"/>
      <c r="AI69" s="41"/>
      <c r="AJ69" s="41"/>
      <c r="AK69" s="41"/>
      <c r="AL69" s="41"/>
      <c r="AM69" s="41"/>
      <c r="AN69" s="41"/>
      <c r="AO69" s="41"/>
      <c r="AP69" s="41"/>
      <c r="AQ69" s="41"/>
      <c r="AR69" s="41"/>
      <c r="AS69" s="41"/>
      <c r="AT69" s="41"/>
      <c r="AU69" s="41"/>
      <c r="AV69" s="41"/>
      <c r="AW69" s="41"/>
      <c r="AX69" s="41"/>
      <c r="AY69" s="41"/>
      <c r="AZ69" s="41"/>
      <c r="BA69" s="41"/>
      <c r="BB69" s="41"/>
      <c r="BC69" s="41"/>
      <c r="BD69" s="41"/>
      <c r="BE69" s="41"/>
      <c r="BF69" s="41"/>
      <c r="BG69" s="41"/>
      <c r="BH69" s="41"/>
      <c r="BI69" s="41"/>
      <c r="BJ69" s="41"/>
      <c r="BK69" s="41"/>
      <c r="BL69" s="41"/>
      <c r="BM69" s="41"/>
      <c r="BN69" s="41"/>
      <c r="BO69" s="41"/>
      <c r="BP69" s="41"/>
      <c r="BQ69" s="41"/>
      <c r="BR69" s="41"/>
      <c r="BS69" s="41"/>
      <c r="BT69" s="41"/>
      <c r="BU69" s="41"/>
      <c r="BV69" s="41"/>
      <c r="BW69" s="41"/>
      <c r="BX69" s="41"/>
      <c r="BY69" s="41"/>
      <c r="BZ69" s="41"/>
      <c r="CA69" s="41"/>
      <c r="CB69" s="41"/>
      <c r="CC69" s="41"/>
      <c r="CD69" s="41"/>
      <c r="CE69" s="41"/>
      <c r="CF69" s="41"/>
      <c r="CG69" s="41"/>
      <c r="CH69" s="41"/>
      <c r="CI69" s="41"/>
      <c r="CJ69" s="41"/>
      <c r="CK69" s="41"/>
      <c r="CL69" s="41"/>
      <c r="CM69" s="41"/>
      <c r="CN69" s="41"/>
      <c r="CO69" s="41"/>
      <c r="CP69" s="41"/>
    </row>
    <row r="70" spans="1:94" s="53" customFormat="1" ht="15" x14ac:dyDescent="0.25">
      <c r="A70" s="85"/>
      <c r="B70" s="83"/>
      <c r="C70" s="406"/>
      <c r="D70" s="407"/>
      <c r="E70" s="236" t="s">
        <v>23</v>
      </c>
      <c r="F70" s="288"/>
      <c r="G70" s="113"/>
      <c r="H70" s="113"/>
      <c r="I70" s="113"/>
      <c r="J70" s="287">
        <f>SUM(G70:I70)</f>
        <v>0</v>
      </c>
      <c r="K70" s="291"/>
      <c r="L70" s="292"/>
      <c r="M70" s="294"/>
      <c r="N70" s="295"/>
      <c r="O70"/>
      <c r="P70"/>
      <c r="Q70"/>
      <c r="R70"/>
      <c r="S70"/>
      <c r="T70"/>
      <c r="U70"/>
      <c r="V70"/>
      <c r="W70"/>
      <c r="X70"/>
      <c r="Y70"/>
      <c r="Z70" s="344"/>
      <c r="AA70" s="363"/>
      <c r="AB70" s="363"/>
      <c r="AC70" s="363"/>
      <c r="AD70" s="110"/>
      <c r="AE70" s="41"/>
      <c r="AF70" s="41"/>
      <c r="AG70" s="41"/>
      <c r="AH70" s="41"/>
      <c r="AI70" s="41"/>
      <c r="AJ70" s="41"/>
      <c r="AK70" s="41"/>
      <c r="AL70" s="41"/>
      <c r="AM70" s="41"/>
      <c r="AN70" s="41"/>
      <c r="AO70" s="41"/>
      <c r="AP70" s="41"/>
      <c r="AQ70" s="41"/>
      <c r="AR70" s="41"/>
      <c r="AS70" s="41"/>
      <c r="AT70" s="41"/>
      <c r="AU70" s="41"/>
      <c r="AV70" s="41"/>
      <c r="AW70" s="41"/>
      <c r="AX70" s="41"/>
      <c r="AY70" s="41"/>
      <c r="AZ70" s="41"/>
      <c r="BA70" s="41"/>
      <c r="BB70" s="41"/>
      <c r="BC70" s="41"/>
      <c r="BD70" s="41"/>
      <c r="BE70" s="41"/>
      <c r="BF70" s="41"/>
      <c r="BG70" s="41"/>
      <c r="BH70" s="41"/>
      <c r="BI70" s="41"/>
      <c r="BJ70" s="41"/>
      <c r="BK70" s="41"/>
      <c r="BL70" s="41"/>
      <c r="BM70" s="41"/>
      <c r="BN70" s="41"/>
      <c r="BO70" s="41"/>
      <c r="BP70" s="41"/>
      <c r="BQ70" s="41"/>
      <c r="BR70" s="41"/>
      <c r="BS70" s="41"/>
      <c r="BT70" s="41"/>
      <c r="BU70" s="41"/>
      <c r="BV70" s="41"/>
      <c r="BW70" s="41"/>
      <c r="BX70" s="41"/>
      <c r="BY70" s="41"/>
      <c r="BZ70" s="41"/>
      <c r="CA70" s="41"/>
      <c r="CB70" s="41"/>
      <c r="CC70" s="41"/>
      <c r="CD70" s="41"/>
      <c r="CE70" s="41"/>
      <c r="CF70" s="41"/>
      <c r="CG70" s="41"/>
      <c r="CH70" s="41"/>
      <c r="CI70" s="41"/>
      <c r="CJ70" s="41"/>
      <c r="CK70" s="41"/>
      <c r="CL70" s="41"/>
      <c r="CM70" s="41"/>
      <c r="CN70" s="41"/>
      <c r="CO70" s="41"/>
      <c r="CP70" s="41"/>
    </row>
    <row r="71" spans="1:94" s="53" customFormat="1" ht="15.75" customHeight="1" x14ac:dyDescent="0.25">
      <c r="A71" s="85">
        <v>10.51</v>
      </c>
      <c r="B71" s="83"/>
      <c r="C71" s="408" t="s">
        <v>60</v>
      </c>
      <c r="D71" s="409"/>
      <c r="E71" s="237"/>
      <c r="F71" s="288"/>
      <c r="G71" s="92">
        <v>0</v>
      </c>
      <c r="H71" s="92">
        <v>0</v>
      </c>
      <c r="I71" s="287">
        <f>ROUND(IF(AND($G71&lt;&gt;0,$E71=1),$G71*PermVBBY+$G71*Retire1BY,IF(AND($G71&lt;&gt;0,$E71=2),$G71*GroupVBBY,IF(AND($G71&lt;&gt;0,$E71=3),$G71*ElectVBBY+$G71*Retire1BY,0))),-2)</f>
        <v>0</v>
      </c>
      <c r="J71" s="113">
        <f t="shared" ref="J71:J74" si="11">SUM(G71:I71)</f>
        <v>0</v>
      </c>
      <c r="K71" s="296"/>
      <c r="L71" s="297"/>
      <c r="M71" s="348" t="s">
        <v>112</v>
      </c>
      <c r="N71" s="356"/>
      <c r="O71" s="357"/>
      <c r="P71" s="357"/>
      <c r="Q71"/>
      <c r="R71"/>
      <c r="S71"/>
      <c r="T71"/>
      <c r="U71"/>
      <c r="V71"/>
      <c r="W71"/>
      <c r="X71"/>
      <c r="Y71"/>
      <c r="Z71" s="344"/>
      <c r="AA71" s="363"/>
      <c r="AB71" s="363"/>
      <c r="AC71" s="363"/>
      <c r="AD71" s="110"/>
      <c r="AE71" s="41"/>
      <c r="AF71" s="41"/>
      <c r="AG71" s="41"/>
      <c r="AH71" s="41"/>
      <c r="AI71" s="41"/>
      <c r="AJ71" s="41"/>
      <c r="AK71" s="41"/>
      <c r="AL71" s="41"/>
      <c r="AM71" s="41"/>
      <c r="AN71" s="41"/>
      <c r="AO71" s="41"/>
      <c r="AP71" s="41"/>
      <c r="AQ71" s="41"/>
      <c r="AR71" s="41"/>
      <c r="AS71" s="41"/>
      <c r="AT71" s="41"/>
      <c r="AU71" s="41"/>
      <c r="AV71" s="41"/>
      <c r="AW71" s="41"/>
      <c r="AX71" s="41"/>
      <c r="AY71" s="41"/>
      <c r="AZ71" s="41"/>
      <c r="BA71" s="41"/>
      <c r="BB71" s="41"/>
      <c r="BC71" s="41"/>
      <c r="BD71" s="41"/>
      <c r="BE71" s="41"/>
      <c r="BF71" s="41"/>
      <c r="BG71" s="41"/>
      <c r="BH71" s="41"/>
      <c r="BI71" s="41"/>
      <c r="BJ71" s="41"/>
      <c r="BK71" s="41"/>
      <c r="BL71" s="41"/>
      <c r="BM71" s="41"/>
      <c r="BN71" s="41"/>
      <c r="BO71" s="41"/>
      <c r="BP71" s="41"/>
      <c r="BQ71" s="41"/>
      <c r="BR71" s="41"/>
      <c r="BS71" s="41"/>
      <c r="BT71" s="41"/>
      <c r="BU71" s="41"/>
      <c r="BV71" s="41"/>
      <c r="BW71" s="41"/>
      <c r="BX71" s="41"/>
      <c r="BY71" s="41"/>
      <c r="BZ71" s="41"/>
      <c r="CA71" s="41"/>
      <c r="CB71" s="41"/>
      <c r="CC71" s="41"/>
      <c r="CD71" s="41"/>
      <c r="CE71" s="41"/>
      <c r="CF71" s="41"/>
      <c r="CG71" s="41"/>
      <c r="CH71" s="41"/>
      <c r="CI71" s="41"/>
      <c r="CJ71" s="41"/>
      <c r="CK71" s="41"/>
      <c r="CL71" s="41"/>
      <c r="CM71" s="41"/>
      <c r="CN71" s="41"/>
      <c r="CO71" s="41"/>
      <c r="CP71" s="41"/>
    </row>
    <row r="72" spans="1:94" s="53" customFormat="1" ht="15.75" customHeight="1" x14ac:dyDescent="0.25">
      <c r="A72" s="85">
        <v>10.61</v>
      </c>
      <c r="B72" s="83"/>
      <c r="C72" s="408" t="s">
        <v>101</v>
      </c>
      <c r="D72" s="410"/>
      <c r="E72" s="290">
        <f>CECPerm</f>
        <v>0.01</v>
      </c>
      <c r="F72" s="288"/>
      <c r="G72" s="355">
        <f>IF(DUNine=0,0,IF(DUNine&lt;0,0,ROUND(AdjPermSalary*CECPerm,-2)))</f>
        <v>100</v>
      </c>
      <c r="H72" s="287"/>
      <c r="I72" s="287">
        <f>ROUND(($G72*PermVBBY+$G72*Retire1BY),-2)</f>
        <v>0</v>
      </c>
      <c r="J72" s="113">
        <f>SUM(G72:I72)</f>
        <v>100</v>
      </c>
      <c r="K72" s="296"/>
      <c r="L72" s="298"/>
      <c r="M72" s="349" t="e">
        <f>IF(DUNine=0,0,IF(((#REF!-G39-G40)*E72)&lt;0,0,ROUND(((#REF!-G39-G40)*E72),-2)))</f>
        <v>#REF!</v>
      </c>
      <c r="N72" s="358"/>
      <c r="O72" s="357" t="e">
        <f>IF(DUNine=0,0,IF(DUNine&lt;0,0,IF(SubCECBase&lt;RoundedAppropSalary,ROUND(AdjPermSalary*CECpermCalc,-2)+((SubCECBase-RoundedAppropSalary)*CECpermCalc),IF(SubCECBase&gt;RoundedAppropSalary,ROUND(AdjPermSalary*CECpermCalc,-2)+((SubCECBase-RoundedAppropSalary)*CECpermCalc),ROUND(AdjPermSalary*CECpermCalc,-2)))))</f>
        <v>#REF!</v>
      </c>
      <c r="P72" s="357"/>
      <c r="Q72"/>
      <c r="R72"/>
      <c r="S72"/>
      <c r="T72"/>
      <c r="U72"/>
      <c r="V72"/>
      <c r="W72"/>
      <c r="X72"/>
      <c r="Y72"/>
      <c r="Z72" s="344"/>
      <c r="AA72" s="363"/>
      <c r="AB72" s="363"/>
      <c r="AC72" s="363"/>
      <c r="AD72" s="110"/>
      <c r="AE72" s="41"/>
      <c r="AF72" s="41"/>
      <c r="AG72" s="41"/>
      <c r="AH72" s="41"/>
      <c r="AI72" s="41"/>
      <c r="AJ72" s="41"/>
      <c r="AK72" s="41"/>
      <c r="AL72" s="41"/>
      <c r="AM72" s="41"/>
      <c r="AN72" s="41"/>
      <c r="AO72" s="41"/>
      <c r="AP72" s="41"/>
      <c r="AQ72" s="41"/>
      <c r="AR72" s="41"/>
      <c r="AS72" s="41"/>
      <c r="AT72" s="41"/>
      <c r="AU72" s="41"/>
      <c r="AV72" s="41"/>
      <c r="AW72" s="41"/>
      <c r="AX72" s="41"/>
      <c r="AY72" s="41"/>
      <c r="AZ72" s="41"/>
      <c r="BA72" s="41"/>
      <c r="BB72" s="41"/>
      <c r="BC72" s="41"/>
      <c r="BD72" s="41"/>
      <c r="BE72" s="41"/>
      <c r="BF72" s="41"/>
      <c r="BG72" s="41"/>
      <c r="BH72" s="41"/>
      <c r="BI72" s="41"/>
      <c r="BJ72" s="41"/>
      <c r="BK72" s="41"/>
      <c r="BL72" s="41"/>
      <c r="BM72" s="41"/>
      <c r="BN72" s="41"/>
      <c r="BO72" s="41"/>
      <c r="BP72" s="41"/>
      <c r="BQ72" s="41"/>
      <c r="BR72" s="41"/>
      <c r="BS72" s="41"/>
      <c r="BT72" s="41"/>
      <c r="BU72" s="41"/>
      <c r="BV72" s="41"/>
      <c r="BW72" s="41"/>
      <c r="BX72" s="41"/>
      <c r="BY72" s="41"/>
      <c r="BZ72" s="41"/>
      <c r="CA72" s="41"/>
      <c r="CB72" s="41"/>
      <c r="CC72" s="41"/>
      <c r="CD72" s="41"/>
      <c r="CE72" s="41"/>
      <c r="CF72" s="41"/>
      <c r="CG72" s="41"/>
      <c r="CH72" s="41"/>
      <c r="CI72" s="41"/>
      <c r="CJ72" s="41"/>
      <c r="CK72" s="41"/>
      <c r="CL72" s="41"/>
      <c r="CM72" s="41"/>
      <c r="CN72" s="41"/>
      <c r="CO72" s="41"/>
      <c r="CP72" s="41"/>
    </row>
    <row r="73" spans="1:94" s="53" customFormat="1" ht="15.6" customHeight="1" x14ac:dyDescent="0.25">
      <c r="A73" s="85">
        <v>10.62</v>
      </c>
      <c r="B73" s="83"/>
      <c r="C73" s="408" t="s">
        <v>61</v>
      </c>
      <c r="D73" s="410"/>
      <c r="E73" s="289">
        <f>CECGroup</f>
        <v>0.01</v>
      </c>
      <c r="F73" s="288"/>
      <c r="G73" s="355">
        <f>IF(DUNine=0,0,IF(DUNine&lt;0,0,ROUND(AdjGroupSalary*CECGroup,-2)))</f>
        <v>0</v>
      </c>
      <c r="H73" s="287"/>
      <c r="I73" s="287">
        <f>ROUND(($G73*GroupVBBY),-2)</f>
        <v>0</v>
      </c>
      <c r="J73" s="113">
        <f t="shared" si="11"/>
        <v>0</v>
      </c>
      <c r="K73" s="301"/>
      <c r="L73" s="302"/>
      <c r="M73" s="359"/>
      <c r="N73" s="360"/>
      <c r="O73" s="357"/>
      <c r="P73" s="357"/>
      <c r="Q73"/>
      <c r="R73"/>
      <c r="S73"/>
      <c r="T73"/>
      <c r="U73"/>
      <c r="V73"/>
      <c r="W73"/>
      <c r="X73"/>
      <c r="Y73"/>
      <c r="Z73" s="344"/>
      <c r="AA73" s="363"/>
      <c r="AB73" s="363"/>
      <c r="AC73" s="363"/>
      <c r="AD73" s="110"/>
      <c r="AE73" s="41"/>
      <c r="AF73" s="41"/>
      <c r="AG73" s="41"/>
      <c r="AH73" s="41"/>
      <c r="AI73" s="41"/>
      <c r="AJ73" s="41"/>
      <c r="AK73" s="41"/>
      <c r="AL73" s="41"/>
      <c r="AM73" s="41"/>
      <c r="AN73" s="41"/>
      <c r="AO73" s="41"/>
      <c r="AP73" s="41"/>
      <c r="AQ73" s="41"/>
      <c r="AR73" s="41"/>
      <c r="AS73" s="41"/>
      <c r="AT73" s="41"/>
      <c r="AU73" s="41"/>
      <c r="AV73" s="41"/>
      <c r="AW73" s="41"/>
      <c r="AX73" s="41"/>
      <c r="AY73" s="41"/>
      <c r="AZ73" s="41"/>
      <c r="BA73" s="41"/>
      <c r="BB73" s="41"/>
      <c r="BC73" s="41"/>
      <c r="BD73" s="41"/>
      <c r="BE73" s="41"/>
      <c r="BF73" s="41"/>
      <c r="BG73" s="41"/>
      <c r="BH73" s="41"/>
      <c r="BI73" s="41"/>
      <c r="BJ73" s="41"/>
      <c r="BK73" s="41"/>
      <c r="BL73" s="41"/>
      <c r="BM73" s="41"/>
      <c r="BN73" s="41"/>
      <c r="BO73" s="41"/>
      <c r="BP73" s="41"/>
      <c r="BQ73" s="41"/>
      <c r="BR73" s="41"/>
      <c r="BS73" s="41"/>
      <c r="BT73" s="41"/>
      <c r="BU73" s="41"/>
      <c r="BV73" s="41"/>
      <c r="BW73" s="41"/>
      <c r="BX73" s="41"/>
      <c r="BY73" s="41"/>
      <c r="BZ73" s="41"/>
      <c r="CA73" s="41"/>
      <c r="CB73" s="41"/>
      <c r="CC73" s="41"/>
      <c r="CD73" s="41"/>
      <c r="CE73" s="41"/>
      <c r="CF73" s="41"/>
      <c r="CG73" s="41"/>
      <c r="CH73" s="41"/>
      <c r="CI73" s="41"/>
      <c r="CJ73" s="41"/>
      <c r="CK73" s="41"/>
      <c r="CL73" s="41"/>
      <c r="CM73" s="41"/>
      <c r="CN73" s="41"/>
      <c r="CO73" s="41"/>
      <c r="CP73" s="41"/>
    </row>
    <row r="74" spans="1:94" s="53" customFormat="1" ht="15.6" customHeight="1" x14ac:dyDescent="0.25">
      <c r="A74" s="85">
        <v>10.63</v>
      </c>
      <c r="B74" s="83"/>
      <c r="C74" s="366" t="s">
        <v>62</v>
      </c>
      <c r="D74" s="368"/>
      <c r="E74" s="112"/>
      <c r="F74" s="288"/>
      <c r="G74" s="92">
        <v>0</v>
      </c>
      <c r="H74" s="287"/>
      <c r="I74" s="287">
        <f>ROUND(($G74*ElectVBBY+$G74*Retire1BY),-2)</f>
        <v>0</v>
      </c>
      <c r="J74" s="113">
        <f t="shared" si="11"/>
        <v>0</v>
      </c>
      <c r="K74" s="301"/>
      <c r="L74" s="302"/>
      <c r="M74" s="303"/>
      <c r="N74" s="304"/>
      <c r="O74"/>
      <c r="P74"/>
      <c r="Q74"/>
      <c r="R74"/>
      <c r="S74"/>
      <c r="T74"/>
      <c r="U74"/>
      <c r="V74"/>
      <c r="W74"/>
      <c r="X74"/>
      <c r="Y74"/>
      <c r="Z74" s="344"/>
      <c r="AA74" s="363"/>
      <c r="AB74" s="363"/>
      <c r="AC74" s="363"/>
      <c r="AD74" s="110"/>
      <c r="AE74" s="41"/>
      <c r="AF74" s="41"/>
      <c r="AG74" s="41"/>
      <c r="AH74" s="41"/>
      <c r="AI74" s="41"/>
      <c r="AJ74" s="41"/>
      <c r="AK74" s="41"/>
      <c r="AL74" s="41"/>
      <c r="AM74" s="41"/>
      <c r="AN74" s="41"/>
      <c r="AO74" s="41"/>
      <c r="AP74" s="41"/>
      <c r="AQ74" s="41"/>
      <c r="AR74" s="41"/>
      <c r="AS74" s="41"/>
      <c r="AT74" s="41"/>
      <c r="AU74" s="41"/>
      <c r="AV74" s="41"/>
      <c r="AW74" s="41"/>
      <c r="AX74" s="41"/>
      <c r="AY74" s="41"/>
      <c r="AZ74" s="41"/>
      <c r="BA74" s="41"/>
      <c r="BB74" s="41"/>
      <c r="BC74" s="41"/>
      <c r="BD74" s="41"/>
      <c r="BE74" s="41"/>
      <c r="BF74" s="41"/>
      <c r="BG74" s="41"/>
      <c r="BH74" s="41"/>
      <c r="BI74" s="41"/>
      <c r="BJ74" s="41"/>
      <c r="BK74" s="41"/>
      <c r="BL74" s="41"/>
      <c r="BM74" s="41"/>
      <c r="BN74" s="41"/>
      <c r="BO74" s="41"/>
      <c r="BP74" s="41"/>
      <c r="BQ74" s="41"/>
      <c r="BR74" s="41"/>
      <c r="BS74" s="41"/>
      <c r="BT74" s="41"/>
      <c r="BU74" s="41"/>
      <c r="BV74" s="41"/>
      <c r="BW74" s="41"/>
      <c r="BX74" s="41"/>
      <c r="BY74" s="41"/>
      <c r="BZ74" s="41"/>
      <c r="CA74" s="41"/>
      <c r="CB74" s="41"/>
      <c r="CC74" s="41"/>
      <c r="CD74" s="41"/>
      <c r="CE74" s="41"/>
      <c r="CF74" s="41"/>
      <c r="CG74" s="41"/>
      <c r="CH74" s="41"/>
      <c r="CI74" s="41"/>
      <c r="CJ74" s="41"/>
      <c r="CK74" s="41"/>
      <c r="CL74" s="41"/>
      <c r="CM74" s="41"/>
      <c r="CN74" s="41"/>
      <c r="CO74" s="41"/>
      <c r="CP74" s="41"/>
    </row>
    <row r="75" spans="1:94" s="53" customFormat="1" ht="15.75" customHeight="1" x14ac:dyDescent="0.25">
      <c r="A75" s="75">
        <v>11</v>
      </c>
      <c r="B75" s="76"/>
      <c r="C75" s="54" t="str">
        <f>"FY "&amp;M4</f>
        <v>FY 2023</v>
      </c>
      <c r="D75" s="77" t="s">
        <v>63</v>
      </c>
      <c r="E75" s="112"/>
      <c r="F75" s="55">
        <f>SUM(F67:F74)</f>
        <v>0.1</v>
      </c>
      <c r="G75" s="80">
        <f>SUM(G67:G74)</f>
        <v>11400</v>
      </c>
      <c r="H75" s="80">
        <f>SUM(H67:H74)</f>
        <v>2100</v>
      </c>
      <c r="I75" s="80">
        <f>SUM(I67:I74)</f>
        <v>2400</v>
      </c>
      <c r="J75" s="80">
        <f>SUM(J67:K74)</f>
        <v>15900</v>
      </c>
      <c r="K75" s="296"/>
      <c r="L75" s="299"/>
      <c r="M75" s="299"/>
      <c r="N75" s="300"/>
      <c r="O75"/>
      <c r="P75"/>
      <c r="Q75"/>
      <c r="R75"/>
      <c r="S75"/>
      <c r="T75"/>
      <c r="U75"/>
      <c r="V75"/>
      <c r="W75"/>
      <c r="X75"/>
      <c r="Y75"/>
      <c r="Z75" s="344"/>
      <c r="AA75" s="363"/>
      <c r="AB75" s="363"/>
      <c r="AC75" s="363"/>
      <c r="AD75" s="110"/>
      <c r="AE75" s="41"/>
      <c r="AF75" s="41"/>
      <c r="AG75" s="41"/>
      <c r="AH75" s="41"/>
      <c r="AI75" s="41"/>
      <c r="AJ75" s="41"/>
      <c r="AK75" s="41"/>
      <c r="AL75" s="41"/>
      <c r="AM75" s="41"/>
      <c r="AN75" s="41"/>
      <c r="AO75" s="41"/>
      <c r="AP75" s="41"/>
      <c r="AQ75" s="41"/>
      <c r="AR75" s="41"/>
      <c r="AS75" s="41"/>
      <c r="AT75" s="41"/>
      <c r="AU75" s="41"/>
      <c r="AV75" s="41"/>
      <c r="AW75" s="41"/>
      <c r="AX75" s="41"/>
      <c r="AY75" s="41"/>
      <c r="AZ75" s="41"/>
      <c r="BA75" s="41"/>
      <c r="BB75" s="41"/>
      <c r="BC75" s="41"/>
      <c r="BD75" s="41"/>
      <c r="BE75" s="41"/>
      <c r="BF75" s="41"/>
      <c r="BG75" s="41"/>
      <c r="BH75" s="41"/>
      <c r="BI75" s="41"/>
      <c r="BJ75" s="41"/>
      <c r="BK75" s="41"/>
      <c r="BL75" s="41"/>
      <c r="BM75" s="41"/>
      <c r="BN75" s="41"/>
      <c r="BO75" s="41"/>
      <c r="BP75" s="41"/>
      <c r="BQ75" s="41"/>
      <c r="BR75" s="41"/>
      <c r="BS75" s="41"/>
      <c r="BT75" s="41"/>
      <c r="BU75" s="41"/>
      <c r="BV75" s="41"/>
      <c r="BW75" s="41"/>
      <c r="BX75" s="41"/>
      <c r="BY75" s="41"/>
      <c r="BZ75" s="41"/>
      <c r="CA75" s="41"/>
      <c r="CB75" s="41"/>
      <c r="CC75" s="41"/>
      <c r="CD75" s="41"/>
      <c r="CE75" s="41"/>
      <c r="CF75" s="41"/>
      <c r="CG75" s="41"/>
      <c r="CH75" s="41"/>
      <c r="CI75" s="41"/>
      <c r="CJ75" s="41"/>
      <c r="CK75" s="41"/>
      <c r="CL75" s="41"/>
      <c r="CM75" s="41"/>
      <c r="CN75" s="41"/>
      <c r="CO75" s="41"/>
      <c r="CP75" s="41"/>
    </row>
    <row r="76" spans="1:94" s="53" customFormat="1" ht="28.5" customHeight="1" x14ac:dyDescent="0.25">
      <c r="A76" s="85"/>
      <c r="B76" s="83"/>
      <c r="C76" s="411" t="s">
        <v>64</v>
      </c>
      <c r="D76" s="412"/>
      <c r="E76" s="59"/>
      <c r="F76" s="59"/>
      <c r="G76" s="61"/>
      <c r="H76" s="61"/>
      <c r="I76" s="61"/>
      <c r="J76" s="61"/>
      <c r="K76" s="291"/>
      <c r="L76" s="292"/>
      <c r="M76" s="305"/>
      <c r="N76" s="293"/>
      <c r="O76"/>
      <c r="P76"/>
      <c r="Q76"/>
      <c r="R76"/>
      <c r="S76"/>
      <c r="T76"/>
      <c r="U76"/>
      <c r="V76"/>
      <c r="W76"/>
      <c r="X76"/>
      <c r="Y76"/>
      <c r="Z76" s="344"/>
      <c r="AA76" s="363"/>
      <c r="AB76" s="363"/>
      <c r="AC76" s="363"/>
      <c r="AD76" s="110"/>
      <c r="AE76" s="41"/>
      <c r="AF76" s="41"/>
      <c r="AG76" s="41"/>
      <c r="AH76" s="41"/>
      <c r="AI76" s="41"/>
      <c r="AJ76" s="41"/>
      <c r="AK76" s="41"/>
      <c r="AL76" s="41"/>
      <c r="AM76" s="41"/>
      <c r="AN76" s="41"/>
      <c r="AO76" s="41"/>
      <c r="AP76" s="41"/>
      <c r="AQ76" s="41"/>
      <c r="AR76" s="41"/>
      <c r="AS76" s="41"/>
      <c r="AT76" s="41"/>
      <c r="AU76" s="41"/>
      <c r="AV76" s="41"/>
      <c r="AW76" s="41"/>
      <c r="AX76" s="41"/>
      <c r="AY76" s="41"/>
      <c r="AZ76" s="41"/>
      <c r="BA76" s="41"/>
      <c r="BB76" s="41"/>
      <c r="BC76" s="41"/>
      <c r="BD76" s="41"/>
      <c r="BE76" s="41"/>
      <c r="BF76" s="41"/>
      <c r="BG76" s="41"/>
      <c r="BH76" s="41"/>
      <c r="BI76" s="41"/>
      <c r="BJ76" s="41"/>
      <c r="BK76" s="41"/>
      <c r="BL76" s="41"/>
      <c r="BM76" s="41"/>
      <c r="BN76" s="41"/>
      <c r="BO76" s="41"/>
      <c r="BP76" s="41"/>
      <c r="BQ76" s="41"/>
      <c r="BR76" s="41"/>
      <c r="BS76" s="41"/>
      <c r="BT76" s="41"/>
      <c r="BU76" s="41"/>
      <c r="BV76" s="41"/>
      <c r="BW76" s="41"/>
      <c r="BX76" s="41"/>
      <c r="BY76" s="41"/>
      <c r="BZ76" s="41"/>
      <c r="CA76" s="41"/>
      <c r="CB76" s="41"/>
      <c r="CC76" s="41"/>
      <c r="CD76" s="41"/>
      <c r="CE76" s="41"/>
      <c r="CF76" s="41"/>
      <c r="CG76" s="41"/>
      <c r="CH76" s="41"/>
      <c r="CI76" s="41"/>
      <c r="CJ76" s="41"/>
      <c r="CK76" s="41"/>
      <c r="CL76" s="41"/>
      <c r="CM76" s="41"/>
      <c r="CN76" s="41"/>
      <c r="CO76" s="41"/>
      <c r="CP76" s="41"/>
    </row>
    <row r="77" spans="1:94" s="53" customFormat="1" ht="15" x14ac:dyDescent="0.25">
      <c r="A77" s="116">
        <v>12.01</v>
      </c>
      <c r="B77" s="57"/>
      <c r="C77" s="404"/>
      <c r="D77" s="405"/>
      <c r="E77" s="87"/>
      <c r="F77" s="58"/>
      <c r="G77" s="88"/>
      <c r="H77" s="88"/>
      <c r="I77" s="88"/>
      <c r="J77" s="80">
        <f>ROUND(SUM(G77:I77),-2)</f>
        <v>0</v>
      </c>
      <c r="K77" s="296"/>
      <c r="L77" s="292"/>
      <c r="M77" s="292"/>
      <c r="N77" s="293"/>
      <c r="O77"/>
      <c r="P77"/>
      <c r="Q77"/>
      <c r="R77"/>
      <c r="S77"/>
      <c r="T77"/>
      <c r="U77"/>
      <c r="V77"/>
      <c r="W77"/>
      <c r="X77"/>
      <c r="Y77"/>
      <c r="Z77" s="344"/>
      <c r="AA77" s="363"/>
      <c r="AB77" s="363"/>
      <c r="AC77" s="363"/>
      <c r="AD77" s="110"/>
      <c r="AE77" s="41"/>
      <c r="AF77" s="41"/>
      <c r="AG77" s="41"/>
      <c r="AH77" s="41"/>
      <c r="AI77" s="41"/>
      <c r="AJ77" s="41"/>
      <c r="AK77" s="41"/>
      <c r="AL77" s="41"/>
      <c r="AM77" s="41"/>
      <c r="AN77" s="41"/>
      <c r="AO77" s="41"/>
      <c r="AP77" s="41"/>
      <c r="AQ77" s="41"/>
      <c r="AR77" s="41"/>
      <c r="AS77" s="41"/>
      <c r="AT77" s="41"/>
      <c r="AU77" s="41"/>
      <c r="AV77" s="41"/>
      <c r="AW77" s="41"/>
      <c r="AX77" s="41"/>
      <c r="AY77" s="41"/>
      <c r="AZ77" s="41"/>
      <c r="BA77" s="41"/>
      <c r="BB77" s="41"/>
      <c r="BC77" s="41"/>
      <c r="BD77" s="41"/>
      <c r="BE77" s="41"/>
      <c r="BF77" s="41"/>
      <c r="BG77" s="41"/>
      <c r="BH77" s="41"/>
      <c r="BI77" s="41"/>
      <c r="BJ77" s="41"/>
      <c r="BK77" s="41"/>
      <c r="BL77" s="41"/>
      <c r="BM77" s="41"/>
      <c r="BN77" s="41"/>
      <c r="BO77" s="41"/>
      <c r="BP77" s="41"/>
      <c r="BQ77" s="41"/>
      <c r="BR77" s="41"/>
      <c r="BS77" s="41"/>
      <c r="BT77" s="41"/>
      <c r="BU77" s="41"/>
      <c r="BV77" s="41"/>
      <c r="BW77" s="41"/>
      <c r="BX77" s="41"/>
      <c r="BY77" s="41"/>
      <c r="BZ77" s="41"/>
      <c r="CA77" s="41"/>
      <c r="CB77" s="41"/>
      <c r="CC77" s="41"/>
      <c r="CD77" s="41"/>
      <c r="CE77" s="41"/>
      <c r="CF77" s="41"/>
      <c r="CG77" s="41"/>
      <c r="CH77" s="41"/>
      <c r="CI77" s="41"/>
      <c r="CJ77" s="41"/>
      <c r="CK77" s="41"/>
      <c r="CL77" s="41"/>
      <c r="CM77" s="41"/>
      <c r="CN77" s="41"/>
      <c r="CO77" s="41"/>
      <c r="CP77" s="41"/>
    </row>
    <row r="78" spans="1:94" s="53" customFormat="1" ht="15" x14ac:dyDescent="0.25">
      <c r="A78" s="116">
        <v>12.02</v>
      </c>
      <c r="B78" s="57"/>
      <c r="C78" s="404"/>
      <c r="D78" s="405"/>
      <c r="E78" s="87"/>
      <c r="F78" s="58"/>
      <c r="G78" s="88"/>
      <c r="H78" s="88"/>
      <c r="I78" s="88"/>
      <c r="J78" s="80">
        <f>ROUND(SUM(G78:I78),-2)</f>
        <v>0</v>
      </c>
      <c r="K78" s="296"/>
      <c r="L78" s="292"/>
      <c r="M78" s="292"/>
      <c r="N78" s="293"/>
      <c r="O78"/>
      <c r="P78"/>
      <c r="Q78"/>
      <c r="R78"/>
      <c r="S78"/>
      <c r="T78"/>
      <c r="U78"/>
      <c r="V78"/>
      <c r="W78"/>
      <c r="X78"/>
      <c r="Y78"/>
      <c r="Z78" s="344"/>
      <c r="AA78" s="363"/>
      <c r="AB78" s="363"/>
      <c r="AC78" s="363"/>
      <c r="AD78" s="110"/>
      <c r="AE78" s="41"/>
      <c r="AF78" s="41"/>
      <c r="AG78" s="41"/>
      <c r="AH78" s="41"/>
      <c r="AI78" s="41"/>
      <c r="AJ78" s="41"/>
      <c r="AK78" s="41"/>
      <c r="AL78" s="41"/>
      <c r="AM78" s="41"/>
      <c r="AN78" s="41"/>
      <c r="AO78" s="41"/>
      <c r="AP78" s="41"/>
      <c r="AQ78" s="41"/>
      <c r="AR78" s="41"/>
      <c r="AS78" s="41"/>
      <c r="AT78" s="41"/>
      <c r="AU78" s="41"/>
      <c r="AV78" s="41"/>
      <c r="AW78" s="41"/>
      <c r="AX78" s="41"/>
      <c r="AY78" s="41"/>
      <c r="AZ78" s="41"/>
      <c r="BA78" s="41"/>
      <c r="BB78" s="41"/>
      <c r="BC78" s="41"/>
      <c r="BD78" s="41"/>
      <c r="BE78" s="41"/>
      <c r="BF78" s="41"/>
      <c r="BG78" s="41"/>
      <c r="BH78" s="41"/>
      <c r="BI78" s="41"/>
      <c r="BJ78" s="41"/>
      <c r="BK78" s="41"/>
      <c r="BL78" s="41"/>
      <c r="BM78" s="41"/>
      <c r="BN78" s="41"/>
      <c r="BO78" s="41"/>
      <c r="BP78" s="41"/>
      <c r="BQ78" s="41"/>
      <c r="BR78" s="41"/>
      <c r="BS78" s="41"/>
      <c r="BT78" s="41"/>
      <c r="BU78" s="41"/>
      <c r="BV78" s="41"/>
      <c r="BW78" s="41"/>
      <c r="BX78" s="41"/>
      <c r="BY78" s="41"/>
      <c r="BZ78" s="41"/>
      <c r="CA78" s="41"/>
      <c r="CB78" s="41"/>
      <c r="CC78" s="41"/>
      <c r="CD78" s="41"/>
      <c r="CE78" s="41"/>
      <c r="CF78" s="41"/>
      <c r="CG78" s="41"/>
      <c r="CH78" s="41"/>
      <c r="CI78" s="41"/>
      <c r="CJ78" s="41"/>
      <c r="CK78" s="41"/>
      <c r="CL78" s="41"/>
      <c r="CM78" s="41"/>
      <c r="CN78" s="41"/>
      <c r="CO78" s="41"/>
      <c r="CP78" s="41"/>
    </row>
    <row r="79" spans="1:94" s="53" customFormat="1" ht="15" x14ac:dyDescent="0.25">
      <c r="A79" s="116">
        <v>12.03</v>
      </c>
      <c r="B79" s="57" t="s">
        <v>45</v>
      </c>
      <c r="C79" s="404"/>
      <c r="D79" s="405"/>
      <c r="E79" s="87"/>
      <c r="F79" s="58"/>
      <c r="G79" s="88"/>
      <c r="H79" s="88"/>
      <c r="I79" s="88"/>
      <c r="J79" s="80">
        <f>ROUND(SUM(G79:I79),-2)</f>
        <v>0</v>
      </c>
      <c r="K79" s="296"/>
      <c r="L79" s="292"/>
      <c r="M79" s="292"/>
      <c r="N79" s="293"/>
      <c r="O79"/>
      <c r="P79"/>
      <c r="Q79"/>
      <c r="R79"/>
      <c r="S79"/>
      <c r="T79"/>
      <c r="U79"/>
      <c r="V79"/>
      <c r="W79"/>
      <c r="X79"/>
      <c r="Y79"/>
      <c r="Z79" s="344"/>
      <c r="AA79" s="363"/>
      <c r="AB79" s="363"/>
      <c r="AC79" s="363"/>
      <c r="AD79" s="110"/>
      <c r="AE79" s="41"/>
      <c r="AF79" s="41"/>
      <c r="AG79" s="41"/>
      <c r="AH79" s="41"/>
      <c r="AI79" s="41"/>
      <c r="AJ79" s="41"/>
      <c r="AK79" s="41"/>
      <c r="AL79" s="41"/>
      <c r="AM79" s="41"/>
      <c r="AN79" s="41"/>
      <c r="AO79" s="41"/>
      <c r="AP79" s="41"/>
      <c r="AQ79" s="41"/>
      <c r="AR79" s="41"/>
      <c r="AS79" s="41"/>
      <c r="AT79" s="41"/>
      <c r="AU79" s="41"/>
      <c r="AV79" s="41"/>
      <c r="AW79" s="41"/>
      <c r="AX79" s="41"/>
      <c r="AY79" s="41"/>
      <c r="AZ79" s="41"/>
      <c r="BA79" s="41"/>
      <c r="BB79" s="41"/>
      <c r="BC79" s="41"/>
      <c r="BD79" s="41"/>
      <c r="BE79" s="41"/>
      <c r="BF79" s="41"/>
      <c r="BG79" s="41"/>
      <c r="BH79" s="41"/>
      <c r="BI79" s="41"/>
      <c r="BJ79" s="41"/>
      <c r="BK79" s="41"/>
      <c r="BL79" s="41"/>
      <c r="BM79" s="41"/>
      <c r="BN79" s="41"/>
      <c r="BO79" s="41"/>
      <c r="BP79" s="41"/>
      <c r="BQ79" s="41"/>
      <c r="BR79" s="41"/>
      <c r="BS79" s="41"/>
      <c r="BT79" s="41"/>
      <c r="BU79" s="41"/>
      <c r="BV79" s="41"/>
      <c r="BW79" s="41"/>
      <c r="BX79" s="41"/>
      <c r="BY79" s="41"/>
      <c r="BZ79" s="41"/>
      <c r="CA79" s="41"/>
      <c r="CB79" s="41"/>
      <c r="CC79" s="41"/>
      <c r="CD79" s="41"/>
      <c r="CE79" s="41"/>
      <c r="CF79" s="41"/>
      <c r="CG79" s="41"/>
      <c r="CH79" s="41"/>
      <c r="CI79" s="41"/>
      <c r="CJ79" s="41"/>
      <c r="CK79" s="41"/>
      <c r="CL79" s="41"/>
      <c r="CM79" s="41"/>
      <c r="CN79" s="41"/>
      <c r="CO79" s="41"/>
      <c r="CP79" s="41"/>
    </row>
    <row r="80" spans="1:94" s="53" customFormat="1" ht="15.75" customHeight="1" x14ac:dyDescent="0.25">
      <c r="A80" s="117">
        <v>13</v>
      </c>
      <c r="B80" s="118"/>
      <c r="C80" s="119" t="str">
        <f>"FY "&amp;M4</f>
        <v>FY 2023</v>
      </c>
      <c r="D80" s="120" t="s">
        <v>65</v>
      </c>
      <c r="E80" s="121"/>
      <c r="F80" s="55">
        <f>SUM(F75:F79)</f>
        <v>0.1</v>
      </c>
      <c r="G80" s="80">
        <f>SUM(G75:G79)</f>
        <v>11400</v>
      </c>
      <c r="H80" s="80">
        <f>SUM(H75:H79)</f>
        <v>2100</v>
      </c>
      <c r="I80" s="80">
        <f>SUM(I75:I79)</f>
        <v>2400</v>
      </c>
      <c r="J80" s="80">
        <f>SUM(J75:J79)</f>
        <v>15900</v>
      </c>
      <c r="K80" s="270"/>
      <c r="L80" s="122"/>
      <c r="M80" s="122"/>
      <c r="N80" s="123"/>
      <c r="O80"/>
      <c r="P80"/>
      <c r="Q80"/>
      <c r="R80"/>
      <c r="S80"/>
      <c r="T80"/>
      <c r="U80"/>
      <c r="V80"/>
      <c r="W80"/>
      <c r="X80"/>
      <c r="Y80"/>
      <c r="Z80" s="344"/>
      <c r="AA80" s="363"/>
      <c r="AB80" s="363"/>
      <c r="AC80" s="363"/>
      <c r="AD80" s="110"/>
      <c r="AE80" s="41"/>
      <c r="AF80" s="41"/>
      <c r="AG80" s="41"/>
      <c r="AH80" s="41"/>
      <c r="AI80" s="41"/>
      <c r="AJ80" s="41"/>
      <c r="AK80" s="41"/>
      <c r="AL80" s="41"/>
      <c r="AM80" s="41"/>
      <c r="AN80" s="41"/>
      <c r="AO80" s="41"/>
      <c r="AP80" s="41"/>
      <c r="AQ80" s="41"/>
      <c r="AR80" s="41"/>
      <c r="AS80" s="41"/>
      <c r="AT80" s="41"/>
      <c r="AU80" s="41"/>
      <c r="AV80" s="41"/>
      <c r="AW80" s="41"/>
      <c r="AX80" s="41"/>
      <c r="AY80" s="41"/>
      <c r="AZ80" s="41"/>
      <c r="BA80" s="41"/>
      <c r="BB80" s="41"/>
      <c r="BC80" s="41"/>
      <c r="BD80" s="41"/>
      <c r="BE80" s="41"/>
      <c r="BF80" s="41"/>
      <c r="BG80" s="41"/>
      <c r="BH80" s="41"/>
      <c r="BI80" s="41"/>
      <c r="BJ80" s="41"/>
      <c r="BK80" s="41"/>
      <c r="BL80" s="41"/>
      <c r="BM80" s="41"/>
      <c r="BN80" s="41"/>
      <c r="BO80" s="41"/>
      <c r="BP80" s="41"/>
      <c r="BQ80" s="41"/>
      <c r="BR80" s="41"/>
      <c r="BS80" s="41"/>
      <c r="BT80" s="41"/>
      <c r="BU80" s="41"/>
      <c r="BV80" s="41"/>
      <c r="BW80" s="41"/>
      <c r="BX80" s="41"/>
      <c r="BY80" s="41"/>
      <c r="BZ80" s="41"/>
      <c r="CA80" s="41"/>
      <c r="CB80" s="41"/>
      <c r="CC80" s="41"/>
      <c r="CD80" s="41"/>
      <c r="CE80" s="41"/>
      <c r="CF80" s="41"/>
      <c r="CG80" s="41"/>
      <c r="CH80" s="41"/>
      <c r="CI80" s="41"/>
      <c r="CJ80" s="41"/>
      <c r="CK80" s="41"/>
      <c r="CL80" s="41"/>
      <c r="CM80" s="41"/>
      <c r="CN80" s="41"/>
      <c r="CO80" s="41"/>
      <c r="CP80" s="41"/>
    </row>
  </sheetData>
  <mergeCells count="51">
    <mergeCell ref="C13:D13"/>
    <mergeCell ref="M1:N1"/>
    <mergeCell ref="M2:N2"/>
    <mergeCell ref="M3:N3"/>
    <mergeCell ref="M4:N4"/>
    <mergeCell ref="I5:L5"/>
    <mergeCell ref="C8:D8"/>
    <mergeCell ref="AA8:AC8"/>
    <mergeCell ref="C9:D9"/>
    <mergeCell ref="C10:D10"/>
    <mergeCell ref="C11:D11"/>
    <mergeCell ref="C12:D12"/>
    <mergeCell ref="K43:N43"/>
    <mergeCell ref="AA43:AC43"/>
    <mergeCell ref="K44:N44"/>
    <mergeCell ref="C16:D16"/>
    <mergeCell ref="C17:D17"/>
    <mergeCell ref="C18:D18"/>
    <mergeCell ref="C37:D37"/>
    <mergeCell ref="AA37:AC37"/>
    <mergeCell ref="C38:D38"/>
    <mergeCell ref="C54:D54"/>
    <mergeCell ref="C39:D39"/>
    <mergeCell ref="C41:D41"/>
    <mergeCell ref="C42:D42"/>
    <mergeCell ref="C43:D44"/>
    <mergeCell ref="K45:N45"/>
    <mergeCell ref="E46:J47"/>
    <mergeCell ref="K46:N47"/>
    <mergeCell ref="C50:D50"/>
    <mergeCell ref="C53:D53"/>
    <mergeCell ref="C69:D69"/>
    <mergeCell ref="C55:D55"/>
    <mergeCell ref="C57:D57"/>
    <mergeCell ref="C58:D58"/>
    <mergeCell ref="C59:D59"/>
    <mergeCell ref="C61:D61"/>
    <mergeCell ref="C62:D62"/>
    <mergeCell ref="C63:D63"/>
    <mergeCell ref="C64:D64"/>
    <mergeCell ref="C65:D65"/>
    <mergeCell ref="C66:D66"/>
    <mergeCell ref="C68:D68"/>
    <mergeCell ref="C78:D78"/>
    <mergeCell ref="C79:D79"/>
    <mergeCell ref="C70:D70"/>
    <mergeCell ref="C71:D71"/>
    <mergeCell ref="C72:D72"/>
    <mergeCell ref="C73:D73"/>
    <mergeCell ref="C76:D76"/>
    <mergeCell ref="C77:D77"/>
  </mergeCells>
  <conditionalFormatting sqref="K44">
    <cfRule type="expression" dxfId="68" priority="5">
      <formula>$J$44&lt;0</formula>
    </cfRule>
  </conditionalFormatting>
  <conditionalFormatting sqref="K43">
    <cfRule type="expression" dxfId="67" priority="4">
      <formula>$J$43&lt;0</formula>
    </cfRule>
  </conditionalFormatting>
  <conditionalFormatting sqref="L16">
    <cfRule type="expression" dxfId="66" priority="3">
      <formula>$J$16&lt;0</formula>
    </cfRule>
  </conditionalFormatting>
  <conditionalFormatting sqref="K45">
    <cfRule type="expression" dxfId="65" priority="2">
      <formula>$J$44&lt;0</formula>
    </cfRule>
  </conditionalFormatting>
  <conditionalFormatting sqref="K43:N45">
    <cfRule type="containsText" dxfId="64" priority="1" operator="containsText" text="underfunding">
      <formula>NOT(ISERROR(SEARCH("underfunding",K43)))</formula>
    </cfRule>
  </conditionalFormatting>
  <printOptions horizontalCentered="1"/>
  <pageMargins left="0.5" right="0.5" top="0.65" bottom="0.65" header="0.26" footer="0.31"/>
  <pageSetup scale="63" fitToHeight="2" orientation="landscape" r:id="rId1"/>
  <headerFooter>
    <oddHeader>&amp;L&amp;"Helv,Bold"FORM B6:  WAGE &amp;&amp; SALARY RECONCILIATION</oddHeader>
    <oddFooter>&amp;LPrinted: &amp;D, &amp;T&amp;RPage &amp;P of &amp;N</oddFooter>
  </headerFooter>
  <rowBreaks count="1" manualBreakCount="1">
    <brk id="64" max="12" man="1"/>
  </rowBreaks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DA56FCB3-BB8F-4C3C-A22A-B1716EA0BC00}">
          <x14:formula1>
            <xm:f>Benefits!$A$20:$A$26</xm:f>
          </x14:formula1>
          <xm:sqref>C20:C30 C32:C36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FF654E-55C0-41BD-8104-5D2B7E67AA97}">
  <sheetPr>
    <tabColor rgb="FF00B0F0"/>
    <pageSetUpPr fitToPage="1"/>
  </sheetPr>
  <dimension ref="A1:CP80"/>
  <sheetViews>
    <sheetView showGridLines="0" zoomScaleNormal="100" workbookViewId="0">
      <selection activeCell="C8" sqref="C8:N16"/>
    </sheetView>
  </sheetViews>
  <sheetFormatPr defaultColWidth="9.140625" defaultRowHeight="15.75" x14ac:dyDescent="0.25"/>
  <cols>
    <col min="1" max="1" width="7.85546875" style="124" customWidth="1"/>
    <col min="2" max="2" width="7.7109375" style="125" customWidth="1"/>
    <col min="3" max="3" width="9" style="125" customWidth="1"/>
    <col min="4" max="4" width="39.28515625" style="53" customWidth="1"/>
    <col min="5" max="5" width="13" style="126" customWidth="1"/>
    <col min="6" max="6" width="12.28515625" style="127" customWidth="1"/>
    <col min="7" max="7" width="12.140625" style="127" bestFit="1" customWidth="1"/>
    <col min="8" max="8" width="14.5703125" style="127" customWidth="1"/>
    <col min="9" max="9" width="19.5703125" style="128" bestFit="1" customWidth="1"/>
    <col min="10" max="10" width="13.7109375" style="129" customWidth="1"/>
    <col min="11" max="11" width="13.7109375" style="129" hidden="1" customWidth="1"/>
    <col min="12" max="12" width="18.42578125" style="129" customWidth="1"/>
    <col min="13" max="13" width="16.42578125" style="129" customWidth="1"/>
    <col min="14" max="14" width="16.140625" style="128" customWidth="1"/>
    <col min="15" max="25" width="16.140625" customWidth="1"/>
    <col min="26" max="26" width="16.140625" style="344" customWidth="1"/>
    <col min="27" max="27" width="22.140625" style="334" bestFit="1" customWidth="1"/>
    <col min="28" max="28" width="31.140625" style="334" bestFit="1" customWidth="1"/>
    <col min="29" max="29" width="7.85546875" style="334" bestFit="1" customWidth="1"/>
    <col min="30" max="30" width="9.140625" style="110" customWidth="1"/>
    <col min="31" max="94" width="9.140625" style="17"/>
    <col min="95" max="16384" width="9.140625" style="18"/>
  </cols>
  <sheetData>
    <row r="1" spans="1:94" x14ac:dyDescent="0.25">
      <c r="A1" s="12" t="s">
        <v>13</v>
      </c>
      <c r="B1" s="13"/>
      <c r="C1" s="13"/>
      <c r="D1" s="14" t="s">
        <v>1989</v>
      </c>
      <c r="E1" s="15"/>
      <c r="F1" s="15"/>
      <c r="G1" s="15"/>
      <c r="H1" s="15"/>
      <c r="I1" s="15"/>
      <c r="J1" s="15"/>
      <c r="K1" s="15"/>
      <c r="L1" s="16" t="s">
        <v>14</v>
      </c>
      <c r="M1" s="467">
        <v>352</v>
      </c>
      <c r="N1" s="468"/>
      <c r="AA1" s="363"/>
      <c r="AB1" s="333"/>
      <c r="AC1" s="333"/>
      <c r="AD1" s="325"/>
    </row>
    <row r="2" spans="1:94" ht="20.25" x14ac:dyDescent="0.25">
      <c r="A2" s="19" t="s">
        <v>116</v>
      </c>
      <c r="B2" s="20"/>
      <c r="C2" s="20"/>
      <c r="D2" s="14" t="s">
        <v>1990</v>
      </c>
      <c r="E2" s="21"/>
      <c r="F2" s="21"/>
      <c r="G2" s="21"/>
      <c r="H2" s="21"/>
      <c r="I2" s="21"/>
      <c r="J2" s="20"/>
      <c r="K2" s="20"/>
      <c r="L2" s="22" t="s">
        <v>113</v>
      </c>
      <c r="M2" s="469" t="s">
        <v>2005</v>
      </c>
      <c r="N2" s="470"/>
      <c r="AA2" s="333"/>
      <c r="AB2" s="333"/>
      <c r="AC2" s="333"/>
      <c r="AD2" s="325"/>
    </row>
    <row r="3" spans="1:94" x14ac:dyDescent="0.25">
      <c r="A3" s="19" t="s">
        <v>117</v>
      </c>
      <c r="B3" s="20"/>
      <c r="C3" s="20"/>
      <c r="D3" s="23" t="s">
        <v>2009</v>
      </c>
      <c r="E3" s="24"/>
      <c r="F3" s="25"/>
      <c r="G3" s="25"/>
      <c r="H3" s="25"/>
      <c r="I3" s="26"/>
      <c r="J3" s="20"/>
      <c r="K3" s="20"/>
      <c r="L3" s="22" t="s">
        <v>114</v>
      </c>
      <c r="M3" s="467" t="s">
        <v>549</v>
      </c>
      <c r="N3" s="468"/>
      <c r="AA3" s="363"/>
      <c r="AB3" s="333"/>
      <c r="AC3" s="333"/>
      <c r="AD3" s="325"/>
    </row>
    <row r="4" spans="1:94" x14ac:dyDescent="0.25">
      <c r="A4" s="19"/>
      <c r="B4" s="20"/>
      <c r="C4" s="20"/>
      <c r="D4" s="27"/>
      <c r="E4" s="24"/>
      <c r="F4" s="25"/>
      <c r="G4" s="25"/>
      <c r="H4" s="25"/>
      <c r="I4" s="28"/>
      <c r="J4" s="26"/>
      <c r="K4" s="26"/>
      <c r="L4" s="22" t="s">
        <v>15</v>
      </c>
      <c r="M4" s="467">
        <v>2023</v>
      </c>
      <c r="N4" s="468"/>
      <c r="AA4" s="363"/>
      <c r="AB4" s="333"/>
      <c r="AC4" s="333"/>
      <c r="AD4" s="325"/>
    </row>
    <row r="5" spans="1:94" s="34" customFormat="1" ht="18" customHeight="1" x14ac:dyDescent="0.25">
      <c r="A5" s="19" t="s">
        <v>16</v>
      </c>
      <c r="B5" s="20"/>
      <c r="C5" s="20"/>
      <c r="D5" s="350">
        <v>44440</v>
      </c>
      <c r="E5" s="27"/>
      <c r="F5" s="30"/>
      <c r="G5" s="31"/>
      <c r="H5" s="31" t="s">
        <v>17</v>
      </c>
      <c r="I5" s="469" t="s">
        <v>2003</v>
      </c>
      <c r="J5" s="471"/>
      <c r="K5" s="471"/>
      <c r="L5" s="470"/>
      <c r="M5" s="351" t="s">
        <v>115</v>
      </c>
      <c r="N5" s="32" t="s">
        <v>2004</v>
      </c>
      <c r="O5"/>
      <c r="P5"/>
      <c r="Q5"/>
      <c r="R5"/>
      <c r="S5"/>
      <c r="T5"/>
      <c r="U5"/>
      <c r="V5"/>
      <c r="W5"/>
      <c r="X5"/>
      <c r="Y5"/>
      <c r="Z5" s="344"/>
      <c r="AA5" s="363"/>
      <c r="AB5" s="333"/>
      <c r="AC5" s="333"/>
      <c r="AD5" s="326"/>
      <c r="AE5" s="33"/>
      <c r="AF5" s="33"/>
      <c r="AG5" s="33"/>
      <c r="AH5" s="33"/>
      <c r="AI5" s="33"/>
      <c r="AJ5" s="33"/>
      <c r="AK5" s="33"/>
      <c r="AL5" s="33"/>
      <c r="AM5" s="33"/>
      <c r="AN5" s="33"/>
      <c r="AO5" s="33"/>
      <c r="AP5" s="33"/>
      <c r="AQ5" s="33"/>
      <c r="AR5" s="33"/>
      <c r="AS5" s="33"/>
      <c r="AT5" s="33"/>
      <c r="AU5" s="33"/>
      <c r="AV5" s="33"/>
      <c r="AW5" s="33"/>
      <c r="AX5" s="33"/>
      <c r="AY5" s="33"/>
      <c r="AZ5" s="33"/>
      <c r="BA5" s="33"/>
      <c r="BB5" s="33"/>
      <c r="BC5" s="33"/>
      <c r="BD5" s="33"/>
      <c r="BE5" s="33"/>
      <c r="BF5" s="33"/>
      <c r="BG5" s="33"/>
      <c r="BH5" s="33"/>
      <c r="BI5" s="33"/>
      <c r="BJ5" s="33"/>
      <c r="BK5" s="33"/>
      <c r="BL5" s="33"/>
      <c r="BM5" s="33"/>
      <c r="BN5" s="33"/>
      <c r="BO5" s="33"/>
      <c r="BP5" s="33"/>
      <c r="BQ5" s="33"/>
      <c r="BR5" s="33"/>
      <c r="BS5" s="33"/>
      <c r="BT5" s="33"/>
      <c r="BU5" s="33"/>
      <c r="BV5" s="33"/>
      <c r="BW5" s="33"/>
      <c r="BX5" s="33"/>
      <c r="BY5" s="33"/>
      <c r="BZ5" s="33"/>
      <c r="CA5" s="33"/>
      <c r="CB5" s="33"/>
      <c r="CC5" s="33"/>
      <c r="CD5" s="33"/>
      <c r="CE5" s="33"/>
      <c r="CF5" s="33"/>
      <c r="CG5" s="33"/>
      <c r="CH5" s="33"/>
      <c r="CI5" s="33"/>
      <c r="CJ5" s="33"/>
      <c r="CK5" s="33"/>
      <c r="CL5" s="33"/>
      <c r="CM5" s="33"/>
      <c r="CN5" s="33"/>
      <c r="CO5" s="33"/>
      <c r="CP5" s="33"/>
    </row>
    <row r="6" spans="1:94" ht="23.25" customHeight="1" x14ac:dyDescent="0.25">
      <c r="A6" s="19"/>
      <c r="B6" s="20" t="s">
        <v>18</v>
      </c>
      <c r="C6" s="20"/>
      <c r="D6" s="29"/>
      <c r="E6" s="35" t="s">
        <v>19</v>
      </c>
      <c r="F6" s="36"/>
      <c r="G6" s="25"/>
      <c r="H6" s="25"/>
      <c r="I6" s="37"/>
      <c r="J6" s="31" t="s">
        <v>84</v>
      </c>
      <c r="K6" s="31"/>
      <c r="L6" s="352"/>
      <c r="M6" s="353" t="s">
        <v>85</v>
      </c>
      <c r="N6" s="306"/>
      <c r="AA6" s="363"/>
      <c r="AB6" s="333"/>
      <c r="AC6" s="333"/>
      <c r="AD6" s="325"/>
    </row>
    <row r="7" spans="1:94" x14ac:dyDescent="0.25">
      <c r="A7" s="38"/>
      <c r="B7" s="39"/>
      <c r="C7" s="40"/>
      <c r="D7" s="41"/>
      <c r="E7" s="42"/>
      <c r="F7" s="40"/>
      <c r="G7" s="43"/>
      <c r="H7" s="44"/>
      <c r="I7" s="45"/>
      <c r="J7" s="46"/>
      <c r="K7" s="46"/>
      <c r="L7" s="46"/>
      <c r="M7" s="46"/>
      <c r="N7" s="47"/>
    </row>
    <row r="8" spans="1:94" s="52" customFormat="1" ht="40.5" customHeight="1" x14ac:dyDescent="0.25">
      <c r="A8" s="48" t="s">
        <v>20</v>
      </c>
      <c r="B8" s="369" t="s">
        <v>21</v>
      </c>
      <c r="C8" s="472" t="s">
        <v>22</v>
      </c>
      <c r="D8" s="473"/>
      <c r="E8" s="369" t="s">
        <v>23</v>
      </c>
      <c r="F8" s="49" t="s">
        <v>24</v>
      </c>
      <c r="G8" s="50" t="str">
        <f>"FY "&amp;'TAAB|0338-02'!FiscalYear-1&amp;" SALARY"</f>
        <v>FY 2022 SALARY</v>
      </c>
      <c r="H8" s="50" t="str">
        <f>"FY "&amp;'TAAB|0338-02'!FiscalYear-1&amp;" HEALTH BENEFITS"</f>
        <v>FY 2022 HEALTH BENEFITS</v>
      </c>
      <c r="I8" s="50" t="str">
        <f>"FY "&amp;'TAAB|0338-02'!FiscalYear-1&amp;" VAR BENEFITS"</f>
        <v>FY 2022 VAR BENEFITS</v>
      </c>
      <c r="J8" s="50" t="str">
        <f>"FY "&amp;'TAAB|0338-02'!FiscalYear-1&amp;" TOTAL"</f>
        <v>FY 2022 TOTAL</v>
      </c>
      <c r="K8" s="50" t="str">
        <f>"FY "&amp;'TAAB|0338-02'!FiscalYear&amp;" SALARY CHANGE"</f>
        <v>FY 2023 SALARY CHANGE</v>
      </c>
      <c r="L8" s="50" t="str">
        <f>"FY "&amp;'TAAB|0338-02'!FiscalYear&amp;" CHG HEALTH BENEFITS"</f>
        <v>FY 2023 CHG HEALTH BENEFITS</v>
      </c>
      <c r="M8" s="50" t="str">
        <f>"FY "&amp;'TAAB|0338-02'!FiscalYear&amp;" CHG VAR BENEFITS"</f>
        <v>FY 2023 CHG VAR BENEFITS</v>
      </c>
      <c r="N8" s="50" t="s">
        <v>25</v>
      </c>
      <c r="O8"/>
      <c r="P8"/>
      <c r="Q8"/>
      <c r="R8"/>
      <c r="S8"/>
      <c r="T8"/>
      <c r="U8"/>
      <c r="V8"/>
      <c r="W8"/>
      <c r="X8"/>
      <c r="Y8"/>
      <c r="Z8" s="344"/>
      <c r="AA8" s="463" t="s">
        <v>105</v>
      </c>
      <c r="AB8" s="463"/>
      <c r="AC8" s="463"/>
      <c r="AD8" s="327"/>
      <c r="AE8" s="51"/>
      <c r="AF8" s="51"/>
      <c r="AG8" s="51"/>
      <c r="AH8" s="51"/>
      <c r="AI8" s="51"/>
      <c r="AJ8" s="51"/>
      <c r="AK8" s="51"/>
      <c r="AL8" s="51"/>
      <c r="AM8" s="51"/>
      <c r="AN8" s="51"/>
      <c r="AO8" s="51"/>
      <c r="AP8" s="51"/>
      <c r="AQ8" s="51"/>
      <c r="AR8" s="51"/>
      <c r="AS8" s="51"/>
      <c r="AT8" s="51"/>
      <c r="AU8" s="51"/>
      <c r="AV8" s="51"/>
      <c r="AW8" s="51"/>
      <c r="AX8" s="51"/>
      <c r="AY8" s="51"/>
      <c r="AZ8" s="51"/>
      <c r="BA8" s="51"/>
      <c r="BB8" s="51"/>
      <c r="BC8" s="51"/>
      <c r="BD8" s="51"/>
      <c r="BE8" s="51"/>
      <c r="BF8" s="51"/>
      <c r="BG8" s="51"/>
      <c r="BH8" s="51"/>
      <c r="BI8" s="51"/>
      <c r="BJ8" s="51"/>
      <c r="BK8" s="51"/>
      <c r="BL8" s="51"/>
      <c r="BM8" s="51"/>
      <c r="BN8" s="51"/>
      <c r="BO8" s="51"/>
      <c r="BP8" s="51"/>
      <c r="BQ8" s="51"/>
      <c r="BR8" s="51"/>
      <c r="BS8" s="51"/>
      <c r="BT8" s="51"/>
      <c r="BU8" s="51"/>
      <c r="BV8" s="51"/>
      <c r="BW8" s="51"/>
      <c r="BX8" s="51"/>
      <c r="BY8" s="51"/>
      <c r="BZ8" s="51"/>
      <c r="CA8" s="51"/>
      <c r="CB8" s="51"/>
      <c r="CC8" s="51"/>
      <c r="CD8" s="51"/>
      <c r="CE8" s="51"/>
      <c r="CF8" s="51"/>
      <c r="CG8" s="51"/>
      <c r="CH8" s="51"/>
      <c r="CI8" s="51"/>
      <c r="CJ8" s="51"/>
      <c r="CK8" s="51"/>
      <c r="CL8" s="51"/>
      <c r="CM8" s="51"/>
      <c r="CN8" s="51"/>
      <c r="CO8" s="51"/>
      <c r="CP8" s="51"/>
    </row>
    <row r="9" spans="1:94" s="149" customFormat="1" x14ac:dyDescent="0.25">
      <c r="A9" s="139"/>
      <c r="B9" s="140"/>
      <c r="C9" s="464" t="s">
        <v>26</v>
      </c>
      <c r="D9" s="465"/>
      <c r="E9" s="141"/>
      <c r="F9" s="142"/>
      <c r="G9" s="143"/>
      <c r="H9" s="143"/>
      <c r="I9" s="143"/>
      <c r="J9" s="144"/>
      <c r="K9" s="144"/>
      <c r="L9" s="145"/>
      <c r="M9" s="146"/>
      <c r="N9" s="144"/>
      <c r="O9"/>
      <c r="P9"/>
      <c r="Q9"/>
      <c r="R9"/>
      <c r="S9"/>
      <c r="T9"/>
      <c r="U9"/>
      <c r="V9"/>
      <c r="W9"/>
      <c r="X9"/>
      <c r="Y9"/>
      <c r="Z9" s="344"/>
      <c r="AA9" s="363" t="s">
        <v>94</v>
      </c>
      <c r="AB9" s="333" t="s">
        <v>95</v>
      </c>
      <c r="AC9" s="333" t="s">
        <v>106</v>
      </c>
      <c r="AD9" s="328"/>
      <c r="AE9" s="148"/>
      <c r="AF9" s="148"/>
      <c r="AG9" s="148"/>
      <c r="AH9" s="148"/>
      <c r="AI9" s="148"/>
      <c r="AJ9" s="148"/>
      <c r="AK9" s="148"/>
      <c r="AL9" s="148"/>
      <c r="AM9" s="148"/>
      <c r="AN9" s="148"/>
      <c r="AO9" s="148"/>
      <c r="AP9" s="148"/>
      <c r="AQ9" s="148"/>
      <c r="AR9" s="148"/>
      <c r="AS9" s="148"/>
      <c r="AT9" s="148"/>
      <c r="AU9" s="148"/>
      <c r="AV9" s="148"/>
      <c r="AW9" s="148"/>
      <c r="AX9" s="148"/>
      <c r="AY9" s="148"/>
      <c r="AZ9" s="148"/>
      <c r="BA9" s="148"/>
      <c r="BB9" s="148"/>
      <c r="BC9" s="148"/>
      <c r="BD9" s="148"/>
      <c r="BE9" s="148"/>
      <c r="BF9" s="148"/>
      <c r="BG9" s="148"/>
      <c r="BH9" s="148"/>
      <c r="BI9" s="148"/>
      <c r="BJ9" s="148"/>
      <c r="BK9" s="148"/>
      <c r="BL9" s="148"/>
      <c r="BM9" s="148"/>
      <c r="BN9" s="148"/>
      <c r="BO9" s="148"/>
      <c r="BP9" s="148"/>
      <c r="BQ9" s="148"/>
      <c r="BR9" s="148"/>
      <c r="BS9" s="148"/>
      <c r="BT9" s="148"/>
      <c r="BU9" s="148"/>
      <c r="BV9" s="148"/>
      <c r="BW9" s="148"/>
      <c r="BX9" s="148"/>
      <c r="BY9" s="148"/>
      <c r="BZ9" s="148"/>
      <c r="CA9" s="148"/>
      <c r="CB9" s="148"/>
      <c r="CC9" s="148"/>
      <c r="CD9" s="148"/>
      <c r="CE9" s="148"/>
      <c r="CF9" s="148"/>
      <c r="CG9" s="148"/>
      <c r="CH9" s="148"/>
      <c r="CI9" s="148"/>
      <c r="CJ9" s="148"/>
      <c r="CK9" s="148"/>
      <c r="CL9" s="148"/>
      <c r="CM9" s="148"/>
      <c r="CN9" s="148"/>
      <c r="CO9" s="148"/>
      <c r="CP9" s="148"/>
    </row>
    <row r="10" spans="1:94" s="149" customFormat="1" x14ac:dyDescent="0.25">
      <c r="A10" s="139"/>
      <c r="B10" s="139"/>
      <c r="C10" s="443" t="s">
        <v>27</v>
      </c>
      <c r="D10" s="466"/>
      <c r="E10" s="217">
        <v>1</v>
      </c>
      <c r="F10" s="288">
        <f>[0]!TAAB033802col_INC_FTI</f>
        <v>22.2</v>
      </c>
      <c r="G10" s="218">
        <f>[0]!TAAB033802col_FTI_SALARY_PERM</f>
        <v>1214091.8400000001</v>
      </c>
      <c r="H10" s="218">
        <f>[0]!TAAB033802col_HEALTH_PERM</f>
        <v>258630</v>
      </c>
      <c r="I10" s="218">
        <f>[0]!TAAB033802col_TOT_VB_PERM</f>
        <v>259018.76158080006</v>
      </c>
      <c r="J10" s="219">
        <f>SUM(G10:I10)</f>
        <v>1731740.6015808</v>
      </c>
      <c r="K10" s="219">
        <f>[0]!TAAB033802col_1_27TH_PP</f>
        <v>0</v>
      </c>
      <c r="L10" s="218">
        <f>[0]!TAAB033802col_HEALTH_PERM_CHG</f>
        <v>0</v>
      </c>
      <c r="M10" s="218">
        <f>[0]!TAAB033802col_TOT_VB_PERM_CHG</f>
        <v>-5827.6408320000019</v>
      </c>
      <c r="N10" s="218">
        <f>SUM(L10:M10)</f>
        <v>-5827.6408320000019</v>
      </c>
      <c r="O10"/>
      <c r="P10"/>
      <c r="Q10"/>
      <c r="R10"/>
      <c r="S10"/>
      <c r="T10"/>
      <c r="U10"/>
      <c r="V10"/>
      <c r="W10"/>
      <c r="X10"/>
      <c r="Y10"/>
      <c r="Z10" s="344"/>
      <c r="AA10" s="338">
        <f>ROUND(CECPerm*PermSalary,-2)</f>
        <v>12100</v>
      </c>
      <c r="AB10" s="335">
        <f>ROUND(PermVarBen*CECPerm+(CECPerm*PermVarBenChg),-2)</f>
        <v>2500</v>
      </c>
      <c r="AC10" s="335">
        <f>SUM(AA10:AB10)</f>
        <v>14600</v>
      </c>
      <c r="AD10" s="328"/>
      <c r="AE10" s="148"/>
      <c r="AF10" s="148"/>
      <c r="AG10" s="148"/>
      <c r="AH10" s="148"/>
      <c r="AI10" s="148"/>
      <c r="AJ10" s="148"/>
      <c r="AK10" s="148"/>
      <c r="AL10" s="148"/>
      <c r="AM10" s="148"/>
      <c r="AN10" s="148"/>
      <c r="AO10" s="148"/>
      <c r="AP10" s="148"/>
      <c r="AQ10" s="148"/>
      <c r="AR10" s="148"/>
      <c r="AS10" s="148"/>
      <c r="AT10" s="148"/>
      <c r="AU10" s="148"/>
      <c r="AV10" s="148"/>
      <c r="AW10" s="148"/>
      <c r="AX10" s="148"/>
      <c r="AY10" s="148"/>
      <c r="AZ10" s="148"/>
      <c r="BA10" s="148"/>
      <c r="BB10" s="148"/>
      <c r="BC10" s="148"/>
      <c r="BD10" s="148"/>
      <c r="BE10" s="148"/>
      <c r="BF10" s="148"/>
      <c r="BG10" s="148"/>
      <c r="BH10" s="148"/>
      <c r="BI10" s="148"/>
      <c r="BJ10" s="148"/>
      <c r="BK10" s="148"/>
      <c r="BL10" s="148"/>
      <c r="BM10" s="148"/>
      <c r="BN10" s="148"/>
      <c r="BO10" s="148"/>
      <c r="BP10" s="148"/>
      <c r="BQ10" s="148"/>
      <c r="BR10" s="148"/>
      <c r="BS10" s="148"/>
      <c r="BT10" s="148"/>
      <c r="BU10" s="148"/>
      <c r="BV10" s="148"/>
      <c r="BW10" s="148"/>
      <c r="BX10" s="148"/>
      <c r="BY10" s="148"/>
      <c r="BZ10" s="148"/>
      <c r="CA10" s="148"/>
      <c r="CB10" s="148"/>
      <c r="CC10" s="148"/>
      <c r="CD10" s="148"/>
      <c r="CE10" s="148"/>
      <c r="CF10" s="148"/>
      <c r="CG10" s="148"/>
      <c r="CH10" s="148"/>
      <c r="CI10" s="148"/>
      <c r="CJ10" s="148"/>
      <c r="CK10" s="148"/>
      <c r="CL10" s="148"/>
      <c r="CM10" s="148"/>
      <c r="CN10" s="148"/>
      <c r="CO10" s="148"/>
      <c r="CP10" s="148"/>
    </row>
    <row r="11" spans="1:94" s="149" customFormat="1" x14ac:dyDescent="0.25">
      <c r="A11" s="139"/>
      <c r="B11" s="139"/>
      <c r="C11" s="443" t="s">
        <v>28</v>
      </c>
      <c r="D11" s="466"/>
      <c r="E11" s="217">
        <v>2</v>
      </c>
      <c r="F11" s="288"/>
      <c r="G11" s="218">
        <f>[0]!TAAB033802col_Group_Salary</f>
        <v>0</v>
      </c>
      <c r="H11" s="218">
        <v>0</v>
      </c>
      <c r="I11" s="218">
        <f>[0]!TAAB033802col_Group_Ben</f>
        <v>0</v>
      </c>
      <c r="J11" s="219">
        <f>SUM(G11:I11)</f>
        <v>0</v>
      </c>
      <c r="K11" s="268"/>
      <c r="L11" s="218"/>
      <c r="M11" s="218"/>
      <c r="N11" s="218"/>
      <c r="O11"/>
      <c r="P11"/>
      <c r="Q11"/>
      <c r="R11"/>
      <c r="S11"/>
      <c r="T11"/>
      <c r="U11"/>
      <c r="V11"/>
      <c r="W11"/>
      <c r="X11"/>
      <c r="Y11"/>
      <c r="Z11" s="344"/>
      <c r="AA11" s="338">
        <f>ROUND(GroupSalary*CECGroup,-2)</f>
        <v>0</v>
      </c>
      <c r="AB11" s="335">
        <f>ROUND((GroupSalary*GroupVBBY)*CECGroup,-2)</f>
        <v>0</v>
      </c>
      <c r="AC11" s="335">
        <f>SUM(AA12:AB12)</f>
        <v>0</v>
      </c>
      <c r="AD11" s="328"/>
      <c r="AE11" s="148"/>
      <c r="AF11" s="148"/>
      <c r="AG11" s="148"/>
      <c r="AH11" s="148"/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148"/>
      <c r="AV11" s="148"/>
      <c r="AW11" s="148"/>
      <c r="AX11" s="148"/>
      <c r="AY11" s="148"/>
      <c r="AZ11" s="148"/>
      <c r="BA11" s="148"/>
      <c r="BB11" s="148"/>
      <c r="BC11" s="148"/>
      <c r="BD11" s="148"/>
      <c r="BE11" s="148"/>
      <c r="BF11" s="148"/>
      <c r="BG11" s="148"/>
      <c r="BH11" s="148"/>
      <c r="BI11" s="148"/>
      <c r="BJ11" s="148"/>
      <c r="BK11" s="148"/>
      <c r="BL11" s="148"/>
      <c r="BM11" s="148"/>
      <c r="BN11" s="148"/>
      <c r="BO11" s="148"/>
      <c r="BP11" s="148"/>
      <c r="BQ11" s="148"/>
      <c r="BR11" s="148"/>
      <c r="BS11" s="148"/>
      <c r="BT11" s="148"/>
      <c r="BU11" s="148"/>
      <c r="BV11" s="148"/>
      <c r="BW11" s="148"/>
      <c r="BX11" s="148"/>
      <c r="BY11" s="148"/>
      <c r="BZ11" s="148"/>
      <c r="CA11" s="148"/>
      <c r="CB11" s="148"/>
      <c r="CC11" s="148"/>
      <c r="CD11" s="148"/>
      <c r="CE11" s="148"/>
      <c r="CF11" s="148"/>
      <c r="CG11" s="148"/>
      <c r="CH11" s="148"/>
      <c r="CI11" s="148"/>
      <c r="CJ11" s="148"/>
      <c r="CK11" s="148"/>
      <c r="CL11" s="148"/>
      <c r="CM11" s="148"/>
      <c r="CN11" s="148"/>
      <c r="CO11" s="148"/>
      <c r="CP11" s="148"/>
    </row>
    <row r="12" spans="1:94" s="149" customFormat="1" x14ac:dyDescent="0.25">
      <c r="A12" s="139"/>
      <c r="B12" s="139"/>
      <c r="C12" s="443" t="s">
        <v>29</v>
      </c>
      <c r="D12" s="444"/>
      <c r="E12" s="217">
        <v>3</v>
      </c>
      <c r="F12" s="288">
        <f>[0]!TAAB033802col_TOTAL_ELECT_PCN_FTI</f>
        <v>0</v>
      </c>
      <c r="G12" s="218">
        <f>[0]!TAAB033802col_FTI_SALARY_ELECT</f>
        <v>0</v>
      </c>
      <c r="H12" s="218">
        <f>[0]!TAAB033802col_HEALTH_ELECT</f>
        <v>0</v>
      </c>
      <c r="I12" s="218">
        <f>[0]!TAAB033802col_TOT_VB_ELECT</f>
        <v>0</v>
      </c>
      <c r="J12" s="219">
        <f>SUM(G12:I12)</f>
        <v>0</v>
      </c>
      <c r="K12" s="268"/>
      <c r="L12" s="218">
        <f>[0]!TAAB033802col_HEALTH_ELECT_CHG</f>
        <v>0</v>
      </c>
      <c r="M12" s="218">
        <f>[0]!TAAB033802col_TOT_VB_ELECT_CHG</f>
        <v>0</v>
      </c>
      <c r="N12" s="219">
        <f>SUM(L12:M12)</f>
        <v>0</v>
      </c>
      <c r="O12"/>
      <c r="P12"/>
      <c r="Q12"/>
      <c r="R12"/>
      <c r="S12"/>
      <c r="T12"/>
      <c r="U12"/>
      <c r="V12"/>
      <c r="W12"/>
      <c r="X12"/>
      <c r="Y12"/>
      <c r="Z12" s="344"/>
      <c r="AA12" s="336"/>
      <c r="AB12" s="336"/>
      <c r="AC12" s="336"/>
      <c r="AD12" s="328"/>
      <c r="AE12" s="148"/>
      <c r="AF12" s="148"/>
      <c r="AG12" s="148"/>
      <c r="AH12" s="148"/>
      <c r="AI12" s="148"/>
      <c r="AJ12" s="148"/>
      <c r="AK12" s="148"/>
      <c r="AL12" s="148"/>
      <c r="AM12" s="148"/>
      <c r="AN12" s="148"/>
      <c r="AO12" s="148"/>
      <c r="AP12" s="148"/>
      <c r="AQ12" s="148"/>
      <c r="AR12" s="148"/>
      <c r="AS12" s="148"/>
      <c r="AT12" s="148"/>
      <c r="AU12" s="148"/>
      <c r="AV12" s="148"/>
      <c r="AW12" s="148"/>
      <c r="AX12" s="148"/>
      <c r="AY12" s="148"/>
      <c r="AZ12" s="148"/>
      <c r="BA12" s="148"/>
      <c r="BB12" s="148"/>
      <c r="BC12" s="148"/>
      <c r="BD12" s="148"/>
      <c r="BE12" s="148"/>
      <c r="BF12" s="148"/>
      <c r="BG12" s="148"/>
      <c r="BH12" s="148"/>
      <c r="BI12" s="148"/>
      <c r="BJ12" s="148"/>
      <c r="BK12" s="148"/>
      <c r="BL12" s="148"/>
      <c r="BM12" s="148"/>
      <c r="BN12" s="148"/>
      <c r="BO12" s="148"/>
      <c r="BP12" s="148"/>
      <c r="BQ12" s="148"/>
      <c r="BR12" s="148"/>
      <c r="BS12" s="148"/>
      <c r="BT12" s="148"/>
      <c r="BU12" s="148"/>
      <c r="BV12" s="148"/>
      <c r="BW12" s="148"/>
      <c r="BX12" s="148"/>
      <c r="BY12" s="148"/>
      <c r="BZ12" s="148"/>
      <c r="CA12" s="148"/>
      <c r="CB12" s="148"/>
      <c r="CC12" s="148"/>
      <c r="CD12" s="148"/>
      <c r="CE12" s="148"/>
      <c r="CF12" s="148"/>
      <c r="CG12" s="148"/>
      <c r="CH12" s="148"/>
      <c r="CI12" s="148"/>
      <c r="CJ12" s="148"/>
      <c r="CK12" s="148"/>
      <c r="CL12" s="148"/>
      <c r="CM12" s="148"/>
      <c r="CN12" s="148"/>
      <c r="CO12" s="148"/>
      <c r="CP12" s="148"/>
    </row>
    <row r="13" spans="1:94" s="153" customFormat="1" x14ac:dyDescent="0.25">
      <c r="A13" s="139"/>
      <c r="B13" s="139"/>
      <c r="C13" s="443" t="s">
        <v>30</v>
      </c>
      <c r="D13" s="466"/>
      <c r="E13" s="217"/>
      <c r="F13" s="220">
        <f>SUM(F10:F12)</f>
        <v>22.2</v>
      </c>
      <c r="G13" s="221">
        <f>SUM(G10:G12)</f>
        <v>1214091.8400000001</v>
      </c>
      <c r="H13" s="221">
        <f>SUM(H10:H12)</f>
        <v>258630</v>
      </c>
      <c r="I13" s="221">
        <f>SUM(I10:I12)</f>
        <v>259018.76158080006</v>
      </c>
      <c r="J13" s="219">
        <f>SUM(G13:I13)</f>
        <v>1731740.6015808</v>
      </c>
      <c r="K13" s="268"/>
      <c r="L13" s="219">
        <f>SUM(L10:L12)</f>
        <v>0</v>
      </c>
      <c r="M13" s="219">
        <f>SUM(M10:M12)</f>
        <v>-5827.6408320000019</v>
      </c>
      <c r="N13" s="219">
        <f>SUM(N10:N12)</f>
        <v>-5827.6408320000019</v>
      </c>
      <c r="O13"/>
      <c r="P13"/>
      <c r="Q13"/>
      <c r="R13"/>
      <c r="S13"/>
      <c r="T13"/>
      <c r="U13"/>
      <c r="V13"/>
      <c r="W13"/>
      <c r="X13"/>
      <c r="Y13"/>
      <c r="Z13" s="344"/>
      <c r="AA13" s="336"/>
      <c r="AB13" s="336"/>
      <c r="AC13" s="336"/>
      <c r="AD13" s="329"/>
      <c r="AE13" s="147"/>
      <c r="AF13" s="147"/>
      <c r="AG13" s="147"/>
      <c r="AH13" s="147"/>
      <c r="AI13" s="147"/>
      <c r="AJ13" s="147"/>
      <c r="AK13" s="147"/>
      <c r="AL13" s="147"/>
      <c r="AM13" s="147"/>
      <c r="AN13" s="147"/>
      <c r="AO13" s="147"/>
      <c r="AP13" s="147"/>
      <c r="AQ13" s="147"/>
      <c r="AR13" s="147"/>
      <c r="AS13" s="147"/>
      <c r="AT13" s="147"/>
      <c r="AU13" s="147"/>
      <c r="AV13" s="147"/>
      <c r="AW13" s="147"/>
      <c r="AX13" s="147"/>
      <c r="AY13" s="147"/>
      <c r="AZ13" s="147"/>
      <c r="BA13" s="147"/>
      <c r="BB13" s="147"/>
      <c r="BC13" s="147"/>
      <c r="BD13" s="147"/>
      <c r="BE13" s="147"/>
      <c r="BF13" s="147"/>
      <c r="BG13" s="147"/>
      <c r="BH13" s="147"/>
      <c r="BI13" s="147"/>
      <c r="BJ13" s="147"/>
      <c r="BK13" s="147"/>
      <c r="BL13" s="147"/>
      <c r="BM13" s="147"/>
      <c r="BN13" s="147"/>
      <c r="BO13" s="147"/>
      <c r="BP13" s="147"/>
      <c r="BQ13" s="147"/>
      <c r="BR13" s="147"/>
      <c r="BS13" s="147"/>
      <c r="BT13" s="147"/>
      <c r="BU13" s="147"/>
      <c r="BV13" s="147"/>
      <c r="BW13" s="147"/>
      <c r="BX13" s="147"/>
      <c r="BY13" s="147"/>
      <c r="BZ13" s="147"/>
      <c r="CA13" s="147"/>
      <c r="CB13" s="147"/>
      <c r="CC13" s="147"/>
      <c r="CD13" s="147"/>
      <c r="CE13" s="147"/>
      <c r="CF13" s="147"/>
      <c r="CG13" s="147"/>
      <c r="CH13" s="147"/>
      <c r="CI13" s="147"/>
      <c r="CJ13" s="147"/>
      <c r="CK13" s="147"/>
      <c r="CL13" s="147"/>
      <c r="CM13" s="147"/>
      <c r="CN13" s="147"/>
      <c r="CO13" s="147"/>
      <c r="CP13" s="147"/>
    </row>
    <row r="14" spans="1:94" s="153" customFormat="1" ht="5.45" customHeight="1" x14ac:dyDescent="0.25">
      <c r="A14" s="139"/>
      <c r="B14" s="139"/>
      <c r="C14" s="364"/>
      <c r="D14" s="370"/>
      <c r="E14" s="217"/>
      <c r="F14" s="220"/>
      <c r="G14" s="219"/>
      <c r="H14" s="219"/>
      <c r="I14" s="219"/>
      <c r="J14" s="219"/>
      <c r="K14" s="268"/>
      <c r="L14" s="219"/>
      <c r="M14" s="222"/>
      <c r="N14" s="222"/>
      <c r="O14"/>
      <c r="P14"/>
      <c r="Q14"/>
      <c r="R14"/>
      <c r="S14"/>
      <c r="T14"/>
      <c r="U14"/>
      <c r="V14"/>
      <c r="W14"/>
      <c r="X14"/>
      <c r="Y14"/>
      <c r="Z14" s="344"/>
      <c r="AA14" s="336"/>
      <c r="AB14" s="336"/>
      <c r="AC14" s="336"/>
      <c r="AD14" s="329"/>
      <c r="AE14" s="147"/>
      <c r="AF14" s="147"/>
      <c r="AG14" s="147"/>
      <c r="AH14" s="147"/>
      <c r="AI14" s="147"/>
      <c r="AJ14" s="147"/>
      <c r="AK14" s="147"/>
      <c r="AL14" s="147"/>
      <c r="AM14" s="147"/>
      <c r="AN14" s="147"/>
      <c r="AO14" s="147"/>
      <c r="AP14" s="147"/>
      <c r="AQ14" s="147"/>
      <c r="AR14" s="147"/>
      <c r="AS14" s="147"/>
      <c r="AT14" s="147"/>
      <c r="AU14" s="147"/>
      <c r="AV14" s="147"/>
      <c r="AW14" s="147"/>
      <c r="AX14" s="147"/>
      <c r="AY14" s="147"/>
      <c r="AZ14" s="147"/>
      <c r="BA14" s="147"/>
      <c r="BB14" s="147"/>
      <c r="BC14" s="147"/>
      <c r="BD14" s="147"/>
      <c r="BE14" s="147"/>
      <c r="BF14" s="147"/>
      <c r="BG14" s="147"/>
      <c r="BH14" s="147"/>
      <c r="BI14" s="147"/>
      <c r="BJ14" s="147"/>
      <c r="BK14" s="147"/>
      <c r="BL14" s="147"/>
      <c r="BM14" s="147"/>
      <c r="BN14" s="147"/>
      <c r="BO14" s="147"/>
      <c r="BP14" s="147"/>
      <c r="BQ14" s="147"/>
      <c r="BR14" s="147"/>
      <c r="BS14" s="147"/>
      <c r="BT14" s="147"/>
      <c r="BU14" s="147"/>
      <c r="BV14" s="147"/>
      <c r="BW14" s="147"/>
      <c r="BX14" s="147"/>
      <c r="BY14" s="147"/>
      <c r="BZ14" s="147"/>
      <c r="CA14" s="147"/>
      <c r="CB14" s="147"/>
      <c r="CC14" s="147"/>
      <c r="CD14" s="147"/>
      <c r="CE14" s="147"/>
      <c r="CF14" s="147"/>
      <c r="CG14" s="147"/>
      <c r="CH14" s="147"/>
      <c r="CI14" s="147"/>
      <c r="CJ14" s="147"/>
      <c r="CK14" s="147"/>
      <c r="CL14" s="147"/>
      <c r="CM14" s="147"/>
      <c r="CN14" s="147"/>
      <c r="CO14" s="147"/>
      <c r="CP14" s="147"/>
    </row>
    <row r="15" spans="1:94" s="153" customFormat="1" ht="15.75" customHeight="1" x14ac:dyDescent="0.25">
      <c r="A15" s="139"/>
      <c r="B15" s="156"/>
      <c r="C15" s="157" t="str">
        <f>"FY "&amp;'TAAB|0338-02'!FiscalYear-1</f>
        <v>FY 2022</v>
      </c>
      <c r="D15" s="158" t="s">
        <v>31</v>
      </c>
      <c r="E15" s="354">
        <v>1782900</v>
      </c>
      <c r="F15" s="55">
        <v>22.4</v>
      </c>
      <c r="G15" s="223">
        <f>IF(OrigApprop=0,0,(G13/$J$13)*OrigApprop)</f>
        <v>1249958.7637779384</v>
      </c>
      <c r="H15" s="223">
        <f>IF(OrigApprop=0,0,(H13/$J$13)*OrigApprop)</f>
        <v>266270.49488767516</v>
      </c>
      <c r="I15" s="223">
        <f>IF(G15=0,0,(I13/$J$13)*OrigApprop)</f>
        <v>266670.74133438652</v>
      </c>
      <c r="J15" s="223">
        <f>SUM(G15:I15)</f>
        <v>1782900</v>
      </c>
      <c r="K15" s="268"/>
      <c r="L15" s="224"/>
      <c r="M15" s="224"/>
      <c r="N15" s="224"/>
      <c r="O15"/>
      <c r="P15"/>
      <c r="Q15"/>
      <c r="R15"/>
      <c r="S15"/>
      <c r="T15"/>
      <c r="U15"/>
      <c r="V15"/>
      <c r="W15"/>
      <c r="X15"/>
      <c r="Y15"/>
      <c r="Z15" s="344"/>
      <c r="AA15" s="336"/>
      <c r="AB15" s="336"/>
      <c r="AC15" s="336"/>
      <c r="AD15" s="329"/>
      <c r="AE15" s="147"/>
      <c r="AF15" s="147"/>
      <c r="AG15" s="147"/>
      <c r="AH15" s="147"/>
      <c r="AI15" s="147"/>
      <c r="AJ15" s="147"/>
      <c r="AK15" s="147"/>
      <c r="AL15" s="147"/>
      <c r="AM15" s="147"/>
      <c r="AN15" s="147"/>
      <c r="AO15" s="147"/>
      <c r="AP15" s="147"/>
      <c r="AQ15" s="147"/>
      <c r="AR15" s="147"/>
      <c r="AS15" s="147"/>
      <c r="AT15" s="147"/>
      <c r="AU15" s="147"/>
      <c r="AV15" s="147"/>
      <c r="AW15" s="147"/>
      <c r="AX15" s="147"/>
      <c r="AY15" s="147"/>
      <c r="AZ15" s="147"/>
      <c r="BA15" s="147"/>
      <c r="BB15" s="147"/>
      <c r="BC15" s="147"/>
      <c r="BD15" s="147"/>
      <c r="BE15" s="147"/>
      <c r="BF15" s="147"/>
      <c r="BG15" s="147"/>
      <c r="BH15" s="147"/>
      <c r="BI15" s="147"/>
      <c r="BJ15" s="147"/>
      <c r="BK15" s="147"/>
      <c r="BL15" s="147"/>
      <c r="BM15" s="147"/>
      <c r="BN15" s="147"/>
      <c r="BO15" s="147"/>
      <c r="BP15" s="147"/>
      <c r="BQ15" s="147"/>
      <c r="BR15" s="147"/>
      <c r="BS15" s="147"/>
      <c r="BT15" s="147"/>
      <c r="BU15" s="147"/>
      <c r="BV15" s="147"/>
      <c r="BW15" s="147"/>
      <c r="BX15" s="147"/>
      <c r="BY15" s="147"/>
      <c r="BZ15" s="147"/>
      <c r="CA15" s="147"/>
      <c r="CB15" s="147"/>
      <c r="CC15" s="147"/>
      <c r="CD15" s="147"/>
      <c r="CE15" s="147"/>
      <c r="CF15" s="147"/>
      <c r="CG15" s="147"/>
      <c r="CH15" s="147"/>
      <c r="CI15" s="147"/>
      <c r="CJ15" s="147"/>
      <c r="CK15" s="147"/>
      <c r="CL15" s="147"/>
      <c r="CM15" s="147"/>
      <c r="CN15" s="147"/>
      <c r="CO15" s="147"/>
      <c r="CP15" s="147"/>
    </row>
    <row r="16" spans="1:94" s="153" customFormat="1" ht="15.75" customHeight="1" x14ac:dyDescent="0.25">
      <c r="A16" s="139"/>
      <c r="B16" s="139"/>
      <c r="C16" s="453" t="s">
        <v>32</v>
      </c>
      <c r="D16" s="454"/>
      <c r="E16" s="160" t="s">
        <v>33</v>
      </c>
      <c r="F16" s="161">
        <f>F15-F13</f>
        <v>0.19999999999999929</v>
      </c>
      <c r="G16" s="162">
        <f>G15-G13</f>
        <v>35866.923777938355</v>
      </c>
      <c r="H16" s="162">
        <f>H15-H13</f>
        <v>7640.4948876751587</v>
      </c>
      <c r="I16" s="162">
        <f>I15-I13</f>
        <v>7651.9797535864636</v>
      </c>
      <c r="J16" s="162">
        <f>J15-J13</f>
        <v>51159.398419199977</v>
      </c>
      <c r="K16" s="269"/>
      <c r="L16" s="56" t="str">
        <f>IF('TAAB|0338-02'!OrigApprop=0,"ERROR! Enter Original Appropriation amount in DU 3.00!","Calculated "&amp;IF('TAAB|0338-02'!AdjustedTotal&gt;0,"overfunding ","underfunding ")&amp;"is "&amp;TEXT('TAAB|0338-02'!AdjustedTotal/'TAAB|0338-02'!AppropTotal,"#.0%;(#.0% );0% ;")&amp;" of Original Appropriation")</f>
        <v>Calculated overfunding is 2.9% of Original Appropriation</v>
      </c>
      <c r="M16" s="163"/>
      <c r="N16" s="164"/>
      <c r="O16"/>
      <c r="P16"/>
      <c r="Q16"/>
      <c r="R16"/>
      <c r="S16"/>
      <c r="T16"/>
      <c r="U16"/>
      <c r="V16"/>
      <c r="W16"/>
      <c r="X16"/>
      <c r="Y16"/>
      <c r="Z16" s="344"/>
      <c r="AA16" s="336"/>
      <c r="AB16" s="336"/>
      <c r="AC16" s="336"/>
      <c r="AD16" s="329"/>
      <c r="AE16" s="147"/>
      <c r="AF16" s="147"/>
      <c r="AG16" s="147"/>
      <c r="AH16" s="147"/>
      <c r="AI16" s="147"/>
      <c r="AJ16" s="147"/>
      <c r="AK16" s="147"/>
      <c r="AL16" s="147"/>
      <c r="AM16" s="147"/>
      <c r="AN16" s="147"/>
      <c r="AO16" s="147"/>
      <c r="AP16" s="147"/>
      <c r="AQ16" s="147"/>
      <c r="AR16" s="147"/>
      <c r="AS16" s="147"/>
      <c r="AT16" s="147"/>
      <c r="AU16" s="147"/>
      <c r="AV16" s="147"/>
      <c r="AW16" s="147"/>
      <c r="AX16" s="147"/>
      <c r="AY16" s="147"/>
      <c r="AZ16" s="147"/>
      <c r="BA16" s="147"/>
      <c r="BB16" s="147"/>
      <c r="BC16" s="147"/>
      <c r="BD16" s="147"/>
      <c r="BE16" s="147"/>
      <c r="BF16" s="147"/>
      <c r="BG16" s="147"/>
      <c r="BH16" s="147"/>
      <c r="BI16" s="147"/>
      <c r="BJ16" s="147"/>
      <c r="BK16" s="147"/>
      <c r="BL16" s="147"/>
      <c r="BM16" s="147"/>
      <c r="BN16" s="147"/>
      <c r="BO16" s="147"/>
      <c r="BP16" s="147"/>
      <c r="BQ16" s="147"/>
      <c r="BR16" s="147"/>
      <c r="BS16" s="147"/>
      <c r="BT16" s="147"/>
      <c r="BU16" s="147"/>
      <c r="BV16" s="147"/>
      <c r="BW16" s="147"/>
      <c r="BX16" s="147"/>
      <c r="BY16" s="147"/>
      <c r="BZ16" s="147"/>
      <c r="CA16" s="147"/>
      <c r="CB16" s="147"/>
      <c r="CC16" s="147"/>
      <c r="CD16" s="147"/>
      <c r="CE16" s="147"/>
      <c r="CF16" s="147"/>
      <c r="CG16" s="147"/>
      <c r="CH16" s="147"/>
      <c r="CI16" s="147"/>
      <c r="CJ16" s="147"/>
      <c r="CK16" s="147"/>
      <c r="CL16" s="147"/>
      <c r="CM16" s="147"/>
      <c r="CN16" s="147"/>
      <c r="CO16" s="147"/>
      <c r="CP16" s="147"/>
    </row>
    <row r="17" spans="1:94" s="153" customFormat="1" x14ac:dyDescent="0.25">
      <c r="A17" s="139"/>
      <c r="B17" s="139"/>
      <c r="C17" s="455" t="s">
        <v>34</v>
      </c>
      <c r="D17" s="456"/>
      <c r="E17" s="147"/>
      <c r="F17" s="258"/>
      <c r="G17" s="147"/>
      <c r="H17" s="166"/>
      <c r="I17" s="167"/>
      <c r="J17" s="166"/>
      <c r="K17" s="166"/>
      <c r="L17" s="166"/>
      <c r="M17" s="166"/>
      <c r="N17" s="166"/>
      <c r="O17"/>
      <c r="P17"/>
      <c r="Q17"/>
      <c r="R17"/>
      <c r="S17"/>
      <c r="T17"/>
      <c r="U17"/>
      <c r="V17"/>
      <c r="W17"/>
      <c r="X17"/>
      <c r="Y17"/>
      <c r="Z17" s="344"/>
      <c r="AA17" s="336"/>
      <c r="AB17" s="336"/>
      <c r="AC17" s="336"/>
      <c r="AD17" s="329"/>
      <c r="AE17" s="147"/>
      <c r="AF17" s="147"/>
      <c r="AG17" s="147"/>
      <c r="AH17" s="147"/>
      <c r="AI17" s="147"/>
      <c r="AJ17" s="147"/>
      <c r="AK17" s="147"/>
      <c r="AL17" s="147"/>
      <c r="AM17" s="147"/>
      <c r="AN17" s="147"/>
      <c r="AO17" s="147"/>
      <c r="AP17" s="147"/>
      <c r="AQ17" s="147"/>
      <c r="AR17" s="147"/>
      <c r="AS17" s="147"/>
      <c r="AT17" s="147"/>
      <c r="AU17" s="147"/>
      <c r="AV17" s="147"/>
      <c r="AW17" s="147"/>
      <c r="AX17" s="147"/>
      <c r="AY17" s="147"/>
      <c r="AZ17" s="147"/>
      <c r="BA17" s="147"/>
      <c r="BB17" s="147"/>
      <c r="BC17" s="147"/>
      <c r="BD17" s="147"/>
      <c r="BE17" s="147"/>
      <c r="BF17" s="147"/>
      <c r="BG17" s="147"/>
      <c r="BH17" s="147"/>
      <c r="BI17" s="147"/>
      <c r="BJ17" s="147"/>
      <c r="BK17" s="147"/>
      <c r="BL17" s="147"/>
      <c r="BM17" s="147"/>
      <c r="BN17" s="147"/>
      <c r="BO17" s="147"/>
      <c r="BP17" s="147"/>
      <c r="BQ17" s="147"/>
      <c r="BR17" s="147"/>
      <c r="BS17" s="147"/>
      <c r="BT17" s="147"/>
      <c r="BU17" s="147"/>
      <c r="BV17" s="147"/>
      <c r="BW17" s="147"/>
      <c r="BX17" s="147"/>
      <c r="BY17" s="147"/>
      <c r="BZ17" s="147"/>
      <c r="CA17" s="147"/>
      <c r="CB17" s="147"/>
      <c r="CC17" s="147"/>
      <c r="CD17" s="147"/>
      <c r="CE17" s="147"/>
      <c r="CF17" s="147"/>
      <c r="CG17" s="147"/>
      <c r="CH17" s="147"/>
      <c r="CI17" s="147"/>
      <c r="CJ17" s="147"/>
      <c r="CK17" s="147"/>
      <c r="CL17" s="147"/>
      <c r="CM17" s="147"/>
      <c r="CN17" s="147"/>
      <c r="CO17" s="147"/>
      <c r="CP17" s="147"/>
    </row>
    <row r="18" spans="1:94" s="153" customFormat="1" ht="26.25" customHeight="1" x14ac:dyDescent="0.25">
      <c r="A18" s="139"/>
      <c r="B18" s="168"/>
      <c r="C18" s="457" t="s">
        <v>35</v>
      </c>
      <c r="D18" s="458"/>
      <c r="E18" s="150"/>
      <c r="F18" s="165"/>
      <c r="G18" s="166"/>
      <c r="H18" s="169"/>
      <c r="I18" s="166"/>
      <c r="J18" s="166"/>
      <c r="K18" s="166"/>
      <c r="L18" s="166"/>
      <c r="M18" s="166"/>
      <c r="N18" s="166"/>
      <c r="O18"/>
      <c r="P18"/>
      <c r="Q18"/>
      <c r="R18"/>
      <c r="S18"/>
      <c r="T18"/>
      <c r="U18"/>
      <c r="V18"/>
      <c r="W18"/>
      <c r="X18"/>
      <c r="Y18"/>
      <c r="Z18" s="344"/>
      <c r="AA18" s="336"/>
      <c r="AB18" s="336"/>
      <c r="AC18" s="336"/>
      <c r="AD18" s="329"/>
      <c r="AE18" s="147"/>
      <c r="AF18" s="147"/>
      <c r="AG18" s="147"/>
      <c r="AH18" s="147"/>
      <c r="AI18" s="147"/>
      <c r="AJ18" s="147"/>
      <c r="AK18" s="147"/>
      <c r="AL18" s="147"/>
      <c r="AM18" s="147"/>
      <c r="AN18" s="147"/>
      <c r="AO18" s="147"/>
      <c r="AP18" s="147"/>
      <c r="AQ18" s="147"/>
      <c r="AR18" s="147"/>
      <c r="AS18" s="147"/>
      <c r="AT18" s="147"/>
      <c r="AU18" s="147"/>
      <c r="AV18" s="147"/>
      <c r="AW18" s="147"/>
      <c r="AX18" s="147"/>
      <c r="AY18" s="147"/>
      <c r="AZ18" s="147"/>
      <c r="BA18" s="147"/>
      <c r="BB18" s="147"/>
      <c r="BC18" s="147"/>
      <c r="BD18" s="147"/>
      <c r="BE18" s="147"/>
      <c r="BF18" s="147"/>
      <c r="BG18" s="147"/>
      <c r="BH18" s="147"/>
      <c r="BI18" s="147"/>
      <c r="BJ18" s="147"/>
      <c r="BK18" s="147"/>
      <c r="BL18" s="147"/>
      <c r="BM18" s="147"/>
      <c r="BN18" s="147"/>
      <c r="BO18" s="147"/>
      <c r="BP18" s="147"/>
      <c r="BQ18" s="147"/>
      <c r="BR18" s="147"/>
      <c r="BS18" s="147"/>
      <c r="BT18" s="147"/>
      <c r="BU18" s="147"/>
      <c r="BV18" s="147"/>
      <c r="BW18" s="147"/>
      <c r="BX18" s="147"/>
      <c r="BY18" s="147"/>
      <c r="BZ18" s="147"/>
      <c r="CA18" s="147"/>
      <c r="CB18" s="147"/>
      <c r="CC18" s="147"/>
      <c r="CD18" s="147"/>
      <c r="CE18" s="147"/>
      <c r="CF18" s="147"/>
      <c r="CG18" s="147"/>
      <c r="CH18" s="147"/>
      <c r="CI18" s="147"/>
      <c r="CJ18" s="147"/>
      <c r="CK18" s="147"/>
      <c r="CL18" s="147"/>
    </row>
    <row r="19" spans="1:94" s="153" customFormat="1" ht="25.5" x14ac:dyDescent="0.25">
      <c r="A19" s="238"/>
      <c r="B19" s="202"/>
      <c r="C19" s="239" t="s">
        <v>86</v>
      </c>
      <c r="D19" s="240" t="s">
        <v>87</v>
      </c>
      <c r="E19" s="241"/>
      <c r="F19" s="165"/>
      <c r="G19" s="166"/>
      <c r="H19" s="169"/>
      <c r="I19" s="170"/>
      <c r="J19" s="166"/>
      <c r="K19" s="166"/>
      <c r="L19" s="169"/>
      <c r="M19" s="166"/>
      <c r="N19" s="166"/>
      <c r="O19"/>
      <c r="P19"/>
      <c r="Q19"/>
      <c r="R19"/>
      <c r="S19"/>
      <c r="T19"/>
      <c r="U19"/>
      <c r="V19"/>
      <c r="W19"/>
      <c r="X19"/>
      <c r="Y19"/>
      <c r="Z19" s="344"/>
      <c r="AA19" s="363"/>
      <c r="AB19" s="363"/>
      <c r="AC19" s="363"/>
      <c r="AD19" s="329"/>
      <c r="AE19" s="147"/>
      <c r="AF19" s="147"/>
      <c r="AG19" s="147"/>
      <c r="AH19" s="147"/>
      <c r="AI19" s="147"/>
      <c r="AJ19" s="147"/>
      <c r="AK19" s="147"/>
      <c r="AL19" s="147"/>
      <c r="AM19" s="147"/>
      <c r="AN19" s="147"/>
      <c r="AO19" s="147"/>
      <c r="AP19" s="147"/>
      <c r="AQ19" s="147"/>
      <c r="AR19" s="147"/>
      <c r="AS19" s="147"/>
      <c r="AT19" s="147"/>
      <c r="AU19" s="147"/>
      <c r="AV19" s="147"/>
      <c r="AW19" s="147"/>
      <c r="AX19" s="147"/>
      <c r="AY19" s="147"/>
      <c r="AZ19" s="147"/>
      <c r="BA19" s="147"/>
      <c r="BB19" s="147"/>
      <c r="BC19" s="147"/>
      <c r="BD19" s="147"/>
      <c r="BE19" s="147"/>
      <c r="BF19" s="147"/>
      <c r="BG19" s="147"/>
      <c r="BH19" s="147"/>
      <c r="BI19" s="147"/>
      <c r="BJ19" s="147"/>
      <c r="BK19" s="147"/>
      <c r="BL19" s="147"/>
      <c r="BM19" s="147"/>
      <c r="BN19" s="147"/>
      <c r="BO19" s="147"/>
      <c r="BP19" s="147"/>
      <c r="BQ19" s="147"/>
      <c r="BR19" s="147"/>
      <c r="BS19" s="147"/>
      <c r="BT19" s="147"/>
      <c r="BU19" s="147"/>
      <c r="BV19" s="147"/>
      <c r="BW19" s="147"/>
      <c r="BX19" s="147"/>
      <c r="BY19" s="147"/>
      <c r="BZ19" s="147"/>
      <c r="CA19" s="147"/>
      <c r="CB19" s="147"/>
      <c r="CC19" s="147"/>
      <c r="CD19" s="147"/>
      <c r="CE19" s="147"/>
      <c r="CF19" s="147"/>
      <c r="CG19" s="147"/>
      <c r="CH19" s="147"/>
      <c r="CI19" s="147"/>
      <c r="CJ19" s="147"/>
      <c r="CK19" s="147"/>
      <c r="CL19" s="147"/>
      <c r="CM19" s="147"/>
      <c r="CN19" s="147"/>
      <c r="CO19" s="147"/>
      <c r="CP19" s="147"/>
    </row>
    <row r="20" spans="1:94" s="177" customFormat="1" ht="15" x14ac:dyDescent="0.25">
      <c r="A20" s="171"/>
      <c r="B20" s="172"/>
      <c r="C20" s="244"/>
      <c r="D20" s="242"/>
      <c r="E20" s="173"/>
      <c r="F20" s="174">
        <v>0</v>
      </c>
      <c r="G20" s="175">
        <v>0</v>
      </c>
      <c r="H20" s="176">
        <f t="shared" ref="H20:H30" si="0">IF(AND($F20&lt;&gt;0,$G20&lt;&gt;0,OR($E20=1,$E20=3)),$F20*Health,0)</f>
        <v>0</v>
      </c>
      <c r="I20" s="176">
        <f t="shared" ref="I20:I30" si="1">IF(AND($E20=1,$C20=""),$G20*PermVB+$G20*Retire1,IF($E20=1,$G20*PermVB+$G20*VLOOKUP($C20,Retirement_Rates,3,FALSE),IF($E20=2,$G20*GroupVB,IF(AND($E20=3,$C20=""),$G20*ElectVB+$G20*Retire1,IF($E20=3,$G20*ElectVB+$G20*VLOOKUP($C20,Retirement_Rates,3,FALSE),0)))))</f>
        <v>0</v>
      </c>
      <c r="J20" s="159">
        <f>IF($E20&gt;0,SUM($G20:$I20),0)</f>
        <v>0</v>
      </c>
      <c r="K20" s="166"/>
      <c r="L20" s="176">
        <f t="shared" ref="L20:L30" si="2">IF(AND($F20&lt;&gt;0,$G20&lt;&gt;0,OR($E20=1,$E20=3)),$F20*HealthCHG,0)</f>
        <v>0</v>
      </c>
      <c r="M20" s="176">
        <f>IF(AND($E20=1,$C20=""),$G20*PermVBCHG+$G20*Retire1CHG,IF($E20=1,$G20*PermVBCHG+$G20*VLOOKUP($C20,Retirement_Rates,5,FALSE),IF($E20=2,0,IF(AND($E20=3,$C20=""),$G20*ElectVBCHG+$G20*Retire1CHG,IF($E20=3,$G20*ElectVBCHG+$G20*VLOOKUP($C20,Retirement_Rates,5,FALSE),0)))))</f>
        <v>0</v>
      </c>
      <c r="N20" s="176">
        <f>SUM(L20:M20)</f>
        <v>0</v>
      </c>
      <c r="O20"/>
      <c r="P20"/>
      <c r="Q20"/>
      <c r="R20"/>
      <c r="S20"/>
      <c r="T20"/>
      <c r="U20"/>
      <c r="V20"/>
      <c r="W20"/>
      <c r="X20"/>
      <c r="Y20"/>
      <c r="Z20" s="344"/>
      <c r="AA20" s="363"/>
      <c r="AB20" s="363"/>
      <c r="AC20" s="363"/>
      <c r="AD20" s="329"/>
      <c r="AE20" s="147"/>
      <c r="AF20" s="147"/>
      <c r="AG20" s="147"/>
      <c r="AH20" s="147"/>
      <c r="AI20" s="147"/>
      <c r="AJ20" s="147"/>
      <c r="AK20" s="147"/>
      <c r="AL20" s="147"/>
      <c r="AM20" s="147"/>
      <c r="AN20" s="147"/>
      <c r="AO20" s="147"/>
      <c r="AP20" s="147"/>
      <c r="AQ20" s="147"/>
      <c r="AR20" s="147"/>
      <c r="AS20" s="147"/>
      <c r="AT20" s="147"/>
      <c r="AU20" s="147"/>
      <c r="AV20" s="147"/>
      <c r="AW20" s="147"/>
      <c r="AX20" s="147"/>
      <c r="AY20" s="147"/>
      <c r="AZ20" s="147"/>
      <c r="BA20" s="147"/>
      <c r="BB20" s="147"/>
      <c r="BC20" s="147"/>
      <c r="BD20" s="147"/>
      <c r="BE20" s="147"/>
      <c r="BF20" s="147"/>
      <c r="BG20" s="147"/>
      <c r="BH20" s="147"/>
      <c r="BI20" s="147"/>
      <c r="BJ20" s="147"/>
      <c r="BK20" s="147"/>
      <c r="BL20" s="147"/>
      <c r="BM20" s="147"/>
      <c r="BN20" s="147"/>
      <c r="BO20" s="147"/>
      <c r="BP20" s="147"/>
      <c r="BQ20" s="147"/>
      <c r="BR20" s="147"/>
      <c r="BS20" s="147"/>
      <c r="BT20" s="147"/>
      <c r="BU20" s="147"/>
      <c r="BV20" s="147"/>
      <c r="BW20" s="147"/>
      <c r="BX20" s="147"/>
      <c r="BY20" s="147"/>
      <c r="BZ20" s="147"/>
      <c r="CA20" s="147"/>
      <c r="CB20" s="147"/>
      <c r="CC20" s="147"/>
      <c r="CD20" s="147"/>
      <c r="CE20" s="147"/>
      <c r="CF20" s="147"/>
      <c r="CG20" s="147"/>
      <c r="CH20" s="147"/>
      <c r="CI20" s="147"/>
      <c r="CJ20" s="147"/>
      <c r="CK20" s="147"/>
      <c r="CL20" s="147"/>
      <c r="CM20" s="147"/>
      <c r="CN20" s="147"/>
      <c r="CO20" s="147"/>
      <c r="CP20" s="147"/>
    </row>
    <row r="21" spans="1:94" s="177" customFormat="1" ht="15" x14ac:dyDescent="0.25">
      <c r="A21" s="178"/>
      <c r="B21" s="179"/>
      <c r="C21" s="244"/>
      <c r="D21" s="242"/>
      <c r="E21" s="180"/>
      <c r="F21" s="181">
        <v>0</v>
      </c>
      <c r="G21" s="175">
        <v>0</v>
      </c>
      <c r="H21" s="176">
        <f t="shared" si="0"/>
        <v>0</v>
      </c>
      <c r="I21" s="176">
        <f t="shared" si="1"/>
        <v>0</v>
      </c>
      <c r="J21" s="159">
        <f t="shared" ref="J21:J35" si="3">IF($E21&gt;0,SUM($G21:$I21),0)</f>
        <v>0</v>
      </c>
      <c r="K21" s="166"/>
      <c r="L21" s="176">
        <f t="shared" si="2"/>
        <v>0</v>
      </c>
      <c r="M21" s="176">
        <f t="shared" ref="M21:M30" si="4">IF(AND($E21=1,$C21=""),$G21*PermVBCHG+$G21*Retire1CHG,IF($E21=1,$G21*PermVBCHG+$G21*VLOOKUP($C21,Retirement_Rates,5,FALSE),IF($E21=2,0,IF(AND($E21=3,$C21=""),$G21*ElectVBCHG+$G21*Retire1CHG,IF($E21=3,$G21*ElectVBCHG+$G21*VLOOKUP($C21,Retirement_Rates,5,FALSE),0)))))</f>
        <v>0</v>
      </c>
      <c r="N21" s="183">
        <f t="shared" ref="N21:N30" si="5">SUM(L21:M21)</f>
        <v>0</v>
      </c>
      <c r="O21"/>
      <c r="P21"/>
      <c r="Q21"/>
      <c r="R21"/>
      <c r="S21"/>
      <c r="T21"/>
      <c r="U21"/>
      <c r="V21"/>
      <c r="W21"/>
      <c r="X21"/>
      <c r="Y21"/>
      <c r="Z21" s="344"/>
      <c r="AA21" s="363"/>
      <c r="AB21" s="363"/>
      <c r="AC21" s="363"/>
      <c r="AD21" s="329"/>
      <c r="AE21" s="147"/>
      <c r="AF21" s="147"/>
      <c r="AG21" s="147"/>
      <c r="AH21" s="147"/>
      <c r="AI21" s="147"/>
      <c r="AJ21" s="147"/>
      <c r="AK21" s="147"/>
      <c r="AL21" s="147"/>
      <c r="AM21" s="147"/>
      <c r="AN21" s="147"/>
      <c r="AO21" s="147"/>
      <c r="AP21" s="147"/>
      <c r="AQ21" s="147"/>
      <c r="AR21" s="147"/>
      <c r="AS21" s="147"/>
      <c r="AT21" s="147"/>
      <c r="AU21" s="147"/>
      <c r="AV21" s="147"/>
      <c r="AW21" s="147"/>
      <c r="AX21" s="147"/>
      <c r="AY21" s="147"/>
      <c r="AZ21" s="147"/>
      <c r="BA21" s="147"/>
      <c r="BB21" s="147"/>
      <c r="BC21" s="147"/>
      <c r="BD21" s="147"/>
      <c r="BE21" s="147"/>
      <c r="BF21" s="147"/>
      <c r="BG21" s="147"/>
      <c r="BH21" s="147"/>
      <c r="BI21" s="147"/>
      <c r="BJ21" s="147"/>
      <c r="BK21" s="147"/>
      <c r="BL21" s="147"/>
      <c r="BM21" s="147"/>
      <c r="BN21" s="147"/>
      <c r="BO21" s="147"/>
      <c r="BP21" s="147"/>
      <c r="BQ21" s="147"/>
      <c r="BR21" s="147"/>
      <c r="BS21" s="147"/>
      <c r="BT21" s="147"/>
      <c r="BU21" s="147"/>
      <c r="BV21" s="147"/>
      <c r="BW21" s="147"/>
      <c r="BX21" s="147"/>
      <c r="BY21" s="147"/>
      <c r="BZ21" s="147"/>
      <c r="CA21" s="147"/>
      <c r="CB21" s="147"/>
      <c r="CC21" s="147"/>
      <c r="CD21" s="147"/>
      <c r="CE21" s="147"/>
      <c r="CF21" s="147"/>
      <c r="CG21" s="147"/>
      <c r="CH21" s="147"/>
      <c r="CI21" s="147"/>
      <c r="CJ21" s="147"/>
      <c r="CK21" s="147"/>
      <c r="CL21" s="147"/>
      <c r="CM21" s="147"/>
      <c r="CN21" s="147"/>
      <c r="CO21" s="147"/>
      <c r="CP21" s="147"/>
    </row>
    <row r="22" spans="1:94" s="177" customFormat="1" ht="15" x14ac:dyDescent="0.25">
      <c r="A22" s="178"/>
      <c r="B22" s="179"/>
      <c r="C22" s="244"/>
      <c r="D22" s="242"/>
      <c r="E22" s="180"/>
      <c r="F22" s="181">
        <v>0</v>
      </c>
      <c r="G22" s="175">
        <v>0</v>
      </c>
      <c r="H22" s="176">
        <f t="shared" si="0"/>
        <v>0</v>
      </c>
      <c r="I22" s="176">
        <f t="shared" si="1"/>
        <v>0</v>
      </c>
      <c r="J22" s="159">
        <f t="shared" si="3"/>
        <v>0</v>
      </c>
      <c r="K22" s="166"/>
      <c r="L22" s="176">
        <f t="shared" si="2"/>
        <v>0</v>
      </c>
      <c r="M22" s="176">
        <f t="shared" si="4"/>
        <v>0</v>
      </c>
      <c r="N22" s="183">
        <f t="shared" si="5"/>
        <v>0</v>
      </c>
      <c r="O22"/>
      <c r="P22"/>
      <c r="Q22"/>
      <c r="R22"/>
      <c r="S22"/>
      <c r="T22"/>
      <c r="U22"/>
      <c r="V22"/>
      <c r="W22"/>
      <c r="X22"/>
      <c r="Y22"/>
      <c r="Z22" s="344"/>
      <c r="AA22" s="363"/>
      <c r="AB22" s="363"/>
      <c r="AC22" s="363"/>
      <c r="AD22" s="329"/>
      <c r="AE22" s="147"/>
      <c r="AF22" s="147"/>
      <c r="AG22" s="147"/>
      <c r="AH22" s="147"/>
      <c r="AI22" s="147"/>
      <c r="AJ22" s="147"/>
      <c r="AK22" s="147"/>
      <c r="AL22" s="147"/>
      <c r="AM22" s="147"/>
      <c r="AN22" s="147"/>
      <c r="AO22" s="147"/>
      <c r="AP22" s="147"/>
      <c r="AQ22" s="147"/>
      <c r="AR22" s="147"/>
      <c r="AS22" s="147"/>
      <c r="AT22" s="147"/>
      <c r="AU22" s="147"/>
      <c r="AV22" s="147"/>
      <c r="AW22" s="147"/>
      <c r="AX22" s="147"/>
      <c r="AY22" s="147"/>
      <c r="AZ22" s="147"/>
      <c r="BA22" s="147"/>
      <c r="BB22" s="147"/>
      <c r="BC22" s="147"/>
      <c r="BD22" s="147"/>
      <c r="BE22" s="147"/>
      <c r="BF22" s="147"/>
      <c r="BG22" s="147"/>
      <c r="BH22" s="147"/>
      <c r="BI22" s="147"/>
      <c r="BJ22" s="147"/>
      <c r="BK22" s="147"/>
      <c r="BL22" s="147"/>
      <c r="BM22" s="147"/>
      <c r="BN22" s="147"/>
      <c r="BO22" s="147"/>
      <c r="BP22" s="147"/>
      <c r="BQ22" s="147"/>
      <c r="BR22" s="147"/>
      <c r="BS22" s="147"/>
      <c r="BT22" s="147"/>
      <c r="BU22" s="147"/>
      <c r="BV22" s="147"/>
      <c r="BW22" s="147"/>
      <c r="BX22" s="147"/>
      <c r="BY22" s="147"/>
      <c r="BZ22" s="147"/>
      <c r="CA22" s="147"/>
      <c r="CB22" s="147"/>
      <c r="CC22" s="147"/>
      <c r="CD22" s="147"/>
      <c r="CE22" s="147"/>
      <c r="CF22" s="147"/>
      <c r="CG22" s="147"/>
      <c r="CH22" s="147"/>
      <c r="CI22" s="147"/>
      <c r="CJ22" s="147"/>
      <c r="CK22" s="147"/>
      <c r="CL22" s="147"/>
      <c r="CM22" s="147"/>
      <c r="CN22" s="147"/>
      <c r="CO22" s="147"/>
      <c r="CP22" s="147"/>
    </row>
    <row r="23" spans="1:94" s="177" customFormat="1" ht="15" x14ac:dyDescent="0.25">
      <c r="A23" s="178"/>
      <c r="B23" s="179"/>
      <c r="C23" s="244"/>
      <c r="D23" s="242"/>
      <c r="E23" s="180"/>
      <c r="F23" s="181">
        <v>0</v>
      </c>
      <c r="G23" s="175">
        <v>0</v>
      </c>
      <c r="H23" s="176">
        <f t="shared" si="0"/>
        <v>0</v>
      </c>
      <c r="I23" s="176">
        <f t="shared" si="1"/>
        <v>0</v>
      </c>
      <c r="J23" s="159">
        <f t="shared" si="3"/>
        <v>0</v>
      </c>
      <c r="K23" s="166"/>
      <c r="L23" s="176">
        <f t="shared" si="2"/>
        <v>0</v>
      </c>
      <c r="M23" s="176">
        <f t="shared" si="4"/>
        <v>0</v>
      </c>
      <c r="N23" s="183">
        <f t="shared" si="5"/>
        <v>0</v>
      </c>
      <c r="O23"/>
      <c r="P23"/>
      <c r="Q23"/>
      <c r="R23"/>
      <c r="S23"/>
      <c r="T23"/>
      <c r="U23"/>
      <c r="V23"/>
      <c r="W23"/>
      <c r="X23"/>
      <c r="Y23"/>
      <c r="Z23" s="344"/>
      <c r="AA23" s="363"/>
      <c r="AB23" s="363"/>
      <c r="AC23" s="363"/>
      <c r="AD23" s="329"/>
      <c r="AE23" s="147"/>
      <c r="AF23" s="147"/>
      <c r="AG23" s="147"/>
      <c r="AH23" s="147"/>
      <c r="AI23" s="147"/>
      <c r="AJ23" s="147"/>
      <c r="AK23" s="147"/>
      <c r="AL23" s="147"/>
      <c r="AM23" s="147"/>
      <c r="AN23" s="147"/>
      <c r="AO23" s="147"/>
      <c r="AP23" s="147"/>
      <c r="AQ23" s="147"/>
      <c r="AR23" s="147"/>
      <c r="AS23" s="147"/>
      <c r="AT23" s="147"/>
      <c r="AU23" s="147"/>
      <c r="AV23" s="147"/>
      <c r="AW23" s="147"/>
      <c r="AX23" s="147"/>
      <c r="AY23" s="147"/>
      <c r="AZ23" s="147"/>
      <c r="BA23" s="147"/>
      <c r="BB23" s="147"/>
      <c r="BC23" s="147"/>
      <c r="BD23" s="147"/>
      <c r="BE23" s="147"/>
      <c r="BF23" s="147"/>
      <c r="BG23" s="147"/>
      <c r="BH23" s="147"/>
      <c r="BI23" s="147"/>
      <c r="BJ23" s="147"/>
      <c r="BK23" s="147"/>
      <c r="BL23" s="147"/>
      <c r="BM23" s="147"/>
      <c r="BN23" s="147"/>
      <c r="BO23" s="147"/>
      <c r="BP23" s="147"/>
      <c r="BQ23" s="147"/>
      <c r="BR23" s="147"/>
      <c r="BS23" s="147"/>
      <c r="BT23" s="147"/>
      <c r="BU23" s="147"/>
      <c r="BV23" s="147"/>
      <c r="BW23" s="147"/>
      <c r="BX23" s="147"/>
      <c r="BY23" s="147"/>
      <c r="BZ23" s="147"/>
      <c r="CA23" s="147"/>
      <c r="CB23" s="147"/>
      <c r="CC23" s="147"/>
      <c r="CD23" s="147"/>
      <c r="CE23" s="147"/>
      <c r="CF23" s="147"/>
      <c r="CG23" s="147"/>
      <c r="CH23" s="147"/>
      <c r="CI23" s="147"/>
      <c r="CJ23" s="147"/>
      <c r="CK23" s="147"/>
      <c r="CL23" s="147"/>
      <c r="CM23" s="147"/>
      <c r="CN23" s="147"/>
      <c r="CO23" s="147"/>
      <c r="CP23" s="147"/>
    </row>
    <row r="24" spans="1:94" s="177" customFormat="1" ht="15" x14ac:dyDescent="0.25">
      <c r="A24" s="178"/>
      <c r="B24" s="179"/>
      <c r="C24" s="244"/>
      <c r="D24" s="242"/>
      <c r="E24" s="180"/>
      <c r="F24" s="181">
        <v>0</v>
      </c>
      <c r="G24" s="175">
        <v>0</v>
      </c>
      <c r="H24" s="176">
        <f t="shared" si="0"/>
        <v>0</v>
      </c>
      <c r="I24" s="176">
        <f t="shared" si="1"/>
        <v>0</v>
      </c>
      <c r="J24" s="159">
        <f t="shared" si="3"/>
        <v>0</v>
      </c>
      <c r="K24" s="166"/>
      <c r="L24" s="176">
        <f t="shared" si="2"/>
        <v>0</v>
      </c>
      <c r="M24" s="176">
        <f t="shared" si="4"/>
        <v>0</v>
      </c>
      <c r="N24" s="183">
        <f t="shared" si="5"/>
        <v>0</v>
      </c>
      <c r="O24"/>
      <c r="P24"/>
      <c r="Q24"/>
      <c r="R24"/>
      <c r="S24"/>
      <c r="T24"/>
      <c r="U24"/>
      <c r="V24"/>
      <c r="W24"/>
      <c r="X24"/>
      <c r="Y24"/>
      <c r="Z24" s="344"/>
      <c r="AA24" s="345"/>
      <c r="AB24" s="363"/>
      <c r="AC24" s="363"/>
      <c r="AD24" s="329"/>
      <c r="AE24" s="147"/>
      <c r="AF24" s="147"/>
      <c r="AG24" s="147"/>
      <c r="AH24" s="147"/>
      <c r="AI24" s="147"/>
      <c r="AJ24" s="147"/>
      <c r="AK24" s="147"/>
      <c r="AL24" s="147"/>
      <c r="AM24" s="147"/>
      <c r="AN24" s="147"/>
      <c r="AO24" s="147"/>
      <c r="AP24" s="147"/>
      <c r="AQ24" s="147"/>
      <c r="AR24" s="147"/>
      <c r="AS24" s="147"/>
      <c r="AT24" s="147"/>
      <c r="AU24" s="147"/>
      <c r="AV24" s="147"/>
      <c r="AW24" s="147"/>
      <c r="AX24" s="147"/>
      <c r="AY24" s="147"/>
      <c r="AZ24" s="147"/>
      <c r="BA24" s="147"/>
      <c r="BB24" s="147"/>
      <c r="BC24" s="147"/>
      <c r="BD24" s="147"/>
      <c r="BE24" s="147"/>
      <c r="BF24" s="147"/>
      <c r="BG24" s="147"/>
      <c r="BH24" s="147"/>
      <c r="BI24" s="147"/>
      <c r="BJ24" s="147"/>
      <c r="BK24" s="147"/>
      <c r="BL24" s="147"/>
      <c r="BM24" s="147"/>
      <c r="BN24" s="147"/>
      <c r="BO24" s="147"/>
      <c r="BP24" s="147"/>
      <c r="BQ24" s="147"/>
      <c r="BR24" s="147"/>
      <c r="BS24" s="147"/>
      <c r="BT24" s="147"/>
      <c r="BU24" s="147"/>
      <c r="BV24" s="147"/>
      <c r="BW24" s="147"/>
      <c r="BX24" s="147"/>
      <c r="BY24" s="147"/>
      <c r="BZ24" s="147"/>
      <c r="CA24" s="147"/>
      <c r="CB24" s="147"/>
      <c r="CC24" s="147"/>
      <c r="CD24" s="147"/>
      <c r="CE24" s="147"/>
      <c r="CF24" s="147"/>
      <c r="CG24" s="147"/>
      <c r="CH24" s="147"/>
      <c r="CI24" s="147"/>
      <c r="CJ24" s="147"/>
      <c r="CK24" s="147"/>
      <c r="CL24" s="147"/>
      <c r="CM24" s="147"/>
      <c r="CN24" s="147"/>
      <c r="CO24" s="147"/>
      <c r="CP24" s="147"/>
    </row>
    <row r="25" spans="1:94" s="177" customFormat="1" ht="15" x14ac:dyDescent="0.25">
      <c r="A25" s="178"/>
      <c r="B25" s="179"/>
      <c r="C25" s="244"/>
      <c r="D25" s="242"/>
      <c r="E25" s="180"/>
      <c r="F25" s="181">
        <v>0</v>
      </c>
      <c r="G25" s="182">
        <v>0</v>
      </c>
      <c r="H25" s="176">
        <f t="shared" si="0"/>
        <v>0</v>
      </c>
      <c r="I25" s="176">
        <f t="shared" si="1"/>
        <v>0</v>
      </c>
      <c r="J25" s="159">
        <f t="shared" si="3"/>
        <v>0</v>
      </c>
      <c r="K25" s="166"/>
      <c r="L25" s="176">
        <f t="shared" si="2"/>
        <v>0</v>
      </c>
      <c r="M25" s="176">
        <f t="shared" si="4"/>
        <v>0</v>
      </c>
      <c r="N25" s="183">
        <f t="shared" si="5"/>
        <v>0</v>
      </c>
      <c r="O25"/>
      <c r="P25"/>
      <c r="Q25"/>
      <c r="R25"/>
      <c r="S25"/>
      <c r="T25"/>
      <c r="U25"/>
      <c r="V25"/>
      <c r="W25"/>
      <c r="X25"/>
      <c r="Y25"/>
      <c r="Z25" s="344"/>
      <c r="AA25" s="345"/>
      <c r="AB25" s="363"/>
      <c r="AC25" s="363"/>
      <c r="AD25" s="329"/>
      <c r="AE25" s="147"/>
      <c r="AF25" s="147"/>
      <c r="AG25" s="147"/>
      <c r="AH25" s="147"/>
      <c r="AI25" s="147"/>
      <c r="AJ25" s="147"/>
      <c r="AK25" s="147"/>
      <c r="AL25" s="147"/>
      <c r="AM25" s="147"/>
      <c r="AN25" s="147"/>
      <c r="AO25" s="147"/>
      <c r="AP25" s="147"/>
      <c r="AQ25" s="147"/>
      <c r="AR25" s="147"/>
      <c r="AS25" s="147"/>
      <c r="AT25" s="147"/>
      <c r="AU25" s="147"/>
      <c r="AV25" s="147"/>
      <c r="AW25" s="147"/>
      <c r="AX25" s="147"/>
      <c r="AY25" s="147"/>
      <c r="AZ25" s="147"/>
      <c r="BA25" s="147"/>
      <c r="BB25" s="147"/>
      <c r="BC25" s="147"/>
      <c r="BD25" s="147"/>
      <c r="BE25" s="147"/>
      <c r="BF25" s="147"/>
      <c r="BG25" s="147"/>
      <c r="BH25" s="147"/>
      <c r="BI25" s="147"/>
      <c r="BJ25" s="147"/>
      <c r="BK25" s="147"/>
      <c r="BL25" s="147"/>
      <c r="BM25" s="147"/>
      <c r="BN25" s="147"/>
      <c r="BO25" s="147"/>
      <c r="BP25" s="147"/>
      <c r="BQ25" s="147"/>
      <c r="BR25" s="147"/>
      <c r="BS25" s="147"/>
      <c r="BT25" s="147"/>
      <c r="BU25" s="147"/>
      <c r="BV25" s="147"/>
      <c r="BW25" s="147"/>
      <c r="BX25" s="147"/>
      <c r="BY25" s="147"/>
      <c r="BZ25" s="147"/>
      <c r="CA25" s="147"/>
      <c r="CB25" s="147"/>
      <c r="CC25" s="147"/>
      <c r="CD25" s="147"/>
      <c r="CE25" s="147"/>
      <c r="CF25" s="147"/>
      <c r="CG25" s="147"/>
      <c r="CH25" s="147"/>
      <c r="CI25" s="147"/>
      <c r="CJ25" s="147"/>
      <c r="CK25" s="147"/>
      <c r="CL25" s="147"/>
      <c r="CM25" s="147"/>
      <c r="CN25" s="147"/>
      <c r="CO25" s="147"/>
      <c r="CP25" s="147"/>
    </row>
    <row r="26" spans="1:94" s="177" customFormat="1" ht="15" x14ac:dyDescent="0.25">
      <c r="A26" s="178"/>
      <c r="B26" s="179"/>
      <c r="C26" s="244"/>
      <c r="D26" s="242"/>
      <c r="E26" s="180"/>
      <c r="F26" s="181">
        <v>0</v>
      </c>
      <c r="G26" s="182">
        <v>0</v>
      </c>
      <c r="H26" s="176">
        <f t="shared" si="0"/>
        <v>0</v>
      </c>
      <c r="I26" s="176">
        <f t="shared" si="1"/>
        <v>0</v>
      </c>
      <c r="J26" s="159">
        <f t="shared" si="3"/>
        <v>0</v>
      </c>
      <c r="K26" s="166"/>
      <c r="L26" s="176">
        <f t="shared" si="2"/>
        <v>0</v>
      </c>
      <c r="M26" s="176">
        <f t="shared" si="4"/>
        <v>0</v>
      </c>
      <c r="N26" s="183">
        <f t="shared" si="5"/>
        <v>0</v>
      </c>
      <c r="O26"/>
      <c r="P26"/>
      <c r="Q26"/>
      <c r="R26"/>
      <c r="S26"/>
      <c r="T26"/>
      <c r="U26"/>
      <c r="V26"/>
      <c r="W26"/>
      <c r="X26"/>
      <c r="Y26"/>
      <c r="Z26" s="344"/>
      <c r="AA26" s="345"/>
      <c r="AB26" s="363"/>
      <c r="AC26" s="363"/>
      <c r="AD26" s="329"/>
      <c r="AE26" s="147"/>
      <c r="AF26" s="147"/>
      <c r="AG26" s="147"/>
      <c r="AH26" s="147"/>
      <c r="AI26" s="147"/>
      <c r="AJ26" s="147"/>
      <c r="AK26" s="147"/>
      <c r="AL26" s="147"/>
      <c r="AM26" s="147"/>
      <c r="AN26" s="147"/>
      <c r="AO26" s="147"/>
      <c r="AP26" s="147"/>
      <c r="AQ26" s="147"/>
      <c r="AR26" s="147"/>
      <c r="AS26" s="147"/>
      <c r="AT26" s="147"/>
      <c r="AU26" s="147"/>
      <c r="AV26" s="147"/>
      <c r="AW26" s="147"/>
      <c r="AX26" s="147"/>
      <c r="AY26" s="147"/>
      <c r="AZ26" s="147"/>
      <c r="BA26" s="147"/>
      <c r="BB26" s="147"/>
      <c r="BC26" s="147"/>
      <c r="BD26" s="147"/>
      <c r="BE26" s="147"/>
      <c r="BF26" s="147"/>
      <c r="BG26" s="147"/>
      <c r="BH26" s="147"/>
      <c r="BI26" s="147"/>
      <c r="BJ26" s="147"/>
      <c r="BK26" s="147"/>
      <c r="BL26" s="147"/>
      <c r="BM26" s="147"/>
      <c r="BN26" s="147"/>
      <c r="BO26" s="147"/>
      <c r="BP26" s="147"/>
      <c r="BQ26" s="147"/>
      <c r="BR26" s="147"/>
      <c r="BS26" s="147"/>
      <c r="BT26" s="147"/>
      <c r="BU26" s="147"/>
      <c r="BV26" s="147"/>
      <c r="BW26" s="147"/>
      <c r="BX26" s="147"/>
      <c r="BY26" s="147"/>
      <c r="BZ26" s="147"/>
      <c r="CA26" s="147"/>
      <c r="CB26" s="147"/>
      <c r="CC26" s="147"/>
      <c r="CD26" s="147"/>
      <c r="CE26" s="147"/>
      <c r="CF26" s="147"/>
      <c r="CG26" s="147"/>
      <c r="CH26" s="147"/>
      <c r="CI26" s="147"/>
      <c r="CJ26" s="147"/>
      <c r="CK26" s="147"/>
      <c r="CL26" s="147"/>
      <c r="CM26" s="147"/>
      <c r="CN26" s="147"/>
      <c r="CO26" s="147"/>
      <c r="CP26" s="147"/>
    </row>
    <row r="27" spans="1:94" s="177" customFormat="1" ht="15" x14ac:dyDescent="0.25">
      <c r="A27" s="178"/>
      <c r="B27" s="179"/>
      <c r="C27" s="244"/>
      <c r="D27" s="242"/>
      <c r="E27" s="180"/>
      <c r="F27" s="181">
        <v>0</v>
      </c>
      <c r="G27" s="182">
        <v>0</v>
      </c>
      <c r="H27" s="176">
        <f t="shared" si="0"/>
        <v>0</v>
      </c>
      <c r="I27" s="176">
        <f t="shared" si="1"/>
        <v>0</v>
      </c>
      <c r="J27" s="159">
        <f t="shared" si="3"/>
        <v>0</v>
      </c>
      <c r="K27" s="166"/>
      <c r="L27" s="176">
        <f t="shared" si="2"/>
        <v>0</v>
      </c>
      <c r="M27" s="176">
        <f t="shared" si="4"/>
        <v>0</v>
      </c>
      <c r="N27" s="183">
        <f t="shared" si="5"/>
        <v>0</v>
      </c>
      <c r="O27"/>
      <c r="P27"/>
      <c r="Q27"/>
      <c r="R27"/>
      <c r="S27"/>
      <c r="T27"/>
      <c r="U27"/>
      <c r="V27"/>
      <c r="W27"/>
      <c r="X27"/>
      <c r="Y27"/>
      <c r="Z27" s="344"/>
      <c r="AA27" s="363"/>
      <c r="AB27" s="363"/>
      <c r="AC27" s="363"/>
      <c r="AD27" s="329"/>
      <c r="AE27" s="147"/>
      <c r="AF27" s="147"/>
      <c r="AG27" s="147"/>
      <c r="AH27" s="147"/>
      <c r="AI27" s="147"/>
      <c r="AJ27" s="147"/>
      <c r="AK27" s="147"/>
      <c r="AL27" s="147"/>
      <c r="AM27" s="147"/>
      <c r="AN27" s="147"/>
      <c r="AO27" s="147"/>
      <c r="AP27" s="147"/>
      <c r="AQ27" s="147"/>
      <c r="AR27" s="147"/>
      <c r="AS27" s="147"/>
      <c r="AT27" s="147"/>
      <c r="AU27" s="147"/>
      <c r="AV27" s="147"/>
      <c r="AW27" s="147"/>
      <c r="AX27" s="147"/>
      <c r="AY27" s="147"/>
      <c r="AZ27" s="147"/>
      <c r="BA27" s="147"/>
      <c r="BB27" s="147"/>
      <c r="BC27" s="147"/>
      <c r="BD27" s="147"/>
      <c r="BE27" s="147"/>
      <c r="BF27" s="147"/>
      <c r="BG27" s="147"/>
      <c r="BH27" s="147"/>
      <c r="BI27" s="147"/>
      <c r="BJ27" s="147"/>
      <c r="BK27" s="147"/>
      <c r="BL27" s="147"/>
      <c r="BM27" s="147"/>
      <c r="BN27" s="147"/>
      <c r="BO27" s="147"/>
      <c r="BP27" s="147"/>
      <c r="BQ27" s="147"/>
      <c r="BR27" s="147"/>
      <c r="BS27" s="147"/>
      <c r="BT27" s="147"/>
      <c r="BU27" s="147"/>
      <c r="BV27" s="147"/>
      <c r="BW27" s="147"/>
      <c r="BX27" s="147"/>
      <c r="BY27" s="147"/>
      <c r="BZ27" s="147"/>
      <c r="CA27" s="147"/>
      <c r="CB27" s="147"/>
      <c r="CC27" s="147"/>
      <c r="CD27" s="147"/>
      <c r="CE27" s="147"/>
      <c r="CF27" s="147"/>
      <c r="CG27" s="147"/>
      <c r="CH27" s="147"/>
      <c r="CI27" s="147"/>
      <c r="CJ27" s="147"/>
      <c r="CK27" s="147"/>
      <c r="CL27" s="147"/>
      <c r="CM27" s="147"/>
      <c r="CN27" s="147"/>
      <c r="CO27" s="147"/>
      <c r="CP27" s="147"/>
    </row>
    <row r="28" spans="1:94" s="177" customFormat="1" ht="15" x14ac:dyDescent="0.25">
      <c r="A28" s="178"/>
      <c r="B28" s="179"/>
      <c r="C28" s="244"/>
      <c r="D28" s="242"/>
      <c r="E28" s="180"/>
      <c r="F28" s="181">
        <v>0</v>
      </c>
      <c r="G28" s="182">
        <v>0</v>
      </c>
      <c r="H28" s="176">
        <f t="shared" si="0"/>
        <v>0</v>
      </c>
      <c r="I28" s="176">
        <f t="shared" si="1"/>
        <v>0</v>
      </c>
      <c r="J28" s="159">
        <f t="shared" si="3"/>
        <v>0</v>
      </c>
      <c r="K28" s="166"/>
      <c r="L28" s="176">
        <f t="shared" si="2"/>
        <v>0</v>
      </c>
      <c r="M28" s="176">
        <f t="shared" si="4"/>
        <v>0</v>
      </c>
      <c r="N28" s="183">
        <f t="shared" si="5"/>
        <v>0</v>
      </c>
      <c r="O28"/>
      <c r="P28"/>
      <c r="Q28"/>
      <c r="R28"/>
      <c r="S28"/>
      <c r="T28"/>
      <c r="U28"/>
      <c r="V28"/>
      <c r="W28"/>
      <c r="X28"/>
      <c r="Y28"/>
      <c r="Z28" s="344"/>
      <c r="AA28" s="363"/>
      <c r="AB28" s="363"/>
      <c r="AC28" s="363"/>
      <c r="AD28" s="329"/>
      <c r="AE28" s="147"/>
      <c r="AF28" s="147"/>
      <c r="AG28" s="147"/>
      <c r="AH28" s="147"/>
      <c r="AI28" s="147"/>
      <c r="AJ28" s="147"/>
      <c r="AK28" s="147"/>
      <c r="AL28" s="147"/>
      <c r="AM28" s="147"/>
      <c r="AN28" s="147"/>
      <c r="AO28" s="147"/>
      <c r="AP28" s="147"/>
      <c r="AQ28" s="147"/>
      <c r="AR28" s="147"/>
      <c r="AS28" s="147"/>
      <c r="AT28" s="147"/>
      <c r="AU28" s="147"/>
      <c r="AV28" s="147"/>
      <c r="AW28" s="147"/>
      <c r="AX28" s="147"/>
      <c r="AY28" s="147"/>
      <c r="AZ28" s="147"/>
      <c r="BA28" s="147"/>
      <c r="BB28" s="147"/>
      <c r="BC28" s="147"/>
      <c r="BD28" s="147"/>
      <c r="BE28" s="147"/>
      <c r="BF28" s="147"/>
      <c r="BG28" s="147"/>
      <c r="BH28" s="147"/>
      <c r="BI28" s="147"/>
      <c r="BJ28" s="147"/>
      <c r="BK28" s="147"/>
      <c r="BL28" s="147"/>
      <c r="BM28" s="147"/>
      <c r="BN28" s="147"/>
      <c r="BO28" s="147"/>
      <c r="BP28" s="147"/>
      <c r="BQ28" s="147"/>
      <c r="BR28" s="147"/>
      <c r="BS28" s="147"/>
      <c r="BT28" s="147"/>
      <c r="BU28" s="147"/>
      <c r="BV28" s="147"/>
      <c r="BW28" s="147"/>
      <c r="BX28" s="147"/>
      <c r="BY28" s="147"/>
      <c r="BZ28" s="147"/>
      <c r="CA28" s="147"/>
      <c r="CB28" s="147"/>
      <c r="CC28" s="147"/>
      <c r="CD28" s="147"/>
      <c r="CE28" s="147"/>
      <c r="CF28" s="147"/>
      <c r="CG28" s="147"/>
      <c r="CH28" s="147"/>
      <c r="CI28" s="147"/>
      <c r="CJ28" s="147"/>
      <c r="CK28" s="147"/>
      <c r="CL28" s="147"/>
      <c r="CM28" s="147"/>
      <c r="CN28" s="147"/>
      <c r="CO28" s="147"/>
      <c r="CP28" s="147"/>
    </row>
    <row r="29" spans="1:94" s="177" customFormat="1" ht="15" x14ac:dyDescent="0.25">
      <c r="A29" s="179"/>
      <c r="B29" s="179"/>
      <c r="C29" s="171"/>
      <c r="D29" s="243"/>
      <c r="E29" s="180"/>
      <c r="F29" s="181">
        <v>0</v>
      </c>
      <c r="G29" s="182">
        <v>0</v>
      </c>
      <c r="H29" s="176">
        <f t="shared" si="0"/>
        <v>0</v>
      </c>
      <c r="I29" s="176">
        <f t="shared" si="1"/>
        <v>0</v>
      </c>
      <c r="J29" s="159">
        <f t="shared" si="3"/>
        <v>0</v>
      </c>
      <c r="K29" s="166"/>
      <c r="L29" s="176">
        <f t="shared" si="2"/>
        <v>0</v>
      </c>
      <c r="M29" s="176">
        <f t="shared" si="4"/>
        <v>0</v>
      </c>
      <c r="N29" s="183">
        <f t="shared" si="5"/>
        <v>0</v>
      </c>
      <c r="O29"/>
      <c r="P29"/>
      <c r="Q29"/>
      <c r="R29"/>
      <c r="S29"/>
      <c r="T29"/>
      <c r="U29"/>
      <c r="V29"/>
      <c r="W29"/>
      <c r="X29"/>
      <c r="Y29"/>
      <c r="Z29" s="344"/>
      <c r="AA29" s="363"/>
      <c r="AB29" s="363"/>
      <c r="AC29" s="363"/>
      <c r="AD29" s="329"/>
      <c r="AE29" s="147"/>
      <c r="AF29" s="147"/>
      <c r="AG29" s="147"/>
      <c r="AH29" s="147"/>
      <c r="AI29" s="147"/>
      <c r="AJ29" s="147"/>
      <c r="AK29" s="147"/>
      <c r="AL29" s="147"/>
      <c r="AM29" s="147"/>
      <c r="AN29" s="147"/>
      <c r="AO29" s="147"/>
      <c r="AP29" s="147"/>
      <c r="AQ29" s="147"/>
      <c r="AR29" s="147"/>
      <c r="AS29" s="147"/>
      <c r="AT29" s="147"/>
      <c r="AU29" s="147"/>
      <c r="AV29" s="147"/>
      <c r="AW29" s="147"/>
      <c r="AX29" s="147"/>
      <c r="AY29" s="147"/>
      <c r="AZ29" s="147"/>
      <c r="BA29" s="147"/>
      <c r="BB29" s="147"/>
      <c r="BC29" s="147"/>
      <c r="BD29" s="147"/>
      <c r="BE29" s="147"/>
      <c r="BF29" s="147"/>
      <c r="BG29" s="147"/>
      <c r="BH29" s="147"/>
      <c r="BI29" s="147"/>
      <c r="BJ29" s="147"/>
      <c r="BK29" s="147"/>
      <c r="BL29" s="147"/>
      <c r="BM29" s="147"/>
      <c r="BN29" s="147"/>
      <c r="BO29" s="147"/>
      <c r="BP29" s="147"/>
      <c r="BQ29" s="147"/>
      <c r="BR29" s="147"/>
      <c r="BS29" s="147"/>
      <c r="BT29" s="147"/>
      <c r="BU29" s="147"/>
      <c r="BV29" s="147"/>
      <c r="BW29" s="147"/>
      <c r="BX29" s="147"/>
      <c r="BY29" s="147"/>
      <c r="BZ29" s="147"/>
      <c r="CA29" s="147"/>
      <c r="CB29" s="147"/>
      <c r="CC29" s="147"/>
      <c r="CD29" s="147"/>
      <c r="CE29" s="147"/>
      <c r="CF29" s="147"/>
      <c r="CG29" s="147"/>
      <c r="CH29" s="147"/>
      <c r="CI29" s="147"/>
      <c r="CJ29" s="147"/>
      <c r="CK29" s="147"/>
      <c r="CL29" s="147"/>
      <c r="CM29" s="147"/>
      <c r="CN29" s="147"/>
      <c r="CO29" s="147"/>
      <c r="CP29" s="147"/>
    </row>
    <row r="30" spans="1:94" s="177" customFormat="1" ht="15" x14ac:dyDescent="0.25">
      <c r="A30" s="179"/>
      <c r="B30" s="184"/>
      <c r="C30" s="171"/>
      <c r="D30" s="243"/>
      <c r="E30" s="180"/>
      <c r="F30" s="181">
        <v>0</v>
      </c>
      <c r="G30" s="182">
        <v>0</v>
      </c>
      <c r="H30" s="176">
        <f t="shared" si="0"/>
        <v>0</v>
      </c>
      <c r="I30" s="176">
        <f t="shared" si="1"/>
        <v>0</v>
      </c>
      <c r="J30" s="159">
        <f t="shared" si="3"/>
        <v>0</v>
      </c>
      <c r="K30" s="166"/>
      <c r="L30" s="176">
        <f t="shared" si="2"/>
        <v>0</v>
      </c>
      <c r="M30" s="176">
        <f t="shared" si="4"/>
        <v>0</v>
      </c>
      <c r="N30" s="183">
        <f t="shared" si="5"/>
        <v>0</v>
      </c>
      <c r="O30"/>
      <c r="P30"/>
      <c r="Q30"/>
      <c r="R30"/>
      <c r="S30"/>
      <c r="T30"/>
      <c r="U30"/>
      <c r="V30"/>
      <c r="W30"/>
      <c r="X30"/>
      <c r="Y30"/>
      <c r="Z30" s="344"/>
      <c r="AA30" s="363"/>
      <c r="AB30" s="363"/>
      <c r="AC30" s="363"/>
      <c r="AD30" s="329"/>
      <c r="AE30" s="147"/>
      <c r="AF30" s="147"/>
      <c r="AG30" s="147"/>
      <c r="AH30" s="147"/>
      <c r="AI30" s="147"/>
      <c r="AJ30" s="147"/>
      <c r="AK30" s="147"/>
      <c r="AL30" s="147"/>
      <c r="AM30" s="147"/>
      <c r="AN30" s="147"/>
      <c r="AO30" s="147"/>
      <c r="AP30" s="147"/>
      <c r="AQ30" s="147"/>
      <c r="AR30" s="147"/>
      <c r="AS30" s="147"/>
      <c r="AT30" s="147"/>
      <c r="AU30" s="147"/>
      <c r="AV30" s="147"/>
      <c r="AW30" s="147"/>
      <c r="AX30" s="147"/>
      <c r="AY30" s="147"/>
      <c r="AZ30" s="147"/>
      <c r="BA30" s="147"/>
      <c r="BB30" s="147"/>
      <c r="BC30" s="147"/>
      <c r="BD30" s="147"/>
      <c r="BE30" s="147"/>
      <c r="BF30" s="147"/>
      <c r="BG30" s="147"/>
      <c r="BH30" s="147"/>
      <c r="BI30" s="147"/>
      <c r="BJ30" s="147"/>
      <c r="BK30" s="147"/>
      <c r="BL30" s="147"/>
      <c r="BM30" s="147"/>
      <c r="BN30" s="147"/>
      <c r="BO30" s="147"/>
      <c r="BP30" s="147"/>
      <c r="BQ30" s="147"/>
      <c r="BR30" s="147"/>
      <c r="BS30" s="147"/>
      <c r="BT30" s="147"/>
      <c r="BU30" s="147"/>
      <c r="BV30" s="147"/>
      <c r="BW30" s="147"/>
      <c r="BX30" s="147"/>
      <c r="BY30" s="147"/>
      <c r="BZ30" s="147"/>
      <c r="CA30" s="147"/>
      <c r="CB30" s="147"/>
      <c r="CC30" s="147"/>
      <c r="CD30" s="147"/>
      <c r="CE30" s="147"/>
      <c r="CF30" s="147"/>
      <c r="CG30" s="147"/>
      <c r="CH30" s="147"/>
      <c r="CI30" s="147"/>
      <c r="CJ30" s="147"/>
      <c r="CK30" s="147"/>
      <c r="CL30" s="147"/>
      <c r="CM30" s="147"/>
      <c r="CN30" s="147"/>
      <c r="CO30" s="147"/>
      <c r="CP30" s="147"/>
    </row>
    <row r="31" spans="1:94" s="153" customFormat="1" ht="15" x14ac:dyDescent="0.25">
      <c r="A31" s="139"/>
      <c r="B31" s="168"/>
      <c r="C31" s="245"/>
      <c r="D31" s="246" t="s">
        <v>36</v>
      </c>
      <c r="E31" s="150"/>
      <c r="F31" s="165"/>
      <c r="G31" s="166"/>
      <c r="H31" s="166"/>
      <c r="I31" s="166"/>
      <c r="J31" s="166"/>
      <c r="K31" s="166"/>
      <c r="L31" s="166"/>
      <c r="M31" s="166"/>
      <c r="N31" s="166"/>
      <c r="O31"/>
      <c r="P31"/>
      <c r="Q31"/>
      <c r="R31"/>
      <c r="S31"/>
      <c r="T31"/>
      <c r="U31"/>
      <c r="V31"/>
      <c r="W31"/>
      <c r="X31"/>
      <c r="Y31"/>
      <c r="Z31" s="344"/>
      <c r="AA31" s="363"/>
      <c r="AB31" s="363"/>
      <c r="AC31" s="363"/>
      <c r="AD31" s="329"/>
      <c r="AE31" s="147"/>
      <c r="AF31" s="147"/>
      <c r="AG31" s="147"/>
      <c r="AH31" s="147"/>
      <c r="AI31" s="147"/>
      <c r="AJ31" s="147"/>
      <c r="AK31" s="147"/>
      <c r="AL31" s="147"/>
      <c r="AM31" s="147"/>
      <c r="AN31" s="147"/>
      <c r="AO31" s="147"/>
      <c r="AP31" s="147"/>
      <c r="AQ31" s="147"/>
      <c r="AR31" s="147"/>
      <c r="AS31" s="147"/>
      <c r="AT31" s="147"/>
      <c r="AU31" s="147"/>
      <c r="AV31" s="147"/>
      <c r="AW31" s="147"/>
      <c r="AX31" s="147"/>
      <c r="AY31" s="147"/>
      <c r="AZ31" s="147"/>
      <c r="BA31" s="147"/>
      <c r="BB31" s="147"/>
      <c r="BC31" s="147"/>
      <c r="BD31" s="147"/>
      <c r="BE31" s="147"/>
      <c r="BF31" s="147"/>
      <c r="BG31" s="147"/>
      <c r="BH31" s="147"/>
      <c r="BI31" s="147"/>
      <c r="BJ31" s="147"/>
      <c r="BK31" s="147"/>
      <c r="BL31" s="147"/>
      <c r="BM31" s="147"/>
      <c r="BN31" s="147"/>
      <c r="BO31" s="147"/>
      <c r="BP31" s="147"/>
      <c r="BQ31" s="147"/>
      <c r="BR31" s="147"/>
      <c r="BS31" s="147"/>
      <c r="BT31" s="147"/>
      <c r="BU31" s="147"/>
      <c r="BV31" s="147"/>
      <c r="BW31" s="147"/>
      <c r="BX31" s="147"/>
      <c r="BY31" s="147"/>
      <c r="BZ31" s="147"/>
      <c r="CA31" s="147"/>
      <c r="CB31" s="147"/>
      <c r="CC31" s="147"/>
      <c r="CD31" s="147"/>
      <c r="CE31" s="147"/>
      <c r="CF31" s="147"/>
      <c r="CG31" s="147"/>
      <c r="CH31" s="147"/>
      <c r="CI31" s="147"/>
      <c r="CJ31" s="147"/>
      <c r="CK31" s="147"/>
      <c r="CL31" s="147"/>
      <c r="CM31" s="147"/>
      <c r="CN31" s="147"/>
      <c r="CO31" s="147"/>
      <c r="CP31" s="147"/>
    </row>
    <row r="32" spans="1:94" s="177" customFormat="1" ht="15" x14ac:dyDescent="0.25">
      <c r="A32" s="185"/>
      <c r="B32" s="185"/>
      <c r="C32" s="244"/>
      <c r="D32" s="242"/>
      <c r="E32" s="173"/>
      <c r="F32" s="174">
        <v>0</v>
      </c>
      <c r="G32" s="175">
        <v>0</v>
      </c>
      <c r="H32" s="176">
        <f t="shared" ref="H32:H35" si="6">IF(AND($F32&lt;&gt;0,$G32&lt;&gt;0,OR($E32=1,$E32=3)),$F32*Health,0)</f>
        <v>0</v>
      </c>
      <c r="I32" s="176">
        <f t="shared" ref="I32:I34" si="7">IF(AND($E32=1,$C32=""),$G32*PermVB+$G32*Retire1,IF($E32=1,$G32*PermVB+$G32*VLOOKUP($C32,Retirement_Rates,3,FALSE),IF($E32=2,$G32*GroupVB,IF(AND($E32=3,$C32=""),$G32*ElectVB+$G32*Retire1,IF($E32=3,$G32*ElectVB+$G32*VLOOKUP($C32,Retirement_Rates,3,FALSE),0)))))</f>
        <v>0</v>
      </c>
      <c r="J32" s="279">
        <f t="shared" si="3"/>
        <v>0</v>
      </c>
      <c r="K32" s="166"/>
      <c r="L32" s="176">
        <f t="shared" ref="L32:L35" si="8">IF(AND($F32&lt;&gt;0,$G32&lt;&gt;0,OR($E32=1,$E32=3)),$F32*HealthCHG,0)</f>
        <v>0</v>
      </c>
      <c r="M32" s="176">
        <f t="shared" ref="M32:M35" si="9">IF(AND($E32=1,$C32=""),$G32*PermVBCHG+$G32*Retire1CHG,IF($E32=1,$G32*PermVBCHG+$G32*VLOOKUP($C32,Retirement_Rates,5,FALSE),IF($E32=2,0,IF(AND($E32=3,$C32=""),$G32*ElectVBCHG+$G32*Retire1CHG,IF($E32=3,$G32*ElectVBCHG+$G32*VLOOKUP($C32,Retirement_Rates,5,FALSE),0)))))</f>
        <v>0</v>
      </c>
      <c r="N32" s="176">
        <f t="shared" ref="N32:N35" si="10">SUM(L32:M32)</f>
        <v>0</v>
      </c>
      <c r="O32"/>
      <c r="P32"/>
      <c r="Q32"/>
      <c r="R32"/>
      <c r="S32"/>
      <c r="T32"/>
      <c r="U32"/>
      <c r="V32"/>
      <c r="W32"/>
      <c r="X32"/>
      <c r="Y32"/>
      <c r="Z32" s="344"/>
      <c r="AA32" s="363"/>
      <c r="AB32" s="363"/>
      <c r="AC32" s="363"/>
      <c r="AD32" s="329"/>
      <c r="AE32" s="147"/>
      <c r="AF32" s="147"/>
      <c r="AG32" s="147"/>
      <c r="AH32" s="147"/>
      <c r="AI32" s="147"/>
      <c r="AJ32" s="147"/>
      <c r="AK32" s="147"/>
      <c r="AL32" s="147"/>
      <c r="AM32" s="147"/>
      <c r="AN32" s="147"/>
      <c r="AO32" s="147"/>
      <c r="AP32" s="147"/>
      <c r="AQ32" s="147"/>
      <c r="AR32" s="147"/>
      <c r="AS32" s="147"/>
      <c r="AT32" s="147"/>
      <c r="AU32" s="147"/>
      <c r="AV32" s="147"/>
      <c r="AW32" s="147"/>
      <c r="AX32" s="147"/>
      <c r="AY32" s="147"/>
      <c r="AZ32" s="147"/>
      <c r="BA32" s="147"/>
      <c r="BB32" s="147"/>
      <c r="BC32" s="147"/>
      <c r="BD32" s="147"/>
      <c r="BE32" s="147"/>
      <c r="BF32" s="147"/>
      <c r="BG32" s="147"/>
      <c r="BH32" s="147"/>
      <c r="BI32" s="147"/>
      <c r="BJ32" s="147"/>
      <c r="BK32" s="147"/>
      <c r="BL32" s="147"/>
      <c r="BM32" s="147"/>
      <c r="BN32" s="147"/>
      <c r="BO32" s="147"/>
      <c r="BP32" s="147"/>
      <c r="BQ32" s="147"/>
      <c r="BR32" s="147"/>
      <c r="BS32" s="147"/>
      <c r="BT32" s="147"/>
      <c r="BU32" s="147"/>
      <c r="BV32" s="147"/>
      <c r="BW32" s="147"/>
      <c r="BX32" s="147"/>
      <c r="BY32" s="147"/>
      <c r="BZ32" s="147"/>
      <c r="CA32" s="147"/>
      <c r="CB32" s="147"/>
      <c r="CC32" s="147"/>
      <c r="CD32" s="147"/>
      <c r="CE32" s="147"/>
      <c r="CF32" s="147"/>
      <c r="CG32" s="147"/>
      <c r="CH32" s="147"/>
      <c r="CI32" s="147"/>
      <c r="CJ32" s="147"/>
      <c r="CK32" s="147"/>
      <c r="CL32" s="147"/>
      <c r="CM32" s="147"/>
      <c r="CN32" s="147"/>
      <c r="CO32" s="147"/>
      <c r="CP32" s="147"/>
    </row>
    <row r="33" spans="1:94" s="177" customFormat="1" ht="15" x14ac:dyDescent="0.25">
      <c r="A33" s="186"/>
      <c r="B33" s="187"/>
      <c r="C33" s="244"/>
      <c r="D33" s="242"/>
      <c r="E33" s="180"/>
      <c r="F33" s="181">
        <v>0</v>
      </c>
      <c r="G33" s="182">
        <v>0</v>
      </c>
      <c r="H33" s="176">
        <f t="shared" si="6"/>
        <v>0</v>
      </c>
      <c r="I33" s="176">
        <f t="shared" si="7"/>
        <v>0</v>
      </c>
      <c r="J33" s="279">
        <f t="shared" si="3"/>
        <v>0</v>
      </c>
      <c r="K33" s="166"/>
      <c r="L33" s="176">
        <f t="shared" si="8"/>
        <v>0</v>
      </c>
      <c r="M33" s="176">
        <f t="shared" si="9"/>
        <v>0</v>
      </c>
      <c r="N33" s="183">
        <f t="shared" si="10"/>
        <v>0</v>
      </c>
      <c r="O33"/>
      <c r="P33"/>
      <c r="Q33"/>
      <c r="R33"/>
      <c r="S33"/>
      <c r="T33"/>
      <c r="U33"/>
      <c r="V33"/>
      <c r="W33"/>
      <c r="X33"/>
      <c r="Y33"/>
      <c r="Z33" s="344"/>
      <c r="AA33" s="363"/>
      <c r="AB33" s="363"/>
      <c r="AC33" s="363"/>
      <c r="AD33" s="329"/>
      <c r="AE33" s="147"/>
      <c r="AF33" s="147"/>
      <c r="AG33" s="147"/>
      <c r="AH33" s="147"/>
      <c r="AI33" s="147"/>
      <c r="AJ33" s="147"/>
      <c r="AK33" s="147"/>
      <c r="AL33" s="147"/>
      <c r="AM33" s="147"/>
      <c r="AN33" s="147"/>
      <c r="AO33" s="147"/>
      <c r="AP33" s="147"/>
      <c r="AQ33" s="147"/>
      <c r="AR33" s="147"/>
      <c r="AS33" s="147"/>
      <c r="AT33" s="147"/>
      <c r="AU33" s="147"/>
      <c r="AV33" s="147"/>
      <c r="AW33" s="147"/>
      <c r="AX33" s="147"/>
      <c r="AY33" s="147"/>
      <c r="AZ33" s="147"/>
      <c r="BA33" s="147"/>
      <c r="BB33" s="147"/>
      <c r="BC33" s="147"/>
      <c r="BD33" s="147"/>
      <c r="BE33" s="147"/>
      <c r="BF33" s="147"/>
      <c r="BG33" s="147"/>
      <c r="BH33" s="147"/>
      <c r="BI33" s="147"/>
      <c r="BJ33" s="147"/>
      <c r="BK33" s="147"/>
      <c r="BL33" s="147"/>
      <c r="BM33" s="147"/>
      <c r="BN33" s="147"/>
      <c r="BO33" s="147"/>
      <c r="BP33" s="147"/>
      <c r="BQ33" s="147"/>
      <c r="BR33" s="147"/>
      <c r="BS33" s="147"/>
      <c r="BT33" s="147"/>
      <c r="BU33" s="147"/>
      <c r="BV33" s="147"/>
      <c r="BW33" s="147"/>
      <c r="BX33" s="147"/>
      <c r="BY33" s="147"/>
      <c r="BZ33" s="147"/>
      <c r="CA33" s="147"/>
      <c r="CB33" s="147"/>
      <c r="CC33" s="147"/>
      <c r="CD33" s="147"/>
      <c r="CE33" s="147"/>
      <c r="CF33" s="147"/>
      <c r="CG33" s="147"/>
      <c r="CH33" s="147"/>
      <c r="CI33" s="147"/>
      <c r="CJ33" s="147"/>
      <c r="CK33" s="147"/>
      <c r="CL33" s="147"/>
      <c r="CM33" s="147"/>
      <c r="CN33" s="147"/>
      <c r="CO33" s="147"/>
      <c r="CP33" s="147"/>
    </row>
    <row r="34" spans="1:94" s="177" customFormat="1" ht="15" x14ac:dyDescent="0.25">
      <c r="A34" s="186"/>
      <c r="B34" s="187"/>
      <c r="C34" s="244"/>
      <c r="D34" s="242"/>
      <c r="E34" s="180"/>
      <c r="F34" s="181">
        <v>0</v>
      </c>
      <c r="G34" s="182">
        <v>0</v>
      </c>
      <c r="H34" s="176">
        <f t="shared" si="6"/>
        <v>0</v>
      </c>
      <c r="I34" s="176">
        <f t="shared" si="7"/>
        <v>0</v>
      </c>
      <c r="J34" s="279">
        <f t="shared" si="3"/>
        <v>0</v>
      </c>
      <c r="K34" s="280"/>
      <c r="L34" s="176">
        <f t="shared" si="8"/>
        <v>0</v>
      </c>
      <c r="M34" s="176">
        <f t="shared" si="9"/>
        <v>0</v>
      </c>
      <c r="N34" s="183">
        <f t="shared" si="10"/>
        <v>0</v>
      </c>
      <c r="O34"/>
      <c r="P34"/>
      <c r="Q34"/>
      <c r="R34"/>
      <c r="S34"/>
      <c r="T34"/>
      <c r="U34"/>
      <c r="V34"/>
      <c r="W34"/>
      <c r="X34"/>
      <c r="Y34"/>
      <c r="Z34" s="344"/>
      <c r="AA34" s="363"/>
      <c r="AB34" s="363"/>
      <c r="AC34" s="363"/>
      <c r="AD34" s="329"/>
      <c r="AE34" s="147"/>
      <c r="AF34" s="147"/>
      <c r="AG34" s="147"/>
      <c r="AH34" s="147"/>
      <c r="AI34" s="147"/>
      <c r="AJ34" s="147"/>
      <c r="AK34" s="147"/>
      <c r="AL34" s="147"/>
      <c r="AM34" s="147"/>
      <c r="AN34" s="147"/>
      <c r="AO34" s="147"/>
      <c r="AP34" s="147"/>
      <c r="AQ34" s="147"/>
      <c r="AR34" s="147"/>
      <c r="AS34" s="147"/>
      <c r="AT34" s="147"/>
      <c r="AU34" s="147"/>
      <c r="AV34" s="147"/>
      <c r="AW34" s="147"/>
      <c r="AX34" s="147"/>
      <c r="AY34" s="147"/>
      <c r="AZ34" s="147"/>
      <c r="BA34" s="147"/>
      <c r="BB34" s="147"/>
      <c r="BC34" s="147"/>
      <c r="BD34" s="147"/>
      <c r="BE34" s="147"/>
      <c r="BF34" s="147"/>
      <c r="BG34" s="147"/>
      <c r="BH34" s="147"/>
      <c r="BI34" s="147"/>
      <c r="BJ34" s="147"/>
      <c r="BK34" s="147"/>
      <c r="BL34" s="147"/>
      <c r="BM34" s="147"/>
      <c r="BN34" s="147"/>
      <c r="BO34" s="147"/>
      <c r="BP34" s="147"/>
      <c r="BQ34" s="147"/>
      <c r="BR34" s="147"/>
      <c r="BS34" s="147"/>
      <c r="BT34" s="147"/>
      <c r="BU34" s="147"/>
      <c r="BV34" s="147"/>
      <c r="BW34" s="147"/>
      <c r="BX34" s="147"/>
      <c r="BY34" s="147"/>
      <c r="BZ34" s="147"/>
      <c r="CA34" s="147"/>
      <c r="CB34" s="147"/>
      <c r="CC34" s="147"/>
      <c r="CD34" s="147"/>
      <c r="CE34" s="147"/>
      <c r="CF34" s="147"/>
      <c r="CG34" s="147"/>
      <c r="CH34" s="147"/>
      <c r="CI34" s="147"/>
      <c r="CJ34" s="147"/>
      <c r="CK34" s="147"/>
      <c r="CL34" s="147"/>
      <c r="CM34" s="147"/>
      <c r="CN34" s="147"/>
      <c r="CO34" s="147"/>
      <c r="CP34" s="147"/>
    </row>
    <row r="35" spans="1:94" s="177" customFormat="1" ht="15" x14ac:dyDescent="0.25">
      <c r="A35" s="186"/>
      <c r="B35" s="187"/>
      <c r="C35" s="244"/>
      <c r="D35" s="242"/>
      <c r="E35" s="180"/>
      <c r="F35" s="181">
        <v>0</v>
      </c>
      <c r="G35" s="182">
        <v>0</v>
      </c>
      <c r="H35" s="176">
        <f t="shared" si="6"/>
        <v>0</v>
      </c>
      <c r="I35" s="176">
        <f>IF(AND($E35=1,$C35=""),$G35*(PermVB+Retire1),IF($E35=1,$G35*PermVB+$G35*VLOOKUP($C35,Retirement_Rates,3,FALSE),IF($E35=2,$G35*GroupVB,IF(AND($E35=3,$C35=""),$G35*ElectVB+$G35*Retire1,IF($E35=3,$G35*ElectVB+$G35*VLOOKUP($C35,Retirement_Rates,3,FALSE),0)))))</f>
        <v>0</v>
      </c>
      <c r="J35" s="279">
        <f t="shared" si="3"/>
        <v>0</v>
      </c>
      <c r="K35" s="309"/>
      <c r="L35" s="176">
        <f t="shared" si="8"/>
        <v>0</v>
      </c>
      <c r="M35" s="176">
        <f t="shared" si="9"/>
        <v>0</v>
      </c>
      <c r="N35" s="183">
        <f t="shared" si="10"/>
        <v>0</v>
      </c>
      <c r="O35"/>
      <c r="P35"/>
      <c r="Q35"/>
      <c r="R35"/>
      <c r="S35"/>
      <c r="T35"/>
      <c r="U35"/>
      <c r="V35"/>
      <c r="W35"/>
      <c r="X35"/>
      <c r="Y35"/>
      <c r="Z35" s="344"/>
      <c r="AA35" s="363"/>
      <c r="AB35" s="363"/>
      <c r="AC35" s="363"/>
      <c r="AD35" s="329"/>
      <c r="AE35" s="147"/>
      <c r="AF35" s="147"/>
      <c r="AG35" s="147"/>
      <c r="AH35" s="147"/>
      <c r="AI35" s="147"/>
      <c r="AJ35" s="147"/>
      <c r="AK35" s="147"/>
      <c r="AL35" s="147"/>
      <c r="AM35" s="147"/>
      <c r="AN35" s="147"/>
      <c r="AO35" s="147"/>
      <c r="AP35" s="147"/>
      <c r="AQ35" s="147"/>
      <c r="AR35" s="147"/>
      <c r="AS35" s="147"/>
      <c r="AT35" s="147"/>
      <c r="AU35" s="147"/>
      <c r="AV35" s="147"/>
      <c r="AW35" s="147"/>
      <c r="AX35" s="147"/>
      <c r="AY35" s="147"/>
      <c r="AZ35" s="147"/>
      <c r="BA35" s="147"/>
      <c r="BB35" s="147"/>
      <c r="BC35" s="147"/>
      <c r="BD35" s="147"/>
      <c r="BE35" s="147"/>
      <c r="BF35" s="147"/>
      <c r="BG35" s="147"/>
      <c r="BH35" s="147"/>
      <c r="BI35" s="147"/>
      <c r="BJ35" s="147"/>
      <c r="BK35" s="147"/>
      <c r="BL35" s="147"/>
      <c r="BM35" s="147"/>
      <c r="BN35" s="147"/>
      <c r="BO35" s="147"/>
      <c r="BP35" s="147"/>
      <c r="BQ35" s="147"/>
      <c r="BR35" s="147"/>
      <c r="BS35" s="147"/>
      <c r="BT35" s="147"/>
      <c r="BU35" s="147"/>
      <c r="BV35" s="147"/>
      <c r="BW35" s="147"/>
      <c r="BX35" s="147"/>
      <c r="BY35" s="147"/>
      <c r="BZ35" s="147"/>
      <c r="CA35" s="147"/>
      <c r="CB35" s="147"/>
      <c r="CC35" s="147"/>
      <c r="CD35" s="147"/>
      <c r="CE35" s="147"/>
      <c r="CF35" s="147"/>
      <c r="CG35" s="147"/>
      <c r="CH35" s="147"/>
      <c r="CI35" s="147"/>
      <c r="CJ35" s="147"/>
      <c r="CK35" s="147"/>
      <c r="CL35" s="147"/>
      <c r="CM35" s="147"/>
      <c r="CN35" s="147"/>
      <c r="CO35" s="147"/>
      <c r="CP35" s="147"/>
    </row>
    <row r="36" spans="1:94" s="213" customFormat="1" ht="15" x14ac:dyDescent="0.25">
      <c r="A36" s="281"/>
      <c r="B36" s="282"/>
      <c r="C36" s="283"/>
      <c r="D36" s="284"/>
      <c r="E36" s="285"/>
      <c r="F36" s="197"/>
      <c r="G36" s="259"/>
      <c r="H36" s="259"/>
      <c r="I36" s="259"/>
      <c r="J36" s="286"/>
      <c r="K36" s="280"/>
      <c r="L36" s="321"/>
      <c r="M36" s="259"/>
      <c r="N36" s="259"/>
      <c r="O36"/>
      <c r="P36"/>
      <c r="Q36"/>
      <c r="R36"/>
      <c r="S36"/>
      <c r="T36"/>
      <c r="U36"/>
      <c r="V36"/>
      <c r="W36"/>
      <c r="X36"/>
      <c r="Y36"/>
      <c r="Z36" s="344"/>
      <c r="AA36" s="363" t="s">
        <v>94</v>
      </c>
      <c r="AB36" s="333" t="s">
        <v>95</v>
      </c>
      <c r="AC36" s="333" t="s">
        <v>106</v>
      </c>
      <c r="AD36" s="330"/>
    </row>
    <row r="37" spans="1:94" s="153" customFormat="1" ht="17.25" customHeight="1" x14ac:dyDescent="0.25">
      <c r="A37" s="139"/>
      <c r="B37" s="188"/>
      <c r="C37" s="459" t="s">
        <v>37</v>
      </c>
      <c r="D37" s="460"/>
      <c r="E37" s="150"/>
      <c r="F37" s="165"/>
      <c r="G37" s="166"/>
      <c r="H37" s="166"/>
      <c r="I37" s="166"/>
      <c r="J37" s="322"/>
      <c r="K37" s="166"/>
      <c r="L37" s="166"/>
      <c r="M37" s="166"/>
      <c r="N37" s="166"/>
      <c r="O37"/>
      <c r="P37"/>
      <c r="Q37"/>
      <c r="R37"/>
      <c r="S37"/>
      <c r="T37"/>
      <c r="U37"/>
      <c r="V37"/>
      <c r="W37"/>
      <c r="X37"/>
      <c r="Y37"/>
      <c r="Z37" s="344"/>
      <c r="AA37" s="461" t="s">
        <v>107</v>
      </c>
      <c r="AB37" s="462"/>
      <c r="AC37" s="462"/>
      <c r="AD37" s="329"/>
      <c r="AE37" s="147"/>
      <c r="AF37" s="147"/>
      <c r="AG37" s="147"/>
      <c r="AH37" s="147"/>
      <c r="AI37" s="147"/>
      <c r="AJ37" s="147"/>
      <c r="AK37" s="147"/>
      <c r="AL37" s="147"/>
      <c r="AM37" s="147"/>
      <c r="AN37" s="147"/>
      <c r="AO37" s="147"/>
      <c r="AP37" s="147"/>
      <c r="AQ37" s="147"/>
      <c r="AR37" s="147"/>
      <c r="AS37" s="147"/>
      <c r="AT37" s="147"/>
      <c r="AU37" s="147"/>
      <c r="AV37" s="147"/>
      <c r="AW37" s="147"/>
      <c r="AX37" s="147"/>
      <c r="AY37" s="147"/>
      <c r="AZ37" s="147"/>
      <c r="BA37" s="147"/>
      <c r="BB37" s="147"/>
      <c r="BC37" s="147"/>
      <c r="BD37" s="147"/>
      <c r="BE37" s="147"/>
      <c r="BF37" s="147"/>
      <c r="BG37" s="147"/>
      <c r="BH37" s="147"/>
      <c r="BI37" s="147"/>
      <c r="BJ37" s="147"/>
      <c r="BK37" s="147"/>
      <c r="BL37" s="147"/>
      <c r="BM37" s="147"/>
      <c r="BN37" s="147"/>
      <c r="BO37" s="147"/>
      <c r="BP37" s="147"/>
      <c r="BQ37" s="147"/>
      <c r="BR37" s="147"/>
      <c r="BS37" s="147"/>
      <c r="BT37" s="147"/>
      <c r="BU37" s="147"/>
      <c r="BV37" s="147"/>
      <c r="BW37" s="147"/>
      <c r="BX37" s="147"/>
      <c r="BY37" s="147"/>
      <c r="BZ37" s="147"/>
      <c r="CA37" s="147"/>
      <c r="CB37" s="147"/>
      <c r="CC37" s="147"/>
      <c r="CD37" s="147"/>
      <c r="CE37" s="147"/>
      <c r="CF37" s="147"/>
      <c r="CG37" s="147"/>
      <c r="CH37" s="147"/>
      <c r="CI37" s="147"/>
      <c r="CJ37" s="147"/>
      <c r="CK37" s="147"/>
      <c r="CL37" s="147"/>
      <c r="CM37" s="147"/>
      <c r="CN37" s="147"/>
      <c r="CO37" s="147"/>
      <c r="CP37" s="147"/>
    </row>
    <row r="38" spans="1:94" s="153" customFormat="1" ht="15" x14ac:dyDescent="0.25">
      <c r="A38" s="139"/>
      <c r="B38" s="188"/>
      <c r="C38" s="443" t="str">
        <f>perm_name</f>
        <v>Permanent Positions</v>
      </c>
      <c r="D38" s="444"/>
      <c r="E38" s="189">
        <v>1</v>
      </c>
      <c r="F38" s="190">
        <f>SUMIF($E9:$E35,$E38,$F9:$F35)</f>
        <v>22.2</v>
      </c>
      <c r="G38" s="191">
        <f>SUMIF($E10:$E35,$E38,$G10:$G35)</f>
        <v>1214091.8400000001</v>
      </c>
      <c r="H38" s="192">
        <f>SUMIF($E10:$E35,$E38,$H10:$H35)</f>
        <v>258630</v>
      </c>
      <c r="I38" s="192">
        <f>SUMIF($E10:$E35,$E38,$I10:$I35)</f>
        <v>259018.76158080006</v>
      </c>
      <c r="J38" s="192">
        <f>SUM(G38:I38)</f>
        <v>1731740.6015808</v>
      </c>
      <c r="K38" s="166"/>
      <c r="L38" s="191">
        <f>SUMIF($E10:$E35,$E38,$L10:$L35)</f>
        <v>0</v>
      </c>
      <c r="M38" s="192">
        <f>SUMIF($E10:$E35,$E38,$M10:$M35)</f>
        <v>-5827.6408320000019</v>
      </c>
      <c r="N38" s="192">
        <f>SUM(L38:M38)</f>
        <v>-5827.6408320000019</v>
      </c>
      <c r="O38"/>
      <c r="P38"/>
      <c r="Q38"/>
      <c r="R38"/>
      <c r="S38"/>
      <c r="T38"/>
      <c r="U38"/>
      <c r="V38"/>
      <c r="W38"/>
      <c r="X38"/>
      <c r="Y38"/>
      <c r="Z38" s="344"/>
      <c r="AA38" s="338">
        <f>ROUND(AdjPermSalary*CECPerm,-2)</f>
        <v>12100</v>
      </c>
      <c r="AB38" s="338">
        <f>ROUND((AdjPermVB*CECPerm+AdjPermVBBY*CECPerm),-2)</f>
        <v>2500</v>
      </c>
      <c r="AC38" s="338">
        <f>SUM(AA38:AB38)</f>
        <v>14600</v>
      </c>
      <c r="AD38" s="329"/>
      <c r="AE38" s="147"/>
      <c r="AF38" s="147"/>
      <c r="AG38" s="147"/>
      <c r="AH38" s="147"/>
      <c r="AI38" s="147"/>
      <c r="AJ38" s="147"/>
      <c r="AK38" s="147"/>
      <c r="AL38" s="147"/>
      <c r="AM38" s="147"/>
      <c r="AN38" s="147"/>
      <c r="AO38" s="147"/>
      <c r="AP38" s="147"/>
      <c r="AQ38" s="147"/>
      <c r="AR38" s="147"/>
      <c r="AS38" s="147"/>
      <c r="AT38" s="147"/>
      <c r="AU38" s="147"/>
      <c r="AV38" s="147"/>
      <c r="AW38" s="147"/>
      <c r="AX38" s="147"/>
      <c r="AY38" s="147"/>
      <c r="AZ38" s="147"/>
      <c r="BA38" s="147"/>
      <c r="BB38" s="147"/>
      <c r="BC38" s="147"/>
      <c r="BD38" s="147"/>
      <c r="BE38" s="147"/>
      <c r="BF38" s="147"/>
      <c r="BG38" s="147"/>
      <c r="BH38" s="147"/>
      <c r="BI38" s="147"/>
      <c r="BJ38" s="147"/>
      <c r="BK38" s="147"/>
      <c r="BL38" s="147"/>
      <c r="BM38" s="147"/>
      <c r="BN38" s="147"/>
      <c r="BO38" s="147"/>
      <c r="BP38" s="147"/>
      <c r="BQ38" s="147"/>
      <c r="BR38" s="147"/>
      <c r="BS38" s="147"/>
      <c r="BT38" s="147"/>
      <c r="BU38" s="147"/>
      <c r="BV38" s="147"/>
      <c r="BW38" s="147"/>
      <c r="BX38" s="147"/>
      <c r="BY38" s="147"/>
      <c r="BZ38" s="147"/>
      <c r="CA38" s="147"/>
      <c r="CB38" s="147"/>
      <c r="CC38" s="147"/>
      <c r="CD38" s="147"/>
      <c r="CE38" s="147"/>
      <c r="CF38" s="147"/>
      <c r="CG38" s="147"/>
      <c r="CH38" s="147"/>
      <c r="CI38" s="147"/>
      <c r="CJ38" s="147"/>
      <c r="CK38" s="147"/>
      <c r="CL38" s="147"/>
      <c r="CM38" s="147"/>
      <c r="CN38" s="147"/>
      <c r="CO38" s="147"/>
      <c r="CP38" s="147"/>
    </row>
    <row r="39" spans="1:94" s="153" customFormat="1" ht="15" x14ac:dyDescent="0.25">
      <c r="A39" s="139"/>
      <c r="B39" s="188"/>
      <c r="C39" s="443" t="str">
        <f>Group_name</f>
        <v>Board &amp; Group Positions</v>
      </c>
      <c r="D39" s="444"/>
      <c r="E39" s="189">
        <v>2</v>
      </c>
      <c r="F39" s="151">
        <f>SUMIF($E9:$E35,$E39,$F9:$F35)</f>
        <v>0</v>
      </c>
      <c r="G39" s="193">
        <f>SUMIF($E10:$E35,$E39,$G10:$G35)</f>
        <v>0</v>
      </c>
      <c r="H39" s="152">
        <f>SUMIF($E10:$E35,$E39,$H10:$H35)</f>
        <v>0</v>
      </c>
      <c r="I39" s="152">
        <f>SUMIF($E10:$E35,$E39,$I10:$I35)</f>
        <v>0</v>
      </c>
      <c r="J39" s="152">
        <f>SUM(G39:I39)</f>
        <v>0</v>
      </c>
      <c r="K39" s="259"/>
      <c r="L39" s="193">
        <f>SUMIF($E10:$E35,$E39,$L10:$L35)</f>
        <v>0</v>
      </c>
      <c r="M39" s="152">
        <f>SUMIF($E11:$E37,$E39,$M11:$M37)</f>
        <v>0</v>
      </c>
      <c r="N39" s="152">
        <f>SUM(L39:M39)</f>
        <v>0</v>
      </c>
      <c r="O39"/>
      <c r="P39"/>
      <c r="Q39"/>
      <c r="R39"/>
      <c r="S39"/>
      <c r="T39"/>
      <c r="U39"/>
      <c r="V39"/>
      <c r="W39"/>
      <c r="X39"/>
      <c r="Y39"/>
      <c r="Z39" s="344"/>
      <c r="AA39" s="338">
        <f>ROUND(AdjGroupSalary*CECGroup,-2)</f>
        <v>0</v>
      </c>
      <c r="AB39" s="338">
        <f>ROUND(AdjGroupVB*CECGroup,-2)</f>
        <v>0</v>
      </c>
      <c r="AC39" s="338">
        <f>SUM(AA39:AB39)</f>
        <v>0</v>
      </c>
      <c r="AD39" s="329"/>
      <c r="AE39" s="147"/>
      <c r="AF39" s="147"/>
      <c r="AG39" s="147"/>
      <c r="AH39" s="147"/>
      <c r="AI39" s="147"/>
      <c r="AJ39" s="147"/>
      <c r="AK39" s="147"/>
      <c r="AL39" s="147"/>
      <c r="AM39" s="147"/>
      <c r="AN39" s="147"/>
      <c r="AO39" s="147"/>
      <c r="AP39" s="147"/>
      <c r="AQ39" s="147"/>
      <c r="AR39" s="147"/>
      <c r="AS39" s="147"/>
      <c r="AT39" s="147"/>
      <c r="AU39" s="147"/>
      <c r="AV39" s="147"/>
      <c r="AW39" s="147"/>
      <c r="AX39" s="147"/>
      <c r="AY39" s="147"/>
      <c r="AZ39" s="147"/>
      <c r="BA39" s="147"/>
      <c r="BB39" s="147"/>
      <c r="BC39" s="147"/>
      <c r="BD39" s="147"/>
      <c r="BE39" s="147"/>
      <c r="BF39" s="147"/>
      <c r="BG39" s="147"/>
      <c r="BH39" s="147"/>
      <c r="BI39" s="147"/>
      <c r="BJ39" s="147"/>
      <c r="BK39" s="147"/>
      <c r="BL39" s="147"/>
      <c r="BM39" s="147"/>
      <c r="BN39" s="147"/>
      <c r="BO39" s="147"/>
      <c r="BP39" s="147"/>
      <c r="BQ39" s="147"/>
      <c r="BR39" s="147"/>
      <c r="BS39" s="147"/>
      <c r="BT39" s="147"/>
      <c r="BU39" s="147"/>
      <c r="BV39" s="147"/>
      <c r="BW39" s="147"/>
      <c r="BX39" s="147"/>
      <c r="BY39" s="147"/>
      <c r="BZ39" s="147"/>
      <c r="CA39" s="147"/>
      <c r="CB39" s="147"/>
      <c r="CC39" s="147"/>
      <c r="CD39" s="147"/>
      <c r="CE39" s="147"/>
      <c r="CF39" s="147"/>
      <c r="CG39" s="147"/>
      <c r="CH39" s="147"/>
      <c r="CI39" s="147"/>
      <c r="CJ39" s="147"/>
      <c r="CK39" s="147"/>
      <c r="CL39" s="147"/>
      <c r="CM39" s="147"/>
      <c r="CN39" s="147"/>
      <c r="CO39" s="147"/>
      <c r="CP39" s="147"/>
    </row>
    <row r="40" spans="1:94" s="153" customFormat="1" ht="15" x14ac:dyDescent="0.25">
      <c r="A40" s="139"/>
      <c r="B40" s="188"/>
      <c r="C40" s="364" t="str">
        <f>Elect_name</f>
        <v>Elected Officials &amp; Full Time Commissioners</v>
      </c>
      <c r="D40" s="365"/>
      <c r="E40" s="189">
        <v>3</v>
      </c>
      <c r="F40" s="151">
        <f>SUMIF($E9:$E35,$E40,$F9:$F35)</f>
        <v>0</v>
      </c>
      <c r="G40" s="193">
        <f>SUMIF($E10:$E35,$E40,$G10:$G35)</f>
        <v>0</v>
      </c>
      <c r="H40" s="152">
        <f>SUMIF($E10:$E35,$E40,$H10:$H35)</f>
        <v>0</v>
      </c>
      <c r="I40" s="152">
        <f>SUMIF($E10:$E35,$E40,$I10:$I35)</f>
        <v>0</v>
      </c>
      <c r="J40" s="152">
        <f>SUM(G40:I40)</f>
        <v>0</v>
      </c>
      <c r="K40" s="259"/>
      <c r="L40" s="193">
        <f>SUMIF($E10:$E35,$E40,$L10:$L35)</f>
        <v>0</v>
      </c>
      <c r="M40" s="152">
        <f>SUMIF($E10:$E35,$E40,$M10:$M35)</f>
        <v>0</v>
      </c>
      <c r="N40" s="152">
        <f>SUM(L40:M40)</f>
        <v>0</v>
      </c>
      <c r="O40"/>
      <c r="P40"/>
      <c r="Q40"/>
      <c r="R40"/>
      <c r="S40"/>
      <c r="T40"/>
      <c r="U40"/>
      <c r="V40"/>
      <c r="W40"/>
      <c r="X40"/>
      <c r="Y40"/>
      <c r="Z40" s="344"/>
      <c r="AA40" s="363"/>
      <c r="AB40" s="363"/>
      <c r="AC40" s="363"/>
      <c r="AD40" s="329"/>
      <c r="AE40" s="147"/>
      <c r="AF40" s="147"/>
      <c r="AG40" s="147"/>
      <c r="AH40" s="147"/>
      <c r="AI40" s="147"/>
      <c r="AJ40" s="147"/>
      <c r="AK40" s="147"/>
      <c r="AL40" s="147"/>
      <c r="AM40" s="147"/>
      <c r="AN40" s="147"/>
      <c r="AO40" s="147"/>
      <c r="AP40" s="147"/>
      <c r="AQ40" s="147"/>
      <c r="AR40" s="147"/>
      <c r="AS40" s="147"/>
      <c r="AT40" s="147"/>
      <c r="AU40" s="147"/>
      <c r="AV40" s="147"/>
      <c r="AW40" s="147"/>
      <c r="AX40" s="147"/>
      <c r="AY40" s="147"/>
      <c r="AZ40" s="147"/>
      <c r="BA40" s="147"/>
      <c r="BB40" s="147"/>
      <c r="BC40" s="147"/>
      <c r="BD40" s="147"/>
      <c r="BE40" s="147"/>
      <c r="BF40" s="147"/>
      <c r="BG40" s="147"/>
      <c r="BH40" s="147"/>
      <c r="BI40" s="147"/>
      <c r="BJ40" s="147"/>
      <c r="BK40" s="147"/>
      <c r="BL40" s="147"/>
      <c r="BM40" s="147"/>
      <c r="BN40" s="147"/>
      <c r="BO40" s="147"/>
      <c r="BP40" s="147"/>
      <c r="BQ40" s="147"/>
      <c r="BR40" s="147"/>
      <c r="BS40" s="147"/>
      <c r="BT40" s="147"/>
      <c r="BU40" s="147"/>
      <c r="BV40" s="147"/>
      <c r="BW40" s="147"/>
      <c r="BX40" s="147"/>
      <c r="BY40" s="147"/>
      <c r="BZ40" s="147"/>
      <c r="CA40" s="147"/>
      <c r="CB40" s="147"/>
      <c r="CC40" s="147"/>
      <c r="CD40" s="147"/>
      <c r="CE40" s="147"/>
      <c r="CF40" s="147"/>
      <c r="CG40" s="147"/>
      <c r="CH40" s="147"/>
      <c r="CI40" s="147"/>
      <c r="CJ40" s="147"/>
      <c r="CK40" s="147"/>
      <c r="CL40" s="147"/>
      <c r="CM40" s="147"/>
      <c r="CN40" s="147"/>
      <c r="CO40" s="147"/>
      <c r="CP40" s="147"/>
    </row>
    <row r="41" spans="1:94" s="153" customFormat="1" ht="15" x14ac:dyDescent="0.25">
      <c r="A41" s="139"/>
      <c r="B41" s="188"/>
      <c r="C41" s="443" t="s">
        <v>38</v>
      </c>
      <c r="D41" s="444"/>
      <c r="E41" s="189"/>
      <c r="F41" s="161">
        <f>SUM(F38:F40)</f>
        <v>22.2</v>
      </c>
      <c r="G41" s="195">
        <f>SUM($G$38:$G$40)</f>
        <v>1214091.8400000001</v>
      </c>
      <c r="H41" s="162">
        <f>SUM($H$38:$H$40)</f>
        <v>258630</v>
      </c>
      <c r="I41" s="162">
        <f>SUM($I$38:$I$40)</f>
        <v>259018.76158080006</v>
      </c>
      <c r="J41" s="162">
        <f>SUM($J$38:$J$40)</f>
        <v>1731740.6015808</v>
      </c>
      <c r="K41" s="259"/>
      <c r="L41" s="195">
        <f>SUM($L$38:$L$40)</f>
        <v>0</v>
      </c>
      <c r="M41" s="162">
        <f>SUM($M$38:$M$40)</f>
        <v>-5827.6408320000019</v>
      </c>
      <c r="N41" s="162">
        <f>SUM(L41:M41)</f>
        <v>-5827.6408320000019</v>
      </c>
      <c r="O41"/>
      <c r="P41"/>
      <c r="Q41"/>
      <c r="R41"/>
      <c r="S41"/>
      <c r="T41"/>
      <c r="U41"/>
      <c r="V41"/>
      <c r="W41"/>
      <c r="X41"/>
      <c r="Y41"/>
      <c r="Z41" s="344"/>
      <c r="AA41" s="363" t="s">
        <v>94</v>
      </c>
      <c r="AB41" s="333" t="s">
        <v>95</v>
      </c>
      <c r="AC41" s="333" t="s">
        <v>106</v>
      </c>
      <c r="AD41" s="329"/>
      <c r="AE41" s="147"/>
      <c r="AF41" s="147"/>
      <c r="AG41" s="147"/>
      <c r="AH41" s="147"/>
      <c r="AI41" s="147"/>
      <c r="AJ41" s="147"/>
      <c r="AK41" s="147"/>
      <c r="AL41" s="147"/>
      <c r="AM41" s="147"/>
      <c r="AN41" s="147"/>
      <c r="AO41" s="147"/>
      <c r="AP41" s="147"/>
      <c r="AQ41" s="147"/>
      <c r="AR41" s="147"/>
      <c r="AS41" s="147"/>
      <c r="AT41" s="147"/>
      <c r="AU41" s="147"/>
      <c r="AV41" s="147"/>
      <c r="AW41" s="147"/>
      <c r="AX41" s="147"/>
      <c r="AY41" s="147"/>
      <c r="AZ41" s="147"/>
      <c r="BA41" s="147"/>
      <c r="BB41" s="147"/>
      <c r="BC41" s="147"/>
      <c r="BD41" s="147"/>
      <c r="BE41" s="147"/>
      <c r="BF41" s="147"/>
      <c r="BG41" s="147"/>
      <c r="BH41" s="147"/>
      <c r="BI41" s="147"/>
      <c r="BJ41" s="147"/>
      <c r="BK41" s="147"/>
      <c r="BL41" s="147"/>
      <c r="BM41" s="147"/>
      <c r="BN41" s="147"/>
      <c r="BO41" s="147"/>
      <c r="BP41" s="147"/>
      <c r="BQ41" s="147"/>
      <c r="BR41" s="147"/>
      <c r="BS41" s="147"/>
      <c r="BT41" s="147"/>
      <c r="BU41" s="147"/>
      <c r="BV41" s="147"/>
      <c r="BW41" s="147"/>
      <c r="BX41" s="147"/>
      <c r="BY41" s="147"/>
      <c r="BZ41" s="147"/>
      <c r="CA41" s="147"/>
      <c r="CB41" s="147"/>
      <c r="CC41" s="147"/>
      <c r="CD41" s="147"/>
      <c r="CE41" s="147"/>
      <c r="CF41" s="147"/>
      <c r="CG41" s="147"/>
      <c r="CH41" s="147"/>
      <c r="CI41" s="147"/>
      <c r="CJ41" s="147"/>
      <c r="CK41" s="147"/>
      <c r="CL41" s="147"/>
      <c r="CM41" s="147"/>
      <c r="CN41" s="147"/>
      <c r="CO41" s="147"/>
      <c r="CP41" s="147"/>
    </row>
    <row r="42" spans="1:94" s="153" customFormat="1" ht="4.5" customHeight="1" x14ac:dyDescent="0.25">
      <c r="A42" s="139"/>
      <c r="B42" s="188"/>
      <c r="C42" s="445"/>
      <c r="D42" s="446"/>
      <c r="E42" s="196"/>
      <c r="F42" s="197"/>
      <c r="G42" s="198"/>
      <c r="H42" s="199"/>
      <c r="I42" s="199"/>
      <c r="J42" s="324"/>
      <c r="K42" s="200"/>
      <c r="L42" s="323"/>
      <c r="M42" s="323"/>
      <c r="N42" s="201"/>
      <c r="O42"/>
      <c r="P42"/>
      <c r="Q42"/>
      <c r="R42"/>
      <c r="S42"/>
      <c r="T42"/>
      <c r="U42"/>
      <c r="V42"/>
      <c r="W42"/>
      <c r="X42"/>
      <c r="Y42"/>
      <c r="Z42" s="344"/>
      <c r="AA42" s="363"/>
      <c r="AB42" s="363"/>
      <c r="AC42" s="363"/>
      <c r="AD42" s="329"/>
      <c r="AE42" s="147"/>
      <c r="AF42" s="147"/>
      <c r="AG42" s="147"/>
      <c r="AH42" s="147"/>
      <c r="AI42" s="147"/>
      <c r="AJ42" s="147"/>
      <c r="AK42" s="147"/>
      <c r="AL42" s="147"/>
      <c r="AM42" s="147"/>
      <c r="AN42" s="147"/>
      <c r="AO42" s="147"/>
      <c r="AP42" s="147"/>
      <c r="AQ42" s="147"/>
      <c r="AR42" s="147"/>
      <c r="AS42" s="147"/>
      <c r="AT42" s="147"/>
      <c r="AU42" s="147"/>
      <c r="AV42" s="147"/>
      <c r="AW42" s="147"/>
      <c r="AX42" s="147"/>
      <c r="AY42" s="147"/>
      <c r="AZ42" s="147"/>
      <c r="BA42" s="147"/>
      <c r="BB42" s="147"/>
      <c r="BC42" s="147"/>
      <c r="BD42" s="147"/>
      <c r="BE42" s="147"/>
      <c r="BF42" s="147"/>
      <c r="BG42" s="147"/>
      <c r="BH42" s="147"/>
      <c r="BI42" s="147"/>
      <c r="BJ42" s="147"/>
      <c r="BK42" s="147"/>
      <c r="BL42" s="147"/>
      <c r="BM42" s="147"/>
      <c r="BN42" s="147"/>
      <c r="BO42" s="147"/>
      <c r="BP42" s="147"/>
      <c r="BQ42" s="147"/>
      <c r="BR42" s="147"/>
      <c r="BS42" s="147"/>
      <c r="BT42" s="147"/>
      <c r="BU42" s="147"/>
      <c r="BV42" s="147"/>
      <c r="BW42" s="147"/>
      <c r="BX42" s="147"/>
      <c r="BY42" s="147"/>
      <c r="BZ42" s="147"/>
      <c r="CA42" s="147"/>
      <c r="CB42" s="147"/>
      <c r="CC42" s="147"/>
      <c r="CD42" s="147"/>
      <c r="CE42" s="147"/>
      <c r="CF42" s="147"/>
      <c r="CG42" s="147"/>
      <c r="CH42" s="147"/>
      <c r="CI42" s="147"/>
      <c r="CJ42" s="147"/>
      <c r="CK42" s="147"/>
      <c r="CL42" s="147"/>
      <c r="CM42" s="147"/>
      <c r="CN42" s="147"/>
      <c r="CO42" s="147"/>
      <c r="CP42" s="147"/>
    </row>
    <row r="43" spans="1:94" s="153" customFormat="1" ht="15.75" customHeight="1" x14ac:dyDescent="0.25">
      <c r="A43" s="139"/>
      <c r="B43" s="202"/>
      <c r="C43" s="447" t="s">
        <v>39</v>
      </c>
      <c r="D43" s="448"/>
      <c r="E43" s="203" t="s">
        <v>40</v>
      </c>
      <c r="F43" s="205">
        <f>ROUND(F51-F41,2)</f>
        <v>0.2</v>
      </c>
      <c r="G43" s="206">
        <f>ROUND(G51-G41,-2)</f>
        <v>35900</v>
      </c>
      <c r="H43" s="159">
        <f>ROUND(H51-H41,-2)</f>
        <v>7600</v>
      </c>
      <c r="I43" s="159">
        <f>ROUND(I51-I41,-2)</f>
        <v>7700</v>
      </c>
      <c r="J43" s="159">
        <f>SUM(G43:I43)</f>
        <v>51200</v>
      </c>
      <c r="K43" s="424" t="str">
        <f>IF(E51=0,"ERROR! Enter Original Appropriation amount in DU 3.00!","Calculated "&amp;IF(J43&gt;0,"overfunding ","underfunding ")&amp;"is "&amp;TEXT(J43/J51,"#.0%;(#.0% );0% ;")&amp;" of Original Appropriation")</f>
        <v>Calculated overfunding is 2.9% of Original Appropriation</v>
      </c>
      <c r="L43" s="425"/>
      <c r="M43" s="425"/>
      <c r="N43" s="426"/>
      <c r="O43"/>
      <c r="P43"/>
      <c r="Q43"/>
      <c r="R43"/>
      <c r="S43"/>
      <c r="T43"/>
      <c r="U43"/>
      <c r="V43"/>
      <c r="W43"/>
      <c r="X43"/>
      <c r="Y43"/>
      <c r="Z43" s="344"/>
      <c r="AA43" s="451" t="s">
        <v>108</v>
      </c>
      <c r="AB43" s="452"/>
      <c r="AC43" s="452"/>
      <c r="AD43" s="329"/>
      <c r="AE43" s="147"/>
      <c r="AF43" s="147"/>
      <c r="AG43" s="147"/>
      <c r="AH43" s="147"/>
      <c r="AI43" s="147"/>
      <c r="AJ43" s="147"/>
      <c r="AK43" s="147"/>
      <c r="AL43" s="147"/>
      <c r="AM43" s="147"/>
      <c r="AN43" s="147"/>
      <c r="AO43" s="147"/>
      <c r="AP43" s="147"/>
      <c r="AQ43" s="147"/>
      <c r="AR43" s="147"/>
      <c r="AS43" s="147"/>
      <c r="AT43" s="147"/>
      <c r="AU43" s="147"/>
      <c r="AV43" s="147"/>
      <c r="AW43" s="147"/>
      <c r="AX43" s="147"/>
      <c r="AY43" s="147"/>
      <c r="AZ43" s="147"/>
      <c r="BA43" s="147"/>
      <c r="BB43" s="147"/>
      <c r="BC43" s="147"/>
      <c r="BD43" s="147"/>
      <c r="BE43" s="147"/>
      <c r="BF43" s="147"/>
      <c r="BG43" s="147"/>
      <c r="BH43" s="147"/>
      <c r="BI43" s="147"/>
      <c r="BJ43" s="147"/>
      <c r="BK43" s="147"/>
      <c r="BL43" s="147"/>
      <c r="BM43" s="147"/>
      <c r="BN43" s="147"/>
      <c r="BO43" s="147"/>
      <c r="BP43" s="147"/>
      <c r="BQ43" s="147"/>
      <c r="BR43" s="147"/>
      <c r="BS43" s="147"/>
      <c r="BT43" s="147"/>
      <c r="BU43" s="147"/>
      <c r="BV43" s="147"/>
      <c r="BW43" s="147"/>
      <c r="BX43" s="147"/>
      <c r="BY43" s="147"/>
      <c r="BZ43" s="147"/>
      <c r="CA43" s="147"/>
      <c r="CB43" s="147"/>
      <c r="CC43" s="147"/>
      <c r="CD43" s="147"/>
      <c r="CE43" s="147"/>
      <c r="CF43" s="147"/>
      <c r="CG43" s="147"/>
      <c r="CH43" s="147"/>
      <c r="CI43" s="147"/>
      <c r="CJ43" s="147"/>
      <c r="CK43" s="147"/>
      <c r="CL43" s="147"/>
      <c r="CM43" s="147"/>
      <c r="CN43" s="147"/>
      <c r="CO43" s="147"/>
      <c r="CP43" s="147"/>
    </row>
    <row r="44" spans="1:94" s="153" customFormat="1" ht="15.75" customHeight="1" x14ac:dyDescent="0.25">
      <c r="A44" s="139"/>
      <c r="B44" s="202"/>
      <c r="C44" s="449"/>
      <c r="D44" s="450"/>
      <c r="E44" s="204" t="s">
        <v>41</v>
      </c>
      <c r="F44" s="205">
        <f>ROUND(F60-F41,2)</f>
        <v>0.2</v>
      </c>
      <c r="G44" s="206">
        <f>ROUND(G60-G41,-2)</f>
        <v>35900</v>
      </c>
      <c r="H44" s="159">
        <f>ROUND(H60-H41,-2)</f>
        <v>7700</v>
      </c>
      <c r="I44" s="159">
        <f>ROUND(I60-I41,-2)</f>
        <v>7700</v>
      </c>
      <c r="J44" s="159">
        <f>SUM(G44:I44)</f>
        <v>51300</v>
      </c>
      <c r="K44" s="424" t="str">
        <f>IF(E51=0,"ERROR! Enter Original Appropriation amount in DU 3.00!","Calculated "&amp;IF(J44&gt;0,"overfunding ","underfunding ")&amp;"is "&amp;TEXT(J44/J60,"#.0%;(#.0% );0% ;")&amp;" of Estimated Expenditures")</f>
        <v>Calculated overfunding is 2.9% of Estimated Expenditures</v>
      </c>
      <c r="L44" s="425"/>
      <c r="M44" s="425"/>
      <c r="N44" s="426"/>
      <c r="O44"/>
      <c r="P44"/>
      <c r="Q44"/>
      <c r="R44"/>
      <c r="S44"/>
      <c r="T44"/>
      <c r="U44"/>
      <c r="V44"/>
      <c r="W44"/>
      <c r="X44"/>
      <c r="Y44"/>
      <c r="Z44" s="344"/>
      <c r="AA44" s="338">
        <f>NEW_AdjPermSalary-NEW_PermSalaryFilled</f>
        <v>0</v>
      </c>
      <c r="AB44" s="338">
        <f>NEW_AdjPermVB-NEW_PermVBFilled</f>
        <v>0</v>
      </c>
      <c r="AC44" s="338">
        <f>SUM(AA44:AB44)</f>
        <v>0</v>
      </c>
      <c r="AD44" s="329"/>
      <c r="AE44" s="147"/>
      <c r="AF44" s="147"/>
      <c r="AG44" s="147"/>
      <c r="AH44" s="147"/>
      <c r="AI44" s="147"/>
      <c r="AJ44" s="147"/>
      <c r="AK44" s="147"/>
      <c r="AL44" s="147"/>
      <c r="AM44" s="147"/>
      <c r="AN44" s="147"/>
      <c r="AO44" s="147"/>
      <c r="AP44" s="147"/>
      <c r="AQ44" s="147"/>
      <c r="AR44" s="147"/>
      <c r="AS44" s="147"/>
      <c r="AT44" s="147"/>
      <c r="AU44" s="147"/>
      <c r="AV44" s="147"/>
      <c r="AW44" s="147"/>
      <c r="AX44" s="147"/>
      <c r="AY44" s="147"/>
      <c r="AZ44" s="147"/>
      <c r="BA44" s="147"/>
      <c r="BB44" s="147"/>
      <c r="BC44" s="147"/>
      <c r="BD44" s="147"/>
      <c r="BE44" s="147"/>
      <c r="BF44" s="147"/>
      <c r="BG44" s="147"/>
      <c r="BH44" s="147"/>
      <c r="BI44" s="147"/>
      <c r="BJ44" s="147"/>
      <c r="BK44" s="147"/>
      <c r="BL44" s="147"/>
      <c r="BM44" s="147"/>
      <c r="BN44" s="147"/>
      <c r="BO44" s="147"/>
      <c r="BP44" s="147"/>
      <c r="BQ44" s="147"/>
      <c r="BR44" s="147"/>
      <c r="BS44" s="147"/>
      <c r="BT44" s="147"/>
      <c r="BU44" s="147"/>
      <c r="BV44" s="147"/>
      <c r="BW44" s="147"/>
      <c r="BX44" s="147"/>
      <c r="BY44" s="147"/>
      <c r="BZ44" s="147"/>
      <c r="CA44" s="147"/>
      <c r="CB44" s="147"/>
      <c r="CC44" s="147"/>
      <c r="CD44" s="147"/>
      <c r="CE44" s="147"/>
      <c r="CF44" s="147"/>
      <c r="CG44" s="147"/>
      <c r="CH44" s="147"/>
      <c r="CI44" s="147"/>
      <c r="CJ44" s="147"/>
      <c r="CK44" s="147"/>
      <c r="CL44" s="147"/>
      <c r="CM44" s="147"/>
      <c r="CN44" s="147"/>
      <c r="CO44" s="147"/>
      <c r="CP44" s="147"/>
    </row>
    <row r="45" spans="1:94" s="153" customFormat="1" ht="15.75" customHeight="1" x14ac:dyDescent="0.25">
      <c r="A45" s="139"/>
      <c r="B45" s="202"/>
      <c r="C45" s="215"/>
      <c r="D45" s="215"/>
      <c r="E45" s="204" t="s">
        <v>99</v>
      </c>
      <c r="F45" s="205">
        <f>ROUND(F67-F41-F63,2)</f>
        <v>0.2</v>
      </c>
      <c r="G45" s="206">
        <f>ROUND(G67-G41-G63,-2)</f>
        <v>35900</v>
      </c>
      <c r="H45" s="206">
        <f>ROUND(H67-H41-H63,-2)</f>
        <v>7700</v>
      </c>
      <c r="I45" s="206">
        <f>ROUND(I67-I41-I63,-2)</f>
        <v>7700</v>
      </c>
      <c r="J45" s="159">
        <f>SUM(G45:I45)</f>
        <v>51300</v>
      </c>
      <c r="K45" s="424" t="str">
        <f>IF(J67=0,"Program has a zero base",IF(E51=0,"ERROR! Enter Original Appropriation amount in DU 3.00!","Calculated "&amp;IF(J45&gt;0,"overfunding ","underfunding ")&amp;"is "&amp;TEXT(J45/J67,"#.0%;(#.0% );0% ;")&amp;" of the Base"))</f>
        <v>Calculated overfunding is 2.9% of the Base</v>
      </c>
      <c r="L45" s="425"/>
      <c r="M45" s="425"/>
      <c r="N45" s="426"/>
      <c r="O45"/>
      <c r="P45"/>
      <c r="Q45"/>
      <c r="R45"/>
      <c r="S45"/>
      <c r="T45"/>
      <c r="U45"/>
      <c r="V45"/>
      <c r="W45"/>
      <c r="X45"/>
      <c r="Y45"/>
      <c r="Z45" s="344"/>
      <c r="AA45" s="338">
        <f>NEW_AdjGroupSalary-NEW_GroupSalaryFilled</f>
        <v>0</v>
      </c>
      <c r="AB45" s="338">
        <f>NEW_AdjGroupVB-NEW_GroupVBFilled</f>
        <v>0</v>
      </c>
      <c r="AC45" s="338">
        <f>SUM(AA45:AB45)</f>
        <v>0</v>
      </c>
      <c r="AD45" s="329"/>
      <c r="AE45" s="147"/>
      <c r="AF45" s="147"/>
      <c r="AG45" s="147"/>
      <c r="AH45" s="147"/>
      <c r="AI45" s="147"/>
      <c r="AJ45" s="147"/>
      <c r="AK45" s="147"/>
      <c r="AL45" s="147"/>
      <c r="AM45" s="147"/>
      <c r="AN45" s="147"/>
      <c r="AO45" s="147"/>
      <c r="AP45" s="147"/>
      <c r="AQ45" s="147"/>
      <c r="AR45" s="147"/>
      <c r="AS45" s="147"/>
      <c r="AT45" s="147"/>
      <c r="AU45" s="147"/>
      <c r="AV45" s="147"/>
      <c r="AW45" s="147"/>
      <c r="AX45" s="147"/>
      <c r="AY45" s="147"/>
      <c r="AZ45" s="147"/>
      <c r="BA45" s="147"/>
      <c r="BB45" s="147"/>
      <c r="BC45" s="147"/>
      <c r="BD45" s="147"/>
      <c r="BE45" s="147"/>
      <c r="BF45" s="147"/>
      <c r="BG45" s="147"/>
      <c r="BH45" s="147"/>
      <c r="BI45" s="147"/>
      <c r="BJ45" s="147"/>
      <c r="BK45" s="147"/>
      <c r="BL45" s="147"/>
      <c r="BM45" s="147"/>
      <c r="BN45" s="147"/>
      <c r="BO45" s="147"/>
      <c r="BP45" s="147"/>
      <c r="BQ45" s="147"/>
      <c r="BR45" s="147"/>
      <c r="BS45" s="147"/>
      <c r="BT45" s="147"/>
      <c r="BU45" s="147"/>
      <c r="BV45" s="147"/>
      <c r="BW45" s="147"/>
      <c r="BX45" s="147"/>
      <c r="BY45" s="147"/>
      <c r="BZ45" s="147"/>
      <c r="CA45" s="147"/>
      <c r="CB45" s="147"/>
      <c r="CC45" s="147"/>
      <c r="CD45" s="147"/>
      <c r="CE45" s="147"/>
      <c r="CF45" s="147"/>
      <c r="CG45" s="147"/>
      <c r="CH45" s="147"/>
      <c r="CI45" s="147"/>
      <c r="CJ45" s="147"/>
      <c r="CK45" s="147"/>
      <c r="CL45" s="147"/>
      <c r="CM45" s="147"/>
      <c r="CN45" s="147"/>
      <c r="CO45" s="147"/>
      <c r="CP45" s="147"/>
    </row>
    <row r="46" spans="1:94" s="153" customFormat="1" ht="28.5" customHeight="1" x14ac:dyDescent="0.25">
      <c r="A46" s="139"/>
      <c r="B46" s="202"/>
      <c r="C46" s="215"/>
      <c r="D46" s="215"/>
      <c r="E46" s="427" t="s">
        <v>100</v>
      </c>
      <c r="F46" s="428"/>
      <c r="G46" s="428"/>
      <c r="H46" s="428"/>
      <c r="I46" s="428"/>
      <c r="J46" s="429"/>
      <c r="K46" s="433" t="str">
        <f>IF(OR(J45&lt;0,F45&lt;0),"You may not have sufficient funding or authorized FTP, and may need to make additional adjustments to finalize this form.  Please contact both your DFM and LSO analysts.","")</f>
        <v/>
      </c>
      <c r="L46" s="434"/>
      <c r="M46" s="434"/>
      <c r="N46" s="435"/>
      <c r="O46"/>
      <c r="P46"/>
      <c r="Q46"/>
      <c r="R46"/>
      <c r="S46"/>
      <c r="T46"/>
      <c r="U46"/>
      <c r="V46"/>
      <c r="W46"/>
      <c r="X46"/>
      <c r="Y46"/>
      <c r="Z46" s="344"/>
      <c r="AA46" s="363"/>
      <c r="AB46" s="363"/>
      <c r="AC46" s="363"/>
      <c r="AD46" s="329"/>
      <c r="AE46" s="147"/>
      <c r="AF46" s="147"/>
      <c r="AG46" s="147"/>
      <c r="AH46" s="147"/>
      <c r="AI46" s="147"/>
      <c r="AJ46" s="147"/>
      <c r="AK46" s="147"/>
      <c r="AL46" s="147"/>
      <c r="AM46" s="147"/>
      <c r="AN46" s="147"/>
      <c r="AO46" s="147"/>
      <c r="AP46" s="147"/>
      <c r="AQ46" s="147"/>
      <c r="AR46" s="147"/>
      <c r="AS46" s="147"/>
      <c r="AT46" s="147"/>
      <c r="AU46" s="147"/>
      <c r="AV46" s="147"/>
      <c r="AW46" s="147"/>
      <c r="AX46" s="147"/>
      <c r="AY46" s="147"/>
      <c r="AZ46" s="147"/>
      <c r="BA46" s="147"/>
      <c r="BB46" s="147"/>
      <c r="BC46" s="147"/>
      <c r="BD46" s="147"/>
      <c r="BE46" s="147"/>
      <c r="BF46" s="147"/>
      <c r="BG46" s="147"/>
      <c r="BH46" s="147"/>
      <c r="BI46" s="147"/>
      <c r="BJ46" s="147"/>
      <c r="BK46" s="147"/>
      <c r="BL46" s="147"/>
      <c r="BM46" s="147"/>
      <c r="BN46" s="147"/>
      <c r="BO46" s="147"/>
      <c r="BP46" s="147"/>
      <c r="BQ46" s="147"/>
      <c r="BR46" s="147"/>
      <c r="BS46" s="147"/>
      <c r="BT46" s="147"/>
      <c r="BU46" s="147"/>
      <c r="BV46" s="147"/>
      <c r="BW46" s="147"/>
      <c r="BX46" s="147"/>
      <c r="BY46" s="147"/>
      <c r="BZ46" s="147"/>
      <c r="CA46" s="147"/>
      <c r="CB46" s="147"/>
      <c r="CC46" s="147"/>
      <c r="CD46" s="147"/>
      <c r="CE46" s="147"/>
      <c r="CF46" s="147"/>
      <c r="CG46" s="147"/>
      <c r="CH46" s="147"/>
      <c r="CI46" s="147"/>
      <c r="CJ46" s="147"/>
      <c r="CK46" s="147"/>
      <c r="CL46" s="147"/>
      <c r="CM46" s="147"/>
      <c r="CN46" s="147"/>
      <c r="CO46" s="147"/>
      <c r="CP46" s="147"/>
    </row>
    <row r="47" spans="1:94" s="153" customFormat="1" ht="21.75" customHeight="1" x14ac:dyDescent="0.25">
      <c r="A47" s="139"/>
      <c r="B47" s="202"/>
      <c r="C47" s="215"/>
      <c r="D47" s="215"/>
      <c r="E47" s="430"/>
      <c r="F47" s="431"/>
      <c r="G47" s="431"/>
      <c r="H47" s="431"/>
      <c r="I47" s="431"/>
      <c r="J47" s="432"/>
      <c r="K47" s="436"/>
      <c r="L47" s="437"/>
      <c r="M47" s="437"/>
      <c r="N47" s="438"/>
      <c r="O47"/>
      <c r="P47"/>
      <c r="Q47"/>
      <c r="R47"/>
      <c r="S47"/>
      <c r="T47"/>
      <c r="U47"/>
      <c r="V47"/>
      <c r="W47"/>
      <c r="X47"/>
      <c r="Y47"/>
      <c r="Z47" s="344"/>
      <c r="AA47" s="363"/>
      <c r="AB47" s="363"/>
      <c r="AC47" s="363"/>
      <c r="AD47" s="329"/>
      <c r="AE47" s="147"/>
      <c r="AF47" s="147"/>
      <c r="AG47" s="147"/>
      <c r="AH47" s="147"/>
      <c r="AI47" s="147"/>
      <c r="AJ47" s="147"/>
      <c r="AK47" s="147"/>
      <c r="AL47" s="147"/>
      <c r="AM47" s="147"/>
      <c r="AN47" s="147"/>
      <c r="AO47" s="147"/>
      <c r="AP47" s="147"/>
      <c r="AQ47" s="147"/>
      <c r="AR47" s="147"/>
      <c r="AS47" s="147"/>
      <c r="AT47" s="147"/>
      <c r="AU47" s="147"/>
      <c r="AV47" s="147"/>
      <c r="AW47" s="147"/>
      <c r="AX47" s="147"/>
      <c r="AY47" s="147"/>
      <c r="AZ47" s="147"/>
      <c r="BA47" s="147"/>
      <c r="BB47" s="147"/>
      <c r="BC47" s="147"/>
      <c r="BD47" s="147"/>
      <c r="BE47" s="147"/>
      <c r="BF47" s="147"/>
      <c r="BG47" s="147"/>
      <c r="BH47" s="147"/>
      <c r="BI47" s="147"/>
      <c r="BJ47" s="147"/>
      <c r="BK47" s="147"/>
      <c r="BL47" s="147"/>
      <c r="BM47" s="147"/>
      <c r="BN47" s="147"/>
      <c r="BO47" s="147"/>
      <c r="BP47" s="147"/>
      <c r="BQ47" s="147"/>
      <c r="BR47" s="147"/>
      <c r="BS47" s="147"/>
      <c r="BT47" s="147"/>
      <c r="BU47" s="147"/>
      <c r="BV47" s="147"/>
      <c r="BW47" s="147"/>
      <c r="BX47" s="147"/>
      <c r="BY47" s="147"/>
      <c r="BZ47" s="147"/>
      <c r="CA47" s="147"/>
      <c r="CB47" s="147"/>
      <c r="CC47" s="147"/>
      <c r="CD47" s="147"/>
      <c r="CE47" s="147"/>
      <c r="CF47" s="147"/>
      <c r="CG47" s="147"/>
      <c r="CH47" s="147"/>
      <c r="CI47" s="147"/>
      <c r="CJ47" s="147"/>
      <c r="CK47" s="147"/>
      <c r="CL47" s="147"/>
      <c r="CM47" s="147"/>
      <c r="CN47" s="147"/>
      <c r="CO47" s="147"/>
      <c r="CP47" s="147"/>
    </row>
    <row r="48" spans="1:94" s="214" customFormat="1" ht="8.25" customHeight="1" x14ac:dyDescent="0.25">
      <c r="A48" s="207"/>
      <c r="B48" s="208"/>
      <c r="C48" s="136"/>
      <c r="D48" s="136"/>
      <c r="E48" s="209"/>
      <c r="F48" s="210"/>
      <c r="G48" s="211"/>
      <c r="H48" s="211"/>
      <c r="I48" s="211"/>
      <c r="J48" s="211"/>
      <c r="K48" s="211"/>
      <c r="L48" s="137"/>
      <c r="M48" s="138"/>
      <c r="N48" s="212"/>
      <c r="O48"/>
      <c r="P48"/>
      <c r="Q48"/>
      <c r="R48"/>
      <c r="S48"/>
      <c r="T48"/>
      <c r="U48"/>
      <c r="V48"/>
      <c r="W48"/>
      <c r="X48"/>
      <c r="Y48"/>
      <c r="Z48" s="344"/>
      <c r="AA48" s="339"/>
      <c r="AB48" s="339"/>
      <c r="AC48" s="339"/>
      <c r="AD48" s="330"/>
      <c r="AE48" s="213"/>
      <c r="AF48" s="213"/>
      <c r="AG48" s="213"/>
      <c r="AH48" s="213"/>
      <c r="AI48" s="213"/>
      <c r="AJ48" s="213"/>
      <c r="AK48" s="213"/>
      <c r="AL48" s="213"/>
      <c r="AM48" s="213"/>
      <c r="AN48" s="213"/>
      <c r="AO48" s="213"/>
      <c r="AP48" s="213"/>
      <c r="AQ48" s="213"/>
      <c r="AR48" s="213"/>
      <c r="AS48" s="213"/>
      <c r="AT48" s="213"/>
      <c r="AU48" s="213"/>
      <c r="AV48" s="213"/>
      <c r="AW48" s="213"/>
      <c r="AX48" s="213"/>
      <c r="AY48" s="213"/>
      <c r="AZ48" s="213"/>
      <c r="BA48" s="213"/>
      <c r="BB48" s="213"/>
      <c r="BC48" s="213"/>
      <c r="BD48" s="213"/>
      <c r="BE48" s="213"/>
      <c r="BF48" s="213"/>
      <c r="BG48" s="213"/>
      <c r="BH48" s="213"/>
      <c r="BI48" s="213"/>
      <c r="BJ48" s="213"/>
      <c r="BK48" s="213"/>
      <c r="BL48" s="213"/>
      <c r="BM48" s="213"/>
      <c r="BN48" s="213"/>
      <c r="BO48" s="213"/>
      <c r="BP48" s="213"/>
      <c r="BQ48" s="213"/>
      <c r="BR48" s="213"/>
      <c r="BS48" s="213"/>
      <c r="BT48" s="213"/>
      <c r="BU48" s="213"/>
      <c r="BV48" s="213"/>
      <c r="BW48" s="213"/>
      <c r="BX48" s="213"/>
      <c r="BY48" s="213"/>
      <c r="BZ48" s="213"/>
      <c r="CA48" s="213"/>
      <c r="CB48" s="213"/>
      <c r="CC48" s="213"/>
      <c r="CD48" s="213"/>
      <c r="CE48" s="213"/>
      <c r="CF48" s="213"/>
      <c r="CG48" s="213"/>
      <c r="CH48" s="213"/>
      <c r="CI48" s="213"/>
      <c r="CJ48" s="213"/>
      <c r="CK48" s="213"/>
      <c r="CL48" s="213"/>
      <c r="CM48" s="213"/>
      <c r="CN48" s="213"/>
      <c r="CO48" s="213"/>
      <c r="CP48" s="213"/>
    </row>
    <row r="49" spans="1:94" s="53" customFormat="1" ht="6" customHeight="1" x14ac:dyDescent="0.25">
      <c r="A49" s="63"/>
      <c r="B49" s="64"/>
      <c r="C49" s="65"/>
      <c r="D49" s="66"/>
      <c r="E49" s="67"/>
      <c r="F49" s="68"/>
      <c r="G49" s="64"/>
      <c r="H49" s="64"/>
      <c r="I49" s="64"/>
      <c r="J49" s="64"/>
      <c r="K49" s="64"/>
      <c r="L49" s="69"/>
      <c r="M49" s="69"/>
      <c r="N49" s="70"/>
      <c r="O49"/>
      <c r="P49"/>
      <c r="Q49"/>
      <c r="R49"/>
      <c r="S49"/>
      <c r="T49"/>
      <c r="U49"/>
      <c r="V49"/>
      <c r="W49"/>
      <c r="X49"/>
      <c r="Y49"/>
      <c r="Z49" s="344"/>
      <c r="AA49" s="363"/>
      <c r="AB49" s="363"/>
      <c r="AC49" s="363"/>
      <c r="AD49" s="110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1"/>
      <c r="AV49" s="41"/>
      <c r="AW49" s="41"/>
      <c r="AX49" s="41"/>
      <c r="AY49" s="41"/>
      <c r="AZ49" s="41"/>
      <c r="BA49" s="41"/>
      <c r="BB49" s="41"/>
      <c r="BC49" s="41"/>
      <c r="BD49" s="41"/>
      <c r="BE49" s="41"/>
      <c r="BF49" s="41"/>
      <c r="BG49" s="41"/>
      <c r="BH49" s="41"/>
      <c r="BI49" s="41"/>
      <c r="BJ49" s="41"/>
      <c r="BK49" s="41"/>
      <c r="BL49" s="41"/>
      <c r="BM49" s="41"/>
      <c r="BN49" s="41"/>
      <c r="BO49" s="41"/>
      <c r="BP49" s="41"/>
      <c r="BQ49" s="41"/>
      <c r="BR49" s="41"/>
      <c r="BS49" s="41"/>
      <c r="BT49" s="41"/>
      <c r="BU49" s="41"/>
      <c r="BV49" s="41"/>
      <c r="BW49" s="41"/>
      <c r="BX49" s="41"/>
      <c r="BY49" s="41"/>
      <c r="BZ49" s="41"/>
      <c r="CA49" s="41"/>
      <c r="CB49" s="41"/>
      <c r="CC49" s="41"/>
      <c r="CD49" s="41"/>
      <c r="CE49" s="41"/>
      <c r="CF49" s="41"/>
      <c r="CG49" s="41"/>
      <c r="CH49" s="41"/>
      <c r="CI49" s="41"/>
      <c r="CJ49" s="41"/>
      <c r="CK49" s="41"/>
      <c r="CL49" s="41"/>
      <c r="CM49" s="41"/>
      <c r="CN49" s="41"/>
      <c r="CO49" s="41"/>
      <c r="CP49" s="41"/>
    </row>
    <row r="50" spans="1:94" s="53" customFormat="1" ht="24.75" customHeight="1" x14ac:dyDescent="0.25">
      <c r="A50" s="257" t="s">
        <v>42</v>
      </c>
      <c r="B50" s="71"/>
      <c r="C50" s="439"/>
      <c r="D50" s="440"/>
      <c r="E50" s="72" t="s">
        <v>43</v>
      </c>
      <c r="F50" s="73" t="s">
        <v>24</v>
      </c>
      <c r="G50" s="72" t="str">
        <f>"FY "&amp;M4-2001&amp;" Salary"</f>
        <v>FY 22 Salary</v>
      </c>
      <c r="H50" s="72" t="str">
        <f>"FY "&amp;M4-2001&amp;" Health Ben"</f>
        <v>FY 22 Health Ben</v>
      </c>
      <c r="I50" s="72" t="str">
        <f>"FY "&amp;M4-2001&amp;" Var Ben"</f>
        <v>FY 22 Var Ben</v>
      </c>
      <c r="J50" s="72" t="str">
        <f>"FY "&amp;M4-1&amp;" Total"</f>
        <v>FY 2022 Total</v>
      </c>
      <c r="K50" s="307" t="str">
        <f>"FY "&amp;FiscalYear&amp;" SALARY CHG"</f>
        <v>FY 2023 SALARY CHG</v>
      </c>
      <c r="L50" s="74" t="str">
        <f>"FY "&amp;M4-2000&amp;" Chg Health Bens"</f>
        <v>FY 23 Chg Health Bens</v>
      </c>
      <c r="M50" s="74" t="str">
        <f>"FY "&amp;M4-2000&amp;" Chg Var Bens"</f>
        <v>FY 23 Chg Var Bens</v>
      </c>
      <c r="N50" s="74" t="s">
        <v>44</v>
      </c>
      <c r="O50"/>
      <c r="P50"/>
      <c r="Q50"/>
      <c r="R50"/>
      <c r="S50"/>
      <c r="T50"/>
      <c r="U50"/>
      <c r="V50"/>
      <c r="W50"/>
      <c r="X50"/>
      <c r="Y50"/>
      <c r="Z50" s="344"/>
      <c r="AA50" s="363"/>
      <c r="AB50" s="363"/>
      <c r="AC50" s="363"/>
      <c r="AD50" s="110"/>
      <c r="AE50" s="41"/>
      <c r="AF50" s="41"/>
      <c r="AG50" s="41"/>
      <c r="AH50" s="41"/>
      <c r="AI50" s="41"/>
      <c r="AJ50" s="41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U50" s="41"/>
      <c r="AV50" s="41"/>
      <c r="AW50" s="41"/>
      <c r="AX50" s="41"/>
      <c r="AY50" s="41"/>
      <c r="AZ50" s="41"/>
      <c r="BA50" s="41"/>
      <c r="BB50" s="41"/>
      <c r="BC50" s="41"/>
      <c r="BD50" s="41"/>
      <c r="BE50" s="41"/>
      <c r="BF50" s="41"/>
      <c r="BG50" s="41"/>
      <c r="BH50" s="41"/>
      <c r="BI50" s="41"/>
      <c r="BJ50" s="41"/>
      <c r="BK50" s="41"/>
      <c r="BL50" s="41"/>
      <c r="BM50" s="41"/>
      <c r="BN50" s="41"/>
      <c r="BO50" s="41"/>
      <c r="BP50" s="41"/>
      <c r="BQ50" s="41"/>
      <c r="BR50" s="41"/>
      <c r="BS50" s="41"/>
      <c r="BT50" s="41"/>
      <c r="BU50" s="41"/>
      <c r="BV50" s="41"/>
      <c r="BW50" s="41"/>
      <c r="BX50" s="41"/>
      <c r="BY50" s="41"/>
      <c r="BZ50" s="41"/>
      <c r="CA50" s="41"/>
      <c r="CB50" s="41"/>
      <c r="CC50" s="41"/>
      <c r="CD50" s="41"/>
      <c r="CE50" s="41"/>
      <c r="CF50" s="41"/>
      <c r="CG50" s="41"/>
      <c r="CH50" s="41"/>
      <c r="CI50" s="41"/>
      <c r="CJ50" s="41"/>
      <c r="CK50" s="41"/>
      <c r="CL50" s="41"/>
      <c r="CM50" s="41"/>
      <c r="CN50" s="41"/>
      <c r="CO50" s="41"/>
      <c r="CP50" s="41"/>
    </row>
    <row r="51" spans="1:94" s="53" customFormat="1" ht="15.75" customHeight="1" x14ac:dyDescent="0.25">
      <c r="A51" s="75">
        <v>3</v>
      </c>
      <c r="B51" s="76" t="s">
        <v>45</v>
      </c>
      <c r="C51" s="54" t="str">
        <f>"FY "&amp;M4-1</f>
        <v>FY 2022</v>
      </c>
      <c r="D51" s="77" t="s">
        <v>31</v>
      </c>
      <c r="E51" s="78">
        <f>OrigApprop</f>
        <v>1782900</v>
      </c>
      <c r="F51" s="272">
        <f>AppropFTP</f>
        <v>22.4</v>
      </c>
      <c r="G51" s="274">
        <f>IF(E51=0,0,(G41/$J$41)*$E$51)</f>
        <v>1249958.7637779384</v>
      </c>
      <c r="H51" s="274">
        <f>IF(E51=0,0,(H41/$J$41)*$E$51)</f>
        <v>266270.49488767516</v>
      </c>
      <c r="I51" s="275">
        <f>IF(E51=0,0,(I41/$J$41)*$E$51)</f>
        <v>266670.74133438652</v>
      </c>
      <c r="J51" s="90">
        <f>SUM(G51:I51)</f>
        <v>1782900</v>
      </c>
      <c r="K51" s="263"/>
      <c r="L51" s="61"/>
      <c r="M51" s="81"/>
      <c r="N51" s="81"/>
      <c r="O51"/>
      <c r="P51"/>
      <c r="Q51"/>
      <c r="R51"/>
      <c r="S51"/>
      <c r="T51"/>
      <c r="U51"/>
      <c r="V51"/>
      <c r="W51"/>
      <c r="X51"/>
      <c r="Y51"/>
      <c r="Z51" s="344"/>
      <c r="AA51" s="346"/>
      <c r="AB51" s="363"/>
      <c r="AC51" s="363"/>
      <c r="AD51" s="110"/>
      <c r="AE51" s="41"/>
      <c r="AF51" s="41"/>
      <c r="AG51" s="41"/>
      <c r="AH51" s="41"/>
      <c r="AI51" s="41"/>
      <c r="AJ51" s="41"/>
      <c r="AK51" s="41"/>
      <c r="AL51" s="41"/>
      <c r="AM51" s="41"/>
      <c r="AN51" s="41"/>
      <c r="AO51" s="41"/>
      <c r="AP51" s="41"/>
      <c r="AQ51" s="41"/>
      <c r="AR51" s="41"/>
      <c r="AS51" s="41"/>
      <c r="AT51" s="41"/>
      <c r="AU51" s="41"/>
      <c r="AV51" s="41"/>
      <c r="AW51" s="41"/>
      <c r="AX51" s="41"/>
      <c r="AY51" s="41"/>
      <c r="AZ51" s="41"/>
      <c r="BA51" s="41"/>
      <c r="BB51" s="41"/>
      <c r="BC51" s="41"/>
      <c r="BD51" s="41"/>
      <c r="BE51" s="41"/>
      <c r="BF51" s="41"/>
      <c r="BG51" s="41"/>
      <c r="BH51" s="41"/>
      <c r="BI51" s="41"/>
      <c r="BJ51" s="41"/>
      <c r="BK51" s="41"/>
      <c r="BL51" s="41"/>
      <c r="BM51" s="41"/>
      <c r="BN51" s="41"/>
      <c r="BO51" s="41"/>
      <c r="BP51" s="41"/>
      <c r="BQ51" s="41"/>
      <c r="BR51" s="41"/>
      <c r="BS51" s="41"/>
      <c r="BT51" s="41"/>
      <c r="BU51" s="41"/>
      <c r="BV51" s="41"/>
      <c r="BW51" s="41"/>
      <c r="BX51" s="41"/>
      <c r="BY51" s="41"/>
      <c r="BZ51" s="41"/>
      <c r="CA51" s="41"/>
      <c r="CB51" s="41"/>
      <c r="CC51" s="41"/>
      <c r="CD51" s="41"/>
      <c r="CE51" s="41"/>
      <c r="CF51" s="41"/>
      <c r="CG51" s="41"/>
      <c r="CH51" s="41"/>
      <c r="CI51" s="41"/>
      <c r="CJ51" s="41"/>
      <c r="CK51" s="41"/>
      <c r="CL51" s="41"/>
      <c r="CM51" s="41"/>
      <c r="CN51" s="41"/>
      <c r="CO51" s="41"/>
      <c r="CP51" s="41"/>
    </row>
    <row r="52" spans="1:94" s="53" customFormat="1" ht="15.75" customHeight="1" x14ac:dyDescent="0.25">
      <c r="A52" s="82"/>
      <c r="B52" s="83"/>
      <c r="C52" s="84"/>
      <c r="D52" s="132" t="s">
        <v>46</v>
      </c>
      <c r="E52" s="133"/>
      <c r="F52" s="55">
        <f>F51</f>
        <v>22.4</v>
      </c>
      <c r="G52" s="79">
        <f>ROUND(G51,-2)</f>
        <v>1250000</v>
      </c>
      <c r="H52" s="79">
        <f>ROUND(H51,-2)</f>
        <v>266300</v>
      </c>
      <c r="I52" s="266">
        <f>ROUND(I51,-2)</f>
        <v>266700</v>
      </c>
      <c r="J52" s="80">
        <f>ROUND(J51,-2)</f>
        <v>1782900</v>
      </c>
      <c r="K52" s="263"/>
      <c r="L52" s="61"/>
      <c r="M52" s="81"/>
      <c r="N52" s="81"/>
      <c r="O52"/>
      <c r="P52"/>
      <c r="Q52"/>
      <c r="R52"/>
      <c r="S52"/>
      <c r="T52"/>
      <c r="U52"/>
      <c r="V52"/>
      <c r="W52"/>
      <c r="X52"/>
      <c r="Y52"/>
      <c r="Z52" s="344"/>
      <c r="AA52" s="347"/>
      <c r="AB52" s="363"/>
      <c r="AC52" s="363"/>
      <c r="AD52" s="110"/>
      <c r="AE52" s="41"/>
      <c r="AF52" s="41"/>
      <c r="AG52" s="41"/>
      <c r="AH52" s="41"/>
      <c r="AI52" s="41"/>
      <c r="AJ52" s="41"/>
      <c r="AK52" s="41"/>
      <c r="AL52" s="41"/>
      <c r="AM52" s="41"/>
      <c r="AN52" s="41"/>
      <c r="AO52" s="41"/>
      <c r="AP52" s="41"/>
      <c r="AQ52" s="41"/>
      <c r="AR52" s="41"/>
      <c r="AS52" s="41"/>
      <c r="AT52" s="41"/>
      <c r="AU52" s="41"/>
      <c r="AV52" s="41"/>
      <c r="AW52" s="41"/>
      <c r="AX52" s="41"/>
      <c r="AY52" s="41"/>
      <c r="AZ52" s="41"/>
      <c r="BA52" s="41"/>
      <c r="BB52" s="41"/>
      <c r="BC52" s="41"/>
      <c r="BD52" s="41"/>
      <c r="BE52" s="41"/>
      <c r="BF52" s="41"/>
      <c r="BG52" s="41"/>
      <c r="BH52" s="41"/>
      <c r="BI52" s="41"/>
      <c r="BJ52" s="41"/>
      <c r="BK52" s="41"/>
      <c r="BL52" s="41"/>
      <c r="BM52" s="41"/>
      <c r="BN52" s="41"/>
      <c r="BO52" s="41"/>
      <c r="BP52" s="41"/>
      <c r="BQ52" s="41"/>
      <c r="BR52" s="41"/>
      <c r="BS52" s="41"/>
      <c r="BT52" s="41"/>
      <c r="BU52" s="41"/>
      <c r="BV52" s="41"/>
      <c r="BW52" s="41"/>
      <c r="BX52" s="41"/>
      <c r="BY52" s="41"/>
      <c r="BZ52" s="41"/>
      <c r="CA52" s="41"/>
      <c r="CB52" s="41"/>
      <c r="CC52" s="41"/>
      <c r="CD52" s="41"/>
      <c r="CE52" s="41"/>
      <c r="CF52" s="41"/>
      <c r="CG52" s="41"/>
      <c r="CH52" s="41"/>
      <c r="CI52" s="41"/>
      <c r="CJ52" s="41"/>
      <c r="CK52" s="41"/>
      <c r="CL52" s="41"/>
      <c r="CM52" s="41"/>
      <c r="CN52" s="41"/>
      <c r="CO52" s="41"/>
      <c r="CP52" s="41"/>
    </row>
    <row r="53" spans="1:94" s="53" customFormat="1" ht="15" x14ac:dyDescent="0.25">
      <c r="A53" s="85"/>
      <c r="B53" s="83"/>
      <c r="C53" s="441" t="s">
        <v>47</v>
      </c>
      <c r="D53" s="442"/>
      <c r="E53" s="271"/>
      <c r="F53" s="273"/>
      <c r="G53" s="62"/>
      <c r="H53" s="62"/>
      <c r="I53" s="62"/>
      <c r="J53" s="62"/>
      <c r="K53" s="62"/>
      <c r="L53" s="61"/>
      <c r="M53" s="86"/>
      <c r="N53" s="86"/>
      <c r="O53"/>
      <c r="P53"/>
      <c r="Q53"/>
      <c r="R53"/>
      <c r="S53"/>
      <c r="T53"/>
      <c r="U53"/>
      <c r="V53"/>
      <c r="W53"/>
      <c r="X53"/>
      <c r="Y53"/>
      <c r="Z53" s="344"/>
      <c r="AA53" s="363"/>
      <c r="AB53" s="363"/>
      <c r="AC53" s="363"/>
      <c r="AD53" s="110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U53" s="41"/>
      <c r="AV53" s="41"/>
      <c r="AW53" s="41"/>
      <c r="AX53" s="41"/>
      <c r="AY53" s="41"/>
      <c r="AZ53" s="41"/>
      <c r="BA53" s="41"/>
      <c r="BB53" s="41"/>
      <c r="BC53" s="41"/>
      <c r="BD53" s="41"/>
      <c r="BE53" s="41"/>
      <c r="BF53" s="41"/>
      <c r="BG53" s="41"/>
      <c r="BH53" s="41"/>
      <c r="BI53" s="41"/>
      <c r="BJ53" s="41"/>
      <c r="BK53" s="41"/>
      <c r="BL53" s="41"/>
      <c r="BM53" s="41"/>
      <c r="BN53" s="41"/>
      <c r="BO53" s="41"/>
      <c r="BP53" s="41"/>
      <c r="BQ53" s="41"/>
      <c r="BR53" s="41"/>
      <c r="BS53" s="41"/>
      <c r="BT53" s="41"/>
      <c r="BU53" s="41"/>
      <c r="BV53" s="41"/>
      <c r="BW53" s="41"/>
      <c r="BX53" s="41"/>
      <c r="BY53" s="41"/>
      <c r="BZ53" s="41"/>
      <c r="CA53" s="41"/>
      <c r="CB53" s="41"/>
      <c r="CC53" s="41"/>
      <c r="CD53" s="41"/>
      <c r="CE53" s="41"/>
      <c r="CF53" s="41"/>
      <c r="CG53" s="41"/>
      <c r="CH53" s="41"/>
      <c r="CI53" s="41"/>
      <c r="CJ53" s="41"/>
      <c r="CK53" s="41"/>
      <c r="CL53" s="41"/>
      <c r="CM53" s="41"/>
      <c r="CN53" s="41"/>
      <c r="CO53" s="41"/>
      <c r="CP53" s="41"/>
    </row>
    <row r="54" spans="1:94" s="53" customFormat="1" ht="15.75" customHeight="1" x14ac:dyDescent="0.25">
      <c r="A54" s="85">
        <v>4.1100000000000003</v>
      </c>
      <c r="B54" s="83"/>
      <c r="C54" s="408" t="s">
        <v>48</v>
      </c>
      <c r="D54" s="409"/>
      <c r="E54" s="59"/>
      <c r="F54" s="58">
        <v>0</v>
      </c>
      <c r="G54" s="88">
        <v>0</v>
      </c>
      <c r="H54" s="88">
        <v>0</v>
      </c>
      <c r="I54" s="265">
        <v>0</v>
      </c>
      <c r="J54" s="89">
        <f>SUM(G54:I54)</f>
        <v>0</v>
      </c>
      <c r="K54" s="62"/>
      <c r="L54" s="61"/>
      <c r="M54" s="86"/>
      <c r="N54" s="86"/>
      <c r="O54"/>
      <c r="P54"/>
      <c r="Q54"/>
      <c r="R54"/>
      <c r="S54"/>
      <c r="T54"/>
      <c r="U54"/>
      <c r="V54"/>
      <c r="W54"/>
      <c r="X54"/>
      <c r="Y54"/>
      <c r="Z54" s="344"/>
      <c r="AA54" s="363"/>
      <c r="AB54" s="363"/>
      <c r="AC54" s="363"/>
      <c r="AD54" s="110"/>
      <c r="AE54" s="41"/>
      <c r="AF54" s="41"/>
      <c r="AG54" s="41"/>
      <c r="AH54" s="41"/>
      <c r="AI54" s="41"/>
      <c r="AJ54" s="41"/>
      <c r="AK54" s="41"/>
      <c r="AL54" s="41"/>
      <c r="AM54" s="41"/>
      <c r="AN54" s="41"/>
      <c r="AO54" s="41"/>
      <c r="AP54" s="41"/>
      <c r="AQ54" s="41"/>
      <c r="AR54" s="41"/>
      <c r="AS54" s="41"/>
      <c r="AT54" s="41"/>
      <c r="AU54" s="41"/>
      <c r="AV54" s="41"/>
      <c r="AW54" s="41"/>
      <c r="AX54" s="41"/>
      <c r="AY54" s="41"/>
      <c r="AZ54" s="41"/>
      <c r="BA54" s="41"/>
      <c r="BB54" s="41"/>
      <c r="BC54" s="41"/>
      <c r="BD54" s="41"/>
      <c r="BE54" s="41"/>
      <c r="BF54" s="41"/>
      <c r="BG54" s="41"/>
      <c r="BH54" s="41"/>
      <c r="BI54" s="41"/>
      <c r="BJ54" s="41"/>
      <c r="BK54" s="41"/>
      <c r="BL54" s="41"/>
      <c r="BM54" s="41"/>
      <c r="BN54" s="41"/>
      <c r="BO54" s="41"/>
      <c r="BP54" s="41"/>
      <c r="BQ54" s="41"/>
      <c r="BR54" s="41"/>
      <c r="BS54" s="41"/>
      <c r="BT54" s="41"/>
      <c r="BU54" s="41"/>
      <c r="BV54" s="41"/>
      <c r="BW54" s="41"/>
      <c r="BX54" s="41"/>
      <c r="BY54" s="41"/>
      <c r="BZ54" s="41"/>
      <c r="CA54" s="41"/>
      <c r="CB54" s="41"/>
      <c r="CC54" s="41"/>
      <c r="CD54" s="41"/>
      <c r="CE54" s="41"/>
      <c r="CF54" s="41"/>
      <c r="CG54" s="41"/>
      <c r="CH54" s="41"/>
      <c r="CI54" s="41"/>
      <c r="CJ54" s="41"/>
      <c r="CK54" s="41"/>
      <c r="CL54" s="41"/>
      <c r="CM54" s="41"/>
      <c r="CN54" s="41"/>
      <c r="CO54" s="41"/>
      <c r="CP54" s="41"/>
    </row>
    <row r="55" spans="1:94" s="53" customFormat="1" ht="15.75" customHeight="1" x14ac:dyDescent="0.25">
      <c r="A55" s="85">
        <v>4.3099999999999996</v>
      </c>
      <c r="B55" s="83"/>
      <c r="C55" s="421" t="s">
        <v>49</v>
      </c>
      <c r="D55" s="422"/>
      <c r="E55" s="59"/>
      <c r="F55" s="277">
        <v>0</v>
      </c>
      <c r="G55" s="92">
        <v>0</v>
      </c>
      <c r="H55" s="92">
        <v>0</v>
      </c>
      <c r="I55" s="264">
        <v>0</v>
      </c>
      <c r="J55" s="287">
        <f>SUM(G55:I55)</f>
        <v>0</v>
      </c>
      <c r="K55" s="62"/>
      <c r="L55" s="88"/>
      <c r="M55" s="261"/>
      <c r="N55" s="89">
        <f>SUM(L55:M55)</f>
        <v>0</v>
      </c>
      <c r="O55"/>
      <c r="P55"/>
      <c r="Q55"/>
      <c r="R55"/>
      <c r="S55"/>
      <c r="T55"/>
      <c r="U55"/>
      <c r="V55"/>
      <c r="W55"/>
      <c r="X55"/>
      <c r="Y55"/>
      <c r="Z55" s="344"/>
      <c r="AA55" s="363"/>
      <c r="AB55" s="363"/>
      <c r="AC55" s="363"/>
      <c r="AD55" s="110"/>
      <c r="AE55" s="41"/>
      <c r="AF55" s="41"/>
      <c r="AG55" s="41"/>
      <c r="AH55" s="41"/>
      <c r="AI55" s="41"/>
      <c r="AJ55" s="41"/>
      <c r="AK55" s="41"/>
      <c r="AL55" s="41"/>
      <c r="AM55" s="41"/>
      <c r="AN55" s="41"/>
      <c r="AO55" s="41"/>
      <c r="AP55" s="41"/>
      <c r="AQ55" s="41"/>
      <c r="AR55" s="41"/>
      <c r="AS55" s="41"/>
      <c r="AT55" s="41"/>
      <c r="AU55" s="41"/>
      <c r="AV55" s="41"/>
      <c r="AW55" s="41"/>
      <c r="AX55" s="41"/>
      <c r="AY55" s="41"/>
      <c r="AZ55" s="41"/>
      <c r="BA55" s="41"/>
      <c r="BB55" s="41"/>
      <c r="BC55" s="41"/>
      <c r="BD55" s="41"/>
      <c r="BE55" s="41"/>
      <c r="BF55" s="41"/>
      <c r="BG55" s="41"/>
      <c r="BH55" s="41"/>
      <c r="BI55" s="41"/>
      <c r="BJ55" s="41"/>
      <c r="BK55" s="41"/>
      <c r="BL55" s="41"/>
      <c r="BM55" s="41"/>
      <c r="BN55" s="41"/>
      <c r="BO55" s="41"/>
      <c r="BP55" s="41"/>
      <c r="BQ55" s="41"/>
      <c r="BR55" s="41"/>
      <c r="BS55" s="41"/>
      <c r="BT55" s="41"/>
      <c r="BU55" s="41"/>
      <c r="BV55" s="41"/>
      <c r="BW55" s="41"/>
      <c r="BX55" s="41"/>
      <c r="BY55" s="41"/>
      <c r="BZ55" s="41"/>
      <c r="CA55" s="41"/>
      <c r="CB55" s="41"/>
      <c r="CC55" s="41"/>
      <c r="CD55" s="41"/>
      <c r="CE55" s="41"/>
      <c r="CF55" s="41"/>
      <c r="CG55" s="41"/>
      <c r="CH55" s="41"/>
      <c r="CI55" s="41"/>
      <c r="CJ55" s="41"/>
      <c r="CK55" s="41"/>
      <c r="CL55" s="41"/>
      <c r="CM55" s="41"/>
      <c r="CN55" s="41"/>
      <c r="CO55" s="41"/>
      <c r="CP55" s="41"/>
    </row>
    <row r="56" spans="1:94" s="53" customFormat="1" ht="15.75" customHeight="1" x14ac:dyDescent="0.25">
      <c r="A56" s="75">
        <v>5</v>
      </c>
      <c r="B56" s="76"/>
      <c r="C56" s="54" t="str">
        <f>"FY "&amp;M4-1</f>
        <v>FY 2022</v>
      </c>
      <c r="D56" s="131" t="s">
        <v>50</v>
      </c>
      <c r="E56" s="135"/>
      <c r="F56" s="55">
        <f>SUM(F52:F55)</f>
        <v>22.4</v>
      </c>
      <c r="G56" s="80">
        <f>SUM(G52:G55)</f>
        <v>1250000</v>
      </c>
      <c r="H56" s="80">
        <f>SUM(H52:H55)</f>
        <v>266300</v>
      </c>
      <c r="I56" s="260">
        <f>SUM(I52:I55)</f>
        <v>266700</v>
      </c>
      <c r="J56" s="80">
        <f>SUM(J52:J55)</f>
        <v>1782900</v>
      </c>
      <c r="K56" s="263"/>
      <c r="L56" s="61"/>
      <c r="M56" s="61"/>
      <c r="N56" s="61"/>
      <c r="O56"/>
      <c r="P56"/>
      <c r="Q56"/>
      <c r="R56"/>
      <c r="S56"/>
      <c r="T56"/>
      <c r="U56"/>
      <c r="V56"/>
      <c r="W56"/>
      <c r="X56"/>
      <c r="Y56"/>
      <c r="Z56" s="344"/>
      <c r="AA56" s="363"/>
      <c r="AB56" s="363"/>
      <c r="AC56" s="363"/>
      <c r="AD56" s="110"/>
      <c r="AE56" s="41"/>
      <c r="AF56" s="41"/>
      <c r="AG56" s="41"/>
      <c r="AH56" s="41"/>
      <c r="AI56" s="41"/>
      <c r="AJ56" s="41"/>
      <c r="AK56" s="41"/>
      <c r="AL56" s="41"/>
      <c r="AM56" s="41"/>
      <c r="AN56" s="41"/>
      <c r="AO56" s="41"/>
      <c r="AP56" s="41"/>
      <c r="AQ56" s="41"/>
      <c r="AR56" s="41"/>
      <c r="AS56" s="41"/>
      <c r="AT56" s="41"/>
      <c r="AU56" s="41"/>
      <c r="AV56" s="41"/>
      <c r="AW56" s="41"/>
      <c r="AX56" s="41"/>
      <c r="AY56" s="41"/>
      <c r="AZ56" s="41"/>
      <c r="BA56" s="41"/>
      <c r="BB56" s="41"/>
      <c r="BC56" s="41"/>
      <c r="BD56" s="41"/>
      <c r="BE56" s="41"/>
      <c r="BF56" s="41"/>
      <c r="BG56" s="41"/>
      <c r="BH56" s="41"/>
      <c r="BI56" s="41"/>
      <c r="BJ56" s="41"/>
      <c r="BK56" s="41"/>
      <c r="BL56" s="41"/>
      <c r="BM56" s="41"/>
      <c r="BN56" s="41"/>
      <c r="BO56" s="41"/>
      <c r="BP56" s="41"/>
      <c r="BQ56" s="41"/>
      <c r="BR56" s="41"/>
      <c r="BS56" s="41"/>
      <c r="BT56" s="41"/>
      <c r="BU56" s="41"/>
      <c r="BV56" s="41"/>
      <c r="BW56" s="41"/>
      <c r="BX56" s="41"/>
      <c r="BY56" s="41"/>
      <c r="BZ56" s="41"/>
      <c r="CA56" s="41"/>
      <c r="CB56" s="41"/>
      <c r="CC56" s="41"/>
      <c r="CD56" s="41"/>
      <c r="CE56" s="41"/>
      <c r="CF56" s="41"/>
      <c r="CG56" s="41"/>
      <c r="CH56" s="41"/>
      <c r="CI56" s="41"/>
      <c r="CJ56" s="41"/>
      <c r="CK56" s="41"/>
      <c r="CL56" s="41"/>
      <c r="CM56" s="41"/>
      <c r="CN56" s="41"/>
      <c r="CO56" s="41"/>
      <c r="CP56" s="41"/>
    </row>
    <row r="57" spans="1:94" s="53" customFormat="1" ht="15.75" customHeight="1" x14ac:dyDescent="0.25">
      <c r="A57" s="85"/>
      <c r="B57" s="83"/>
      <c r="C57" s="419" t="s">
        <v>51</v>
      </c>
      <c r="D57" s="423"/>
      <c r="E57" s="367"/>
      <c r="F57" s="273"/>
      <c r="G57" s="62"/>
      <c r="H57" s="62"/>
      <c r="I57" s="62"/>
      <c r="J57" s="62"/>
      <c r="K57" s="62"/>
      <c r="L57" s="61"/>
      <c r="M57" s="61"/>
      <c r="N57" s="61"/>
      <c r="O57"/>
      <c r="P57"/>
      <c r="Q57"/>
      <c r="R57"/>
      <c r="S57"/>
      <c r="T57"/>
      <c r="U57"/>
      <c r="V57"/>
      <c r="W57"/>
      <c r="X57"/>
      <c r="Y57"/>
      <c r="Z57" s="344"/>
      <c r="AA57" s="363"/>
      <c r="AB57" s="363"/>
      <c r="AC57" s="363"/>
      <c r="AD57" s="110"/>
      <c r="AE57" s="41"/>
      <c r="AF57" s="41"/>
      <c r="AG57" s="41"/>
      <c r="AH57" s="41"/>
      <c r="AI57" s="41"/>
      <c r="AJ57" s="41"/>
      <c r="AK57" s="41"/>
      <c r="AL57" s="41"/>
      <c r="AM57" s="41"/>
      <c r="AN57" s="41"/>
      <c r="AO57" s="41"/>
      <c r="AP57" s="41"/>
      <c r="AQ57" s="41"/>
      <c r="AR57" s="41"/>
      <c r="AS57" s="41"/>
      <c r="AT57" s="41"/>
      <c r="AU57" s="41"/>
      <c r="AV57" s="41"/>
      <c r="AW57" s="41"/>
      <c r="AX57" s="41"/>
      <c r="AY57" s="41"/>
      <c r="AZ57" s="41"/>
      <c r="BA57" s="41"/>
      <c r="BB57" s="41"/>
      <c r="BC57" s="41"/>
      <c r="BD57" s="41"/>
      <c r="BE57" s="41"/>
      <c r="BF57" s="41"/>
      <c r="BG57" s="41"/>
      <c r="BH57" s="41"/>
      <c r="BI57" s="41"/>
      <c r="BJ57" s="41"/>
      <c r="BK57" s="41"/>
      <c r="BL57" s="41"/>
      <c r="BM57" s="41"/>
      <c r="BN57" s="41"/>
      <c r="BO57" s="41"/>
      <c r="BP57" s="41"/>
      <c r="BQ57" s="41"/>
      <c r="BR57" s="41"/>
      <c r="BS57" s="41"/>
      <c r="BT57" s="41"/>
      <c r="BU57" s="41"/>
      <c r="BV57" s="41"/>
      <c r="BW57" s="41"/>
      <c r="BX57" s="41"/>
      <c r="BY57" s="41"/>
      <c r="BZ57" s="41"/>
      <c r="CA57" s="41"/>
      <c r="CB57" s="41"/>
      <c r="CC57" s="41"/>
      <c r="CD57" s="41"/>
      <c r="CE57" s="41"/>
      <c r="CF57" s="41"/>
      <c r="CG57" s="41"/>
      <c r="CH57" s="41"/>
      <c r="CI57" s="41"/>
      <c r="CJ57" s="41"/>
      <c r="CK57" s="41"/>
      <c r="CL57" s="41"/>
      <c r="CM57" s="41"/>
      <c r="CN57" s="41"/>
      <c r="CO57" s="41"/>
      <c r="CP57" s="41"/>
    </row>
    <row r="58" spans="1:94" s="53" customFormat="1" ht="15.75" customHeight="1" x14ac:dyDescent="0.25">
      <c r="A58" s="85">
        <v>6.31</v>
      </c>
      <c r="B58" s="83"/>
      <c r="C58" s="408" t="s">
        <v>52</v>
      </c>
      <c r="D58" s="409"/>
      <c r="E58" s="102"/>
      <c r="F58" s="58">
        <v>0</v>
      </c>
      <c r="G58" s="88">
        <v>0</v>
      </c>
      <c r="H58" s="88">
        <v>0</v>
      </c>
      <c r="I58" s="265">
        <v>0</v>
      </c>
      <c r="J58" s="89">
        <f>SUM(G58:I58)</f>
        <v>0</v>
      </c>
      <c r="K58" s="62"/>
      <c r="L58" s="88"/>
      <c r="M58" s="262"/>
      <c r="N58" s="89">
        <f>SUM(L58:M58)</f>
        <v>0</v>
      </c>
      <c r="O58"/>
      <c r="P58"/>
      <c r="Q58"/>
      <c r="R58"/>
      <c r="S58"/>
      <c r="T58"/>
      <c r="U58"/>
      <c r="V58"/>
      <c r="W58"/>
      <c r="X58"/>
      <c r="Y58"/>
      <c r="Z58" s="344"/>
      <c r="AA58" s="363"/>
      <c r="AB58" s="363"/>
      <c r="AC58" s="363"/>
      <c r="AD58" s="110"/>
      <c r="AE58" s="41"/>
      <c r="AF58" s="41"/>
      <c r="AG58" s="41"/>
      <c r="AH58" s="41"/>
      <c r="AI58" s="41"/>
      <c r="AJ58" s="41"/>
      <c r="AK58" s="41"/>
      <c r="AL58" s="41"/>
      <c r="AM58" s="41"/>
      <c r="AN58" s="41"/>
      <c r="AO58" s="41"/>
      <c r="AP58" s="41"/>
      <c r="AQ58" s="41"/>
      <c r="AR58" s="41"/>
      <c r="AS58" s="41"/>
      <c r="AT58" s="41"/>
      <c r="AU58" s="41"/>
      <c r="AV58" s="41"/>
      <c r="AW58" s="41"/>
      <c r="AX58" s="41"/>
      <c r="AY58" s="41"/>
      <c r="AZ58" s="41"/>
      <c r="BA58" s="41"/>
      <c r="BB58" s="41"/>
      <c r="BC58" s="41"/>
      <c r="BD58" s="41"/>
      <c r="BE58" s="41"/>
      <c r="BF58" s="41"/>
      <c r="BG58" s="41"/>
      <c r="BH58" s="41"/>
      <c r="BI58" s="41"/>
      <c r="BJ58" s="41"/>
      <c r="BK58" s="41"/>
      <c r="BL58" s="41"/>
      <c r="BM58" s="41"/>
      <c r="BN58" s="41"/>
      <c r="BO58" s="41"/>
      <c r="BP58" s="41"/>
      <c r="BQ58" s="41"/>
      <c r="BR58" s="41"/>
      <c r="BS58" s="41"/>
      <c r="BT58" s="41"/>
      <c r="BU58" s="41"/>
      <c r="BV58" s="41"/>
      <c r="BW58" s="41"/>
      <c r="BX58" s="41"/>
      <c r="BY58" s="41"/>
      <c r="BZ58" s="41"/>
      <c r="CA58" s="41"/>
      <c r="CB58" s="41"/>
      <c r="CC58" s="41"/>
      <c r="CD58" s="41"/>
      <c r="CE58" s="41"/>
      <c r="CF58" s="41"/>
      <c r="CG58" s="41"/>
      <c r="CH58" s="41"/>
      <c r="CI58" s="41"/>
      <c r="CJ58" s="41"/>
      <c r="CK58" s="41"/>
      <c r="CL58" s="41"/>
      <c r="CM58" s="41"/>
      <c r="CN58" s="41"/>
      <c r="CO58" s="41"/>
      <c r="CP58" s="41"/>
    </row>
    <row r="59" spans="1:94" s="53" customFormat="1" ht="15.75" customHeight="1" x14ac:dyDescent="0.25">
      <c r="A59" s="85">
        <v>6.51</v>
      </c>
      <c r="B59" s="83"/>
      <c r="C59" s="421" t="s">
        <v>66</v>
      </c>
      <c r="D59" s="422"/>
      <c r="E59" s="102"/>
      <c r="F59" s="58">
        <v>0</v>
      </c>
      <c r="G59" s="88">
        <v>0</v>
      </c>
      <c r="H59" s="92">
        <v>0</v>
      </c>
      <c r="I59" s="264">
        <v>0</v>
      </c>
      <c r="J59" s="267">
        <f>SUM(G59:I59)</f>
        <v>0</v>
      </c>
      <c r="K59" s="62"/>
      <c r="L59" s="88"/>
      <c r="M59" s="261"/>
      <c r="N59" s="89">
        <f>SUM(L59:M59)</f>
        <v>0</v>
      </c>
      <c r="O59"/>
      <c r="P59"/>
      <c r="Q59"/>
      <c r="R59"/>
      <c r="S59"/>
      <c r="T59"/>
      <c r="U59"/>
      <c r="V59"/>
      <c r="W59"/>
      <c r="X59"/>
      <c r="Y59"/>
      <c r="Z59" s="344"/>
      <c r="AA59" s="363"/>
      <c r="AB59" s="363"/>
      <c r="AC59" s="363"/>
      <c r="AD59" s="110"/>
      <c r="AE59" s="41"/>
      <c r="AF59" s="41"/>
      <c r="AG59" s="41"/>
      <c r="AH59" s="41"/>
      <c r="AI59" s="41"/>
      <c r="AJ59" s="41"/>
      <c r="AK59" s="41"/>
      <c r="AL59" s="41"/>
      <c r="AM59" s="41"/>
      <c r="AN59" s="41"/>
      <c r="AO59" s="41"/>
      <c r="AP59" s="41"/>
      <c r="AQ59" s="41"/>
      <c r="AR59" s="41"/>
      <c r="AS59" s="41"/>
      <c r="AT59" s="41"/>
      <c r="AU59" s="41"/>
      <c r="AV59" s="41"/>
      <c r="AW59" s="41"/>
      <c r="AX59" s="41"/>
      <c r="AY59" s="41"/>
      <c r="AZ59" s="41"/>
      <c r="BA59" s="41"/>
      <c r="BB59" s="41"/>
      <c r="BC59" s="41"/>
      <c r="BD59" s="41"/>
      <c r="BE59" s="41"/>
      <c r="BF59" s="41"/>
      <c r="BG59" s="41"/>
      <c r="BH59" s="41"/>
      <c r="BI59" s="41"/>
      <c r="BJ59" s="41"/>
      <c r="BK59" s="41"/>
      <c r="BL59" s="41"/>
      <c r="BM59" s="41"/>
      <c r="BN59" s="41"/>
      <c r="BO59" s="41"/>
      <c r="BP59" s="41"/>
      <c r="BQ59" s="41"/>
      <c r="BR59" s="41"/>
      <c r="BS59" s="41"/>
      <c r="BT59" s="41"/>
      <c r="BU59" s="41"/>
      <c r="BV59" s="41"/>
      <c r="BW59" s="41"/>
      <c r="BX59" s="41"/>
      <c r="BY59" s="41"/>
      <c r="BZ59" s="41"/>
      <c r="CA59" s="41"/>
      <c r="CB59" s="41"/>
      <c r="CC59" s="41"/>
      <c r="CD59" s="41"/>
      <c r="CE59" s="41"/>
      <c r="CF59" s="41"/>
      <c r="CG59" s="41"/>
      <c r="CH59" s="41"/>
      <c r="CI59" s="41"/>
      <c r="CJ59" s="41"/>
      <c r="CK59" s="41"/>
      <c r="CL59" s="41"/>
      <c r="CM59" s="41"/>
      <c r="CN59" s="41"/>
      <c r="CO59" s="41"/>
      <c r="CP59" s="41"/>
    </row>
    <row r="60" spans="1:94" s="53" customFormat="1" ht="15.75" customHeight="1" x14ac:dyDescent="0.25">
      <c r="A60" s="75">
        <v>7</v>
      </c>
      <c r="B60" s="76"/>
      <c r="C60" s="54" t="str">
        <f>"FY "&amp;M4-1</f>
        <v>FY 2022</v>
      </c>
      <c r="D60" s="131" t="s">
        <v>53</v>
      </c>
      <c r="E60" s="135"/>
      <c r="F60" s="55">
        <f>SUM(F56:F59)</f>
        <v>22.4</v>
      </c>
      <c r="G60" s="80">
        <f>SUM(G56:G59)</f>
        <v>1250000</v>
      </c>
      <c r="H60" s="80">
        <f>SUM(H56:H59)</f>
        <v>266300</v>
      </c>
      <c r="I60" s="260">
        <f>SUM(I56:I59)</f>
        <v>266700</v>
      </c>
      <c r="J60" s="80">
        <f>SUM(J56:J59)</f>
        <v>1782900</v>
      </c>
      <c r="K60" s="263"/>
      <c r="L60" s="61"/>
      <c r="M60" s="61"/>
      <c r="N60" s="60"/>
      <c r="O60"/>
      <c r="P60"/>
      <c r="Q60"/>
      <c r="R60"/>
      <c r="S60"/>
      <c r="T60"/>
      <c r="U60"/>
      <c r="V60"/>
      <c r="W60"/>
      <c r="X60"/>
      <c r="Y60"/>
      <c r="Z60" s="344"/>
      <c r="AA60" s="363"/>
      <c r="AB60" s="363"/>
      <c r="AC60" s="363"/>
      <c r="AD60" s="110"/>
      <c r="AE60" s="41"/>
      <c r="AF60" s="41"/>
      <c r="AG60" s="41"/>
      <c r="AH60" s="41"/>
      <c r="AI60" s="41"/>
      <c r="AJ60" s="41"/>
      <c r="AK60" s="41"/>
      <c r="AL60" s="41"/>
      <c r="AM60" s="41"/>
      <c r="AN60" s="41"/>
      <c r="AO60" s="41"/>
      <c r="AP60" s="41"/>
      <c r="AQ60" s="41"/>
      <c r="AR60" s="41"/>
      <c r="AS60" s="41"/>
      <c r="AT60" s="41"/>
      <c r="AU60" s="41"/>
      <c r="AV60" s="41"/>
      <c r="AW60" s="41"/>
      <c r="AX60" s="41"/>
      <c r="AY60" s="41"/>
      <c r="AZ60" s="41"/>
      <c r="BA60" s="41"/>
      <c r="BB60" s="41"/>
      <c r="BC60" s="41"/>
      <c r="BD60" s="41"/>
      <c r="BE60" s="41"/>
      <c r="BF60" s="41"/>
      <c r="BG60" s="41"/>
      <c r="BH60" s="41"/>
      <c r="BI60" s="41"/>
      <c r="BJ60" s="41"/>
      <c r="BK60" s="41"/>
      <c r="BL60" s="41"/>
      <c r="BM60" s="41"/>
      <c r="BN60" s="41"/>
      <c r="BO60" s="41"/>
      <c r="BP60" s="41"/>
      <c r="BQ60" s="41"/>
      <c r="BR60" s="41"/>
      <c r="BS60" s="41"/>
      <c r="BT60" s="41"/>
      <c r="BU60" s="41"/>
      <c r="BV60" s="41"/>
      <c r="BW60" s="41"/>
      <c r="BX60" s="41"/>
      <c r="BY60" s="41"/>
      <c r="BZ60" s="41"/>
      <c r="CA60" s="41"/>
      <c r="CB60" s="41"/>
      <c r="CC60" s="41"/>
      <c r="CD60" s="41"/>
      <c r="CE60" s="41"/>
      <c r="CF60" s="41"/>
      <c r="CG60" s="41"/>
      <c r="CH60" s="41"/>
      <c r="CI60" s="41"/>
      <c r="CJ60" s="41"/>
      <c r="CK60" s="41"/>
      <c r="CL60" s="41"/>
      <c r="CM60" s="41"/>
      <c r="CN60" s="41"/>
      <c r="CO60" s="41"/>
      <c r="CP60" s="41"/>
    </row>
    <row r="61" spans="1:94" s="53" customFormat="1" ht="15.75" customHeight="1" x14ac:dyDescent="0.25">
      <c r="A61" s="85"/>
      <c r="B61" s="83"/>
      <c r="C61" s="419" t="s">
        <v>54</v>
      </c>
      <c r="D61" s="423"/>
      <c r="E61" s="367"/>
      <c r="F61" s="273"/>
      <c r="G61" s="62"/>
      <c r="H61" s="62"/>
      <c r="I61" s="62"/>
      <c r="J61" s="62"/>
      <c r="K61" s="62"/>
      <c r="L61" s="61"/>
      <c r="M61" s="61"/>
      <c r="N61" s="60"/>
      <c r="O61"/>
      <c r="P61"/>
      <c r="Q61"/>
      <c r="R61"/>
      <c r="S61"/>
      <c r="T61"/>
      <c r="U61"/>
      <c r="V61"/>
      <c r="W61"/>
      <c r="X61"/>
      <c r="Y61"/>
      <c r="Z61" s="344"/>
      <c r="AA61" s="363"/>
      <c r="AB61" s="363"/>
      <c r="AC61" s="363"/>
      <c r="AD61" s="110"/>
      <c r="AE61" s="41"/>
      <c r="AF61" s="41"/>
      <c r="AG61" s="41"/>
      <c r="AH61" s="41"/>
      <c r="AI61" s="41"/>
      <c r="AJ61" s="41"/>
      <c r="AK61" s="41"/>
      <c r="AL61" s="41"/>
      <c r="AM61" s="41"/>
      <c r="AN61" s="41"/>
      <c r="AO61" s="41"/>
      <c r="AP61" s="41"/>
      <c r="AQ61" s="41"/>
      <c r="AR61" s="41"/>
      <c r="AS61" s="41"/>
      <c r="AT61" s="41"/>
      <c r="AU61" s="41"/>
      <c r="AV61" s="41"/>
      <c r="AW61" s="41"/>
      <c r="AX61" s="41"/>
      <c r="AY61" s="41"/>
      <c r="AZ61" s="41"/>
      <c r="BA61" s="41"/>
      <c r="BB61" s="41"/>
      <c r="BC61" s="41"/>
      <c r="BD61" s="41"/>
      <c r="BE61" s="41"/>
      <c r="BF61" s="41"/>
      <c r="BG61" s="41"/>
      <c r="BH61" s="41"/>
      <c r="BI61" s="41"/>
      <c r="BJ61" s="41"/>
      <c r="BK61" s="41"/>
      <c r="BL61" s="41"/>
      <c r="BM61" s="41"/>
      <c r="BN61" s="41"/>
      <c r="BO61" s="41"/>
      <c r="BP61" s="41"/>
      <c r="BQ61" s="41"/>
      <c r="BR61" s="41"/>
      <c r="BS61" s="41"/>
      <c r="BT61" s="41"/>
      <c r="BU61" s="41"/>
      <c r="BV61" s="41"/>
      <c r="BW61" s="41"/>
      <c r="BX61" s="41"/>
      <c r="BY61" s="41"/>
      <c r="BZ61" s="41"/>
      <c r="CA61" s="41"/>
      <c r="CB61" s="41"/>
      <c r="CC61" s="41"/>
      <c r="CD61" s="41"/>
      <c r="CE61" s="41"/>
      <c r="CF61" s="41"/>
      <c r="CG61" s="41"/>
      <c r="CH61" s="41"/>
      <c r="CI61" s="41"/>
      <c r="CJ61" s="41"/>
      <c r="CK61" s="41"/>
      <c r="CL61" s="41"/>
      <c r="CM61" s="41"/>
      <c r="CN61" s="41"/>
      <c r="CO61" s="41"/>
      <c r="CP61" s="41"/>
    </row>
    <row r="62" spans="1:94" s="53" customFormat="1" ht="15.75" customHeight="1" x14ac:dyDescent="0.25">
      <c r="A62" s="85">
        <v>8.31</v>
      </c>
      <c r="B62" s="83"/>
      <c r="C62" s="408" t="s">
        <v>67</v>
      </c>
      <c r="D62" s="409"/>
      <c r="E62" s="102"/>
      <c r="F62" s="58">
        <v>0</v>
      </c>
      <c r="G62" s="88">
        <v>0</v>
      </c>
      <c r="H62" s="91">
        <v>0</v>
      </c>
      <c r="I62" s="276">
        <v>0</v>
      </c>
      <c r="J62" s="89">
        <f>SUM(G62:I62)</f>
        <v>0</v>
      </c>
      <c r="K62" s="62"/>
      <c r="L62" s="88"/>
      <c r="M62" s="261"/>
      <c r="N62" s="89">
        <f>SUM(L62:M62)</f>
        <v>0</v>
      </c>
      <c r="O62"/>
      <c r="P62"/>
      <c r="Q62"/>
      <c r="R62"/>
      <c r="S62"/>
      <c r="T62"/>
      <c r="U62"/>
      <c r="V62"/>
      <c r="W62"/>
      <c r="X62"/>
      <c r="Y62"/>
      <c r="Z62" s="344"/>
      <c r="AA62" s="363"/>
      <c r="AB62" s="363"/>
      <c r="AC62" s="363"/>
      <c r="AD62" s="110"/>
      <c r="AE62" s="41"/>
      <c r="AF62" s="41"/>
      <c r="AG62" s="41"/>
      <c r="AH62" s="41"/>
      <c r="AI62" s="41"/>
      <c r="AJ62" s="41"/>
      <c r="AK62" s="41"/>
      <c r="AL62" s="41"/>
      <c r="AM62" s="41"/>
      <c r="AN62" s="41"/>
      <c r="AO62" s="41"/>
      <c r="AP62" s="41"/>
      <c r="AQ62" s="41"/>
      <c r="AR62" s="41"/>
      <c r="AS62" s="41"/>
      <c r="AT62" s="41"/>
      <c r="AU62" s="41"/>
      <c r="AV62" s="41"/>
      <c r="AW62" s="41"/>
      <c r="AX62" s="41"/>
      <c r="AY62" s="41"/>
      <c r="AZ62" s="41"/>
      <c r="BA62" s="41"/>
      <c r="BB62" s="41"/>
      <c r="BC62" s="41"/>
      <c r="BD62" s="41"/>
      <c r="BE62" s="41"/>
      <c r="BF62" s="41"/>
      <c r="BG62" s="41"/>
      <c r="BH62" s="41"/>
      <c r="BI62" s="41"/>
      <c r="BJ62" s="41"/>
      <c r="BK62" s="41"/>
      <c r="BL62" s="41"/>
      <c r="BM62" s="41"/>
      <c r="BN62" s="41"/>
      <c r="BO62" s="41"/>
      <c r="BP62" s="41"/>
      <c r="BQ62" s="41"/>
      <c r="BR62" s="41"/>
      <c r="BS62" s="41"/>
      <c r="BT62" s="41"/>
      <c r="BU62" s="41"/>
      <c r="BV62" s="41"/>
      <c r="BW62" s="41"/>
      <c r="BX62" s="41"/>
      <c r="BY62" s="41"/>
      <c r="BZ62" s="41"/>
      <c r="CA62" s="41"/>
      <c r="CB62" s="41"/>
      <c r="CC62" s="41"/>
      <c r="CD62" s="41"/>
      <c r="CE62" s="41"/>
      <c r="CF62" s="41"/>
      <c r="CG62" s="41"/>
      <c r="CH62" s="41"/>
      <c r="CI62" s="41"/>
      <c r="CJ62" s="41"/>
      <c r="CK62" s="41"/>
      <c r="CL62" s="41"/>
      <c r="CM62" s="41"/>
      <c r="CN62" s="41"/>
      <c r="CO62" s="41"/>
      <c r="CP62" s="41"/>
    </row>
    <row r="63" spans="1:94" s="53" customFormat="1" ht="15.75" customHeight="1" x14ac:dyDescent="0.25">
      <c r="A63" s="85">
        <v>8.41</v>
      </c>
      <c r="B63" s="83"/>
      <c r="C63" s="408" t="s">
        <v>55</v>
      </c>
      <c r="D63" s="409"/>
      <c r="E63" s="102"/>
      <c r="F63" s="58">
        <v>0</v>
      </c>
      <c r="G63" s="89">
        <f>ROUND((OneTimePC_Total-H63)/(1+(PermVB+Retire1)),-2)</f>
        <v>0</v>
      </c>
      <c r="H63" s="89">
        <f>ROUND(IF(AND(F63&lt;0,OneTimePC_Total&lt;0),F63*Health,0),-2)</f>
        <v>0</v>
      </c>
      <c r="I63" s="310">
        <f>OneTimePC_Total-G63-H63</f>
        <v>0</v>
      </c>
      <c r="J63" s="89">
        <v>0</v>
      </c>
      <c r="K63" s="308"/>
      <c r="L63" s="88"/>
      <c r="M63" s="261"/>
      <c r="N63" s="89">
        <f>SUM(L63:M63)</f>
        <v>0</v>
      </c>
      <c r="O63"/>
      <c r="P63"/>
      <c r="Q63"/>
      <c r="R63"/>
      <c r="S63"/>
      <c r="T63"/>
      <c r="U63"/>
      <c r="V63"/>
      <c r="W63"/>
      <c r="X63"/>
      <c r="Y63"/>
      <c r="Z63" s="344"/>
      <c r="AA63" s="363"/>
      <c r="AB63" s="363"/>
      <c r="AC63" s="363"/>
      <c r="AD63" s="110"/>
      <c r="AE63" s="41"/>
      <c r="AF63" s="41"/>
      <c r="AG63" s="41"/>
      <c r="AH63" s="41"/>
      <c r="AI63" s="41"/>
      <c r="AJ63" s="41"/>
      <c r="AK63" s="41"/>
      <c r="AL63" s="41"/>
      <c r="AM63" s="41"/>
      <c r="AN63" s="41"/>
      <c r="AO63" s="41"/>
      <c r="AP63" s="41"/>
      <c r="AQ63" s="41"/>
      <c r="AR63" s="41"/>
      <c r="AS63" s="41"/>
      <c r="AT63" s="41"/>
      <c r="AU63" s="41"/>
      <c r="AV63" s="41"/>
      <c r="AW63" s="41"/>
      <c r="AX63" s="41"/>
      <c r="AY63" s="41"/>
      <c r="AZ63" s="41"/>
      <c r="BA63" s="41"/>
      <c r="BB63" s="41"/>
      <c r="BC63" s="41"/>
      <c r="BD63" s="41"/>
      <c r="BE63" s="41"/>
      <c r="BF63" s="41"/>
      <c r="BG63" s="41"/>
      <c r="BH63" s="41"/>
      <c r="BI63" s="41"/>
      <c r="BJ63" s="41"/>
      <c r="BK63" s="41"/>
      <c r="BL63" s="41"/>
      <c r="BM63" s="41"/>
      <c r="BN63" s="41"/>
      <c r="BO63" s="41"/>
      <c r="BP63" s="41"/>
      <c r="BQ63" s="41"/>
      <c r="BR63" s="41"/>
      <c r="BS63" s="41"/>
      <c r="BT63" s="41"/>
      <c r="BU63" s="41"/>
      <c r="BV63" s="41"/>
      <c r="BW63" s="41"/>
      <c r="BX63" s="41"/>
      <c r="BY63" s="41"/>
      <c r="BZ63" s="41"/>
      <c r="CA63" s="41"/>
      <c r="CB63" s="41"/>
      <c r="CC63" s="41"/>
      <c r="CD63" s="41"/>
      <c r="CE63" s="41"/>
      <c r="CF63" s="41"/>
      <c r="CG63" s="41"/>
      <c r="CH63" s="41"/>
      <c r="CI63" s="41"/>
      <c r="CJ63" s="41"/>
      <c r="CK63" s="41"/>
      <c r="CL63" s="41"/>
      <c r="CM63" s="41"/>
      <c r="CN63" s="41"/>
      <c r="CO63" s="41"/>
      <c r="CP63" s="41"/>
    </row>
    <row r="64" spans="1:94" s="53" customFormat="1" ht="15.75" customHeight="1" thickBot="1" x14ac:dyDescent="0.3">
      <c r="A64" s="93">
        <v>8.51</v>
      </c>
      <c r="B64" s="93"/>
      <c r="C64" s="413" t="s">
        <v>56</v>
      </c>
      <c r="D64" s="414"/>
      <c r="E64" s="134"/>
      <c r="F64" s="58">
        <v>0</v>
      </c>
      <c r="G64" s="88"/>
      <c r="H64" s="88">
        <v>0</v>
      </c>
      <c r="I64" s="265"/>
      <c r="J64" s="89">
        <f>SUM(G64:I64)</f>
        <v>0</v>
      </c>
      <c r="K64" s="62"/>
      <c r="L64" s="88"/>
      <c r="M64" s="261"/>
      <c r="N64" s="89">
        <f>SUM(L64:M64)</f>
        <v>0</v>
      </c>
      <c r="O64"/>
      <c r="P64"/>
      <c r="Q64"/>
      <c r="R64"/>
      <c r="S64"/>
      <c r="T64"/>
      <c r="U64"/>
      <c r="V64"/>
      <c r="W64"/>
      <c r="X64"/>
      <c r="Y64"/>
      <c r="Z64" s="344"/>
      <c r="AA64" s="363"/>
      <c r="AB64" s="363"/>
      <c r="AC64" s="363"/>
      <c r="AD64" s="110"/>
      <c r="AE64" s="41"/>
      <c r="AF64" s="41"/>
      <c r="AG64" s="41"/>
      <c r="AH64" s="41"/>
      <c r="AI64" s="41"/>
      <c r="AJ64" s="41"/>
      <c r="AK64" s="41"/>
      <c r="AL64" s="41"/>
      <c r="AM64" s="41"/>
      <c r="AN64" s="41"/>
      <c r="AO64" s="41"/>
      <c r="AP64" s="41"/>
      <c r="AQ64" s="41"/>
      <c r="AR64" s="41"/>
      <c r="AS64" s="41"/>
      <c r="AT64" s="41"/>
      <c r="AU64" s="41"/>
      <c r="AV64" s="41"/>
      <c r="AW64" s="41"/>
      <c r="AX64" s="41"/>
      <c r="AY64" s="41"/>
      <c r="AZ64" s="41"/>
      <c r="BA64" s="41"/>
      <c r="BB64" s="41"/>
      <c r="BC64" s="41"/>
      <c r="BD64" s="41"/>
      <c r="BE64" s="41"/>
      <c r="BF64" s="41"/>
      <c r="BG64" s="41"/>
      <c r="BH64" s="41"/>
      <c r="BI64" s="41"/>
      <c r="BJ64" s="41"/>
      <c r="BK64" s="41"/>
      <c r="BL64" s="41"/>
      <c r="BM64" s="41"/>
      <c r="BN64" s="41"/>
      <c r="BO64" s="41"/>
      <c r="BP64" s="41"/>
      <c r="BQ64" s="41"/>
      <c r="BR64" s="41"/>
      <c r="BS64" s="41"/>
      <c r="BT64" s="41"/>
      <c r="BU64" s="41"/>
      <c r="BV64" s="41"/>
      <c r="BW64" s="41"/>
      <c r="BX64" s="41"/>
      <c r="BY64" s="41"/>
      <c r="BZ64" s="41"/>
      <c r="CA64" s="41"/>
      <c r="CB64" s="41"/>
      <c r="CC64" s="41"/>
      <c r="CD64" s="41"/>
      <c r="CE64" s="41"/>
      <c r="CF64" s="41"/>
      <c r="CG64" s="41"/>
      <c r="CH64" s="41"/>
      <c r="CI64" s="41"/>
      <c r="CJ64" s="41"/>
      <c r="CK64" s="41"/>
      <c r="CL64" s="41"/>
      <c r="CM64" s="41"/>
      <c r="CN64" s="41"/>
      <c r="CO64" s="41"/>
      <c r="CP64" s="41"/>
    </row>
    <row r="65" spans="1:94" s="53" customFormat="1" ht="6" customHeight="1" thickTop="1" x14ac:dyDescent="0.25">
      <c r="A65" s="94"/>
      <c r="B65" s="95"/>
      <c r="C65" s="415"/>
      <c r="D65" s="416"/>
      <c r="E65" s="96"/>
      <c r="F65" s="97"/>
      <c r="G65" s="98"/>
      <c r="H65" s="98"/>
      <c r="I65" s="98"/>
      <c r="J65" s="98"/>
      <c r="K65" s="98"/>
      <c r="L65" s="98"/>
      <c r="M65" s="99"/>
      <c r="N65" s="95"/>
      <c r="O65"/>
      <c r="P65"/>
      <c r="Q65"/>
      <c r="R65"/>
      <c r="S65"/>
      <c r="T65"/>
      <c r="U65"/>
      <c r="V65"/>
      <c r="W65"/>
      <c r="X65"/>
      <c r="Y65"/>
      <c r="Z65" s="344"/>
      <c r="AA65" s="363"/>
      <c r="AB65" s="363"/>
      <c r="AC65" s="363"/>
      <c r="AD65" s="110"/>
      <c r="AE65" s="41"/>
      <c r="AF65" s="41"/>
      <c r="AG65" s="41"/>
      <c r="AH65" s="41"/>
      <c r="AI65" s="41"/>
      <c r="AJ65" s="41"/>
      <c r="AK65" s="41"/>
      <c r="AL65" s="41"/>
      <c r="AM65" s="41"/>
      <c r="AN65" s="41"/>
      <c r="AO65" s="41"/>
      <c r="AP65" s="41"/>
      <c r="AQ65" s="41"/>
      <c r="AR65" s="41"/>
      <c r="AS65" s="41"/>
      <c r="AT65" s="41"/>
      <c r="AU65" s="41"/>
      <c r="AV65" s="41"/>
      <c r="AW65" s="41"/>
      <c r="AX65" s="41"/>
      <c r="AY65" s="41"/>
      <c r="AZ65" s="41"/>
      <c r="BA65" s="41"/>
      <c r="BB65" s="41"/>
      <c r="BC65" s="41"/>
      <c r="BD65" s="41"/>
      <c r="BE65" s="41"/>
      <c r="BF65" s="41"/>
      <c r="BG65" s="41"/>
      <c r="BH65" s="41"/>
      <c r="BI65" s="41"/>
      <c r="BJ65" s="41"/>
      <c r="BK65" s="41"/>
      <c r="BL65" s="41"/>
      <c r="BM65" s="41"/>
      <c r="BN65" s="41"/>
      <c r="BO65" s="41"/>
      <c r="BP65" s="41"/>
      <c r="BQ65" s="41"/>
      <c r="BR65" s="41"/>
      <c r="BS65" s="41"/>
      <c r="BT65" s="41"/>
      <c r="BU65" s="41"/>
      <c r="BV65" s="41"/>
      <c r="BW65" s="41"/>
      <c r="BX65" s="41"/>
      <c r="BY65" s="41"/>
      <c r="BZ65" s="41"/>
      <c r="CA65" s="41"/>
      <c r="CB65" s="41"/>
      <c r="CC65" s="41"/>
      <c r="CD65" s="41"/>
      <c r="CE65" s="41"/>
      <c r="CF65" s="41"/>
      <c r="CG65" s="41"/>
      <c r="CH65" s="41"/>
      <c r="CI65" s="41"/>
      <c r="CJ65" s="41"/>
      <c r="CK65" s="41"/>
      <c r="CL65" s="41"/>
      <c r="CM65" s="41"/>
      <c r="CN65" s="41"/>
      <c r="CO65" s="41"/>
      <c r="CP65" s="41"/>
    </row>
    <row r="66" spans="1:94" s="107" customFormat="1" ht="15" x14ac:dyDescent="0.25">
      <c r="A66" s="100"/>
      <c r="B66" s="101"/>
      <c r="C66" s="417"/>
      <c r="D66" s="418"/>
      <c r="E66" s="102"/>
      <c r="F66" s="103" t="s">
        <v>24</v>
      </c>
      <c r="G66" s="104" t="str">
        <f>"FY "&amp;M4-2000&amp;" Salary"</f>
        <v>FY 23 Salary</v>
      </c>
      <c r="H66" s="104" t="str">
        <f>"FY"&amp;M4-2000&amp;" Health Ben"</f>
        <v>FY23 Health Ben</v>
      </c>
      <c r="I66" s="104" t="str">
        <f>"FY "&amp;M4-2000&amp;" Var Ben"</f>
        <v>FY 23 Var Ben</v>
      </c>
      <c r="J66" s="104" t="str">
        <f>"FY "&amp;M4&amp;" Total"</f>
        <v>FY 2023 Total</v>
      </c>
      <c r="K66" s="104"/>
      <c r="L66" s="105"/>
      <c r="M66" s="105"/>
      <c r="N66" s="101"/>
      <c r="O66"/>
      <c r="P66"/>
      <c r="Q66"/>
      <c r="R66"/>
      <c r="S66"/>
      <c r="T66"/>
      <c r="U66"/>
      <c r="V66"/>
      <c r="W66"/>
      <c r="X66"/>
      <c r="Y66"/>
      <c r="Z66" s="344"/>
      <c r="AA66" s="339"/>
      <c r="AB66" s="339"/>
      <c r="AC66" s="339"/>
      <c r="AD66" s="105"/>
      <c r="AE66" s="106"/>
      <c r="AF66" s="106"/>
      <c r="AG66" s="106"/>
      <c r="AH66" s="106"/>
      <c r="AI66" s="106"/>
      <c r="AJ66" s="106"/>
      <c r="AK66" s="106"/>
      <c r="AL66" s="106"/>
      <c r="AM66" s="106"/>
      <c r="AN66" s="106"/>
      <c r="AO66" s="106"/>
      <c r="AP66" s="106"/>
      <c r="AQ66" s="106"/>
      <c r="AR66" s="106"/>
      <c r="AS66" s="106"/>
      <c r="AT66" s="106"/>
      <c r="AU66" s="106"/>
      <c r="AV66" s="106"/>
      <c r="AW66" s="106"/>
      <c r="AX66" s="106"/>
      <c r="AY66" s="106"/>
      <c r="AZ66" s="106"/>
      <c r="BA66" s="106"/>
      <c r="BB66" s="106"/>
      <c r="BC66" s="106"/>
      <c r="BD66" s="106"/>
      <c r="BE66" s="106"/>
      <c r="BF66" s="106"/>
      <c r="BG66" s="106"/>
      <c r="BH66" s="106"/>
      <c r="BI66" s="106"/>
      <c r="BJ66" s="106"/>
      <c r="BK66" s="106"/>
      <c r="BL66" s="106"/>
      <c r="BM66" s="106"/>
      <c r="BN66" s="106"/>
      <c r="BO66" s="106"/>
      <c r="BP66" s="106"/>
      <c r="BQ66" s="106"/>
      <c r="BR66" s="106"/>
      <c r="BS66" s="106"/>
      <c r="BT66" s="106"/>
      <c r="BU66" s="106"/>
      <c r="BV66" s="106"/>
      <c r="BW66" s="106"/>
      <c r="BX66" s="106"/>
      <c r="BY66" s="106"/>
      <c r="BZ66" s="106"/>
      <c r="CA66" s="106"/>
      <c r="CB66" s="106"/>
      <c r="CC66" s="106"/>
      <c r="CD66" s="106"/>
      <c r="CE66" s="106"/>
      <c r="CF66" s="106"/>
      <c r="CG66" s="106"/>
      <c r="CH66" s="106"/>
      <c r="CI66" s="106"/>
      <c r="CJ66" s="106"/>
      <c r="CK66" s="106"/>
      <c r="CL66" s="106"/>
      <c r="CM66" s="106"/>
      <c r="CN66" s="106"/>
      <c r="CO66" s="106"/>
      <c r="CP66" s="106"/>
    </row>
    <row r="67" spans="1:94" s="53" customFormat="1" ht="15" x14ac:dyDescent="0.25">
      <c r="A67" s="82">
        <v>9</v>
      </c>
      <c r="B67" s="83"/>
      <c r="C67" s="84" t="str">
        <f>"FY "&amp;M4</f>
        <v>FY 2023</v>
      </c>
      <c r="D67" s="108" t="s">
        <v>57</v>
      </c>
      <c r="E67" s="109"/>
      <c r="F67" s="55">
        <f>SUM(F60:F64)</f>
        <v>22.4</v>
      </c>
      <c r="G67" s="80">
        <f>SUM(G60:G64)</f>
        <v>1250000</v>
      </c>
      <c r="H67" s="80">
        <f>SUM(H60:H64)</f>
        <v>266300</v>
      </c>
      <c r="I67" s="80">
        <f>SUM(I60:I64)</f>
        <v>266700</v>
      </c>
      <c r="J67" s="80">
        <f>SUM(J60:J64)</f>
        <v>1782900</v>
      </c>
      <c r="K67" s="263"/>
      <c r="L67" s="110"/>
      <c r="M67" s="110"/>
      <c r="N67" s="111"/>
      <c r="O67"/>
      <c r="P67"/>
      <c r="Q67"/>
      <c r="R67"/>
      <c r="S67"/>
      <c r="T67"/>
      <c r="U67"/>
      <c r="V67"/>
      <c r="W67"/>
      <c r="X67"/>
      <c r="Y67"/>
      <c r="Z67" s="344"/>
      <c r="AA67" s="363"/>
      <c r="AB67" s="363"/>
      <c r="AC67" s="363"/>
      <c r="AD67" s="110"/>
      <c r="AE67" s="41"/>
      <c r="AF67" s="41"/>
      <c r="AG67" s="41"/>
      <c r="AH67" s="41"/>
      <c r="AI67" s="41"/>
      <c r="AJ67" s="41"/>
      <c r="AK67" s="41"/>
      <c r="AL67" s="41"/>
      <c r="AM67" s="41"/>
      <c r="AN67" s="41"/>
      <c r="AO67" s="41"/>
      <c r="AP67" s="41"/>
      <c r="AQ67" s="41"/>
      <c r="AR67" s="41"/>
      <c r="AS67" s="41"/>
      <c r="AT67" s="41"/>
      <c r="AU67" s="41"/>
      <c r="AV67" s="41"/>
      <c r="AW67" s="41"/>
      <c r="AX67" s="41"/>
      <c r="AY67" s="41"/>
      <c r="AZ67" s="41"/>
      <c r="BA67" s="41"/>
      <c r="BB67" s="41"/>
      <c r="BC67" s="41"/>
      <c r="BD67" s="41"/>
      <c r="BE67" s="41"/>
      <c r="BF67" s="41"/>
      <c r="BG67" s="41"/>
      <c r="BH67" s="41"/>
      <c r="BI67" s="41"/>
      <c r="BJ67" s="41"/>
      <c r="BK67" s="41"/>
      <c r="BL67" s="41"/>
      <c r="BM67" s="41"/>
      <c r="BN67" s="41"/>
      <c r="BO67" s="41"/>
      <c r="BP67" s="41"/>
      <c r="BQ67" s="41"/>
      <c r="BR67" s="41"/>
      <c r="BS67" s="41"/>
      <c r="BT67" s="41"/>
      <c r="BU67" s="41"/>
      <c r="BV67" s="41"/>
      <c r="BW67" s="41"/>
      <c r="BX67" s="41"/>
      <c r="BY67" s="41"/>
      <c r="BZ67" s="41"/>
      <c r="CA67" s="41"/>
      <c r="CB67" s="41"/>
      <c r="CC67" s="41"/>
      <c r="CD67" s="41"/>
      <c r="CE67" s="41"/>
      <c r="CF67" s="41"/>
      <c r="CG67" s="41"/>
      <c r="CH67" s="41"/>
      <c r="CI67" s="41"/>
      <c r="CJ67" s="41"/>
      <c r="CK67" s="41"/>
      <c r="CL67" s="41"/>
      <c r="CM67" s="41"/>
      <c r="CN67" s="41"/>
      <c r="CO67" s="41"/>
      <c r="CP67" s="41"/>
    </row>
    <row r="68" spans="1:94" s="53" customFormat="1" ht="15.75" customHeight="1" x14ac:dyDescent="0.25">
      <c r="A68" s="85">
        <v>10.11</v>
      </c>
      <c r="B68" s="83"/>
      <c r="C68" s="419" t="s">
        <v>58</v>
      </c>
      <c r="D68" s="420"/>
      <c r="E68" s="112"/>
      <c r="F68" s="288"/>
      <c r="G68" s="287"/>
      <c r="H68" s="113">
        <f>IF(DUNine=0,0,ROUND(SUM(L41:L65),-2))</f>
        <v>0</v>
      </c>
      <c r="I68" s="113"/>
      <c r="J68" s="287">
        <f>SUM(G68:I68)</f>
        <v>0</v>
      </c>
      <c r="K68" s="291"/>
      <c r="L68" s="292"/>
      <c r="M68" s="292"/>
      <c r="N68" s="293"/>
      <c r="O68"/>
      <c r="P68"/>
      <c r="Q68"/>
      <c r="R68"/>
      <c r="S68"/>
      <c r="T68"/>
      <c r="U68"/>
      <c r="V68"/>
      <c r="W68"/>
      <c r="X68"/>
      <c r="Y68"/>
      <c r="Z68" s="344"/>
      <c r="AA68" s="363"/>
      <c r="AB68" s="363"/>
      <c r="AC68" s="363"/>
      <c r="AD68" s="110"/>
      <c r="AE68" s="41"/>
      <c r="AF68" s="41"/>
      <c r="AG68" s="41"/>
      <c r="AH68" s="41"/>
      <c r="AI68" s="41"/>
      <c r="AJ68" s="41"/>
      <c r="AK68" s="41"/>
      <c r="AL68" s="41"/>
      <c r="AM68" s="41"/>
      <c r="AN68" s="41"/>
      <c r="AO68" s="41"/>
      <c r="AP68" s="41"/>
      <c r="AQ68" s="41"/>
      <c r="AR68" s="41"/>
      <c r="AS68" s="41"/>
      <c r="AT68" s="41"/>
      <c r="AU68" s="41"/>
      <c r="AV68" s="41"/>
      <c r="AW68" s="41"/>
      <c r="AX68" s="41"/>
      <c r="AY68" s="41"/>
      <c r="AZ68" s="41"/>
      <c r="BA68" s="41"/>
      <c r="BB68" s="41"/>
      <c r="BC68" s="41"/>
      <c r="BD68" s="41"/>
      <c r="BE68" s="41"/>
      <c r="BF68" s="41"/>
      <c r="BG68" s="41"/>
      <c r="BH68" s="41"/>
      <c r="BI68" s="41"/>
      <c r="BJ68" s="41"/>
      <c r="BK68" s="41"/>
      <c r="BL68" s="41"/>
      <c r="BM68" s="41"/>
      <c r="BN68" s="41"/>
      <c r="BO68" s="41"/>
      <c r="BP68" s="41"/>
      <c r="BQ68" s="41"/>
      <c r="BR68" s="41"/>
      <c r="BS68" s="41"/>
      <c r="BT68" s="41"/>
      <c r="BU68" s="41"/>
      <c r="BV68" s="41"/>
      <c r="BW68" s="41"/>
      <c r="BX68" s="41"/>
      <c r="BY68" s="41"/>
      <c r="BZ68" s="41"/>
      <c r="CA68" s="41"/>
      <c r="CB68" s="41"/>
      <c r="CC68" s="41"/>
      <c r="CD68" s="41"/>
      <c r="CE68" s="41"/>
      <c r="CF68" s="41"/>
      <c r="CG68" s="41"/>
      <c r="CH68" s="41"/>
      <c r="CI68" s="41"/>
      <c r="CJ68" s="41"/>
      <c r="CK68" s="41"/>
      <c r="CL68" s="41"/>
      <c r="CM68" s="41"/>
      <c r="CN68" s="41"/>
      <c r="CO68" s="41"/>
      <c r="CP68" s="41"/>
    </row>
    <row r="69" spans="1:94" s="53" customFormat="1" ht="15" x14ac:dyDescent="0.25">
      <c r="A69" s="85">
        <v>10.119999999999999</v>
      </c>
      <c r="B69" s="83"/>
      <c r="C69" s="419" t="s">
        <v>59</v>
      </c>
      <c r="D69" s="420"/>
      <c r="E69" s="112"/>
      <c r="F69" s="288"/>
      <c r="G69" s="113"/>
      <c r="H69" s="113"/>
      <c r="I69" s="113">
        <f>IF(DUNine=0,0,ROUND(SUM(M41:M64),-2))</f>
        <v>-5800</v>
      </c>
      <c r="J69" s="287">
        <f>SUM(G69:I69)</f>
        <v>-5800</v>
      </c>
      <c r="K69" s="291"/>
      <c r="L69" s="292"/>
      <c r="M69" s="292"/>
      <c r="N69" s="293"/>
      <c r="O69"/>
      <c r="P69"/>
      <c r="Q69"/>
      <c r="R69"/>
      <c r="S69"/>
      <c r="T69"/>
      <c r="U69"/>
      <c r="V69"/>
      <c r="W69"/>
      <c r="X69"/>
      <c r="Y69"/>
      <c r="Z69" s="344"/>
      <c r="AA69" s="363"/>
      <c r="AB69" s="363"/>
      <c r="AC69" s="363"/>
      <c r="AD69" s="110"/>
      <c r="AE69" s="41"/>
      <c r="AF69" s="41"/>
      <c r="AG69" s="41"/>
      <c r="AH69" s="41"/>
      <c r="AI69" s="41"/>
      <c r="AJ69" s="41"/>
      <c r="AK69" s="41"/>
      <c r="AL69" s="41"/>
      <c r="AM69" s="41"/>
      <c r="AN69" s="41"/>
      <c r="AO69" s="41"/>
      <c r="AP69" s="41"/>
      <c r="AQ69" s="41"/>
      <c r="AR69" s="41"/>
      <c r="AS69" s="41"/>
      <c r="AT69" s="41"/>
      <c r="AU69" s="41"/>
      <c r="AV69" s="41"/>
      <c r="AW69" s="41"/>
      <c r="AX69" s="41"/>
      <c r="AY69" s="41"/>
      <c r="AZ69" s="41"/>
      <c r="BA69" s="41"/>
      <c r="BB69" s="41"/>
      <c r="BC69" s="41"/>
      <c r="BD69" s="41"/>
      <c r="BE69" s="41"/>
      <c r="BF69" s="41"/>
      <c r="BG69" s="41"/>
      <c r="BH69" s="41"/>
      <c r="BI69" s="41"/>
      <c r="BJ69" s="41"/>
      <c r="BK69" s="41"/>
      <c r="BL69" s="41"/>
      <c r="BM69" s="41"/>
      <c r="BN69" s="41"/>
      <c r="BO69" s="41"/>
      <c r="BP69" s="41"/>
      <c r="BQ69" s="41"/>
      <c r="BR69" s="41"/>
      <c r="BS69" s="41"/>
      <c r="BT69" s="41"/>
      <c r="BU69" s="41"/>
      <c r="BV69" s="41"/>
      <c r="BW69" s="41"/>
      <c r="BX69" s="41"/>
      <c r="BY69" s="41"/>
      <c r="BZ69" s="41"/>
      <c r="CA69" s="41"/>
      <c r="CB69" s="41"/>
      <c r="CC69" s="41"/>
      <c r="CD69" s="41"/>
      <c r="CE69" s="41"/>
      <c r="CF69" s="41"/>
      <c r="CG69" s="41"/>
      <c r="CH69" s="41"/>
      <c r="CI69" s="41"/>
      <c r="CJ69" s="41"/>
      <c r="CK69" s="41"/>
      <c r="CL69" s="41"/>
      <c r="CM69" s="41"/>
      <c r="CN69" s="41"/>
      <c r="CO69" s="41"/>
      <c r="CP69" s="41"/>
    </row>
    <row r="70" spans="1:94" s="53" customFormat="1" ht="15" x14ac:dyDescent="0.25">
      <c r="A70" s="85"/>
      <c r="B70" s="83"/>
      <c r="C70" s="406"/>
      <c r="D70" s="407"/>
      <c r="E70" s="236" t="s">
        <v>23</v>
      </c>
      <c r="F70" s="288"/>
      <c r="G70" s="113"/>
      <c r="H70" s="113"/>
      <c r="I70" s="113"/>
      <c r="J70" s="287">
        <f>SUM(G70:I70)</f>
        <v>0</v>
      </c>
      <c r="K70" s="291"/>
      <c r="L70" s="292"/>
      <c r="M70" s="294"/>
      <c r="N70" s="295"/>
      <c r="O70"/>
      <c r="P70"/>
      <c r="Q70"/>
      <c r="R70"/>
      <c r="S70"/>
      <c r="T70"/>
      <c r="U70"/>
      <c r="V70"/>
      <c r="W70"/>
      <c r="X70"/>
      <c r="Y70"/>
      <c r="Z70" s="344"/>
      <c r="AA70" s="363"/>
      <c r="AB70" s="363"/>
      <c r="AC70" s="363"/>
      <c r="AD70" s="110"/>
      <c r="AE70" s="41"/>
      <c r="AF70" s="41"/>
      <c r="AG70" s="41"/>
      <c r="AH70" s="41"/>
      <c r="AI70" s="41"/>
      <c r="AJ70" s="41"/>
      <c r="AK70" s="41"/>
      <c r="AL70" s="41"/>
      <c r="AM70" s="41"/>
      <c r="AN70" s="41"/>
      <c r="AO70" s="41"/>
      <c r="AP70" s="41"/>
      <c r="AQ70" s="41"/>
      <c r="AR70" s="41"/>
      <c r="AS70" s="41"/>
      <c r="AT70" s="41"/>
      <c r="AU70" s="41"/>
      <c r="AV70" s="41"/>
      <c r="AW70" s="41"/>
      <c r="AX70" s="41"/>
      <c r="AY70" s="41"/>
      <c r="AZ70" s="41"/>
      <c r="BA70" s="41"/>
      <c r="BB70" s="41"/>
      <c r="BC70" s="41"/>
      <c r="BD70" s="41"/>
      <c r="BE70" s="41"/>
      <c r="BF70" s="41"/>
      <c r="BG70" s="41"/>
      <c r="BH70" s="41"/>
      <c r="BI70" s="41"/>
      <c r="BJ70" s="41"/>
      <c r="BK70" s="41"/>
      <c r="BL70" s="41"/>
      <c r="BM70" s="41"/>
      <c r="BN70" s="41"/>
      <c r="BO70" s="41"/>
      <c r="BP70" s="41"/>
      <c r="BQ70" s="41"/>
      <c r="BR70" s="41"/>
      <c r="BS70" s="41"/>
      <c r="BT70" s="41"/>
      <c r="BU70" s="41"/>
      <c r="BV70" s="41"/>
      <c r="BW70" s="41"/>
      <c r="BX70" s="41"/>
      <c r="BY70" s="41"/>
      <c r="BZ70" s="41"/>
      <c r="CA70" s="41"/>
      <c r="CB70" s="41"/>
      <c r="CC70" s="41"/>
      <c r="CD70" s="41"/>
      <c r="CE70" s="41"/>
      <c r="CF70" s="41"/>
      <c r="CG70" s="41"/>
      <c r="CH70" s="41"/>
      <c r="CI70" s="41"/>
      <c r="CJ70" s="41"/>
      <c r="CK70" s="41"/>
      <c r="CL70" s="41"/>
      <c r="CM70" s="41"/>
      <c r="CN70" s="41"/>
      <c r="CO70" s="41"/>
      <c r="CP70" s="41"/>
    </row>
    <row r="71" spans="1:94" s="53" customFormat="1" ht="15.75" customHeight="1" x14ac:dyDescent="0.25">
      <c r="A71" s="85">
        <v>10.51</v>
      </c>
      <c r="B71" s="83"/>
      <c r="C71" s="408" t="s">
        <v>60</v>
      </c>
      <c r="D71" s="409"/>
      <c r="E71" s="237"/>
      <c r="F71" s="288"/>
      <c r="G71" s="92">
        <v>0</v>
      </c>
      <c r="H71" s="92">
        <v>0</v>
      </c>
      <c r="I71" s="287">
        <f>ROUND(IF(AND($G71&lt;&gt;0,$E71=1),$G71*PermVBBY+$G71*Retire1BY,IF(AND($G71&lt;&gt;0,$E71=2),$G71*GroupVBBY,IF(AND($G71&lt;&gt;0,$E71=3),$G71*ElectVBBY+$G71*Retire1BY,0))),-2)</f>
        <v>0</v>
      </c>
      <c r="J71" s="113">
        <f t="shared" ref="J71:J74" si="11">SUM(G71:I71)</f>
        <v>0</v>
      </c>
      <c r="K71" s="296"/>
      <c r="L71" s="297"/>
      <c r="M71" s="348" t="s">
        <v>112</v>
      </c>
      <c r="N71" s="356"/>
      <c r="O71" s="357"/>
      <c r="P71" s="357"/>
      <c r="Q71"/>
      <c r="R71"/>
      <c r="S71"/>
      <c r="T71"/>
      <c r="U71"/>
      <c r="V71"/>
      <c r="W71"/>
      <c r="X71"/>
      <c r="Y71"/>
      <c r="Z71" s="344"/>
      <c r="AA71" s="363"/>
      <c r="AB71" s="363"/>
      <c r="AC71" s="363"/>
      <c r="AD71" s="110"/>
      <c r="AE71" s="41"/>
      <c r="AF71" s="41"/>
      <c r="AG71" s="41"/>
      <c r="AH71" s="41"/>
      <c r="AI71" s="41"/>
      <c r="AJ71" s="41"/>
      <c r="AK71" s="41"/>
      <c r="AL71" s="41"/>
      <c r="AM71" s="41"/>
      <c r="AN71" s="41"/>
      <c r="AO71" s="41"/>
      <c r="AP71" s="41"/>
      <c r="AQ71" s="41"/>
      <c r="AR71" s="41"/>
      <c r="AS71" s="41"/>
      <c r="AT71" s="41"/>
      <c r="AU71" s="41"/>
      <c r="AV71" s="41"/>
      <c r="AW71" s="41"/>
      <c r="AX71" s="41"/>
      <c r="AY71" s="41"/>
      <c r="AZ71" s="41"/>
      <c r="BA71" s="41"/>
      <c r="BB71" s="41"/>
      <c r="BC71" s="41"/>
      <c r="BD71" s="41"/>
      <c r="BE71" s="41"/>
      <c r="BF71" s="41"/>
      <c r="BG71" s="41"/>
      <c r="BH71" s="41"/>
      <c r="BI71" s="41"/>
      <c r="BJ71" s="41"/>
      <c r="BK71" s="41"/>
      <c r="BL71" s="41"/>
      <c r="BM71" s="41"/>
      <c r="BN71" s="41"/>
      <c r="BO71" s="41"/>
      <c r="BP71" s="41"/>
      <c r="BQ71" s="41"/>
      <c r="BR71" s="41"/>
      <c r="BS71" s="41"/>
      <c r="BT71" s="41"/>
      <c r="BU71" s="41"/>
      <c r="BV71" s="41"/>
      <c r="BW71" s="41"/>
      <c r="BX71" s="41"/>
      <c r="BY71" s="41"/>
      <c r="BZ71" s="41"/>
      <c r="CA71" s="41"/>
      <c r="CB71" s="41"/>
      <c r="CC71" s="41"/>
      <c r="CD71" s="41"/>
      <c r="CE71" s="41"/>
      <c r="CF71" s="41"/>
      <c r="CG71" s="41"/>
      <c r="CH71" s="41"/>
      <c r="CI71" s="41"/>
      <c r="CJ71" s="41"/>
      <c r="CK71" s="41"/>
      <c r="CL71" s="41"/>
      <c r="CM71" s="41"/>
      <c r="CN71" s="41"/>
      <c r="CO71" s="41"/>
      <c r="CP71" s="41"/>
    </row>
    <row r="72" spans="1:94" s="53" customFormat="1" ht="15.75" customHeight="1" x14ac:dyDescent="0.25">
      <c r="A72" s="85">
        <v>10.61</v>
      </c>
      <c r="B72" s="83"/>
      <c r="C72" s="408" t="s">
        <v>101</v>
      </c>
      <c r="D72" s="410"/>
      <c r="E72" s="290">
        <f>CECPerm</f>
        <v>0.01</v>
      </c>
      <c r="F72" s="288"/>
      <c r="G72" s="355">
        <f>IF(DUNine=0,0,IF(DUNine&lt;0,0,ROUND(AdjPermSalary*CECPerm,-2)))</f>
        <v>12100</v>
      </c>
      <c r="H72" s="287"/>
      <c r="I72" s="287">
        <f>ROUND(($G72*PermVBBY+$G72*Retire1BY),-2)</f>
        <v>2500</v>
      </c>
      <c r="J72" s="113">
        <f>SUM(G72:I72)</f>
        <v>14600</v>
      </c>
      <c r="K72" s="296"/>
      <c r="L72" s="298"/>
      <c r="M72" s="349" t="e">
        <f>IF(DUNine=0,0,IF(((#REF!-G39-G40)*E72)&lt;0,0,ROUND(((#REF!-G39-G40)*E72),-2)))</f>
        <v>#REF!</v>
      </c>
      <c r="N72" s="358"/>
      <c r="O72" s="357" t="e">
        <f>IF(DUNine=0,0,IF(DUNine&lt;0,0,IF(SubCECBase&lt;RoundedAppropSalary,ROUND(AdjPermSalary*CECpermCalc,-2)+((SubCECBase-RoundedAppropSalary)*CECpermCalc),IF(SubCECBase&gt;RoundedAppropSalary,ROUND(AdjPermSalary*CECpermCalc,-2)+((SubCECBase-RoundedAppropSalary)*CECpermCalc),ROUND(AdjPermSalary*CECpermCalc,-2)))))</f>
        <v>#REF!</v>
      </c>
      <c r="P72" s="357"/>
      <c r="Q72"/>
      <c r="R72"/>
      <c r="S72"/>
      <c r="T72"/>
      <c r="U72"/>
      <c r="V72"/>
      <c r="W72"/>
      <c r="X72"/>
      <c r="Y72"/>
      <c r="Z72" s="344"/>
      <c r="AA72" s="363"/>
      <c r="AB72" s="363"/>
      <c r="AC72" s="363"/>
      <c r="AD72" s="110"/>
      <c r="AE72" s="41"/>
      <c r="AF72" s="41"/>
      <c r="AG72" s="41"/>
      <c r="AH72" s="41"/>
      <c r="AI72" s="41"/>
      <c r="AJ72" s="41"/>
      <c r="AK72" s="41"/>
      <c r="AL72" s="41"/>
      <c r="AM72" s="41"/>
      <c r="AN72" s="41"/>
      <c r="AO72" s="41"/>
      <c r="AP72" s="41"/>
      <c r="AQ72" s="41"/>
      <c r="AR72" s="41"/>
      <c r="AS72" s="41"/>
      <c r="AT72" s="41"/>
      <c r="AU72" s="41"/>
      <c r="AV72" s="41"/>
      <c r="AW72" s="41"/>
      <c r="AX72" s="41"/>
      <c r="AY72" s="41"/>
      <c r="AZ72" s="41"/>
      <c r="BA72" s="41"/>
      <c r="BB72" s="41"/>
      <c r="BC72" s="41"/>
      <c r="BD72" s="41"/>
      <c r="BE72" s="41"/>
      <c r="BF72" s="41"/>
      <c r="BG72" s="41"/>
      <c r="BH72" s="41"/>
      <c r="BI72" s="41"/>
      <c r="BJ72" s="41"/>
      <c r="BK72" s="41"/>
      <c r="BL72" s="41"/>
      <c r="BM72" s="41"/>
      <c r="BN72" s="41"/>
      <c r="BO72" s="41"/>
      <c r="BP72" s="41"/>
      <c r="BQ72" s="41"/>
      <c r="BR72" s="41"/>
      <c r="BS72" s="41"/>
      <c r="BT72" s="41"/>
      <c r="BU72" s="41"/>
      <c r="BV72" s="41"/>
      <c r="BW72" s="41"/>
      <c r="BX72" s="41"/>
      <c r="BY72" s="41"/>
      <c r="BZ72" s="41"/>
      <c r="CA72" s="41"/>
      <c r="CB72" s="41"/>
      <c r="CC72" s="41"/>
      <c r="CD72" s="41"/>
      <c r="CE72" s="41"/>
      <c r="CF72" s="41"/>
      <c r="CG72" s="41"/>
      <c r="CH72" s="41"/>
      <c r="CI72" s="41"/>
      <c r="CJ72" s="41"/>
      <c r="CK72" s="41"/>
      <c r="CL72" s="41"/>
      <c r="CM72" s="41"/>
      <c r="CN72" s="41"/>
      <c r="CO72" s="41"/>
      <c r="CP72" s="41"/>
    </row>
    <row r="73" spans="1:94" s="53" customFormat="1" ht="15.6" customHeight="1" x14ac:dyDescent="0.25">
      <c r="A73" s="85">
        <v>10.62</v>
      </c>
      <c r="B73" s="83"/>
      <c r="C73" s="408" t="s">
        <v>61</v>
      </c>
      <c r="D73" s="410"/>
      <c r="E73" s="289">
        <f>CECGroup</f>
        <v>0.01</v>
      </c>
      <c r="F73" s="288"/>
      <c r="G73" s="355">
        <f>IF(DUNine=0,0,IF(DUNine&lt;0,0,ROUND(AdjGroupSalary*CECGroup,-2)))</f>
        <v>0</v>
      </c>
      <c r="H73" s="287"/>
      <c r="I73" s="287">
        <f>ROUND(($G73*GroupVBBY),-2)</f>
        <v>0</v>
      </c>
      <c r="J73" s="113">
        <f t="shared" si="11"/>
        <v>0</v>
      </c>
      <c r="K73" s="301"/>
      <c r="L73" s="302"/>
      <c r="M73" s="359"/>
      <c r="N73" s="360"/>
      <c r="O73" s="357"/>
      <c r="P73" s="357"/>
      <c r="Q73"/>
      <c r="R73"/>
      <c r="S73"/>
      <c r="T73"/>
      <c r="U73"/>
      <c r="V73"/>
      <c r="W73"/>
      <c r="X73"/>
      <c r="Y73"/>
      <c r="Z73" s="344"/>
      <c r="AA73" s="363"/>
      <c r="AB73" s="363"/>
      <c r="AC73" s="363"/>
      <c r="AD73" s="110"/>
      <c r="AE73" s="41"/>
      <c r="AF73" s="41"/>
      <c r="AG73" s="41"/>
      <c r="AH73" s="41"/>
      <c r="AI73" s="41"/>
      <c r="AJ73" s="41"/>
      <c r="AK73" s="41"/>
      <c r="AL73" s="41"/>
      <c r="AM73" s="41"/>
      <c r="AN73" s="41"/>
      <c r="AO73" s="41"/>
      <c r="AP73" s="41"/>
      <c r="AQ73" s="41"/>
      <c r="AR73" s="41"/>
      <c r="AS73" s="41"/>
      <c r="AT73" s="41"/>
      <c r="AU73" s="41"/>
      <c r="AV73" s="41"/>
      <c r="AW73" s="41"/>
      <c r="AX73" s="41"/>
      <c r="AY73" s="41"/>
      <c r="AZ73" s="41"/>
      <c r="BA73" s="41"/>
      <c r="BB73" s="41"/>
      <c r="BC73" s="41"/>
      <c r="BD73" s="41"/>
      <c r="BE73" s="41"/>
      <c r="BF73" s="41"/>
      <c r="BG73" s="41"/>
      <c r="BH73" s="41"/>
      <c r="BI73" s="41"/>
      <c r="BJ73" s="41"/>
      <c r="BK73" s="41"/>
      <c r="BL73" s="41"/>
      <c r="BM73" s="41"/>
      <c r="BN73" s="41"/>
      <c r="BO73" s="41"/>
      <c r="BP73" s="41"/>
      <c r="BQ73" s="41"/>
      <c r="BR73" s="41"/>
      <c r="BS73" s="41"/>
      <c r="BT73" s="41"/>
      <c r="BU73" s="41"/>
      <c r="BV73" s="41"/>
      <c r="BW73" s="41"/>
      <c r="BX73" s="41"/>
      <c r="BY73" s="41"/>
      <c r="BZ73" s="41"/>
      <c r="CA73" s="41"/>
      <c r="CB73" s="41"/>
      <c r="CC73" s="41"/>
      <c r="CD73" s="41"/>
      <c r="CE73" s="41"/>
      <c r="CF73" s="41"/>
      <c r="CG73" s="41"/>
      <c r="CH73" s="41"/>
      <c r="CI73" s="41"/>
      <c r="CJ73" s="41"/>
      <c r="CK73" s="41"/>
      <c r="CL73" s="41"/>
      <c r="CM73" s="41"/>
      <c r="CN73" s="41"/>
      <c r="CO73" s="41"/>
      <c r="CP73" s="41"/>
    </row>
    <row r="74" spans="1:94" s="53" customFormat="1" ht="15.6" customHeight="1" x14ac:dyDescent="0.25">
      <c r="A74" s="85">
        <v>10.63</v>
      </c>
      <c r="B74" s="83"/>
      <c r="C74" s="366" t="s">
        <v>62</v>
      </c>
      <c r="D74" s="368"/>
      <c r="E74" s="112"/>
      <c r="F74" s="288"/>
      <c r="G74" s="92">
        <v>0</v>
      </c>
      <c r="H74" s="287"/>
      <c r="I74" s="287">
        <f>ROUND(($G74*ElectVBBY+$G74*Retire1BY),-2)</f>
        <v>0</v>
      </c>
      <c r="J74" s="113">
        <f t="shared" si="11"/>
        <v>0</v>
      </c>
      <c r="K74" s="301"/>
      <c r="L74" s="302"/>
      <c r="M74" s="303"/>
      <c r="N74" s="304"/>
      <c r="O74"/>
      <c r="P74"/>
      <c r="Q74"/>
      <c r="R74"/>
      <c r="S74"/>
      <c r="T74"/>
      <c r="U74"/>
      <c r="V74"/>
      <c r="W74"/>
      <c r="X74"/>
      <c r="Y74"/>
      <c r="Z74" s="344"/>
      <c r="AA74" s="363"/>
      <c r="AB74" s="363"/>
      <c r="AC74" s="363"/>
      <c r="AD74" s="110"/>
      <c r="AE74" s="41"/>
      <c r="AF74" s="41"/>
      <c r="AG74" s="41"/>
      <c r="AH74" s="41"/>
      <c r="AI74" s="41"/>
      <c r="AJ74" s="41"/>
      <c r="AK74" s="41"/>
      <c r="AL74" s="41"/>
      <c r="AM74" s="41"/>
      <c r="AN74" s="41"/>
      <c r="AO74" s="41"/>
      <c r="AP74" s="41"/>
      <c r="AQ74" s="41"/>
      <c r="AR74" s="41"/>
      <c r="AS74" s="41"/>
      <c r="AT74" s="41"/>
      <c r="AU74" s="41"/>
      <c r="AV74" s="41"/>
      <c r="AW74" s="41"/>
      <c r="AX74" s="41"/>
      <c r="AY74" s="41"/>
      <c r="AZ74" s="41"/>
      <c r="BA74" s="41"/>
      <c r="BB74" s="41"/>
      <c r="BC74" s="41"/>
      <c r="BD74" s="41"/>
      <c r="BE74" s="41"/>
      <c r="BF74" s="41"/>
      <c r="BG74" s="41"/>
      <c r="BH74" s="41"/>
      <c r="BI74" s="41"/>
      <c r="BJ74" s="41"/>
      <c r="BK74" s="41"/>
      <c r="BL74" s="41"/>
      <c r="BM74" s="41"/>
      <c r="BN74" s="41"/>
      <c r="BO74" s="41"/>
      <c r="BP74" s="41"/>
      <c r="BQ74" s="41"/>
      <c r="BR74" s="41"/>
      <c r="BS74" s="41"/>
      <c r="BT74" s="41"/>
      <c r="BU74" s="41"/>
      <c r="BV74" s="41"/>
      <c r="BW74" s="41"/>
      <c r="BX74" s="41"/>
      <c r="BY74" s="41"/>
      <c r="BZ74" s="41"/>
      <c r="CA74" s="41"/>
      <c r="CB74" s="41"/>
      <c r="CC74" s="41"/>
      <c r="CD74" s="41"/>
      <c r="CE74" s="41"/>
      <c r="CF74" s="41"/>
      <c r="CG74" s="41"/>
      <c r="CH74" s="41"/>
      <c r="CI74" s="41"/>
      <c r="CJ74" s="41"/>
      <c r="CK74" s="41"/>
      <c r="CL74" s="41"/>
      <c r="CM74" s="41"/>
      <c r="CN74" s="41"/>
      <c r="CO74" s="41"/>
      <c r="CP74" s="41"/>
    </row>
    <row r="75" spans="1:94" s="53" customFormat="1" ht="15.75" customHeight="1" x14ac:dyDescent="0.25">
      <c r="A75" s="75">
        <v>11</v>
      </c>
      <c r="B75" s="76"/>
      <c r="C75" s="54" t="str">
        <f>"FY "&amp;M4</f>
        <v>FY 2023</v>
      </c>
      <c r="D75" s="77" t="s">
        <v>63</v>
      </c>
      <c r="E75" s="112"/>
      <c r="F75" s="55">
        <f>SUM(F67:F74)</f>
        <v>22.4</v>
      </c>
      <c r="G75" s="80">
        <f>SUM(G67:G74)</f>
        <v>1262100</v>
      </c>
      <c r="H75" s="80">
        <f>SUM(H67:H74)</f>
        <v>266300</v>
      </c>
      <c r="I75" s="80">
        <f>SUM(I67:I74)</f>
        <v>263400</v>
      </c>
      <c r="J75" s="80">
        <f>SUM(J67:K74)</f>
        <v>1791700</v>
      </c>
      <c r="K75" s="296"/>
      <c r="L75" s="299"/>
      <c r="M75" s="299"/>
      <c r="N75" s="300"/>
      <c r="O75"/>
      <c r="P75"/>
      <c r="Q75"/>
      <c r="R75"/>
      <c r="S75"/>
      <c r="T75"/>
      <c r="U75"/>
      <c r="V75"/>
      <c r="W75"/>
      <c r="X75"/>
      <c r="Y75"/>
      <c r="Z75" s="344"/>
      <c r="AA75" s="363"/>
      <c r="AB75" s="363"/>
      <c r="AC75" s="363"/>
      <c r="AD75" s="110"/>
      <c r="AE75" s="41"/>
      <c r="AF75" s="41"/>
      <c r="AG75" s="41"/>
      <c r="AH75" s="41"/>
      <c r="AI75" s="41"/>
      <c r="AJ75" s="41"/>
      <c r="AK75" s="41"/>
      <c r="AL75" s="41"/>
      <c r="AM75" s="41"/>
      <c r="AN75" s="41"/>
      <c r="AO75" s="41"/>
      <c r="AP75" s="41"/>
      <c r="AQ75" s="41"/>
      <c r="AR75" s="41"/>
      <c r="AS75" s="41"/>
      <c r="AT75" s="41"/>
      <c r="AU75" s="41"/>
      <c r="AV75" s="41"/>
      <c r="AW75" s="41"/>
      <c r="AX75" s="41"/>
      <c r="AY75" s="41"/>
      <c r="AZ75" s="41"/>
      <c r="BA75" s="41"/>
      <c r="BB75" s="41"/>
      <c r="BC75" s="41"/>
      <c r="BD75" s="41"/>
      <c r="BE75" s="41"/>
      <c r="BF75" s="41"/>
      <c r="BG75" s="41"/>
      <c r="BH75" s="41"/>
      <c r="BI75" s="41"/>
      <c r="BJ75" s="41"/>
      <c r="BK75" s="41"/>
      <c r="BL75" s="41"/>
      <c r="BM75" s="41"/>
      <c r="BN75" s="41"/>
      <c r="BO75" s="41"/>
      <c r="BP75" s="41"/>
      <c r="BQ75" s="41"/>
      <c r="BR75" s="41"/>
      <c r="BS75" s="41"/>
      <c r="BT75" s="41"/>
      <c r="BU75" s="41"/>
      <c r="BV75" s="41"/>
      <c r="BW75" s="41"/>
      <c r="BX75" s="41"/>
      <c r="BY75" s="41"/>
      <c r="BZ75" s="41"/>
      <c r="CA75" s="41"/>
      <c r="CB75" s="41"/>
      <c r="CC75" s="41"/>
      <c r="CD75" s="41"/>
      <c r="CE75" s="41"/>
      <c r="CF75" s="41"/>
      <c r="CG75" s="41"/>
      <c r="CH75" s="41"/>
      <c r="CI75" s="41"/>
      <c r="CJ75" s="41"/>
      <c r="CK75" s="41"/>
      <c r="CL75" s="41"/>
      <c r="CM75" s="41"/>
      <c r="CN75" s="41"/>
      <c r="CO75" s="41"/>
      <c r="CP75" s="41"/>
    </row>
    <row r="76" spans="1:94" s="53" customFormat="1" ht="28.5" customHeight="1" x14ac:dyDescent="0.25">
      <c r="A76" s="85"/>
      <c r="B76" s="83"/>
      <c r="C76" s="411" t="s">
        <v>64</v>
      </c>
      <c r="D76" s="412"/>
      <c r="E76" s="59"/>
      <c r="F76" s="59"/>
      <c r="G76" s="61"/>
      <c r="H76" s="61"/>
      <c r="I76" s="61"/>
      <c r="J76" s="61"/>
      <c r="K76" s="291"/>
      <c r="L76" s="292"/>
      <c r="M76" s="305"/>
      <c r="N76" s="293"/>
      <c r="O76"/>
      <c r="P76"/>
      <c r="Q76"/>
      <c r="R76"/>
      <c r="S76"/>
      <c r="T76"/>
      <c r="U76"/>
      <c r="V76"/>
      <c r="W76"/>
      <c r="X76"/>
      <c r="Y76"/>
      <c r="Z76" s="344"/>
      <c r="AA76" s="363"/>
      <c r="AB76" s="363"/>
      <c r="AC76" s="363"/>
      <c r="AD76" s="110"/>
      <c r="AE76" s="41"/>
      <c r="AF76" s="41"/>
      <c r="AG76" s="41"/>
      <c r="AH76" s="41"/>
      <c r="AI76" s="41"/>
      <c r="AJ76" s="41"/>
      <c r="AK76" s="41"/>
      <c r="AL76" s="41"/>
      <c r="AM76" s="41"/>
      <c r="AN76" s="41"/>
      <c r="AO76" s="41"/>
      <c r="AP76" s="41"/>
      <c r="AQ76" s="41"/>
      <c r="AR76" s="41"/>
      <c r="AS76" s="41"/>
      <c r="AT76" s="41"/>
      <c r="AU76" s="41"/>
      <c r="AV76" s="41"/>
      <c r="AW76" s="41"/>
      <c r="AX76" s="41"/>
      <c r="AY76" s="41"/>
      <c r="AZ76" s="41"/>
      <c r="BA76" s="41"/>
      <c r="BB76" s="41"/>
      <c r="BC76" s="41"/>
      <c r="BD76" s="41"/>
      <c r="BE76" s="41"/>
      <c r="BF76" s="41"/>
      <c r="BG76" s="41"/>
      <c r="BH76" s="41"/>
      <c r="BI76" s="41"/>
      <c r="BJ76" s="41"/>
      <c r="BK76" s="41"/>
      <c r="BL76" s="41"/>
      <c r="BM76" s="41"/>
      <c r="BN76" s="41"/>
      <c r="BO76" s="41"/>
      <c r="BP76" s="41"/>
      <c r="BQ76" s="41"/>
      <c r="BR76" s="41"/>
      <c r="BS76" s="41"/>
      <c r="BT76" s="41"/>
      <c r="BU76" s="41"/>
      <c r="BV76" s="41"/>
      <c r="BW76" s="41"/>
      <c r="BX76" s="41"/>
      <c r="BY76" s="41"/>
      <c r="BZ76" s="41"/>
      <c r="CA76" s="41"/>
      <c r="CB76" s="41"/>
      <c r="CC76" s="41"/>
      <c r="CD76" s="41"/>
      <c r="CE76" s="41"/>
      <c r="CF76" s="41"/>
      <c r="CG76" s="41"/>
      <c r="CH76" s="41"/>
      <c r="CI76" s="41"/>
      <c r="CJ76" s="41"/>
      <c r="CK76" s="41"/>
      <c r="CL76" s="41"/>
      <c r="CM76" s="41"/>
      <c r="CN76" s="41"/>
      <c r="CO76" s="41"/>
      <c r="CP76" s="41"/>
    </row>
    <row r="77" spans="1:94" s="53" customFormat="1" ht="15" x14ac:dyDescent="0.25">
      <c r="A77" s="116">
        <v>12.01</v>
      </c>
      <c r="B77" s="57"/>
      <c r="C77" s="404"/>
      <c r="D77" s="405"/>
      <c r="E77" s="87"/>
      <c r="F77" s="58"/>
      <c r="G77" s="88"/>
      <c r="H77" s="88"/>
      <c r="I77" s="88"/>
      <c r="J77" s="80">
        <f>ROUND(SUM(G77:I77),-2)</f>
        <v>0</v>
      </c>
      <c r="K77" s="296"/>
      <c r="L77" s="292"/>
      <c r="M77" s="292"/>
      <c r="N77" s="293"/>
      <c r="O77"/>
      <c r="P77"/>
      <c r="Q77"/>
      <c r="R77"/>
      <c r="S77"/>
      <c r="T77"/>
      <c r="U77"/>
      <c r="V77"/>
      <c r="W77"/>
      <c r="X77"/>
      <c r="Y77"/>
      <c r="Z77" s="344"/>
      <c r="AA77" s="363"/>
      <c r="AB77" s="363"/>
      <c r="AC77" s="363"/>
      <c r="AD77" s="110"/>
      <c r="AE77" s="41"/>
      <c r="AF77" s="41"/>
      <c r="AG77" s="41"/>
      <c r="AH77" s="41"/>
      <c r="AI77" s="41"/>
      <c r="AJ77" s="41"/>
      <c r="AK77" s="41"/>
      <c r="AL77" s="41"/>
      <c r="AM77" s="41"/>
      <c r="AN77" s="41"/>
      <c r="AO77" s="41"/>
      <c r="AP77" s="41"/>
      <c r="AQ77" s="41"/>
      <c r="AR77" s="41"/>
      <c r="AS77" s="41"/>
      <c r="AT77" s="41"/>
      <c r="AU77" s="41"/>
      <c r="AV77" s="41"/>
      <c r="AW77" s="41"/>
      <c r="AX77" s="41"/>
      <c r="AY77" s="41"/>
      <c r="AZ77" s="41"/>
      <c r="BA77" s="41"/>
      <c r="BB77" s="41"/>
      <c r="BC77" s="41"/>
      <c r="BD77" s="41"/>
      <c r="BE77" s="41"/>
      <c r="BF77" s="41"/>
      <c r="BG77" s="41"/>
      <c r="BH77" s="41"/>
      <c r="BI77" s="41"/>
      <c r="BJ77" s="41"/>
      <c r="BK77" s="41"/>
      <c r="BL77" s="41"/>
      <c r="BM77" s="41"/>
      <c r="BN77" s="41"/>
      <c r="BO77" s="41"/>
      <c r="BP77" s="41"/>
      <c r="BQ77" s="41"/>
      <c r="BR77" s="41"/>
      <c r="BS77" s="41"/>
      <c r="BT77" s="41"/>
      <c r="BU77" s="41"/>
      <c r="BV77" s="41"/>
      <c r="BW77" s="41"/>
      <c r="BX77" s="41"/>
      <c r="BY77" s="41"/>
      <c r="BZ77" s="41"/>
      <c r="CA77" s="41"/>
      <c r="CB77" s="41"/>
      <c r="CC77" s="41"/>
      <c r="CD77" s="41"/>
      <c r="CE77" s="41"/>
      <c r="CF77" s="41"/>
      <c r="CG77" s="41"/>
      <c r="CH77" s="41"/>
      <c r="CI77" s="41"/>
      <c r="CJ77" s="41"/>
      <c r="CK77" s="41"/>
      <c r="CL77" s="41"/>
      <c r="CM77" s="41"/>
      <c r="CN77" s="41"/>
      <c r="CO77" s="41"/>
      <c r="CP77" s="41"/>
    </row>
    <row r="78" spans="1:94" s="53" customFormat="1" ht="15" x14ac:dyDescent="0.25">
      <c r="A78" s="116">
        <v>12.02</v>
      </c>
      <c r="B78" s="57"/>
      <c r="C78" s="404"/>
      <c r="D78" s="405"/>
      <c r="E78" s="87"/>
      <c r="F78" s="58"/>
      <c r="G78" s="88"/>
      <c r="H78" s="88"/>
      <c r="I78" s="88"/>
      <c r="J78" s="80">
        <f>ROUND(SUM(G78:I78),-2)</f>
        <v>0</v>
      </c>
      <c r="K78" s="296"/>
      <c r="L78" s="292"/>
      <c r="M78" s="292"/>
      <c r="N78" s="293"/>
      <c r="O78"/>
      <c r="P78"/>
      <c r="Q78"/>
      <c r="R78"/>
      <c r="S78"/>
      <c r="T78"/>
      <c r="U78"/>
      <c r="V78"/>
      <c r="W78"/>
      <c r="X78"/>
      <c r="Y78"/>
      <c r="Z78" s="344"/>
      <c r="AA78" s="363"/>
      <c r="AB78" s="363"/>
      <c r="AC78" s="363"/>
      <c r="AD78" s="110"/>
      <c r="AE78" s="41"/>
      <c r="AF78" s="41"/>
      <c r="AG78" s="41"/>
      <c r="AH78" s="41"/>
      <c r="AI78" s="41"/>
      <c r="AJ78" s="41"/>
      <c r="AK78" s="41"/>
      <c r="AL78" s="41"/>
      <c r="AM78" s="41"/>
      <c r="AN78" s="41"/>
      <c r="AO78" s="41"/>
      <c r="AP78" s="41"/>
      <c r="AQ78" s="41"/>
      <c r="AR78" s="41"/>
      <c r="AS78" s="41"/>
      <c r="AT78" s="41"/>
      <c r="AU78" s="41"/>
      <c r="AV78" s="41"/>
      <c r="AW78" s="41"/>
      <c r="AX78" s="41"/>
      <c r="AY78" s="41"/>
      <c r="AZ78" s="41"/>
      <c r="BA78" s="41"/>
      <c r="BB78" s="41"/>
      <c r="BC78" s="41"/>
      <c r="BD78" s="41"/>
      <c r="BE78" s="41"/>
      <c r="BF78" s="41"/>
      <c r="BG78" s="41"/>
      <c r="BH78" s="41"/>
      <c r="BI78" s="41"/>
      <c r="BJ78" s="41"/>
      <c r="BK78" s="41"/>
      <c r="BL78" s="41"/>
      <c r="BM78" s="41"/>
      <c r="BN78" s="41"/>
      <c r="BO78" s="41"/>
      <c r="BP78" s="41"/>
      <c r="BQ78" s="41"/>
      <c r="BR78" s="41"/>
      <c r="BS78" s="41"/>
      <c r="BT78" s="41"/>
      <c r="BU78" s="41"/>
      <c r="BV78" s="41"/>
      <c r="BW78" s="41"/>
      <c r="BX78" s="41"/>
      <c r="BY78" s="41"/>
      <c r="BZ78" s="41"/>
      <c r="CA78" s="41"/>
      <c r="CB78" s="41"/>
      <c r="CC78" s="41"/>
      <c r="CD78" s="41"/>
      <c r="CE78" s="41"/>
      <c r="CF78" s="41"/>
      <c r="CG78" s="41"/>
      <c r="CH78" s="41"/>
      <c r="CI78" s="41"/>
      <c r="CJ78" s="41"/>
      <c r="CK78" s="41"/>
      <c r="CL78" s="41"/>
      <c r="CM78" s="41"/>
      <c r="CN78" s="41"/>
      <c r="CO78" s="41"/>
      <c r="CP78" s="41"/>
    </row>
    <row r="79" spans="1:94" s="53" customFormat="1" ht="15" x14ac:dyDescent="0.25">
      <c r="A79" s="116">
        <v>12.03</v>
      </c>
      <c r="B79" s="57" t="s">
        <v>45</v>
      </c>
      <c r="C79" s="404"/>
      <c r="D79" s="405"/>
      <c r="E79" s="87"/>
      <c r="F79" s="58"/>
      <c r="G79" s="88"/>
      <c r="H79" s="88"/>
      <c r="I79" s="88"/>
      <c r="J79" s="80">
        <f>ROUND(SUM(G79:I79),-2)</f>
        <v>0</v>
      </c>
      <c r="K79" s="296"/>
      <c r="L79" s="292"/>
      <c r="M79" s="292"/>
      <c r="N79" s="293"/>
      <c r="O79"/>
      <c r="P79"/>
      <c r="Q79"/>
      <c r="R79"/>
      <c r="S79"/>
      <c r="T79"/>
      <c r="U79"/>
      <c r="V79"/>
      <c r="W79"/>
      <c r="X79"/>
      <c r="Y79"/>
      <c r="Z79" s="344"/>
      <c r="AA79" s="363"/>
      <c r="AB79" s="363"/>
      <c r="AC79" s="363"/>
      <c r="AD79" s="110"/>
      <c r="AE79" s="41"/>
      <c r="AF79" s="41"/>
      <c r="AG79" s="41"/>
      <c r="AH79" s="41"/>
      <c r="AI79" s="41"/>
      <c r="AJ79" s="41"/>
      <c r="AK79" s="41"/>
      <c r="AL79" s="41"/>
      <c r="AM79" s="41"/>
      <c r="AN79" s="41"/>
      <c r="AO79" s="41"/>
      <c r="AP79" s="41"/>
      <c r="AQ79" s="41"/>
      <c r="AR79" s="41"/>
      <c r="AS79" s="41"/>
      <c r="AT79" s="41"/>
      <c r="AU79" s="41"/>
      <c r="AV79" s="41"/>
      <c r="AW79" s="41"/>
      <c r="AX79" s="41"/>
      <c r="AY79" s="41"/>
      <c r="AZ79" s="41"/>
      <c r="BA79" s="41"/>
      <c r="BB79" s="41"/>
      <c r="BC79" s="41"/>
      <c r="BD79" s="41"/>
      <c r="BE79" s="41"/>
      <c r="BF79" s="41"/>
      <c r="BG79" s="41"/>
      <c r="BH79" s="41"/>
      <c r="BI79" s="41"/>
      <c r="BJ79" s="41"/>
      <c r="BK79" s="41"/>
      <c r="BL79" s="41"/>
      <c r="BM79" s="41"/>
      <c r="BN79" s="41"/>
      <c r="BO79" s="41"/>
      <c r="BP79" s="41"/>
      <c r="BQ79" s="41"/>
      <c r="BR79" s="41"/>
      <c r="BS79" s="41"/>
      <c r="BT79" s="41"/>
      <c r="BU79" s="41"/>
      <c r="BV79" s="41"/>
      <c r="BW79" s="41"/>
      <c r="BX79" s="41"/>
      <c r="BY79" s="41"/>
      <c r="BZ79" s="41"/>
      <c r="CA79" s="41"/>
      <c r="CB79" s="41"/>
      <c r="CC79" s="41"/>
      <c r="CD79" s="41"/>
      <c r="CE79" s="41"/>
      <c r="CF79" s="41"/>
      <c r="CG79" s="41"/>
      <c r="CH79" s="41"/>
      <c r="CI79" s="41"/>
      <c r="CJ79" s="41"/>
      <c r="CK79" s="41"/>
      <c r="CL79" s="41"/>
      <c r="CM79" s="41"/>
      <c r="CN79" s="41"/>
      <c r="CO79" s="41"/>
      <c r="CP79" s="41"/>
    </row>
    <row r="80" spans="1:94" s="53" customFormat="1" ht="15.75" customHeight="1" x14ac:dyDescent="0.25">
      <c r="A80" s="117">
        <v>13</v>
      </c>
      <c r="B80" s="118"/>
      <c r="C80" s="119" t="str">
        <f>"FY "&amp;M4</f>
        <v>FY 2023</v>
      </c>
      <c r="D80" s="120" t="s">
        <v>65</v>
      </c>
      <c r="E80" s="121"/>
      <c r="F80" s="55">
        <f>SUM(F75:F79)</f>
        <v>22.4</v>
      </c>
      <c r="G80" s="80">
        <f>SUM(G75:G79)</f>
        <v>1262100</v>
      </c>
      <c r="H80" s="80">
        <f>SUM(H75:H79)</f>
        <v>266300</v>
      </c>
      <c r="I80" s="80">
        <f>SUM(I75:I79)</f>
        <v>263400</v>
      </c>
      <c r="J80" s="80">
        <f>SUM(J75:J79)</f>
        <v>1791700</v>
      </c>
      <c r="K80" s="270"/>
      <c r="L80" s="122"/>
      <c r="M80" s="122"/>
      <c r="N80" s="123"/>
      <c r="O80"/>
      <c r="P80"/>
      <c r="Q80"/>
      <c r="R80"/>
      <c r="S80"/>
      <c r="T80"/>
      <c r="U80"/>
      <c r="V80"/>
      <c r="W80"/>
      <c r="X80"/>
      <c r="Y80"/>
      <c r="Z80" s="344"/>
      <c r="AA80" s="363"/>
      <c r="AB80" s="363"/>
      <c r="AC80" s="363"/>
      <c r="AD80" s="110"/>
      <c r="AE80" s="41"/>
      <c r="AF80" s="41"/>
      <c r="AG80" s="41"/>
      <c r="AH80" s="41"/>
      <c r="AI80" s="41"/>
      <c r="AJ80" s="41"/>
      <c r="AK80" s="41"/>
      <c r="AL80" s="41"/>
      <c r="AM80" s="41"/>
      <c r="AN80" s="41"/>
      <c r="AO80" s="41"/>
      <c r="AP80" s="41"/>
      <c r="AQ80" s="41"/>
      <c r="AR80" s="41"/>
      <c r="AS80" s="41"/>
      <c r="AT80" s="41"/>
      <c r="AU80" s="41"/>
      <c r="AV80" s="41"/>
      <c r="AW80" s="41"/>
      <c r="AX80" s="41"/>
      <c r="AY80" s="41"/>
      <c r="AZ80" s="41"/>
      <c r="BA80" s="41"/>
      <c r="BB80" s="41"/>
      <c r="BC80" s="41"/>
      <c r="BD80" s="41"/>
      <c r="BE80" s="41"/>
      <c r="BF80" s="41"/>
      <c r="BG80" s="41"/>
      <c r="BH80" s="41"/>
      <c r="BI80" s="41"/>
      <c r="BJ80" s="41"/>
      <c r="BK80" s="41"/>
      <c r="BL80" s="41"/>
      <c r="BM80" s="41"/>
      <c r="BN80" s="41"/>
      <c r="BO80" s="41"/>
      <c r="BP80" s="41"/>
      <c r="BQ80" s="41"/>
      <c r="BR80" s="41"/>
      <c r="BS80" s="41"/>
      <c r="BT80" s="41"/>
      <c r="BU80" s="41"/>
      <c r="BV80" s="41"/>
      <c r="BW80" s="41"/>
      <c r="BX80" s="41"/>
      <c r="BY80" s="41"/>
      <c r="BZ80" s="41"/>
      <c r="CA80" s="41"/>
      <c r="CB80" s="41"/>
      <c r="CC80" s="41"/>
      <c r="CD80" s="41"/>
      <c r="CE80" s="41"/>
      <c r="CF80" s="41"/>
      <c r="CG80" s="41"/>
      <c r="CH80" s="41"/>
      <c r="CI80" s="41"/>
      <c r="CJ80" s="41"/>
      <c r="CK80" s="41"/>
      <c r="CL80" s="41"/>
      <c r="CM80" s="41"/>
      <c r="CN80" s="41"/>
      <c r="CO80" s="41"/>
      <c r="CP80" s="41"/>
    </row>
  </sheetData>
  <mergeCells count="51">
    <mergeCell ref="C13:D13"/>
    <mergeCell ref="M1:N1"/>
    <mergeCell ref="M2:N2"/>
    <mergeCell ref="M3:N3"/>
    <mergeCell ref="M4:N4"/>
    <mergeCell ref="I5:L5"/>
    <mergeCell ref="C8:D8"/>
    <mergeCell ref="AA8:AC8"/>
    <mergeCell ref="C9:D9"/>
    <mergeCell ref="C10:D10"/>
    <mergeCell ref="C11:D11"/>
    <mergeCell ref="C12:D12"/>
    <mergeCell ref="K43:N43"/>
    <mergeCell ref="AA43:AC43"/>
    <mergeCell ref="K44:N44"/>
    <mergeCell ref="C16:D16"/>
    <mergeCell ref="C17:D17"/>
    <mergeCell ref="C18:D18"/>
    <mergeCell ref="C37:D37"/>
    <mergeCell ref="AA37:AC37"/>
    <mergeCell ref="C38:D38"/>
    <mergeCell ref="C54:D54"/>
    <mergeCell ref="C39:D39"/>
    <mergeCell ref="C41:D41"/>
    <mergeCell ref="C42:D42"/>
    <mergeCell ref="C43:D44"/>
    <mergeCell ref="K45:N45"/>
    <mergeCell ref="E46:J47"/>
    <mergeCell ref="K46:N47"/>
    <mergeCell ref="C50:D50"/>
    <mergeCell ref="C53:D53"/>
    <mergeCell ref="C69:D69"/>
    <mergeCell ref="C55:D55"/>
    <mergeCell ref="C57:D57"/>
    <mergeCell ref="C58:D58"/>
    <mergeCell ref="C59:D59"/>
    <mergeCell ref="C61:D61"/>
    <mergeCell ref="C62:D62"/>
    <mergeCell ref="C63:D63"/>
    <mergeCell ref="C64:D64"/>
    <mergeCell ref="C65:D65"/>
    <mergeCell ref="C66:D66"/>
    <mergeCell ref="C68:D68"/>
    <mergeCell ref="C78:D78"/>
    <mergeCell ref="C79:D79"/>
    <mergeCell ref="C70:D70"/>
    <mergeCell ref="C71:D71"/>
    <mergeCell ref="C72:D72"/>
    <mergeCell ref="C73:D73"/>
    <mergeCell ref="C76:D76"/>
    <mergeCell ref="C77:D77"/>
  </mergeCells>
  <conditionalFormatting sqref="K44">
    <cfRule type="expression" dxfId="63" priority="5">
      <formula>$J$44&lt;0</formula>
    </cfRule>
  </conditionalFormatting>
  <conditionalFormatting sqref="K43">
    <cfRule type="expression" dxfId="62" priority="4">
      <formula>$J$43&lt;0</formula>
    </cfRule>
  </conditionalFormatting>
  <conditionalFormatting sqref="L16">
    <cfRule type="expression" dxfId="61" priority="3">
      <formula>$J$16&lt;0</formula>
    </cfRule>
  </conditionalFormatting>
  <conditionalFormatting sqref="K45">
    <cfRule type="expression" dxfId="60" priority="2">
      <formula>$J$44&lt;0</formula>
    </cfRule>
  </conditionalFormatting>
  <conditionalFormatting sqref="K43:N45">
    <cfRule type="containsText" dxfId="59" priority="1" operator="containsText" text="underfunding">
      <formula>NOT(ISERROR(SEARCH("underfunding",K43)))</formula>
    </cfRule>
  </conditionalFormatting>
  <printOptions horizontalCentered="1"/>
  <pageMargins left="0.5" right="0.5" top="0.65" bottom="0.65" header="0.26" footer="0.31"/>
  <pageSetup scale="63" fitToHeight="2" orientation="landscape" r:id="rId1"/>
  <headerFooter>
    <oddHeader>&amp;L&amp;"Helv,Bold"FORM B6:  WAGE &amp;&amp; SALARY RECONCILIATION</oddHeader>
    <oddFooter>&amp;LPrinted: &amp;D, &amp;T&amp;RPage &amp;P of &amp;N</oddFooter>
  </headerFooter>
  <rowBreaks count="1" manualBreakCount="1">
    <brk id="64" max="12" man="1"/>
  </rowBreaks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2B601EBB-D2E5-4526-BE60-D00006055452}">
          <x14:formula1>
            <xm:f>Benefits!$A$20:$A$26</xm:f>
          </x14:formula1>
          <xm:sqref>C20:C30 C32:C36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F5EA64-4454-43A9-BAC0-049B56A45A20}">
  <sheetPr>
    <tabColor rgb="FF00B0F0"/>
    <pageSetUpPr fitToPage="1"/>
  </sheetPr>
  <dimension ref="A1:CP80"/>
  <sheetViews>
    <sheetView showGridLines="0" zoomScaleNormal="100" workbookViewId="0">
      <selection activeCell="C8" sqref="C8:N16"/>
    </sheetView>
  </sheetViews>
  <sheetFormatPr defaultColWidth="9.140625" defaultRowHeight="15.75" x14ac:dyDescent="0.25"/>
  <cols>
    <col min="1" max="1" width="7.85546875" style="124" customWidth="1"/>
    <col min="2" max="2" width="7.7109375" style="125" customWidth="1"/>
    <col min="3" max="3" width="9" style="125" customWidth="1"/>
    <col min="4" max="4" width="39.28515625" style="53" customWidth="1"/>
    <col min="5" max="5" width="13" style="126" customWidth="1"/>
    <col min="6" max="6" width="12.28515625" style="127" customWidth="1"/>
    <col min="7" max="7" width="12.140625" style="127" bestFit="1" customWidth="1"/>
    <col min="8" max="8" width="14.5703125" style="127" customWidth="1"/>
    <col min="9" max="9" width="19.5703125" style="128" bestFit="1" customWidth="1"/>
    <col min="10" max="10" width="13.7109375" style="129" customWidth="1"/>
    <col min="11" max="11" width="13.7109375" style="129" hidden="1" customWidth="1"/>
    <col min="12" max="12" width="18.42578125" style="129" customWidth="1"/>
    <col min="13" max="13" width="16.42578125" style="129" customWidth="1"/>
    <col min="14" max="14" width="16.140625" style="128" customWidth="1"/>
    <col min="15" max="25" width="16.140625" customWidth="1"/>
    <col min="26" max="26" width="16.140625" style="344" customWidth="1"/>
    <col min="27" max="27" width="22.140625" style="334" bestFit="1" customWidth="1"/>
    <col min="28" max="28" width="31.140625" style="334" bestFit="1" customWidth="1"/>
    <col min="29" max="29" width="7.85546875" style="334" bestFit="1" customWidth="1"/>
    <col min="30" max="30" width="9.140625" style="110" customWidth="1"/>
    <col min="31" max="94" width="9.140625" style="17"/>
    <col min="95" max="16384" width="9.140625" style="18"/>
  </cols>
  <sheetData>
    <row r="1" spans="1:94" x14ac:dyDescent="0.25">
      <c r="A1" s="12" t="s">
        <v>13</v>
      </c>
      <c r="B1" s="13"/>
      <c r="C1" s="13"/>
      <c r="D1" s="14" t="s">
        <v>1989</v>
      </c>
      <c r="E1" s="15"/>
      <c r="F1" s="15"/>
      <c r="G1" s="15"/>
      <c r="H1" s="15"/>
      <c r="I1" s="15"/>
      <c r="J1" s="15"/>
      <c r="K1" s="15"/>
      <c r="L1" s="16" t="s">
        <v>14</v>
      </c>
      <c r="M1" s="467">
        <v>352</v>
      </c>
      <c r="N1" s="468"/>
      <c r="AA1" s="363"/>
      <c r="AB1" s="333"/>
      <c r="AC1" s="333"/>
      <c r="AD1" s="325"/>
    </row>
    <row r="2" spans="1:94" ht="20.25" x14ac:dyDescent="0.25">
      <c r="A2" s="19" t="s">
        <v>116</v>
      </c>
      <c r="B2" s="20"/>
      <c r="C2" s="20"/>
      <c r="D2" s="14" t="s">
        <v>1990</v>
      </c>
      <c r="E2" s="21"/>
      <c r="F2" s="21"/>
      <c r="G2" s="21"/>
      <c r="H2" s="21"/>
      <c r="I2" s="21"/>
      <c r="J2" s="20"/>
      <c r="K2" s="20"/>
      <c r="L2" s="22" t="s">
        <v>113</v>
      </c>
      <c r="M2" s="469" t="s">
        <v>2033</v>
      </c>
      <c r="N2" s="470"/>
      <c r="AA2" s="333"/>
      <c r="AB2" s="333"/>
      <c r="AC2" s="333"/>
      <c r="AD2" s="325"/>
    </row>
    <row r="3" spans="1:94" x14ac:dyDescent="0.25">
      <c r="A3" s="19" t="s">
        <v>117</v>
      </c>
      <c r="B3" s="20"/>
      <c r="C3" s="20"/>
      <c r="D3" s="23" t="s">
        <v>2009</v>
      </c>
      <c r="E3" s="24"/>
      <c r="F3" s="25"/>
      <c r="G3" s="25"/>
      <c r="H3" s="25"/>
      <c r="I3" s="26"/>
      <c r="J3" s="20"/>
      <c r="K3" s="20"/>
      <c r="L3" s="22" t="s">
        <v>114</v>
      </c>
      <c r="M3" s="467" t="s">
        <v>1538</v>
      </c>
      <c r="N3" s="468"/>
      <c r="AA3" s="363"/>
      <c r="AB3" s="333"/>
      <c r="AC3" s="333"/>
      <c r="AD3" s="325"/>
    </row>
    <row r="4" spans="1:94" x14ac:dyDescent="0.25">
      <c r="A4" s="19"/>
      <c r="B4" s="20"/>
      <c r="C4" s="20"/>
      <c r="D4" s="27"/>
      <c r="E4" s="24"/>
      <c r="F4" s="25"/>
      <c r="G4" s="25"/>
      <c r="H4" s="25"/>
      <c r="I4" s="28"/>
      <c r="J4" s="26"/>
      <c r="K4" s="26"/>
      <c r="L4" s="22" t="s">
        <v>15</v>
      </c>
      <c r="M4" s="467">
        <v>2023</v>
      </c>
      <c r="N4" s="468"/>
      <c r="AA4" s="363"/>
      <c r="AB4" s="333"/>
      <c r="AC4" s="333"/>
      <c r="AD4" s="325"/>
    </row>
    <row r="5" spans="1:94" s="34" customFormat="1" ht="18" customHeight="1" x14ac:dyDescent="0.25">
      <c r="A5" s="19" t="s">
        <v>16</v>
      </c>
      <c r="B5" s="20"/>
      <c r="C5" s="20"/>
      <c r="D5" s="350">
        <v>44440</v>
      </c>
      <c r="E5" s="27"/>
      <c r="F5" s="30"/>
      <c r="G5" s="31"/>
      <c r="H5" s="31" t="s">
        <v>17</v>
      </c>
      <c r="I5" s="469" t="s">
        <v>2031</v>
      </c>
      <c r="J5" s="471"/>
      <c r="K5" s="471"/>
      <c r="L5" s="470"/>
      <c r="M5" s="351" t="s">
        <v>115</v>
      </c>
      <c r="N5" s="32" t="s">
        <v>2032</v>
      </c>
      <c r="O5"/>
      <c r="P5"/>
      <c r="Q5"/>
      <c r="R5"/>
      <c r="S5"/>
      <c r="T5"/>
      <c r="U5"/>
      <c r="V5"/>
      <c r="W5"/>
      <c r="X5"/>
      <c r="Y5"/>
      <c r="Z5" s="344"/>
      <c r="AA5" s="363"/>
      <c r="AB5" s="333"/>
      <c r="AC5" s="333"/>
      <c r="AD5" s="326"/>
      <c r="AE5" s="33"/>
      <c r="AF5" s="33"/>
      <c r="AG5" s="33"/>
      <c r="AH5" s="33"/>
      <c r="AI5" s="33"/>
      <c r="AJ5" s="33"/>
      <c r="AK5" s="33"/>
      <c r="AL5" s="33"/>
      <c r="AM5" s="33"/>
      <c r="AN5" s="33"/>
      <c r="AO5" s="33"/>
      <c r="AP5" s="33"/>
      <c r="AQ5" s="33"/>
      <c r="AR5" s="33"/>
      <c r="AS5" s="33"/>
      <c r="AT5" s="33"/>
      <c r="AU5" s="33"/>
      <c r="AV5" s="33"/>
      <c r="AW5" s="33"/>
      <c r="AX5" s="33"/>
      <c r="AY5" s="33"/>
      <c r="AZ5" s="33"/>
      <c r="BA5" s="33"/>
      <c r="BB5" s="33"/>
      <c r="BC5" s="33"/>
      <c r="BD5" s="33"/>
      <c r="BE5" s="33"/>
      <c r="BF5" s="33"/>
      <c r="BG5" s="33"/>
      <c r="BH5" s="33"/>
      <c r="BI5" s="33"/>
      <c r="BJ5" s="33"/>
      <c r="BK5" s="33"/>
      <c r="BL5" s="33"/>
      <c r="BM5" s="33"/>
      <c r="BN5" s="33"/>
      <c r="BO5" s="33"/>
      <c r="BP5" s="33"/>
      <c r="BQ5" s="33"/>
      <c r="BR5" s="33"/>
      <c r="BS5" s="33"/>
      <c r="BT5" s="33"/>
      <c r="BU5" s="33"/>
      <c r="BV5" s="33"/>
      <c r="BW5" s="33"/>
      <c r="BX5" s="33"/>
      <c r="BY5" s="33"/>
      <c r="BZ5" s="33"/>
      <c r="CA5" s="33"/>
      <c r="CB5" s="33"/>
      <c r="CC5" s="33"/>
      <c r="CD5" s="33"/>
      <c r="CE5" s="33"/>
      <c r="CF5" s="33"/>
      <c r="CG5" s="33"/>
      <c r="CH5" s="33"/>
      <c r="CI5" s="33"/>
      <c r="CJ5" s="33"/>
      <c r="CK5" s="33"/>
      <c r="CL5" s="33"/>
      <c r="CM5" s="33"/>
      <c r="CN5" s="33"/>
      <c r="CO5" s="33"/>
      <c r="CP5" s="33"/>
    </row>
    <row r="6" spans="1:94" ht="23.25" customHeight="1" x14ac:dyDescent="0.25">
      <c r="A6" s="19"/>
      <c r="B6" s="20" t="s">
        <v>18</v>
      </c>
      <c r="C6" s="20"/>
      <c r="D6" s="29"/>
      <c r="E6" s="35" t="s">
        <v>19</v>
      </c>
      <c r="F6" s="36"/>
      <c r="G6" s="25"/>
      <c r="H6" s="25"/>
      <c r="I6" s="37"/>
      <c r="J6" s="31" t="s">
        <v>84</v>
      </c>
      <c r="K6" s="31"/>
      <c r="L6" s="352"/>
      <c r="M6" s="353" t="s">
        <v>85</v>
      </c>
      <c r="N6" s="306"/>
      <c r="AA6" s="363"/>
      <c r="AB6" s="333"/>
      <c r="AC6" s="333"/>
      <c r="AD6" s="325"/>
    </row>
    <row r="7" spans="1:94" x14ac:dyDescent="0.25">
      <c r="A7" s="38"/>
      <c r="B7" s="39"/>
      <c r="C7" s="40"/>
      <c r="D7" s="41"/>
      <c r="E7" s="42"/>
      <c r="F7" s="40"/>
      <c r="G7" s="43"/>
      <c r="H7" s="44"/>
      <c r="I7" s="45"/>
      <c r="J7" s="46"/>
      <c r="K7" s="46"/>
      <c r="L7" s="46"/>
      <c r="M7" s="46"/>
      <c r="N7" s="47"/>
    </row>
    <row r="8" spans="1:94" s="52" customFormat="1" ht="40.5" customHeight="1" x14ac:dyDescent="0.25">
      <c r="A8" s="48" t="s">
        <v>20</v>
      </c>
      <c r="B8" s="369" t="s">
        <v>21</v>
      </c>
      <c r="C8" s="472" t="s">
        <v>22</v>
      </c>
      <c r="D8" s="473"/>
      <c r="E8" s="369" t="s">
        <v>23</v>
      </c>
      <c r="F8" s="49" t="s">
        <v>24</v>
      </c>
      <c r="G8" s="50" t="str">
        <f>"FY "&amp;'TAAF|0276-00'!FiscalYear-1&amp;" SALARY"</f>
        <v>FY 2022 SALARY</v>
      </c>
      <c r="H8" s="50" t="str">
        <f>"FY "&amp;'TAAF|0276-00'!FiscalYear-1&amp;" HEALTH BENEFITS"</f>
        <v>FY 2022 HEALTH BENEFITS</v>
      </c>
      <c r="I8" s="50" t="str">
        <f>"FY "&amp;'TAAF|0276-00'!FiscalYear-1&amp;" VAR BENEFITS"</f>
        <v>FY 2022 VAR BENEFITS</v>
      </c>
      <c r="J8" s="50" t="str">
        <f>"FY "&amp;'TAAF|0276-00'!FiscalYear-1&amp;" TOTAL"</f>
        <v>FY 2022 TOTAL</v>
      </c>
      <c r="K8" s="50" t="str">
        <f>"FY "&amp;'TAAF|0276-00'!FiscalYear&amp;" SALARY CHANGE"</f>
        <v>FY 2023 SALARY CHANGE</v>
      </c>
      <c r="L8" s="50" t="str">
        <f>"FY "&amp;'TAAF|0276-00'!FiscalYear&amp;" CHG HEALTH BENEFITS"</f>
        <v>FY 2023 CHG HEALTH BENEFITS</v>
      </c>
      <c r="M8" s="50" t="str">
        <f>"FY "&amp;'TAAF|0276-00'!FiscalYear&amp;" CHG VAR BENEFITS"</f>
        <v>FY 2023 CHG VAR BENEFITS</v>
      </c>
      <c r="N8" s="50" t="s">
        <v>25</v>
      </c>
      <c r="O8"/>
      <c r="P8"/>
      <c r="Q8"/>
      <c r="R8"/>
      <c r="S8"/>
      <c r="T8"/>
      <c r="U8"/>
      <c r="V8"/>
      <c r="W8"/>
      <c r="X8"/>
      <c r="Y8"/>
      <c r="Z8" s="344"/>
      <c r="AA8" s="463" t="s">
        <v>105</v>
      </c>
      <c r="AB8" s="463"/>
      <c r="AC8" s="463"/>
      <c r="AD8" s="327"/>
      <c r="AE8" s="51"/>
      <c r="AF8" s="51"/>
      <c r="AG8" s="51"/>
      <c r="AH8" s="51"/>
      <c r="AI8" s="51"/>
      <c r="AJ8" s="51"/>
      <c r="AK8" s="51"/>
      <c r="AL8" s="51"/>
      <c r="AM8" s="51"/>
      <c r="AN8" s="51"/>
      <c r="AO8" s="51"/>
      <c r="AP8" s="51"/>
      <c r="AQ8" s="51"/>
      <c r="AR8" s="51"/>
      <c r="AS8" s="51"/>
      <c r="AT8" s="51"/>
      <c r="AU8" s="51"/>
      <c r="AV8" s="51"/>
      <c r="AW8" s="51"/>
      <c r="AX8" s="51"/>
      <c r="AY8" s="51"/>
      <c r="AZ8" s="51"/>
      <c r="BA8" s="51"/>
      <c r="BB8" s="51"/>
      <c r="BC8" s="51"/>
      <c r="BD8" s="51"/>
      <c r="BE8" s="51"/>
      <c r="BF8" s="51"/>
      <c r="BG8" s="51"/>
      <c r="BH8" s="51"/>
      <c r="BI8" s="51"/>
      <c r="BJ8" s="51"/>
      <c r="BK8" s="51"/>
      <c r="BL8" s="51"/>
      <c r="BM8" s="51"/>
      <c r="BN8" s="51"/>
      <c r="BO8" s="51"/>
      <c r="BP8" s="51"/>
      <c r="BQ8" s="51"/>
      <c r="BR8" s="51"/>
      <c r="BS8" s="51"/>
      <c r="BT8" s="51"/>
      <c r="BU8" s="51"/>
      <c r="BV8" s="51"/>
      <c r="BW8" s="51"/>
      <c r="BX8" s="51"/>
      <c r="BY8" s="51"/>
      <c r="BZ8" s="51"/>
      <c r="CA8" s="51"/>
      <c r="CB8" s="51"/>
      <c r="CC8" s="51"/>
      <c r="CD8" s="51"/>
      <c r="CE8" s="51"/>
      <c r="CF8" s="51"/>
      <c r="CG8" s="51"/>
      <c r="CH8" s="51"/>
      <c r="CI8" s="51"/>
      <c r="CJ8" s="51"/>
      <c r="CK8" s="51"/>
      <c r="CL8" s="51"/>
      <c r="CM8" s="51"/>
      <c r="CN8" s="51"/>
      <c r="CO8" s="51"/>
      <c r="CP8" s="51"/>
    </row>
    <row r="9" spans="1:94" s="149" customFormat="1" x14ac:dyDescent="0.25">
      <c r="A9" s="139"/>
      <c r="B9" s="140"/>
      <c r="C9" s="464" t="s">
        <v>26</v>
      </c>
      <c r="D9" s="465"/>
      <c r="E9" s="141"/>
      <c r="F9" s="142"/>
      <c r="G9" s="143"/>
      <c r="H9" s="143"/>
      <c r="I9" s="143"/>
      <c r="J9" s="144"/>
      <c r="K9" s="144"/>
      <c r="L9" s="145"/>
      <c r="M9" s="146"/>
      <c r="N9" s="144"/>
      <c r="O9"/>
      <c r="P9"/>
      <c r="Q9"/>
      <c r="R9"/>
      <c r="S9"/>
      <c r="T9"/>
      <c r="U9"/>
      <c r="V9"/>
      <c r="W9"/>
      <c r="X9"/>
      <c r="Y9"/>
      <c r="Z9" s="344"/>
      <c r="AA9" s="363" t="s">
        <v>94</v>
      </c>
      <c r="AB9" s="333" t="s">
        <v>95</v>
      </c>
      <c r="AC9" s="333" t="s">
        <v>106</v>
      </c>
      <c r="AD9" s="328"/>
      <c r="AE9" s="148"/>
      <c r="AF9" s="148"/>
      <c r="AG9" s="148"/>
      <c r="AH9" s="148"/>
      <c r="AI9" s="148"/>
      <c r="AJ9" s="148"/>
      <c r="AK9" s="148"/>
      <c r="AL9" s="148"/>
      <c r="AM9" s="148"/>
      <c r="AN9" s="148"/>
      <c r="AO9" s="148"/>
      <c r="AP9" s="148"/>
      <c r="AQ9" s="148"/>
      <c r="AR9" s="148"/>
      <c r="AS9" s="148"/>
      <c r="AT9" s="148"/>
      <c r="AU9" s="148"/>
      <c r="AV9" s="148"/>
      <c r="AW9" s="148"/>
      <c r="AX9" s="148"/>
      <c r="AY9" s="148"/>
      <c r="AZ9" s="148"/>
      <c r="BA9" s="148"/>
      <c r="BB9" s="148"/>
      <c r="BC9" s="148"/>
      <c r="BD9" s="148"/>
      <c r="BE9" s="148"/>
      <c r="BF9" s="148"/>
      <c r="BG9" s="148"/>
      <c r="BH9" s="148"/>
      <c r="BI9" s="148"/>
      <c r="BJ9" s="148"/>
      <c r="BK9" s="148"/>
      <c r="BL9" s="148"/>
      <c r="BM9" s="148"/>
      <c r="BN9" s="148"/>
      <c r="BO9" s="148"/>
      <c r="BP9" s="148"/>
      <c r="BQ9" s="148"/>
      <c r="BR9" s="148"/>
      <c r="BS9" s="148"/>
      <c r="BT9" s="148"/>
      <c r="BU9" s="148"/>
      <c r="BV9" s="148"/>
      <c r="BW9" s="148"/>
      <c r="BX9" s="148"/>
      <c r="BY9" s="148"/>
      <c r="BZ9" s="148"/>
      <c r="CA9" s="148"/>
      <c r="CB9" s="148"/>
      <c r="CC9" s="148"/>
      <c r="CD9" s="148"/>
      <c r="CE9" s="148"/>
      <c r="CF9" s="148"/>
      <c r="CG9" s="148"/>
      <c r="CH9" s="148"/>
      <c r="CI9" s="148"/>
      <c r="CJ9" s="148"/>
      <c r="CK9" s="148"/>
      <c r="CL9" s="148"/>
      <c r="CM9" s="148"/>
      <c r="CN9" s="148"/>
      <c r="CO9" s="148"/>
      <c r="CP9" s="148"/>
    </row>
    <row r="10" spans="1:94" s="149" customFormat="1" x14ac:dyDescent="0.25">
      <c r="A10" s="139"/>
      <c r="B10" s="139"/>
      <c r="C10" s="443" t="s">
        <v>27</v>
      </c>
      <c r="D10" s="466"/>
      <c r="E10" s="217">
        <v>1</v>
      </c>
      <c r="F10" s="288">
        <f>[0]!TAAF027600col_INC_FTI</f>
        <v>17.049999999999997</v>
      </c>
      <c r="G10" s="218">
        <f>[0]!TAAF027600col_FTI_SALARY_PERM</f>
        <v>1083754.8800000001</v>
      </c>
      <c r="H10" s="218">
        <f>[0]!TAAF027600col_HEALTH_PERM</f>
        <v>198632.5</v>
      </c>
      <c r="I10" s="218">
        <f>[0]!TAAF027600col_TOT_VB_PERM</f>
        <v>231349.15423360001</v>
      </c>
      <c r="J10" s="219">
        <f>SUM(G10:I10)</f>
        <v>1513736.5342336001</v>
      </c>
      <c r="K10" s="219">
        <f>[0]!TAAF027600col_1_27TH_PP</f>
        <v>0</v>
      </c>
      <c r="L10" s="218">
        <f>[0]!TAAF027600col_HEALTH_PERM_CHG</f>
        <v>0</v>
      </c>
      <c r="M10" s="218">
        <f>[0]!TAAF027600col_TOT_VB_PERM_CHG</f>
        <v>-5202.0234239999991</v>
      </c>
      <c r="N10" s="218">
        <f>SUM(L10:M10)</f>
        <v>-5202.0234239999991</v>
      </c>
      <c r="O10"/>
      <c r="P10"/>
      <c r="Q10"/>
      <c r="R10"/>
      <c r="S10"/>
      <c r="T10"/>
      <c r="U10"/>
      <c r="V10"/>
      <c r="W10"/>
      <c r="X10"/>
      <c r="Y10"/>
      <c r="Z10" s="344"/>
      <c r="AA10" s="338">
        <f>ROUND(CECPerm*PermSalary,-2)</f>
        <v>10800</v>
      </c>
      <c r="AB10" s="335">
        <f>ROUND(PermVarBen*CECPerm+(CECPerm*PermVarBenChg),-2)</f>
        <v>2300</v>
      </c>
      <c r="AC10" s="335">
        <f>SUM(AA10:AB10)</f>
        <v>13100</v>
      </c>
      <c r="AD10" s="328"/>
      <c r="AE10" s="148"/>
      <c r="AF10" s="148"/>
      <c r="AG10" s="148"/>
      <c r="AH10" s="148"/>
      <c r="AI10" s="148"/>
      <c r="AJ10" s="148"/>
      <c r="AK10" s="148"/>
      <c r="AL10" s="148"/>
      <c r="AM10" s="148"/>
      <c r="AN10" s="148"/>
      <c r="AO10" s="148"/>
      <c r="AP10" s="148"/>
      <c r="AQ10" s="148"/>
      <c r="AR10" s="148"/>
      <c r="AS10" s="148"/>
      <c r="AT10" s="148"/>
      <c r="AU10" s="148"/>
      <c r="AV10" s="148"/>
      <c r="AW10" s="148"/>
      <c r="AX10" s="148"/>
      <c r="AY10" s="148"/>
      <c r="AZ10" s="148"/>
      <c r="BA10" s="148"/>
      <c r="BB10" s="148"/>
      <c r="BC10" s="148"/>
      <c r="BD10" s="148"/>
      <c r="BE10" s="148"/>
      <c r="BF10" s="148"/>
      <c r="BG10" s="148"/>
      <c r="BH10" s="148"/>
      <c r="BI10" s="148"/>
      <c r="BJ10" s="148"/>
      <c r="BK10" s="148"/>
      <c r="BL10" s="148"/>
      <c r="BM10" s="148"/>
      <c r="BN10" s="148"/>
      <c r="BO10" s="148"/>
      <c r="BP10" s="148"/>
      <c r="BQ10" s="148"/>
      <c r="BR10" s="148"/>
      <c r="BS10" s="148"/>
      <c r="BT10" s="148"/>
      <c r="BU10" s="148"/>
      <c r="BV10" s="148"/>
      <c r="BW10" s="148"/>
      <c r="BX10" s="148"/>
      <c r="BY10" s="148"/>
      <c r="BZ10" s="148"/>
      <c r="CA10" s="148"/>
      <c r="CB10" s="148"/>
      <c r="CC10" s="148"/>
      <c r="CD10" s="148"/>
      <c r="CE10" s="148"/>
      <c r="CF10" s="148"/>
      <c r="CG10" s="148"/>
      <c r="CH10" s="148"/>
      <c r="CI10" s="148"/>
      <c r="CJ10" s="148"/>
      <c r="CK10" s="148"/>
      <c r="CL10" s="148"/>
      <c r="CM10" s="148"/>
      <c r="CN10" s="148"/>
      <c r="CO10" s="148"/>
      <c r="CP10" s="148"/>
    </row>
    <row r="11" spans="1:94" s="149" customFormat="1" x14ac:dyDescent="0.25">
      <c r="A11" s="139"/>
      <c r="B11" s="139"/>
      <c r="C11" s="443" t="s">
        <v>28</v>
      </c>
      <c r="D11" s="466"/>
      <c r="E11" s="217">
        <v>2</v>
      </c>
      <c r="F11" s="288"/>
      <c r="G11" s="218">
        <f>[0]!TAAF027600col_Group_Salary</f>
        <v>54975.97</v>
      </c>
      <c r="H11" s="218">
        <v>0</v>
      </c>
      <c r="I11" s="218">
        <f>[0]!TAAF027600col_Group_Ben</f>
        <v>4295.71</v>
      </c>
      <c r="J11" s="219">
        <f>SUM(G11:I11)</f>
        <v>59271.68</v>
      </c>
      <c r="K11" s="268"/>
      <c r="L11" s="218"/>
      <c r="M11" s="218"/>
      <c r="N11" s="218"/>
      <c r="O11"/>
      <c r="P11"/>
      <c r="Q11"/>
      <c r="R11"/>
      <c r="S11"/>
      <c r="T11"/>
      <c r="U11"/>
      <c r="V11"/>
      <c r="W11"/>
      <c r="X11"/>
      <c r="Y11"/>
      <c r="Z11" s="344"/>
      <c r="AA11" s="338">
        <f>ROUND(GroupSalary*CECGroup,-2)</f>
        <v>500</v>
      </c>
      <c r="AB11" s="335">
        <f>ROUND((GroupSalary*GroupVBBY)*CECGroup,-2)</f>
        <v>0</v>
      </c>
      <c r="AC11" s="335">
        <f>SUM(AA12:AB12)</f>
        <v>0</v>
      </c>
      <c r="AD11" s="328"/>
      <c r="AE11" s="148"/>
      <c r="AF11" s="148"/>
      <c r="AG11" s="148"/>
      <c r="AH11" s="148"/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148"/>
      <c r="AV11" s="148"/>
      <c r="AW11" s="148"/>
      <c r="AX11" s="148"/>
      <c r="AY11" s="148"/>
      <c r="AZ11" s="148"/>
      <c r="BA11" s="148"/>
      <c r="BB11" s="148"/>
      <c r="BC11" s="148"/>
      <c r="BD11" s="148"/>
      <c r="BE11" s="148"/>
      <c r="BF11" s="148"/>
      <c r="BG11" s="148"/>
      <c r="BH11" s="148"/>
      <c r="BI11" s="148"/>
      <c r="BJ11" s="148"/>
      <c r="BK11" s="148"/>
      <c r="BL11" s="148"/>
      <c r="BM11" s="148"/>
      <c r="BN11" s="148"/>
      <c r="BO11" s="148"/>
      <c r="BP11" s="148"/>
      <c r="BQ11" s="148"/>
      <c r="BR11" s="148"/>
      <c r="BS11" s="148"/>
      <c r="BT11" s="148"/>
      <c r="BU11" s="148"/>
      <c r="BV11" s="148"/>
      <c r="BW11" s="148"/>
      <c r="BX11" s="148"/>
      <c r="BY11" s="148"/>
      <c r="BZ11" s="148"/>
      <c r="CA11" s="148"/>
      <c r="CB11" s="148"/>
      <c r="CC11" s="148"/>
      <c r="CD11" s="148"/>
      <c r="CE11" s="148"/>
      <c r="CF11" s="148"/>
      <c r="CG11" s="148"/>
      <c r="CH11" s="148"/>
      <c r="CI11" s="148"/>
      <c r="CJ11" s="148"/>
      <c r="CK11" s="148"/>
      <c r="CL11" s="148"/>
      <c r="CM11" s="148"/>
      <c r="CN11" s="148"/>
      <c r="CO11" s="148"/>
      <c r="CP11" s="148"/>
    </row>
    <row r="12" spans="1:94" s="149" customFormat="1" x14ac:dyDescent="0.25">
      <c r="A12" s="139"/>
      <c r="B12" s="139"/>
      <c r="C12" s="443" t="s">
        <v>29</v>
      </c>
      <c r="D12" s="444"/>
      <c r="E12" s="217">
        <v>3</v>
      </c>
      <c r="F12" s="288">
        <f>[0]!TAAF027600col_TOTAL_ELECT_PCN_FTI</f>
        <v>0</v>
      </c>
      <c r="G12" s="218">
        <f>[0]!TAAF027600col_FTI_SALARY_ELECT</f>
        <v>0</v>
      </c>
      <c r="H12" s="218">
        <f>[0]!TAAF027600col_HEALTH_ELECT</f>
        <v>0</v>
      </c>
      <c r="I12" s="218">
        <f>[0]!TAAF027600col_TOT_VB_ELECT</f>
        <v>0</v>
      </c>
      <c r="J12" s="219">
        <f>SUM(G12:I12)</f>
        <v>0</v>
      </c>
      <c r="K12" s="268"/>
      <c r="L12" s="218">
        <f>[0]!TAAF027600col_HEALTH_ELECT_CHG</f>
        <v>0</v>
      </c>
      <c r="M12" s="218">
        <f>[0]!TAAF027600col_TOT_VB_ELECT_CHG</f>
        <v>0</v>
      </c>
      <c r="N12" s="219">
        <f>SUM(L12:M12)</f>
        <v>0</v>
      </c>
      <c r="O12"/>
      <c r="P12"/>
      <c r="Q12"/>
      <c r="R12"/>
      <c r="S12"/>
      <c r="T12"/>
      <c r="U12"/>
      <c r="V12"/>
      <c r="W12"/>
      <c r="X12"/>
      <c r="Y12"/>
      <c r="Z12" s="344"/>
      <c r="AA12" s="336"/>
      <c r="AB12" s="336"/>
      <c r="AC12" s="336"/>
      <c r="AD12" s="328"/>
      <c r="AE12" s="148"/>
      <c r="AF12" s="148"/>
      <c r="AG12" s="148"/>
      <c r="AH12" s="148"/>
      <c r="AI12" s="148"/>
      <c r="AJ12" s="148"/>
      <c r="AK12" s="148"/>
      <c r="AL12" s="148"/>
      <c r="AM12" s="148"/>
      <c r="AN12" s="148"/>
      <c r="AO12" s="148"/>
      <c r="AP12" s="148"/>
      <c r="AQ12" s="148"/>
      <c r="AR12" s="148"/>
      <c r="AS12" s="148"/>
      <c r="AT12" s="148"/>
      <c r="AU12" s="148"/>
      <c r="AV12" s="148"/>
      <c r="AW12" s="148"/>
      <c r="AX12" s="148"/>
      <c r="AY12" s="148"/>
      <c r="AZ12" s="148"/>
      <c r="BA12" s="148"/>
      <c r="BB12" s="148"/>
      <c r="BC12" s="148"/>
      <c r="BD12" s="148"/>
      <c r="BE12" s="148"/>
      <c r="BF12" s="148"/>
      <c r="BG12" s="148"/>
      <c r="BH12" s="148"/>
      <c r="BI12" s="148"/>
      <c r="BJ12" s="148"/>
      <c r="BK12" s="148"/>
      <c r="BL12" s="148"/>
      <c r="BM12" s="148"/>
      <c r="BN12" s="148"/>
      <c r="BO12" s="148"/>
      <c r="BP12" s="148"/>
      <c r="BQ12" s="148"/>
      <c r="BR12" s="148"/>
      <c r="BS12" s="148"/>
      <c r="BT12" s="148"/>
      <c r="BU12" s="148"/>
      <c r="BV12" s="148"/>
      <c r="BW12" s="148"/>
      <c r="BX12" s="148"/>
      <c r="BY12" s="148"/>
      <c r="BZ12" s="148"/>
      <c r="CA12" s="148"/>
      <c r="CB12" s="148"/>
      <c r="CC12" s="148"/>
      <c r="CD12" s="148"/>
      <c r="CE12" s="148"/>
      <c r="CF12" s="148"/>
      <c r="CG12" s="148"/>
      <c r="CH12" s="148"/>
      <c r="CI12" s="148"/>
      <c r="CJ12" s="148"/>
      <c r="CK12" s="148"/>
      <c r="CL12" s="148"/>
      <c r="CM12" s="148"/>
      <c r="CN12" s="148"/>
      <c r="CO12" s="148"/>
      <c r="CP12" s="148"/>
    </row>
    <row r="13" spans="1:94" s="153" customFormat="1" x14ac:dyDescent="0.25">
      <c r="A13" s="139"/>
      <c r="B13" s="139"/>
      <c r="C13" s="443" t="s">
        <v>30</v>
      </c>
      <c r="D13" s="466"/>
      <c r="E13" s="217"/>
      <c r="F13" s="220">
        <f>SUM(F10:F12)</f>
        <v>17.049999999999997</v>
      </c>
      <c r="G13" s="221">
        <f>SUM(G10:G12)</f>
        <v>1138730.8500000001</v>
      </c>
      <c r="H13" s="221">
        <f>SUM(H10:H12)</f>
        <v>198632.5</v>
      </c>
      <c r="I13" s="221">
        <f>SUM(I10:I12)</f>
        <v>235644.8642336</v>
      </c>
      <c r="J13" s="219">
        <f>SUM(G13:I13)</f>
        <v>1573008.2142336001</v>
      </c>
      <c r="K13" s="268"/>
      <c r="L13" s="219">
        <f>SUM(L10:L12)</f>
        <v>0</v>
      </c>
      <c r="M13" s="219">
        <f>SUM(M10:M12)</f>
        <v>-5202.0234239999991</v>
      </c>
      <c r="N13" s="219">
        <f>SUM(N10:N12)</f>
        <v>-5202.0234239999991</v>
      </c>
      <c r="O13"/>
      <c r="P13"/>
      <c r="Q13"/>
      <c r="R13"/>
      <c r="S13"/>
      <c r="T13"/>
      <c r="U13"/>
      <c r="V13"/>
      <c r="W13"/>
      <c r="X13"/>
      <c r="Y13"/>
      <c r="Z13" s="344"/>
      <c r="AA13" s="336"/>
      <c r="AB13" s="336"/>
      <c r="AC13" s="336"/>
      <c r="AD13" s="329"/>
      <c r="AE13" s="147"/>
      <c r="AF13" s="147"/>
      <c r="AG13" s="147"/>
      <c r="AH13" s="147"/>
      <c r="AI13" s="147"/>
      <c r="AJ13" s="147"/>
      <c r="AK13" s="147"/>
      <c r="AL13" s="147"/>
      <c r="AM13" s="147"/>
      <c r="AN13" s="147"/>
      <c r="AO13" s="147"/>
      <c r="AP13" s="147"/>
      <c r="AQ13" s="147"/>
      <c r="AR13" s="147"/>
      <c r="AS13" s="147"/>
      <c r="AT13" s="147"/>
      <c r="AU13" s="147"/>
      <c r="AV13" s="147"/>
      <c r="AW13" s="147"/>
      <c r="AX13" s="147"/>
      <c r="AY13" s="147"/>
      <c r="AZ13" s="147"/>
      <c r="BA13" s="147"/>
      <c r="BB13" s="147"/>
      <c r="BC13" s="147"/>
      <c r="BD13" s="147"/>
      <c r="BE13" s="147"/>
      <c r="BF13" s="147"/>
      <c r="BG13" s="147"/>
      <c r="BH13" s="147"/>
      <c r="BI13" s="147"/>
      <c r="BJ13" s="147"/>
      <c r="BK13" s="147"/>
      <c r="BL13" s="147"/>
      <c r="BM13" s="147"/>
      <c r="BN13" s="147"/>
      <c r="BO13" s="147"/>
      <c r="BP13" s="147"/>
      <c r="BQ13" s="147"/>
      <c r="BR13" s="147"/>
      <c r="BS13" s="147"/>
      <c r="BT13" s="147"/>
      <c r="BU13" s="147"/>
      <c r="BV13" s="147"/>
      <c r="BW13" s="147"/>
      <c r="BX13" s="147"/>
      <c r="BY13" s="147"/>
      <c r="BZ13" s="147"/>
      <c r="CA13" s="147"/>
      <c r="CB13" s="147"/>
      <c r="CC13" s="147"/>
      <c r="CD13" s="147"/>
      <c r="CE13" s="147"/>
      <c r="CF13" s="147"/>
      <c r="CG13" s="147"/>
      <c r="CH13" s="147"/>
      <c r="CI13" s="147"/>
      <c r="CJ13" s="147"/>
      <c r="CK13" s="147"/>
      <c r="CL13" s="147"/>
      <c r="CM13" s="147"/>
      <c r="CN13" s="147"/>
      <c r="CO13" s="147"/>
      <c r="CP13" s="147"/>
    </row>
    <row r="14" spans="1:94" s="153" customFormat="1" ht="5.45" customHeight="1" x14ac:dyDescent="0.25">
      <c r="A14" s="139"/>
      <c r="B14" s="139"/>
      <c r="C14" s="364"/>
      <c r="D14" s="370"/>
      <c r="E14" s="217"/>
      <c r="F14" s="220"/>
      <c r="G14" s="219"/>
      <c r="H14" s="219"/>
      <c r="I14" s="219"/>
      <c r="J14" s="219"/>
      <c r="K14" s="268"/>
      <c r="L14" s="219"/>
      <c r="M14" s="222"/>
      <c r="N14" s="222"/>
      <c r="O14"/>
      <c r="P14"/>
      <c r="Q14"/>
      <c r="R14"/>
      <c r="S14"/>
      <c r="T14"/>
      <c r="U14"/>
      <c r="V14"/>
      <c r="W14"/>
      <c r="X14"/>
      <c r="Y14"/>
      <c r="Z14" s="344"/>
      <c r="AA14" s="336"/>
      <c r="AB14" s="336"/>
      <c r="AC14" s="336"/>
      <c r="AD14" s="329"/>
      <c r="AE14" s="147"/>
      <c r="AF14" s="147"/>
      <c r="AG14" s="147"/>
      <c r="AH14" s="147"/>
      <c r="AI14" s="147"/>
      <c r="AJ14" s="147"/>
      <c r="AK14" s="147"/>
      <c r="AL14" s="147"/>
      <c r="AM14" s="147"/>
      <c r="AN14" s="147"/>
      <c r="AO14" s="147"/>
      <c r="AP14" s="147"/>
      <c r="AQ14" s="147"/>
      <c r="AR14" s="147"/>
      <c r="AS14" s="147"/>
      <c r="AT14" s="147"/>
      <c r="AU14" s="147"/>
      <c r="AV14" s="147"/>
      <c r="AW14" s="147"/>
      <c r="AX14" s="147"/>
      <c r="AY14" s="147"/>
      <c r="AZ14" s="147"/>
      <c r="BA14" s="147"/>
      <c r="BB14" s="147"/>
      <c r="BC14" s="147"/>
      <c r="BD14" s="147"/>
      <c r="BE14" s="147"/>
      <c r="BF14" s="147"/>
      <c r="BG14" s="147"/>
      <c r="BH14" s="147"/>
      <c r="BI14" s="147"/>
      <c r="BJ14" s="147"/>
      <c r="BK14" s="147"/>
      <c r="BL14" s="147"/>
      <c r="BM14" s="147"/>
      <c r="BN14" s="147"/>
      <c r="BO14" s="147"/>
      <c r="BP14" s="147"/>
      <c r="BQ14" s="147"/>
      <c r="BR14" s="147"/>
      <c r="BS14" s="147"/>
      <c r="BT14" s="147"/>
      <c r="BU14" s="147"/>
      <c r="BV14" s="147"/>
      <c r="BW14" s="147"/>
      <c r="BX14" s="147"/>
      <c r="BY14" s="147"/>
      <c r="BZ14" s="147"/>
      <c r="CA14" s="147"/>
      <c r="CB14" s="147"/>
      <c r="CC14" s="147"/>
      <c r="CD14" s="147"/>
      <c r="CE14" s="147"/>
      <c r="CF14" s="147"/>
      <c r="CG14" s="147"/>
      <c r="CH14" s="147"/>
      <c r="CI14" s="147"/>
      <c r="CJ14" s="147"/>
      <c r="CK14" s="147"/>
      <c r="CL14" s="147"/>
      <c r="CM14" s="147"/>
      <c r="CN14" s="147"/>
      <c r="CO14" s="147"/>
      <c r="CP14" s="147"/>
    </row>
    <row r="15" spans="1:94" s="153" customFormat="1" ht="15.75" customHeight="1" x14ac:dyDescent="0.25">
      <c r="A15" s="139"/>
      <c r="B15" s="156"/>
      <c r="C15" s="157" t="str">
        <f>"FY "&amp;'TAAF|0276-00'!FiscalYear-1</f>
        <v>FY 2022</v>
      </c>
      <c r="D15" s="158" t="s">
        <v>31</v>
      </c>
      <c r="E15" s="354">
        <v>1715300</v>
      </c>
      <c r="F15" s="55">
        <v>21.05</v>
      </c>
      <c r="G15" s="223">
        <f>IF(OrigApprop=0,0,(G13/$J$13)*OrigApprop)</f>
        <v>1241738.6058957542</v>
      </c>
      <c r="H15" s="223">
        <f>IF(OrigApprop=0,0,(H13/$J$13)*OrigApprop)</f>
        <v>216600.47555187281</v>
      </c>
      <c r="I15" s="223">
        <f>IF(G15=0,0,(I13/$J$13)*OrigApprop)</f>
        <v>256960.91855237316</v>
      </c>
      <c r="J15" s="223">
        <f>SUM(G15:I15)</f>
        <v>1715300</v>
      </c>
      <c r="K15" s="268"/>
      <c r="L15" s="224"/>
      <c r="M15" s="224"/>
      <c r="N15" s="224"/>
      <c r="O15"/>
      <c r="P15"/>
      <c r="Q15"/>
      <c r="R15"/>
      <c r="S15"/>
      <c r="T15"/>
      <c r="U15"/>
      <c r="V15"/>
      <c r="W15"/>
      <c r="X15"/>
      <c r="Y15"/>
      <c r="Z15" s="344"/>
      <c r="AA15" s="336"/>
      <c r="AB15" s="336"/>
      <c r="AC15" s="336"/>
      <c r="AD15" s="329"/>
      <c r="AE15" s="147"/>
      <c r="AF15" s="147"/>
      <c r="AG15" s="147"/>
      <c r="AH15" s="147"/>
      <c r="AI15" s="147"/>
      <c r="AJ15" s="147"/>
      <c r="AK15" s="147"/>
      <c r="AL15" s="147"/>
      <c r="AM15" s="147"/>
      <c r="AN15" s="147"/>
      <c r="AO15" s="147"/>
      <c r="AP15" s="147"/>
      <c r="AQ15" s="147"/>
      <c r="AR15" s="147"/>
      <c r="AS15" s="147"/>
      <c r="AT15" s="147"/>
      <c r="AU15" s="147"/>
      <c r="AV15" s="147"/>
      <c r="AW15" s="147"/>
      <c r="AX15" s="147"/>
      <c r="AY15" s="147"/>
      <c r="AZ15" s="147"/>
      <c r="BA15" s="147"/>
      <c r="BB15" s="147"/>
      <c r="BC15" s="147"/>
      <c r="BD15" s="147"/>
      <c r="BE15" s="147"/>
      <c r="BF15" s="147"/>
      <c r="BG15" s="147"/>
      <c r="BH15" s="147"/>
      <c r="BI15" s="147"/>
      <c r="BJ15" s="147"/>
      <c r="BK15" s="147"/>
      <c r="BL15" s="147"/>
      <c r="BM15" s="147"/>
      <c r="BN15" s="147"/>
      <c r="BO15" s="147"/>
      <c r="BP15" s="147"/>
      <c r="BQ15" s="147"/>
      <c r="BR15" s="147"/>
      <c r="BS15" s="147"/>
      <c r="BT15" s="147"/>
      <c r="BU15" s="147"/>
      <c r="BV15" s="147"/>
      <c r="BW15" s="147"/>
      <c r="BX15" s="147"/>
      <c r="BY15" s="147"/>
      <c r="BZ15" s="147"/>
      <c r="CA15" s="147"/>
      <c r="CB15" s="147"/>
      <c r="CC15" s="147"/>
      <c r="CD15" s="147"/>
      <c r="CE15" s="147"/>
      <c r="CF15" s="147"/>
      <c r="CG15" s="147"/>
      <c r="CH15" s="147"/>
      <c r="CI15" s="147"/>
      <c r="CJ15" s="147"/>
      <c r="CK15" s="147"/>
      <c r="CL15" s="147"/>
      <c r="CM15" s="147"/>
      <c r="CN15" s="147"/>
      <c r="CO15" s="147"/>
      <c r="CP15" s="147"/>
    </row>
    <row r="16" spans="1:94" s="153" customFormat="1" ht="15.75" customHeight="1" x14ac:dyDescent="0.25">
      <c r="A16" s="139"/>
      <c r="B16" s="139"/>
      <c r="C16" s="453" t="s">
        <v>32</v>
      </c>
      <c r="D16" s="454"/>
      <c r="E16" s="160" t="s">
        <v>33</v>
      </c>
      <c r="F16" s="161">
        <f>F15-F13</f>
        <v>4.0000000000000036</v>
      </c>
      <c r="G16" s="162">
        <f>G15-G13</f>
        <v>103007.75589575409</v>
      </c>
      <c r="H16" s="162">
        <f>H15-H13</f>
        <v>17967.975551872805</v>
      </c>
      <c r="I16" s="162">
        <f>I15-I13</f>
        <v>21316.054318773153</v>
      </c>
      <c r="J16" s="162">
        <f>J15-J13</f>
        <v>142291.78576639993</v>
      </c>
      <c r="K16" s="269"/>
      <c r="L16" s="56" t="str">
        <f>IF('TAAF|0276-00'!OrigApprop=0,"ERROR! Enter Original Appropriation amount in DU 3.00!","Calculated "&amp;IF('TAAF|0276-00'!AdjustedTotal&gt;0,"overfunding ","underfunding ")&amp;"is "&amp;TEXT('TAAF|0276-00'!AdjustedTotal/'TAAF|0276-00'!AppropTotal,"#.0%;(#.0% );0% ;")&amp;" of Original Appropriation")</f>
        <v>Calculated overfunding is 8.3% of Original Appropriation</v>
      </c>
      <c r="M16" s="163"/>
      <c r="N16" s="164"/>
      <c r="O16"/>
      <c r="P16"/>
      <c r="Q16"/>
      <c r="R16"/>
      <c r="S16"/>
      <c r="T16"/>
      <c r="U16"/>
      <c r="V16"/>
      <c r="W16"/>
      <c r="X16"/>
      <c r="Y16"/>
      <c r="Z16" s="344"/>
      <c r="AA16" s="336"/>
      <c r="AB16" s="336"/>
      <c r="AC16" s="336"/>
      <c r="AD16" s="329"/>
      <c r="AE16" s="147"/>
      <c r="AF16" s="147"/>
      <c r="AG16" s="147"/>
      <c r="AH16" s="147"/>
      <c r="AI16" s="147"/>
      <c r="AJ16" s="147"/>
      <c r="AK16" s="147"/>
      <c r="AL16" s="147"/>
      <c r="AM16" s="147"/>
      <c r="AN16" s="147"/>
      <c r="AO16" s="147"/>
      <c r="AP16" s="147"/>
      <c r="AQ16" s="147"/>
      <c r="AR16" s="147"/>
      <c r="AS16" s="147"/>
      <c r="AT16" s="147"/>
      <c r="AU16" s="147"/>
      <c r="AV16" s="147"/>
      <c r="AW16" s="147"/>
      <c r="AX16" s="147"/>
      <c r="AY16" s="147"/>
      <c r="AZ16" s="147"/>
      <c r="BA16" s="147"/>
      <c r="BB16" s="147"/>
      <c r="BC16" s="147"/>
      <c r="BD16" s="147"/>
      <c r="BE16" s="147"/>
      <c r="BF16" s="147"/>
      <c r="BG16" s="147"/>
      <c r="BH16" s="147"/>
      <c r="BI16" s="147"/>
      <c r="BJ16" s="147"/>
      <c r="BK16" s="147"/>
      <c r="BL16" s="147"/>
      <c r="BM16" s="147"/>
      <c r="BN16" s="147"/>
      <c r="BO16" s="147"/>
      <c r="BP16" s="147"/>
      <c r="BQ16" s="147"/>
      <c r="BR16" s="147"/>
      <c r="BS16" s="147"/>
      <c r="BT16" s="147"/>
      <c r="BU16" s="147"/>
      <c r="BV16" s="147"/>
      <c r="BW16" s="147"/>
      <c r="BX16" s="147"/>
      <c r="BY16" s="147"/>
      <c r="BZ16" s="147"/>
      <c r="CA16" s="147"/>
      <c r="CB16" s="147"/>
      <c r="CC16" s="147"/>
      <c r="CD16" s="147"/>
      <c r="CE16" s="147"/>
      <c r="CF16" s="147"/>
      <c r="CG16" s="147"/>
      <c r="CH16" s="147"/>
      <c r="CI16" s="147"/>
      <c r="CJ16" s="147"/>
      <c r="CK16" s="147"/>
      <c r="CL16" s="147"/>
      <c r="CM16" s="147"/>
      <c r="CN16" s="147"/>
      <c r="CO16" s="147"/>
      <c r="CP16" s="147"/>
    </row>
    <row r="17" spans="1:94" s="153" customFormat="1" x14ac:dyDescent="0.25">
      <c r="A17" s="139"/>
      <c r="B17" s="139"/>
      <c r="C17" s="455" t="s">
        <v>34</v>
      </c>
      <c r="D17" s="456"/>
      <c r="E17" s="147"/>
      <c r="F17" s="258"/>
      <c r="G17" s="147"/>
      <c r="H17" s="166"/>
      <c r="I17" s="167"/>
      <c r="J17" s="166"/>
      <c r="K17" s="166"/>
      <c r="L17" s="166"/>
      <c r="M17" s="166"/>
      <c r="N17" s="166"/>
      <c r="O17"/>
      <c r="P17"/>
      <c r="Q17"/>
      <c r="R17"/>
      <c r="S17"/>
      <c r="T17"/>
      <c r="U17"/>
      <c r="V17"/>
      <c r="W17"/>
      <c r="X17"/>
      <c r="Y17"/>
      <c r="Z17" s="344"/>
      <c r="AA17" s="336"/>
      <c r="AB17" s="336"/>
      <c r="AC17" s="336"/>
      <c r="AD17" s="329"/>
      <c r="AE17" s="147"/>
      <c r="AF17" s="147"/>
      <c r="AG17" s="147"/>
      <c r="AH17" s="147"/>
      <c r="AI17" s="147"/>
      <c r="AJ17" s="147"/>
      <c r="AK17" s="147"/>
      <c r="AL17" s="147"/>
      <c r="AM17" s="147"/>
      <c r="AN17" s="147"/>
      <c r="AO17" s="147"/>
      <c r="AP17" s="147"/>
      <c r="AQ17" s="147"/>
      <c r="AR17" s="147"/>
      <c r="AS17" s="147"/>
      <c r="AT17" s="147"/>
      <c r="AU17" s="147"/>
      <c r="AV17" s="147"/>
      <c r="AW17" s="147"/>
      <c r="AX17" s="147"/>
      <c r="AY17" s="147"/>
      <c r="AZ17" s="147"/>
      <c r="BA17" s="147"/>
      <c r="BB17" s="147"/>
      <c r="BC17" s="147"/>
      <c r="BD17" s="147"/>
      <c r="BE17" s="147"/>
      <c r="BF17" s="147"/>
      <c r="BG17" s="147"/>
      <c r="BH17" s="147"/>
      <c r="BI17" s="147"/>
      <c r="BJ17" s="147"/>
      <c r="BK17" s="147"/>
      <c r="BL17" s="147"/>
      <c r="BM17" s="147"/>
      <c r="BN17" s="147"/>
      <c r="BO17" s="147"/>
      <c r="BP17" s="147"/>
      <c r="BQ17" s="147"/>
      <c r="BR17" s="147"/>
      <c r="BS17" s="147"/>
      <c r="BT17" s="147"/>
      <c r="BU17" s="147"/>
      <c r="BV17" s="147"/>
      <c r="BW17" s="147"/>
      <c r="BX17" s="147"/>
      <c r="BY17" s="147"/>
      <c r="BZ17" s="147"/>
      <c r="CA17" s="147"/>
      <c r="CB17" s="147"/>
      <c r="CC17" s="147"/>
      <c r="CD17" s="147"/>
      <c r="CE17" s="147"/>
      <c r="CF17" s="147"/>
      <c r="CG17" s="147"/>
      <c r="CH17" s="147"/>
      <c r="CI17" s="147"/>
      <c r="CJ17" s="147"/>
      <c r="CK17" s="147"/>
      <c r="CL17" s="147"/>
      <c r="CM17" s="147"/>
      <c r="CN17" s="147"/>
      <c r="CO17" s="147"/>
      <c r="CP17" s="147"/>
    </row>
    <row r="18" spans="1:94" s="153" customFormat="1" ht="26.25" customHeight="1" x14ac:dyDescent="0.25">
      <c r="A18" s="139"/>
      <c r="B18" s="168"/>
      <c r="C18" s="457" t="s">
        <v>35</v>
      </c>
      <c r="D18" s="458"/>
      <c r="E18" s="150"/>
      <c r="F18" s="165"/>
      <c r="G18" s="166"/>
      <c r="H18" s="169"/>
      <c r="I18" s="166"/>
      <c r="J18" s="166"/>
      <c r="K18" s="166"/>
      <c r="L18" s="166"/>
      <c r="M18" s="166"/>
      <c r="N18" s="166"/>
      <c r="O18"/>
      <c r="P18"/>
      <c r="Q18"/>
      <c r="R18"/>
      <c r="S18"/>
      <c r="T18"/>
      <c r="U18"/>
      <c r="V18"/>
      <c r="W18"/>
      <c r="X18"/>
      <c r="Y18"/>
      <c r="Z18" s="344"/>
      <c r="AA18" s="336"/>
      <c r="AB18" s="336"/>
      <c r="AC18" s="336"/>
      <c r="AD18" s="329"/>
      <c r="AE18" s="147"/>
      <c r="AF18" s="147"/>
      <c r="AG18" s="147"/>
      <c r="AH18" s="147"/>
      <c r="AI18" s="147"/>
      <c r="AJ18" s="147"/>
      <c r="AK18" s="147"/>
      <c r="AL18" s="147"/>
      <c r="AM18" s="147"/>
      <c r="AN18" s="147"/>
      <c r="AO18" s="147"/>
      <c r="AP18" s="147"/>
      <c r="AQ18" s="147"/>
      <c r="AR18" s="147"/>
      <c r="AS18" s="147"/>
      <c r="AT18" s="147"/>
      <c r="AU18" s="147"/>
      <c r="AV18" s="147"/>
      <c r="AW18" s="147"/>
      <c r="AX18" s="147"/>
      <c r="AY18" s="147"/>
      <c r="AZ18" s="147"/>
      <c r="BA18" s="147"/>
      <c r="BB18" s="147"/>
      <c r="BC18" s="147"/>
      <c r="BD18" s="147"/>
      <c r="BE18" s="147"/>
      <c r="BF18" s="147"/>
      <c r="BG18" s="147"/>
      <c r="BH18" s="147"/>
      <c r="BI18" s="147"/>
      <c r="BJ18" s="147"/>
      <c r="BK18" s="147"/>
      <c r="BL18" s="147"/>
      <c r="BM18" s="147"/>
      <c r="BN18" s="147"/>
      <c r="BO18" s="147"/>
      <c r="BP18" s="147"/>
      <c r="BQ18" s="147"/>
      <c r="BR18" s="147"/>
      <c r="BS18" s="147"/>
      <c r="BT18" s="147"/>
      <c r="BU18" s="147"/>
      <c r="BV18" s="147"/>
      <c r="BW18" s="147"/>
      <c r="BX18" s="147"/>
      <c r="BY18" s="147"/>
      <c r="BZ18" s="147"/>
      <c r="CA18" s="147"/>
      <c r="CB18" s="147"/>
      <c r="CC18" s="147"/>
      <c r="CD18" s="147"/>
      <c r="CE18" s="147"/>
      <c r="CF18" s="147"/>
      <c r="CG18" s="147"/>
      <c r="CH18" s="147"/>
      <c r="CI18" s="147"/>
      <c r="CJ18" s="147"/>
      <c r="CK18" s="147"/>
      <c r="CL18" s="147"/>
    </row>
    <row r="19" spans="1:94" s="153" customFormat="1" ht="25.5" x14ac:dyDescent="0.25">
      <c r="A19" s="238"/>
      <c r="B19" s="202"/>
      <c r="C19" s="239" t="s">
        <v>86</v>
      </c>
      <c r="D19" s="240" t="s">
        <v>87</v>
      </c>
      <c r="E19" s="241"/>
      <c r="F19" s="165"/>
      <c r="G19" s="166"/>
      <c r="H19" s="169"/>
      <c r="I19" s="170"/>
      <c r="J19" s="166"/>
      <c r="K19" s="166"/>
      <c r="L19" s="169"/>
      <c r="M19" s="166"/>
      <c r="N19" s="166"/>
      <c r="O19"/>
      <c r="P19"/>
      <c r="Q19"/>
      <c r="R19"/>
      <c r="S19"/>
      <c r="T19"/>
      <c r="U19"/>
      <c r="V19"/>
      <c r="W19"/>
      <c r="X19"/>
      <c r="Y19"/>
      <c r="Z19" s="344"/>
      <c r="AA19" s="363"/>
      <c r="AB19" s="363"/>
      <c r="AC19" s="363"/>
      <c r="AD19" s="329"/>
      <c r="AE19" s="147"/>
      <c r="AF19" s="147"/>
      <c r="AG19" s="147"/>
      <c r="AH19" s="147"/>
      <c r="AI19" s="147"/>
      <c r="AJ19" s="147"/>
      <c r="AK19" s="147"/>
      <c r="AL19" s="147"/>
      <c r="AM19" s="147"/>
      <c r="AN19" s="147"/>
      <c r="AO19" s="147"/>
      <c r="AP19" s="147"/>
      <c r="AQ19" s="147"/>
      <c r="AR19" s="147"/>
      <c r="AS19" s="147"/>
      <c r="AT19" s="147"/>
      <c r="AU19" s="147"/>
      <c r="AV19" s="147"/>
      <c r="AW19" s="147"/>
      <c r="AX19" s="147"/>
      <c r="AY19" s="147"/>
      <c r="AZ19" s="147"/>
      <c r="BA19" s="147"/>
      <c r="BB19" s="147"/>
      <c r="BC19" s="147"/>
      <c r="BD19" s="147"/>
      <c r="BE19" s="147"/>
      <c r="BF19" s="147"/>
      <c r="BG19" s="147"/>
      <c r="BH19" s="147"/>
      <c r="BI19" s="147"/>
      <c r="BJ19" s="147"/>
      <c r="BK19" s="147"/>
      <c r="BL19" s="147"/>
      <c r="BM19" s="147"/>
      <c r="BN19" s="147"/>
      <c r="BO19" s="147"/>
      <c r="BP19" s="147"/>
      <c r="BQ19" s="147"/>
      <c r="BR19" s="147"/>
      <c r="BS19" s="147"/>
      <c r="BT19" s="147"/>
      <c r="BU19" s="147"/>
      <c r="BV19" s="147"/>
      <c r="BW19" s="147"/>
      <c r="BX19" s="147"/>
      <c r="BY19" s="147"/>
      <c r="BZ19" s="147"/>
      <c r="CA19" s="147"/>
      <c r="CB19" s="147"/>
      <c r="CC19" s="147"/>
      <c r="CD19" s="147"/>
      <c r="CE19" s="147"/>
      <c r="CF19" s="147"/>
      <c r="CG19" s="147"/>
      <c r="CH19" s="147"/>
      <c r="CI19" s="147"/>
      <c r="CJ19" s="147"/>
      <c r="CK19" s="147"/>
      <c r="CL19" s="147"/>
      <c r="CM19" s="147"/>
      <c r="CN19" s="147"/>
      <c r="CO19" s="147"/>
      <c r="CP19" s="147"/>
    </row>
    <row r="20" spans="1:94" s="177" customFormat="1" ht="15" x14ac:dyDescent="0.25">
      <c r="A20" s="171"/>
      <c r="B20" s="172"/>
      <c r="C20" s="244"/>
      <c r="D20" s="242"/>
      <c r="E20" s="173"/>
      <c r="F20" s="174">
        <v>0</v>
      </c>
      <c r="G20" s="175">
        <v>0</v>
      </c>
      <c r="H20" s="176">
        <f t="shared" ref="H20:H30" si="0">IF(AND($F20&lt;&gt;0,$G20&lt;&gt;0,OR($E20=1,$E20=3)),$F20*Health,0)</f>
        <v>0</v>
      </c>
      <c r="I20" s="176">
        <f t="shared" ref="I20:I30" si="1">IF(AND($E20=1,$C20=""),$G20*PermVB+$G20*Retire1,IF($E20=1,$G20*PermVB+$G20*VLOOKUP($C20,Retirement_Rates,3,FALSE),IF($E20=2,$G20*GroupVB,IF(AND($E20=3,$C20=""),$G20*ElectVB+$G20*Retire1,IF($E20=3,$G20*ElectVB+$G20*VLOOKUP($C20,Retirement_Rates,3,FALSE),0)))))</f>
        <v>0</v>
      </c>
      <c r="J20" s="159">
        <f>IF($E20&gt;0,SUM($G20:$I20),0)</f>
        <v>0</v>
      </c>
      <c r="K20" s="166"/>
      <c r="L20" s="176">
        <f t="shared" ref="L20:L30" si="2">IF(AND($F20&lt;&gt;0,$G20&lt;&gt;0,OR($E20=1,$E20=3)),$F20*HealthCHG,0)</f>
        <v>0</v>
      </c>
      <c r="M20" s="176">
        <f>IF(AND($E20=1,$C20=""),$G20*PermVBCHG+$G20*Retire1CHG,IF($E20=1,$G20*PermVBCHG+$G20*VLOOKUP($C20,Retirement_Rates,5,FALSE),IF($E20=2,0,IF(AND($E20=3,$C20=""),$G20*ElectVBCHG+$G20*Retire1CHG,IF($E20=3,$G20*ElectVBCHG+$G20*VLOOKUP($C20,Retirement_Rates,5,FALSE),0)))))</f>
        <v>0</v>
      </c>
      <c r="N20" s="176">
        <f>SUM(L20:M20)</f>
        <v>0</v>
      </c>
      <c r="O20"/>
      <c r="P20"/>
      <c r="Q20"/>
      <c r="R20"/>
      <c r="S20"/>
      <c r="T20"/>
      <c r="U20"/>
      <c r="V20"/>
      <c r="W20"/>
      <c r="X20"/>
      <c r="Y20"/>
      <c r="Z20" s="344"/>
      <c r="AA20" s="363"/>
      <c r="AB20" s="363"/>
      <c r="AC20" s="363"/>
      <c r="AD20" s="329"/>
      <c r="AE20" s="147"/>
      <c r="AF20" s="147"/>
      <c r="AG20" s="147"/>
      <c r="AH20" s="147"/>
      <c r="AI20" s="147"/>
      <c r="AJ20" s="147"/>
      <c r="AK20" s="147"/>
      <c r="AL20" s="147"/>
      <c r="AM20" s="147"/>
      <c r="AN20" s="147"/>
      <c r="AO20" s="147"/>
      <c r="AP20" s="147"/>
      <c r="AQ20" s="147"/>
      <c r="AR20" s="147"/>
      <c r="AS20" s="147"/>
      <c r="AT20" s="147"/>
      <c r="AU20" s="147"/>
      <c r="AV20" s="147"/>
      <c r="AW20" s="147"/>
      <c r="AX20" s="147"/>
      <c r="AY20" s="147"/>
      <c r="AZ20" s="147"/>
      <c r="BA20" s="147"/>
      <c r="BB20" s="147"/>
      <c r="BC20" s="147"/>
      <c r="BD20" s="147"/>
      <c r="BE20" s="147"/>
      <c r="BF20" s="147"/>
      <c r="BG20" s="147"/>
      <c r="BH20" s="147"/>
      <c r="BI20" s="147"/>
      <c r="BJ20" s="147"/>
      <c r="BK20" s="147"/>
      <c r="BL20" s="147"/>
      <c r="BM20" s="147"/>
      <c r="BN20" s="147"/>
      <c r="BO20" s="147"/>
      <c r="BP20" s="147"/>
      <c r="BQ20" s="147"/>
      <c r="BR20" s="147"/>
      <c r="BS20" s="147"/>
      <c r="BT20" s="147"/>
      <c r="BU20" s="147"/>
      <c r="BV20" s="147"/>
      <c r="BW20" s="147"/>
      <c r="BX20" s="147"/>
      <c r="BY20" s="147"/>
      <c r="BZ20" s="147"/>
      <c r="CA20" s="147"/>
      <c r="CB20" s="147"/>
      <c r="CC20" s="147"/>
      <c r="CD20" s="147"/>
      <c r="CE20" s="147"/>
      <c r="CF20" s="147"/>
      <c r="CG20" s="147"/>
      <c r="CH20" s="147"/>
      <c r="CI20" s="147"/>
      <c r="CJ20" s="147"/>
      <c r="CK20" s="147"/>
      <c r="CL20" s="147"/>
      <c r="CM20" s="147"/>
      <c r="CN20" s="147"/>
      <c r="CO20" s="147"/>
      <c r="CP20" s="147"/>
    </row>
    <row r="21" spans="1:94" s="177" customFormat="1" ht="15" x14ac:dyDescent="0.25">
      <c r="A21" s="178"/>
      <c r="B21" s="179"/>
      <c r="C21" s="244"/>
      <c r="D21" s="242"/>
      <c r="E21" s="180"/>
      <c r="F21" s="181">
        <v>0</v>
      </c>
      <c r="G21" s="175">
        <v>0</v>
      </c>
      <c r="H21" s="176">
        <f t="shared" si="0"/>
        <v>0</v>
      </c>
      <c r="I21" s="176">
        <f t="shared" si="1"/>
        <v>0</v>
      </c>
      <c r="J21" s="159">
        <f t="shared" ref="J21:J35" si="3">IF($E21&gt;0,SUM($G21:$I21),0)</f>
        <v>0</v>
      </c>
      <c r="K21" s="166"/>
      <c r="L21" s="176">
        <f t="shared" si="2"/>
        <v>0</v>
      </c>
      <c r="M21" s="176">
        <f t="shared" ref="M21:M30" si="4">IF(AND($E21=1,$C21=""),$G21*PermVBCHG+$G21*Retire1CHG,IF($E21=1,$G21*PermVBCHG+$G21*VLOOKUP($C21,Retirement_Rates,5,FALSE),IF($E21=2,0,IF(AND($E21=3,$C21=""),$G21*ElectVBCHG+$G21*Retire1CHG,IF($E21=3,$G21*ElectVBCHG+$G21*VLOOKUP($C21,Retirement_Rates,5,FALSE),0)))))</f>
        <v>0</v>
      </c>
      <c r="N21" s="183">
        <f t="shared" ref="N21:N30" si="5">SUM(L21:M21)</f>
        <v>0</v>
      </c>
      <c r="O21"/>
      <c r="P21"/>
      <c r="Q21"/>
      <c r="R21"/>
      <c r="S21"/>
      <c r="T21"/>
      <c r="U21"/>
      <c r="V21"/>
      <c r="W21"/>
      <c r="X21"/>
      <c r="Y21"/>
      <c r="Z21" s="344"/>
      <c r="AA21" s="363"/>
      <c r="AB21" s="363"/>
      <c r="AC21" s="363"/>
      <c r="AD21" s="329"/>
      <c r="AE21" s="147"/>
      <c r="AF21" s="147"/>
      <c r="AG21" s="147"/>
      <c r="AH21" s="147"/>
      <c r="AI21" s="147"/>
      <c r="AJ21" s="147"/>
      <c r="AK21" s="147"/>
      <c r="AL21" s="147"/>
      <c r="AM21" s="147"/>
      <c r="AN21" s="147"/>
      <c r="AO21" s="147"/>
      <c r="AP21" s="147"/>
      <c r="AQ21" s="147"/>
      <c r="AR21" s="147"/>
      <c r="AS21" s="147"/>
      <c r="AT21" s="147"/>
      <c r="AU21" s="147"/>
      <c r="AV21" s="147"/>
      <c r="AW21" s="147"/>
      <c r="AX21" s="147"/>
      <c r="AY21" s="147"/>
      <c r="AZ21" s="147"/>
      <c r="BA21" s="147"/>
      <c r="BB21" s="147"/>
      <c r="BC21" s="147"/>
      <c r="BD21" s="147"/>
      <c r="BE21" s="147"/>
      <c r="BF21" s="147"/>
      <c r="BG21" s="147"/>
      <c r="BH21" s="147"/>
      <c r="BI21" s="147"/>
      <c r="BJ21" s="147"/>
      <c r="BK21" s="147"/>
      <c r="BL21" s="147"/>
      <c r="BM21" s="147"/>
      <c r="BN21" s="147"/>
      <c r="BO21" s="147"/>
      <c r="BP21" s="147"/>
      <c r="BQ21" s="147"/>
      <c r="BR21" s="147"/>
      <c r="BS21" s="147"/>
      <c r="BT21" s="147"/>
      <c r="BU21" s="147"/>
      <c r="BV21" s="147"/>
      <c r="BW21" s="147"/>
      <c r="BX21" s="147"/>
      <c r="BY21" s="147"/>
      <c r="BZ21" s="147"/>
      <c r="CA21" s="147"/>
      <c r="CB21" s="147"/>
      <c r="CC21" s="147"/>
      <c r="CD21" s="147"/>
      <c r="CE21" s="147"/>
      <c r="CF21" s="147"/>
      <c r="CG21" s="147"/>
      <c r="CH21" s="147"/>
      <c r="CI21" s="147"/>
      <c r="CJ21" s="147"/>
      <c r="CK21" s="147"/>
      <c r="CL21" s="147"/>
      <c r="CM21" s="147"/>
      <c r="CN21" s="147"/>
      <c r="CO21" s="147"/>
      <c r="CP21" s="147"/>
    </row>
    <row r="22" spans="1:94" s="177" customFormat="1" ht="15" x14ac:dyDescent="0.25">
      <c r="A22" s="178"/>
      <c r="B22" s="179"/>
      <c r="C22" s="244"/>
      <c r="D22" s="242"/>
      <c r="E22" s="180"/>
      <c r="F22" s="181">
        <v>0</v>
      </c>
      <c r="G22" s="175">
        <v>0</v>
      </c>
      <c r="H22" s="176">
        <f t="shared" si="0"/>
        <v>0</v>
      </c>
      <c r="I22" s="176">
        <f t="shared" si="1"/>
        <v>0</v>
      </c>
      <c r="J22" s="159">
        <f t="shared" si="3"/>
        <v>0</v>
      </c>
      <c r="K22" s="166"/>
      <c r="L22" s="176">
        <f t="shared" si="2"/>
        <v>0</v>
      </c>
      <c r="M22" s="176">
        <f t="shared" si="4"/>
        <v>0</v>
      </c>
      <c r="N22" s="183">
        <f t="shared" si="5"/>
        <v>0</v>
      </c>
      <c r="O22"/>
      <c r="P22"/>
      <c r="Q22"/>
      <c r="R22"/>
      <c r="S22"/>
      <c r="T22"/>
      <c r="U22"/>
      <c r="V22"/>
      <c r="W22"/>
      <c r="X22"/>
      <c r="Y22"/>
      <c r="Z22" s="344"/>
      <c r="AA22" s="363"/>
      <c r="AB22" s="363"/>
      <c r="AC22" s="363"/>
      <c r="AD22" s="329"/>
      <c r="AE22" s="147"/>
      <c r="AF22" s="147"/>
      <c r="AG22" s="147"/>
      <c r="AH22" s="147"/>
      <c r="AI22" s="147"/>
      <c r="AJ22" s="147"/>
      <c r="AK22" s="147"/>
      <c r="AL22" s="147"/>
      <c r="AM22" s="147"/>
      <c r="AN22" s="147"/>
      <c r="AO22" s="147"/>
      <c r="AP22" s="147"/>
      <c r="AQ22" s="147"/>
      <c r="AR22" s="147"/>
      <c r="AS22" s="147"/>
      <c r="AT22" s="147"/>
      <c r="AU22" s="147"/>
      <c r="AV22" s="147"/>
      <c r="AW22" s="147"/>
      <c r="AX22" s="147"/>
      <c r="AY22" s="147"/>
      <c r="AZ22" s="147"/>
      <c r="BA22" s="147"/>
      <c r="BB22" s="147"/>
      <c r="BC22" s="147"/>
      <c r="BD22" s="147"/>
      <c r="BE22" s="147"/>
      <c r="BF22" s="147"/>
      <c r="BG22" s="147"/>
      <c r="BH22" s="147"/>
      <c r="BI22" s="147"/>
      <c r="BJ22" s="147"/>
      <c r="BK22" s="147"/>
      <c r="BL22" s="147"/>
      <c r="BM22" s="147"/>
      <c r="BN22" s="147"/>
      <c r="BO22" s="147"/>
      <c r="BP22" s="147"/>
      <c r="BQ22" s="147"/>
      <c r="BR22" s="147"/>
      <c r="BS22" s="147"/>
      <c r="BT22" s="147"/>
      <c r="BU22" s="147"/>
      <c r="BV22" s="147"/>
      <c r="BW22" s="147"/>
      <c r="BX22" s="147"/>
      <c r="BY22" s="147"/>
      <c r="BZ22" s="147"/>
      <c r="CA22" s="147"/>
      <c r="CB22" s="147"/>
      <c r="CC22" s="147"/>
      <c r="CD22" s="147"/>
      <c r="CE22" s="147"/>
      <c r="CF22" s="147"/>
      <c r="CG22" s="147"/>
      <c r="CH22" s="147"/>
      <c r="CI22" s="147"/>
      <c r="CJ22" s="147"/>
      <c r="CK22" s="147"/>
      <c r="CL22" s="147"/>
      <c r="CM22" s="147"/>
      <c r="CN22" s="147"/>
      <c r="CO22" s="147"/>
      <c r="CP22" s="147"/>
    </row>
    <row r="23" spans="1:94" s="177" customFormat="1" ht="15" x14ac:dyDescent="0.25">
      <c r="A23" s="178"/>
      <c r="B23" s="179"/>
      <c r="C23" s="244"/>
      <c r="D23" s="242"/>
      <c r="E23" s="180"/>
      <c r="F23" s="181">
        <v>0</v>
      </c>
      <c r="G23" s="175">
        <v>0</v>
      </c>
      <c r="H23" s="176">
        <f t="shared" si="0"/>
        <v>0</v>
      </c>
      <c r="I23" s="176">
        <f t="shared" si="1"/>
        <v>0</v>
      </c>
      <c r="J23" s="159">
        <f t="shared" si="3"/>
        <v>0</v>
      </c>
      <c r="K23" s="166"/>
      <c r="L23" s="176">
        <f t="shared" si="2"/>
        <v>0</v>
      </c>
      <c r="M23" s="176">
        <f t="shared" si="4"/>
        <v>0</v>
      </c>
      <c r="N23" s="183">
        <f t="shared" si="5"/>
        <v>0</v>
      </c>
      <c r="O23"/>
      <c r="P23"/>
      <c r="Q23"/>
      <c r="R23"/>
      <c r="S23"/>
      <c r="T23"/>
      <c r="U23"/>
      <c r="V23"/>
      <c r="W23"/>
      <c r="X23"/>
      <c r="Y23"/>
      <c r="Z23" s="344"/>
      <c r="AA23" s="363"/>
      <c r="AB23" s="363"/>
      <c r="AC23" s="363"/>
      <c r="AD23" s="329"/>
      <c r="AE23" s="147"/>
      <c r="AF23" s="147"/>
      <c r="AG23" s="147"/>
      <c r="AH23" s="147"/>
      <c r="AI23" s="147"/>
      <c r="AJ23" s="147"/>
      <c r="AK23" s="147"/>
      <c r="AL23" s="147"/>
      <c r="AM23" s="147"/>
      <c r="AN23" s="147"/>
      <c r="AO23" s="147"/>
      <c r="AP23" s="147"/>
      <c r="AQ23" s="147"/>
      <c r="AR23" s="147"/>
      <c r="AS23" s="147"/>
      <c r="AT23" s="147"/>
      <c r="AU23" s="147"/>
      <c r="AV23" s="147"/>
      <c r="AW23" s="147"/>
      <c r="AX23" s="147"/>
      <c r="AY23" s="147"/>
      <c r="AZ23" s="147"/>
      <c r="BA23" s="147"/>
      <c r="BB23" s="147"/>
      <c r="BC23" s="147"/>
      <c r="BD23" s="147"/>
      <c r="BE23" s="147"/>
      <c r="BF23" s="147"/>
      <c r="BG23" s="147"/>
      <c r="BH23" s="147"/>
      <c r="BI23" s="147"/>
      <c r="BJ23" s="147"/>
      <c r="BK23" s="147"/>
      <c r="BL23" s="147"/>
      <c r="BM23" s="147"/>
      <c r="BN23" s="147"/>
      <c r="BO23" s="147"/>
      <c r="BP23" s="147"/>
      <c r="BQ23" s="147"/>
      <c r="BR23" s="147"/>
      <c r="BS23" s="147"/>
      <c r="BT23" s="147"/>
      <c r="BU23" s="147"/>
      <c r="BV23" s="147"/>
      <c r="BW23" s="147"/>
      <c r="BX23" s="147"/>
      <c r="BY23" s="147"/>
      <c r="BZ23" s="147"/>
      <c r="CA23" s="147"/>
      <c r="CB23" s="147"/>
      <c r="CC23" s="147"/>
      <c r="CD23" s="147"/>
      <c r="CE23" s="147"/>
      <c r="CF23" s="147"/>
      <c r="CG23" s="147"/>
      <c r="CH23" s="147"/>
      <c r="CI23" s="147"/>
      <c r="CJ23" s="147"/>
      <c r="CK23" s="147"/>
      <c r="CL23" s="147"/>
      <c r="CM23" s="147"/>
      <c r="CN23" s="147"/>
      <c r="CO23" s="147"/>
      <c r="CP23" s="147"/>
    </row>
    <row r="24" spans="1:94" s="177" customFormat="1" ht="15" x14ac:dyDescent="0.25">
      <c r="A24" s="178"/>
      <c r="B24" s="179"/>
      <c r="C24" s="244"/>
      <c r="D24" s="242"/>
      <c r="E24" s="180"/>
      <c r="F24" s="181">
        <v>0</v>
      </c>
      <c r="G24" s="175">
        <v>0</v>
      </c>
      <c r="H24" s="176">
        <f t="shared" si="0"/>
        <v>0</v>
      </c>
      <c r="I24" s="176">
        <f t="shared" si="1"/>
        <v>0</v>
      </c>
      <c r="J24" s="159">
        <f t="shared" si="3"/>
        <v>0</v>
      </c>
      <c r="K24" s="166"/>
      <c r="L24" s="176">
        <f t="shared" si="2"/>
        <v>0</v>
      </c>
      <c r="M24" s="176">
        <f t="shared" si="4"/>
        <v>0</v>
      </c>
      <c r="N24" s="183">
        <f t="shared" si="5"/>
        <v>0</v>
      </c>
      <c r="O24"/>
      <c r="P24"/>
      <c r="Q24"/>
      <c r="R24"/>
      <c r="S24"/>
      <c r="T24"/>
      <c r="U24"/>
      <c r="V24"/>
      <c r="W24"/>
      <c r="X24"/>
      <c r="Y24"/>
      <c r="Z24" s="344"/>
      <c r="AA24" s="345"/>
      <c r="AB24" s="363"/>
      <c r="AC24" s="363"/>
      <c r="AD24" s="329"/>
      <c r="AE24" s="147"/>
      <c r="AF24" s="147"/>
      <c r="AG24" s="147"/>
      <c r="AH24" s="147"/>
      <c r="AI24" s="147"/>
      <c r="AJ24" s="147"/>
      <c r="AK24" s="147"/>
      <c r="AL24" s="147"/>
      <c r="AM24" s="147"/>
      <c r="AN24" s="147"/>
      <c r="AO24" s="147"/>
      <c r="AP24" s="147"/>
      <c r="AQ24" s="147"/>
      <c r="AR24" s="147"/>
      <c r="AS24" s="147"/>
      <c r="AT24" s="147"/>
      <c r="AU24" s="147"/>
      <c r="AV24" s="147"/>
      <c r="AW24" s="147"/>
      <c r="AX24" s="147"/>
      <c r="AY24" s="147"/>
      <c r="AZ24" s="147"/>
      <c r="BA24" s="147"/>
      <c r="BB24" s="147"/>
      <c r="BC24" s="147"/>
      <c r="BD24" s="147"/>
      <c r="BE24" s="147"/>
      <c r="BF24" s="147"/>
      <c r="BG24" s="147"/>
      <c r="BH24" s="147"/>
      <c r="BI24" s="147"/>
      <c r="BJ24" s="147"/>
      <c r="BK24" s="147"/>
      <c r="BL24" s="147"/>
      <c r="BM24" s="147"/>
      <c r="BN24" s="147"/>
      <c r="BO24" s="147"/>
      <c r="BP24" s="147"/>
      <c r="BQ24" s="147"/>
      <c r="BR24" s="147"/>
      <c r="BS24" s="147"/>
      <c r="BT24" s="147"/>
      <c r="BU24" s="147"/>
      <c r="BV24" s="147"/>
      <c r="BW24" s="147"/>
      <c r="BX24" s="147"/>
      <c r="BY24" s="147"/>
      <c r="BZ24" s="147"/>
      <c r="CA24" s="147"/>
      <c r="CB24" s="147"/>
      <c r="CC24" s="147"/>
      <c r="CD24" s="147"/>
      <c r="CE24" s="147"/>
      <c r="CF24" s="147"/>
      <c r="CG24" s="147"/>
      <c r="CH24" s="147"/>
      <c r="CI24" s="147"/>
      <c r="CJ24" s="147"/>
      <c r="CK24" s="147"/>
      <c r="CL24" s="147"/>
      <c r="CM24" s="147"/>
      <c r="CN24" s="147"/>
      <c r="CO24" s="147"/>
      <c r="CP24" s="147"/>
    </row>
    <row r="25" spans="1:94" s="177" customFormat="1" ht="15" x14ac:dyDescent="0.25">
      <c r="A25" s="178"/>
      <c r="B25" s="179"/>
      <c r="C25" s="244"/>
      <c r="D25" s="242"/>
      <c r="E25" s="180"/>
      <c r="F25" s="181">
        <v>0</v>
      </c>
      <c r="G25" s="182">
        <v>0</v>
      </c>
      <c r="H25" s="176">
        <f t="shared" si="0"/>
        <v>0</v>
      </c>
      <c r="I25" s="176">
        <f t="shared" si="1"/>
        <v>0</v>
      </c>
      <c r="J25" s="159">
        <f t="shared" si="3"/>
        <v>0</v>
      </c>
      <c r="K25" s="166"/>
      <c r="L25" s="176">
        <f t="shared" si="2"/>
        <v>0</v>
      </c>
      <c r="M25" s="176">
        <f t="shared" si="4"/>
        <v>0</v>
      </c>
      <c r="N25" s="183">
        <f t="shared" si="5"/>
        <v>0</v>
      </c>
      <c r="O25"/>
      <c r="P25"/>
      <c r="Q25"/>
      <c r="R25"/>
      <c r="S25"/>
      <c r="T25"/>
      <c r="U25"/>
      <c r="V25"/>
      <c r="W25"/>
      <c r="X25"/>
      <c r="Y25"/>
      <c r="Z25" s="344"/>
      <c r="AA25" s="345"/>
      <c r="AB25" s="363"/>
      <c r="AC25" s="363"/>
      <c r="AD25" s="329"/>
      <c r="AE25" s="147"/>
      <c r="AF25" s="147"/>
      <c r="AG25" s="147"/>
      <c r="AH25" s="147"/>
      <c r="AI25" s="147"/>
      <c r="AJ25" s="147"/>
      <c r="AK25" s="147"/>
      <c r="AL25" s="147"/>
      <c r="AM25" s="147"/>
      <c r="AN25" s="147"/>
      <c r="AO25" s="147"/>
      <c r="AP25" s="147"/>
      <c r="AQ25" s="147"/>
      <c r="AR25" s="147"/>
      <c r="AS25" s="147"/>
      <c r="AT25" s="147"/>
      <c r="AU25" s="147"/>
      <c r="AV25" s="147"/>
      <c r="AW25" s="147"/>
      <c r="AX25" s="147"/>
      <c r="AY25" s="147"/>
      <c r="AZ25" s="147"/>
      <c r="BA25" s="147"/>
      <c r="BB25" s="147"/>
      <c r="BC25" s="147"/>
      <c r="BD25" s="147"/>
      <c r="BE25" s="147"/>
      <c r="BF25" s="147"/>
      <c r="BG25" s="147"/>
      <c r="BH25" s="147"/>
      <c r="BI25" s="147"/>
      <c r="BJ25" s="147"/>
      <c r="BK25" s="147"/>
      <c r="BL25" s="147"/>
      <c r="BM25" s="147"/>
      <c r="BN25" s="147"/>
      <c r="BO25" s="147"/>
      <c r="BP25" s="147"/>
      <c r="BQ25" s="147"/>
      <c r="BR25" s="147"/>
      <c r="BS25" s="147"/>
      <c r="BT25" s="147"/>
      <c r="BU25" s="147"/>
      <c r="BV25" s="147"/>
      <c r="BW25" s="147"/>
      <c r="BX25" s="147"/>
      <c r="BY25" s="147"/>
      <c r="BZ25" s="147"/>
      <c r="CA25" s="147"/>
      <c r="CB25" s="147"/>
      <c r="CC25" s="147"/>
      <c r="CD25" s="147"/>
      <c r="CE25" s="147"/>
      <c r="CF25" s="147"/>
      <c r="CG25" s="147"/>
      <c r="CH25" s="147"/>
      <c r="CI25" s="147"/>
      <c r="CJ25" s="147"/>
      <c r="CK25" s="147"/>
      <c r="CL25" s="147"/>
      <c r="CM25" s="147"/>
      <c r="CN25" s="147"/>
      <c r="CO25" s="147"/>
      <c r="CP25" s="147"/>
    </row>
    <row r="26" spans="1:94" s="177" customFormat="1" ht="15" x14ac:dyDescent="0.25">
      <c r="A26" s="178"/>
      <c r="B26" s="179"/>
      <c r="C26" s="244"/>
      <c r="D26" s="242"/>
      <c r="E26" s="180"/>
      <c r="F26" s="181">
        <v>0</v>
      </c>
      <c r="G26" s="182">
        <v>0</v>
      </c>
      <c r="H26" s="176">
        <f t="shared" si="0"/>
        <v>0</v>
      </c>
      <c r="I26" s="176">
        <f t="shared" si="1"/>
        <v>0</v>
      </c>
      <c r="J26" s="159">
        <f t="shared" si="3"/>
        <v>0</v>
      </c>
      <c r="K26" s="166"/>
      <c r="L26" s="176">
        <f t="shared" si="2"/>
        <v>0</v>
      </c>
      <c r="M26" s="176">
        <f t="shared" si="4"/>
        <v>0</v>
      </c>
      <c r="N26" s="183">
        <f t="shared" si="5"/>
        <v>0</v>
      </c>
      <c r="O26"/>
      <c r="P26"/>
      <c r="Q26"/>
      <c r="R26"/>
      <c r="S26"/>
      <c r="T26"/>
      <c r="U26"/>
      <c r="V26"/>
      <c r="W26"/>
      <c r="X26"/>
      <c r="Y26"/>
      <c r="Z26" s="344"/>
      <c r="AA26" s="345"/>
      <c r="AB26" s="363"/>
      <c r="AC26" s="363"/>
      <c r="AD26" s="329"/>
      <c r="AE26" s="147"/>
      <c r="AF26" s="147"/>
      <c r="AG26" s="147"/>
      <c r="AH26" s="147"/>
      <c r="AI26" s="147"/>
      <c r="AJ26" s="147"/>
      <c r="AK26" s="147"/>
      <c r="AL26" s="147"/>
      <c r="AM26" s="147"/>
      <c r="AN26" s="147"/>
      <c r="AO26" s="147"/>
      <c r="AP26" s="147"/>
      <c r="AQ26" s="147"/>
      <c r="AR26" s="147"/>
      <c r="AS26" s="147"/>
      <c r="AT26" s="147"/>
      <c r="AU26" s="147"/>
      <c r="AV26" s="147"/>
      <c r="AW26" s="147"/>
      <c r="AX26" s="147"/>
      <c r="AY26" s="147"/>
      <c r="AZ26" s="147"/>
      <c r="BA26" s="147"/>
      <c r="BB26" s="147"/>
      <c r="BC26" s="147"/>
      <c r="BD26" s="147"/>
      <c r="BE26" s="147"/>
      <c r="BF26" s="147"/>
      <c r="BG26" s="147"/>
      <c r="BH26" s="147"/>
      <c r="BI26" s="147"/>
      <c r="BJ26" s="147"/>
      <c r="BK26" s="147"/>
      <c r="BL26" s="147"/>
      <c r="BM26" s="147"/>
      <c r="BN26" s="147"/>
      <c r="BO26" s="147"/>
      <c r="BP26" s="147"/>
      <c r="BQ26" s="147"/>
      <c r="BR26" s="147"/>
      <c r="BS26" s="147"/>
      <c r="BT26" s="147"/>
      <c r="BU26" s="147"/>
      <c r="BV26" s="147"/>
      <c r="BW26" s="147"/>
      <c r="BX26" s="147"/>
      <c r="BY26" s="147"/>
      <c r="BZ26" s="147"/>
      <c r="CA26" s="147"/>
      <c r="CB26" s="147"/>
      <c r="CC26" s="147"/>
      <c r="CD26" s="147"/>
      <c r="CE26" s="147"/>
      <c r="CF26" s="147"/>
      <c r="CG26" s="147"/>
      <c r="CH26" s="147"/>
      <c r="CI26" s="147"/>
      <c r="CJ26" s="147"/>
      <c r="CK26" s="147"/>
      <c r="CL26" s="147"/>
      <c r="CM26" s="147"/>
      <c r="CN26" s="147"/>
      <c r="CO26" s="147"/>
      <c r="CP26" s="147"/>
    </row>
    <row r="27" spans="1:94" s="177" customFormat="1" ht="15" x14ac:dyDescent="0.25">
      <c r="A27" s="178"/>
      <c r="B27" s="179"/>
      <c r="C27" s="244"/>
      <c r="D27" s="242"/>
      <c r="E27" s="180"/>
      <c r="F27" s="181">
        <v>0</v>
      </c>
      <c r="G27" s="182">
        <v>0</v>
      </c>
      <c r="H27" s="176">
        <f t="shared" si="0"/>
        <v>0</v>
      </c>
      <c r="I27" s="176">
        <f t="shared" si="1"/>
        <v>0</v>
      </c>
      <c r="J27" s="159">
        <f t="shared" si="3"/>
        <v>0</v>
      </c>
      <c r="K27" s="166"/>
      <c r="L27" s="176">
        <f t="shared" si="2"/>
        <v>0</v>
      </c>
      <c r="M27" s="176">
        <f t="shared" si="4"/>
        <v>0</v>
      </c>
      <c r="N27" s="183">
        <f t="shared" si="5"/>
        <v>0</v>
      </c>
      <c r="O27"/>
      <c r="P27"/>
      <c r="Q27"/>
      <c r="R27"/>
      <c r="S27"/>
      <c r="T27"/>
      <c r="U27"/>
      <c r="V27"/>
      <c r="W27"/>
      <c r="X27"/>
      <c r="Y27"/>
      <c r="Z27" s="344"/>
      <c r="AA27" s="363"/>
      <c r="AB27" s="363"/>
      <c r="AC27" s="363"/>
      <c r="AD27" s="329"/>
      <c r="AE27" s="147"/>
      <c r="AF27" s="147"/>
      <c r="AG27" s="147"/>
      <c r="AH27" s="147"/>
      <c r="AI27" s="147"/>
      <c r="AJ27" s="147"/>
      <c r="AK27" s="147"/>
      <c r="AL27" s="147"/>
      <c r="AM27" s="147"/>
      <c r="AN27" s="147"/>
      <c r="AO27" s="147"/>
      <c r="AP27" s="147"/>
      <c r="AQ27" s="147"/>
      <c r="AR27" s="147"/>
      <c r="AS27" s="147"/>
      <c r="AT27" s="147"/>
      <c r="AU27" s="147"/>
      <c r="AV27" s="147"/>
      <c r="AW27" s="147"/>
      <c r="AX27" s="147"/>
      <c r="AY27" s="147"/>
      <c r="AZ27" s="147"/>
      <c r="BA27" s="147"/>
      <c r="BB27" s="147"/>
      <c r="BC27" s="147"/>
      <c r="BD27" s="147"/>
      <c r="BE27" s="147"/>
      <c r="BF27" s="147"/>
      <c r="BG27" s="147"/>
      <c r="BH27" s="147"/>
      <c r="BI27" s="147"/>
      <c r="BJ27" s="147"/>
      <c r="BK27" s="147"/>
      <c r="BL27" s="147"/>
      <c r="BM27" s="147"/>
      <c r="BN27" s="147"/>
      <c r="BO27" s="147"/>
      <c r="BP27" s="147"/>
      <c r="BQ27" s="147"/>
      <c r="BR27" s="147"/>
      <c r="BS27" s="147"/>
      <c r="BT27" s="147"/>
      <c r="BU27" s="147"/>
      <c r="BV27" s="147"/>
      <c r="BW27" s="147"/>
      <c r="BX27" s="147"/>
      <c r="BY27" s="147"/>
      <c r="BZ27" s="147"/>
      <c r="CA27" s="147"/>
      <c r="CB27" s="147"/>
      <c r="CC27" s="147"/>
      <c r="CD27" s="147"/>
      <c r="CE27" s="147"/>
      <c r="CF27" s="147"/>
      <c r="CG27" s="147"/>
      <c r="CH27" s="147"/>
      <c r="CI27" s="147"/>
      <c r="CJ27" s="147"/>
      <c r="CK27" s="147"/>
      <c r="CL27" s="147"/>
      <c r="CM27" s="147"/>
      <c r="CN27" s="147"/>
      <c r="CO27" s="147"/>
      <c r="CP27" s="147"/>
    </row>
    <row r="28" spans="1:94" s="177" customFormat="1" ht="15" x14ac:dyDescent="0.25">
      <c r="A28" s="178"/>
      <c r="B28" s="179"/>
      <c r="C28" s="244"/>
      <c r="D28" s="242"/>
      <c r="E28" s="180"/>
      <c r="F28" s="181">
        <v>0</v>
      </c>
      <c r="G28" s="182">
        <v>0</v>
      </c>
      <c r="H28" s="176">
        <f t="shared" si="0"/>
        <v>0</v>
      </c>
      <c r="I28" s="176">
        <f t="shared" si="1"/>
        <v>0</v>
      </c>
      <c r="J28" s="159">
        <f t="shared" si="3"/>
        <v>0</v>
      </c>
      <c r="K28" s="166"/>
      <c r="L28" s="176">
        <f t="shared" si="2"/>
        <v>0</v>
      </c>
      <c r="M28" s="176">
        <f t="shared" si="4"/>
        <v>0</v>
      </c>
      <c r="N28" s="183">
        <f t="shared" si="5"/>
        <v>0</v>
      </c>
      <c r="O28"/>
      <c r="P28"/>
      <c r="Q28"/>
      <c r="R28"/>
      <c r="S28"/>
      <c r="T28"/>
      <c r="U28"/>
      <c r="V28"/>
      <c r="W28"/>
      <c r="X28"/>
      <c r="Y28"/>
      <c r="Z28" s="344"/>
      <c r="AA28" s="363"/>
      <c r="AB28" s="363"/>
      <c r="AC28" s="363"/>
      <c r="AD28" s="329"/>
      <c r="AE28" s="147"/>
      <c r="AF28" s="147"/>
      <c r="AG28" s="147"/>
      <c r="AH28" s="147"/>
      <c r="AI28" s="147"/>
      <c r="AJ28" s="147"/>
      <c r="AK28" s="147"/>
      <c r="AL28" s="147"/>
      <c r="AM28" s="147"/>
      <c r="AN28" s="147"/>
      <c r="AO28" s="147"/>
      <c r="AP28" s="147"/>
      <c r="AQ28" s="147"/>
      <c r="AR28" s="147"/>
      <c r="AS28" s="147"/>
      <c r="AT28" s="147"/>
      <c r="AU28" s="147"/>
      <c r="AV28" s="147"/>
      <c r="AW28" s="147"/>
      <c r="AX28" s="147"/>
      <c r="AY28" s="147"/>
      <c r="AZ28" s="147"/>
      <c r="BA28" s="147"/>
      <c r="BB28" s="147"/>
      <c r="BC28" s="147"/>
      <c r="BD28" s="147"/>
      <c r="BE28" s="147"/>
      <c r="BF28" s="147"/>
      <c r="BG28" s="147"/>
      <c r="BH28" s="147"/>
      <c r="BI28" s="147"/>
      <c r="BJ28" s="147"/>
      <c r="BK28" s="147"/>
      <c r="BL28" s="147"/>
      <c r="BM28" s="147"/>
      <c r="BN28" s="147"/>
      <c r="BO28" s="147"/>
      <c r="BP28" s="147"/>
      <c r="BQ28" s="147"/>
      <c r="BR28" s="147"/>
      <c r="BS28" s="147"/>
      <c r="BT28" s="147"/>
      <c r="BU28" s="147"/>
      <c r="BV28" s="147"/>
      <c r="BW28" s="147"/>
      <c r="BX28" s="147"/>
      <c r="BY28" s="147"/>
      <c r="BZ28" s="147"/>
      <c r="CA28" s="147"/>
      <c r="CB28" s="147"/>
      <c r="CC28" s="147"/>
      <c r="CD28" s="147"/>
      <c r="CE28" s="147"/>
      <c r="CF28" s="147"/>
      <c r="CG28" s="147"/>
      <c r="CH28" s="147"/>
      <c r="CI28" s="147"/>
      <c r="CJ28" s="147"/>
      <c r="CK28" s="147"/>
      <c r="CL28" s="147"/>
      <c r="CM28" s="147"/>
      <c r="CN28" s="147"/>
      <c r="CO28" s="147"/>
      <c r="CP28" s="147"/>
    </row>
    <row r="29" spans="1:94" s="177" customFormat="1" ht="15" x14ac:dyDescent="0.25">
      <c r="A29" s="179"/>
      <c r="B29" s="179"/>
      <c r="C29" s="171"/>
      <c r="D29" s="243"/>
      <c r="E29" s="180"/>
      <c r="F29" s="181">
        <v>0</v>
      </c>
      <c r="G29" s="182">
        <v>0</v>
      </c>
      <c r="H29" s="176">
        <f t="shared" si="0"/>
        <v>0</v>
      </c>
      <c r="I29" s="176">
        <f t="shared" si="1"/>
        <v>0</v>
      </c>
      <c r="J29" s="159">
        <f t="shared" si="3"/>
        <v>0</v>
      </c>
      <c r="K29" s="166"/>
      <c r="L29" s="176">
        <f t="shared" si="2"/>
        <v>0</v>
      </c>
      <c r="M29" s="176">
        <f t="shared" si="4"/>
        <v>0</v>
      </c>
      <c r="N29" s="183">
        <f t="shared" si="5"/>
        <v>0</v>
      </c>
      <c r="O29"/>
      <c r="P29"/>
      <c r="Q29"/>
      <c r="R29"/>
      <c r="S29"/>
      <c r="T29"/>
      <c r="U29"/>
      <c r="V29"/>
      <c r="W29"/>
      <c r="X29"/>
      <c r="Y29"/>
      <c r="Z29" s="344"/>
      <c r="AA29" s="363"/>
      <c r="AB29" s="363"/>
      <c r="AC29" s="363"/>
      <c r="AD29" s="329"/>
      <c r="AE29" s="147"/>
      <c r="AF29" s="147"/>
      <c r="AG29" s="147"/>
      <c r="AH29" s="147"/>
      <c r="AI29" s="147"/>
      <c r="AJ29" s="147"/>
      <c r="AK29" s="147"/>
      <c r="AL29" s="147"/>
      <c r="AM29" s="147"/>
      <c r="AN29" s="147"/>
      <c r="AO29" s="147"/>
      <c r="AP29" s="147"/>
      <c r="AQ29" s="147"/>
      <c r="AR29" s="147"/>
      <c r="AS29" s="147"/>
      <c r="AT29" s="147"/>
      <c r="AU29" s="147"/>
      <c r="AV29" s="147"/>
      <c r="AW29" s="147"/>
      <c r="AX29" s="147"/>
      <c r="AY29" s="147"/>
      <c r="AZ29" s="147"/>
      <c r="BA29" s="147"/>
      <c r="BB29" s="147"/>
      <c r="BC29" s="147"/>
      <c r="BD29" s="147"/>
      <c r="BE29" s="147"/>
      <c r="BF29" s="147"/>
      <c r="BG29" s="147"/>
      <c r="BH29" s="147"/>
      <c r="BI29" s="147"/>
      <c r="BJ29" s="147"/>
      <c r="BK29" s="147"/>
      <c r="BL29" s="147"/>
      <c r="BM29" s="147"/>
      <c r="BN29" s="147"/>
      <c r="BO29" s="147"/>
      <c r="BP29" s="147"/>
      <c r="BQ29" s="147"/>
      <c r="BR29" s="147"/>
      <c r="BS29" s="147"/>
      <c r="BT29" s="147"/>
      <c r="BU29" s="147"/>
      <c r="BV29" s="147"/>
      <c r="BW29" s="147"/>
      <c r="BX29" s="147"/>
      <c r="BY29" s="147"/>
      <c r="BZ29" s="147"/>
      <c r="CA29" s="147"/>
      <c r="CB29" s="147"/>
      <c r="CC29" s="147"/>
      <c r="CD29" s="147"/>
      <c r="CE29" s="147"/>
      <c r="CF29" s="147"/>
      <c r="CG29" s="147"/>
      <c r="CH29" s="147"/>
      <c r="CI29" s="147"/>
      <c r="CJ29" s="147"/>
      <c r="CK29" s="147"/>
      <c r="CL29" s="147"/>
      <c r="CM29" s="147"/>
      <c r="CN29" s="147"/>
      <c r="CO29" s="147"/>
      <c r="CP29" s="147"/>
    </row>
    <row r="30" spans="1:94" s="177" customFormat="1" ht="15" x14ac:dyDescent="0.25">
      <c r="A30" s="179"/>
      <c r="B30" s="184"/>
      <c r="C30" s="171"/>
      <c r="D30" s="243"/>
      <c r="E30" s="180"/>
      <c r="F30" s="181">
        <v>0</v>
      </c>
      <c r="G30" s="182">
        <v>0</v>
      </c>
      <c r="H30" s="176">
        <f t="shared" si="0"/>
        <v>0</v>
      </c>
      <c r="I30" s="176">
        <f t="shared" si="1"/>
        <v>0</v>
      </c>
      <c r="J30" s="159">
        <f t="shared" si="3"/>
        <v>0</v>
      </c>
      <c r="K30" s="166"/>
      <c r="L30" s="176">
        <f t="shared" si="2"/>
        <v>0</v>
      </c>
      <c r="M30" s="176">
        <f t="shared" si="4"/>
        <v>0</v>
      </c>
      <c r="N30" s="183">
        <f t="shared" si="5"/>
        <v>0</v>
      </c>
      <c r="O30"/>
      <c r="P30"/>
      <c r="Q30"/>
      <c r="R30"/>
      <c r="S30"/>
      <c r="T30"/>
      <c r="U30"/>
      <c r="V30"/>
      <c r="W30"/>
      <c r="X30"/>
      <c r="Y30"/>
      <c r="Z30" s="344"/>
      <c r="AA30" s="363"/>
      <c r="AB30" s="363"/>
      <c r="AC30" s="363"/>
      <c r="AD30" s="329"/>
      <c r="AE30" s="147"/>
      <c r="AF30" s="147"/>
      <c r="AG30" s="147"/>
      <c r="AH30" s="147"/>
      <c r="AI30" s="147"/>
      <c r="AJ30" s="147"/>
      <c r="AK30" s="147"/>
      <c r="AL30" s="147"/>
      <c r="AM30" s="147"/>
      <c r="AN30" s="147"/>
      <c r="AO30" s="147"/>
      <c r="AP30" s="147"/>
      <c r="AQ30" s="147"/>
      <c r="AR30" s="147"/>
      <c r="AS30" s="147"/>
      <c r="AT30" s="147"/>
      <c r="AU30" s="147"/>
      <c r="AV30" s="147"/>
      <c r="AW30" s="147"/>
      <c r="AX30" s="147"/>
      <c r="AY30" s="147"/>
      <c r="AZ30" s="147"/>
      <c r="BA30" s="147"/>
      <c r="BB30" s="147"/>
      <c r="BC30" s="147"/>
      <c r="BD30" s="147"/>
      <c r="BE30" s="147"/>
      <c r="BF30" s="147"/>
      <c r="BG30" s="147"/>
      <c r="BH30" s="147"/>
      <c r="BI30" s="147"/>
      <c r="BJ30" s="147"/>
      <c r="BK30" s="147"/>
      <c r="BL30" s="147"/>
      <c r="BM30" s="147"/>
      <c r="BN30" s="147"/>
      <c r="BO30" s="147"/>
      <c r="BP30" s="147"/>
      <c r="BQ30" s="147"/>
      <c r="BR30" s="147"/>
      <c r="BS30" s="147"/>
      <c r="BT30" s="147"/>
      <c r="BU30" s="147"/>
      <c r="BV30" s="147"/>
      <c r="BW30" s="147"/>
      <c r="BX30" s="147"/>
      <c r="BY30" s="147"/>
      <c r="BZ30" s="147"/>
      <c r="CA30" s="147"/>
      <c r="CB30" s="147"/>
      <c r="CC30" s="147"/>
      <c r="CD30" s="147"/>
      <c r="CE30" s="147"/>
      <c r="CF30" s="147"/>
      <c r="CG30" s="147"/>
      <c r="CH30" s="147"/>
      <c r="CI30" s="147"/>
      <c r="CJ30" s="147"/>
      <c r="CK30" s="147"/>
      <c r="CL30" s="147"/>
      <c r="CM30" s="147"/>
      <c r="CN30" s="147"/>
      <c r="CO30" s="147"/>
      <c r="CP30" s="147"/>
    </row>
    <row r="31" spans="1:94" s="153" customFormat="1" ht="15" x14ac:dyDescent="0.25">
      <c r="A31" s="139"/>
      <c r="B31" s="168"/>
      <c r="C31" s="245"/>
      <c r="D31" s="246" t="s">
        <v>36</v>
      </c>
      <c r="E31" s="150"/>
      <c r="F31" s="165"/>
      <c r="G31" s="166"/>
      <c r="H31" s="166"/>
      <c r="I31" s="166"/>
      <c r="J31" s="166"/>
      <c r="K31" s="166"/>
      <c r="L31" s="166"/>
      <c r="M31" s="166"/>
      <c r="N31" s="166"/>
      <c r="O31"/>
      <c r="P31"/>
      <c r="Q31"/>
      <c r="R31"/>
      <c r="S31"/>
      <c r="T31"/>
      <c r="U31"/>
      <c r="V31"/>
      <c r="W31"/>
      <c r="X31"/>
      <c r="Y31"/>
      <c r="Z31" s="344"/>
      <c r="AA31" s="363"/>
      <c r="AB31" s="363"/>
      <c r="AC31" s="363"/>
      <c r="AD31" s="329"/>
      <c r="AE31" s="147"/>
      <c r="AF31" s="147"/>
      <c r="AG31" s="147"/>
      <c r="AH31" s="147"/>
      <c r="AI31" s="147"/>
      <c r="AJ31" s="147"/>
      <c r="AK31" s="147"/>
      <c r="AL31" s="147"/>
      <c r="AM31" s="147"/>
      <c r="AN31" s="147"/>
      <c r="AO31" s="147"/>
      <c r="AP31" s="147"/>
      <c r="AQ31" s="147"/>
      <c r="AR31" s="147"/>
      <c r="AS31" s="147"/>
      <c r="AT31" s="147"/>
      <c r="AU31" s="147"/>
      <c r="AV31" s="147"/>
      <c r="AW31" s="147"/>
      <c r="AX31" s="147"/>
      <c r="AY31" s="147"/>
      <c r="AZ31" s="147"/>
      <c r="BA31" s="147"/>
      <c r="BB31" s="147"/>
      <c r="BC31" s="147"/>
      <c r="BD31" s="147"/>
      <c r="BE31" s="147"/>
      <c r="BF31" s="147"/>
      <c r="BG31" s="147"/>
      <c r="BH31" s="147"/>
      <c r="BI31" s="147"/>
      <c r="BJ31" s="147"/>
      <c r="BK31" s="147"/>
      <c r="BL31" s="147"/>
      <c r="BM31" s="147"/>
      <c r="BN31" s="147"/>
      <c r="BO31" s="147"/>
      <c r="BP31" s="147"/>
      <c r="BQ31" s="147"/>
      <c r="BR31" s="147"/>
      <c r="BS31" s="147"/>
      <c r="BT31" s="147"/>
      <c r="BU31" s="147"/>
      <c r="BV31" s="147"/>
      <c r="BW31" s="147"/>
      <c r="BX31" s="147"/>
      <c r="BY31" s="147"/>
      <c r="BZ31" s="147"/>
      <c r="CA31" s="147"/>
      <c r="CB31" s="147"/>
      <c r="CC31" s="147"/>
      <c r="CD31" s="147"/>
      <c r="CE31" s="147"/>
      <c r="CF31" s="147"/>
      <c r="CG31" s="147"/>
      <c r="CH31" s="147"/>
      <c r="CI31" s="147"/>
      <c r="CJ31" s="147"/>
      <c r="CK31" s="147"/>
      <c r="CL31" s="147"/>
      <c r="CM31" s="147"/>
      <c r="CN31" s="147"/>
      <c r="CO31" s="147"/>
      <c r="CP31" s="147"/>
    </row>
    <row r="32" spans="1:94" s="177" customFormat="1" ht="15" x14ac:dyDescent="0.25">
      <c r="A32" s="185"/>
      <c r="B32" s="185"/>
      <c r="C32" s="244"/>
      <c r="D32" s="242"/>
      <c r="E32" s="173"/>
      <c r="F32" s="174">
        <v>0</v>
      </c>
      <c r="G32" s="175">
        <v>0</v>
      </c>
      <c r="H32" s="176">
        <f t="shared" ref="H32:H35" si="6">IF(AND($F32&lt;&gt;0,$G32&lt;&gt;0,OR($E32=1,$E32=3)),$F32*Health,0)</f>
        <v>0</v>
      </c>
      <c r="I32" s="176">
        <f t="shared" ref="I32:I34" si="7">IF(AND($E32=1,$C32=""),$G32*PermVB+$G32*Retire1,IF($E32=1,$G32*PermVB+$G32*VLOOKUP($C32,Retirement_Rates,3,FALSE),IF($E32=2,$G32*GroupVB,IF(AND($E32=3,$C32=""),$G32*ElectVB+$G32*Retire1,IF($E32=3,$G32*ElectVB+$G32*VLOOKUP($C32,Retirement_Rates,3,FALSE),0)))))</f>
        <v>0</v>
      </c>
      <c r="J32" s="279">
        <f t="shared" si="3"/>
        <v>0</v>
      </c>
      <c r="K32" s="166"/>
      <c r="L32" s="176">
        <f t="shared" ref="L32:L35" si="8">IF(AND($F32&lt;&gt;0,$G32&lt;&gt;0,OR($E32=1,$E32=3)),$F32*HealthCHG,0)</f>
        <v>0</v>
      </c>
      <c r="M32" s="176">
        <f t="shared" ref="M32:M35" si="9">IF(AND($E32=1,$C32=""),$G32*PermVBCHG+$G32*Retire1CHG,IF($E32=1,$G32*PermVBCHG+$G32*VLOOKUP($C32,Retirement_Rates,5,FALSE),IF($E32=2,0,IF(AND($E32=3,$C32=""),$G32*ElectVBCHG+$G32*Retire1CHG,IF($E32=3,$G32*ElectVBCHG+$G32*VLOOKUP($C32,Retirement_Rates,5,FALSE),0)))))</f>
        <v>0</v>
      </c>
      <c r="N32" s="176">
        <f t="shared" ref="N32:N35" si="10">SUM(L32:M32)</f>
        <v>0</v>
      </c>
      <c r="O32"/>
      <c r="P32"/>
      <c r="Q32"/>
      <c r="R32"/>
      <c r="S32"/>
      <c r="T32"/>
      <c r="U32"/>
      <c r="V32"/>
      <c r="W32"/>
      <c r="X32"/>
      <c r="Y32"/>
      <c r="Z32" s="344"/>
      <c r="AA32" s="363"/>
      <c r="AB32" s="363"/>
      <c r="AC32" s="363"/>
      <c r="AD32" s="329"/>
      <c r="AE32" s="147"/>
      <c r="AF32" s="147"/>
      <c r="AG32" s="147"/>
      <c r="AH32" s="147"/>
      <c r="AI32" s="147"/>
      <c r="AJ32" s="147"/>
      <c r="AK32" s="147"/>
      <c r="AL32" s="147"/>
      <c r="AM32" s="147"/>
      <c r="AN32" s="147"/>
      <c r="AO32" s="147"/>
      <c r="AP32" s="147"/>
      <c r="AQ32" s="147"/>
      <c r="AR32" s="147"/>
      <c r="AS32" s="147"/>
      <c r="AT32" s="147"/>
      <c r="AU32" s="147"/>
      <c r="AV32" s="147"/>
      <c r="AW32" s="147"/>
      <c r="AX32" s="147"/>
      <c r="AY32" s="147"/>
      <c r="AZ32" s="147"/>
      <c r="BA32" s="147"/>
      <c r="BB32" s="147"/>
      <c r="BC32" s="147"/>
      <c r="BD32" s="147"/>
      <c r="BE32" s="147"/>
      <c r="BF32" s="147"/>
      <c r="BG32" s="147"/>
      <c r="BH32" s="147"/>
      <c r="BI32" s="147"/>
      <c r="BJ32" s="147"/>
      <c r="BK32" s="147"/>
      <c r="BL32" s="147"/>
      <c r="BM32" s="147"/>
      <c r="BN32" s="147"/>
      <c r="BO32" s="147"/>
      <c r="BP32" s="147"/>
      <c r="BQ32" s="147"/>
      <c r="BR32" s="147"/>
      <c r="BS32" s="147"/>
      <c r="BT32" s="147"/>
      <c r="BU32" s="147"/>
      <c r="BV32" s="147"/>
      <c r="BW32" s="147"/>
      <c r="BX32" s="147"/>
      <c r="BY32" s="147"/>
      <c r="BZ32" s="147"/>
      <c r="CA32" s="147"/>
      <c r="CB32" s="147"/>
      <c r="CC32" s="147"/>
      <c r="CD32" s="147"/>
      <c r="CE32" s="147"/>
      <c r="CF32" s="147"/>
      <c r="CG32" s="147"/>
      <c r="CH32" s="147"/>
      <c r="CI32" s="147"/>
      <c r="CJ32" s="147"/>
      <c r="CK32" s="147"/>
      <c r="CL32" s="147"/>
      <c r="CM32" s="147"/>
      <c r="CN32" s="147"/>
      <c r="CO32" s="147"/>
      <c r="CP32" s="147"/>
    </row>
    <row r="33" spans="1:94" s="177" customFormat="1" ht="15" x14ac:dyDescent="0.25">
      <c r="A33" s="186"/>
      <c r="B33" s="187"/>
      <c r="C33" s="244"/>
      <c r="D33" s="242"/>
      <c r="E33" s="180"/>
      <c r="F33" s="181">
        <v>0</v>
      </c>
      <c r="G33" s="182">
        <v>0</v>
      </c>
      <c r="H33" s="176">
        <f t="shared" si="6"/>
        <v>0</v>
      </c>
      <c r="I33" s="176">
        <f t="shared" si="7"/>
        <v>0</v>
      </c>
      <c r="J33" s="279">
        <f t="shared" si="3"/>
        <v>0</v>
      </c>
      <c r="K33" s="166"/>
      <c r="L33" s="176">
        <f t="shared" si="8"/>
        <v>0</v>
      </c>
      <c r="M33" s="176">
        <f t="shared" si="9"/>
        <v>0</v>
      </c>
      <c r="N33" s="183">
        <f t="shared" si="10"/>
        <v>0</v>
      </c>
      <c r="O33"/>
      <c r="P33"/>
      <c r="Q33"/>
      <c r="R33"/>
      <c r="S33"/>
      <c r="T33"/>
      <c r="U33"/>
      <c r="V33"/>
      <c r="W33"/>
      <c r="X33"/>
      <c r="Y33"/>
      <c r="Z33" s="344"/>
      <c r="AA33" s="363"/>
      <c r="AB33" s="363"/>
      <c r="AC33" s="363"/>
      <c r="AD33" s="329"/>
      <c r="AE33" s="147"/>
      <c r="AF33" s="147"/>
      <c r="AG33" s="147"/>
      <c r="AH33" s="147"/>
      <c r="AI33" s="147"/>
      <c r="AJ33" s="147"/>
      <c r="AK33" s="147"/>
      <c r="AL33" s="147"/>
      <c r="AM33" s="147"/>
      <c r="AN33" s="147"/>
      <c r="AO33" s="147"/>
      <c r="AP33" s="147"/>
      <c r="AQ33" s="147"/>
      <c r="AR33" s="147"/>
      <c r="AS33" s="147"/>
      <c r="AT33" s="147"/>
      <c r="AU33" s="147"/>
      <c r="AV33" s="147"/>
      <c r="AW33" s="147"/>
      <c r="AX33" s="147"/>
      <c r="AY33" s="147"/>
      <c r="AZ33" s="147"/>
      <c r="BA33" s="147"/>
      <c r="BB33" s="147"/>
      <c r="BC33" s="147"/>
      <c r="BD33" s="147"/>
      <c r="BE33" s="147"/>
      <c r="BF33" s="147"/>
      <c r="BG33" s="147"/>
      <c r="BH33" s="147"/>
      <c r="BI33" s="147"/>
      <c r="BJ33" s="147"/>
      <c r="BK33" s="147"/>
      <c r="BL33" s="147"/>
      <c r="BM33" s="147"/>
      <c r="BN33" s="147"/>
      <c r="BO33" s="147"/>
      <c r="BP33" s="147"/>
      <c r="BQ33" s="147"/>
      <c r="BR33" s="147"/>
      <c r="BS33" s="147"/>
      <c r="BT33" s="147"/>
      <c r="BU33" s="147"/>
      <c r="BV33" s="147"/>
      <c r="BW33" s="147"/>
      <c r="BX33" s="147"/>
      <c r="BY33" s="147"/>
      <c r="BZ33" s="147"/>
      <c r="CA33" s="147"/>
      <c r="CB33" s="147"/>
      <c r="CC33" s="147"/>
      <c r="CD33" s="147"/>
      <c r="CE33" s="147"/>
      <c r="CF33" s="147"/>
      <c r="CG33" s="147"/>
      <c r="CH33" s="147"/>
      <c r="CI33" s="147"/>
      <c r="CJ33" s="147"/>
      <c r="CK33" s="147"/>
      <c r="CL33" s="147"/>
      <c r="CM33" s="147"/>
      <c r="CN33" s="147"/>
      <c r="CO33" s="147"/>
      <c r="CP33" s="147"/>
    </row>
    <row r="34" spans="1:94" s="177" customFormat="1" ht="15" x14ac:dyDescent="0.25">
      <c r="A34" s="186"/>
      <c r="B34" s="187"/>
      <c r="C34" s="244"/>
      <c r="D34" s="242"/>
      <c r="E34" s="180"/>
      <c r="F34" s="181">
        <v>0</v>
      </c>
      <c r="G34" s="182">
        <v>0</v>
      </c>
      <c r="H34" s="176">
        <f t="shared" si="6"/>
        <v>0</v>
      </c>
      <c r="I34" s="176">
        <f t="shared" si="7"/>
        <v>0</v>
      </c>
      <c r="J34" s="279">
        <f t="shared" si="3"/>
        <v>0</v>
      </c>
      <c r="K34" s="280"/>
      <c r="L34" s="176">
        <f t="shared" si="8"/>
        <v>0</v>
      </c>
      <c r="M34" s="176">
        <f t="shared" si="9"/>
        <v>0</v>
      </c>
      <c r="N34" s="183">
        <f t="shared" si="10"/>
        <v>0</v>
      </c>
      <c r="O34"/>
      <c r="P34"/>
      <c r="Q34"/>
      <c r="R34"/>
      <c r="S34"/>
      <c r="T34"/>
      <c r="U34"/>
      <c r="V34"/>
      <c r="W34"/>
      <c r="X34"/>
      <c r="Y34"/>
      <c r="Z34" s="344"/>
      <c r="AA34" s="363"/>
      <c r="AB34" s="363"/>
      <c r="AC34" s="363"/>
      <c r="AD34" s="329"/>
      <c r="AE34" s="147"/>
      <c r="AF34" s="147"/>
      <c r="AG34" s="147"/>
      <c r="AH34" s="147"/>
      <c r="AI34" s="147"/>
      <c r="AJ34" s="147"/>
      <c r="AK34" s="147"/>
      <c r="AL34" s="147"/>
      <c r="AM34" s="147"/>
      <c r="AN34" s="147"/>
      <c r="AO34" s="147"/>
      <c r="AP34" s="147"/>
      <c r="AQ34" s="147"/>
      <c r="AR34" s="147"/>
      <c r="AS34" s="147"/>
      <c r="AT34" s="147"/>
      <c r="AU34" s="147"/>
      <c r="AV34" s="147"/>
      <c r="AW34" s="147"/>
      <c r="AX34" s="147"/>
      <c r="AY34" s="147"/>
      <c r="AZ34" s="147"/>
      <c r="BA34" s="147"/>
      <c r="BB34" s="147"/>
      <c r="BC34" s="147"/>
      <c r="BD34" s="147"/>
      <c r="BE34" s="147"/>
      <c r="BF34" s="147"/>
      <c r="BG34" s="147"/>
      <c r="BH34" s="147"/>
      <c r="BI34" s="147"/>
      <c r="BJ34" s="147"/>
      <c r="BK34" s="147"/>
      <c r="BL34" s="147"/>
      <c r="BM34" s="147"/>
      <c r="BN34" s="147"/>
      <c r="BO34" s="147"/>
      <c r="BP34" s="147"/>
      <c r="BQ34" s="147"/>
      <c r="BR34" s="147"/>
      <c r="BS34" s="147"/>
      <c r="BT34" s="147"/>
      <c r="BU34" s="147"/>
      <c r="BV34" s="147"/>
      <c r="BW34" s="147"/>
      <c r="BX34" s="147"/>
      <c r="BY34" s="147"/>
      <c r="BZ34" s="147"/>
      <c r="CA34" s="147"/>
      <c r="CB34" s="147"/>
      <c r="CC34" s="147"/>
      <c r="CD34" s="147"/>
      <c r="CE34" s="147"/>
      <c r="CF34" s="147"/>
      <c r="CG34" s="147"/>
      <c r="CH34" s="147"/>
      <c r="CI34" s="147"/>
      <c r="CJ34" s="147"/>
      <c r="CK34" s="147"/>
      <c r="CL34" s="147"/>
      <c r="CM34" s="147"/>
      <c r="CN34" s="147"/>
      <c r="CO34" s="147"/>
      <c r="CP34" s="147"/>
    </row>
    <row r="35" spans="1:94" s="177" customFormat="1" ht="15" x14ac:dyDescent="0.25">
      <c r="A35" s="186"/>
      <c r="B35" s="187"/>
      <c r="C35" s="244"/>
      <c r="D35" s="242"/>
      <c r="E35" s="180"/>
      <c r="F35" s="181">
        <v>0</v>
      </c>
      <c r="G35" s="182">
        <v>0</v>
      </c>
      <c r="H35" s="176">
        <f t="shared" si="6"/>
        <v>0</v>
      </c>
      <c r="I35" s="176">
        <f>IF(AND($E35=1,$C35=""),$G35*(PermVB+Retire1),IF($E35=1,$G35*PermVB+$G35*VLOOKUP($C35,Retirement_Rates,3,FALSE),IF($E35=2,$G35*GroupVB,IF(AND($E35=3,$C35=""),$G35*ElectVB+$G35*Retire1,IF($E35=3,$G35*ElectVB+$G35*VLOOKUP($C35,Retirement_Rates,3,FALSE),0)))))</f>
        <v>0</v>
      </c>
      <c r="J35" s="279">
        <f t="shared" si="3"/>
        <v>0</v>
      </c>
      <c r="K35" s="309"/>
      <c r="L35" s="176">
        <f t="shared" si="8"/>
        <v>0</v>
      </c>
      <c r="M35" s="176">
        <f t="shared" si="9"/>
        <v>0</v>
      </c>
      <c r="N35" s="183">
        <f t="shared" si="10"/>
        <v>0</v>
      </c>
      <c r="O35"/>
      <c r="P35"/>
      <c r="Q35"/>
      <c r="R35"/>
      <c r="S35"/>
      <c r="T35"/>
      <c r="U35"/>
      <c r="V35"/>
      <c r="W35"/>
      <c r="X35"/>
      <c r="Y35"/>
      <c r="Z35" s="344"/>
      <c r="AA35" s="363"/>
      <c r="AB35" s="363"/>
      <c r="AC35" s="363"/>
      <c r="AD35" s="329"/>
      <c r="AE35" s="147"/>
      <c r="AF35" s="147"/>
      <c r="AG35" s="147"/>
      <c r="AH35" s="147"/>
      <c r="AI35" s="147"/>
      <c r="AJ35" s="147"/>
      <c r="AK35" s="147"/>
      <c r="AL35" s="147"/>
      <c r="AM35" s="147"/>
      <c r="AN35" s="147"/>
      <c r="AO35" s="147"/>
      <c r="AP35" s="147"/>
      <c r="AQ35" s="147"/>
      <c r="AR35" s="147"/>
      <c r="AS35" s="147"/>
      <c r="AT35" s="147"/>
      <c r="AU35" s="147"/>
      <c r="AV35" s="147"/>
      <c r="AW35" s="147"/>
      <c r="AX35" s="147"/>
      <c r="AY35" s="147"/>
      <c r="AZ35" s="147"/>
      <c r="BA35" s="147"/>
      <c r="BB35" s="147"/>
      <c r="BC35" s="147"/>
      <c r="BD35" s="147"/>
      <c r="BE35" s="147"/>
      <c r="BF35" s="147"/>
      <c r="BG35" s="147"/>
      <c r="BH35" s="147"/>
      <c r="BI35" s="147"/>
      <c r="BJ35" s="147"/>
      <c r="BK35" s="147"/>
      <c r="BL35" s="147"/>
      <c r="BM35" s="147"/>
      <c r="BN35" s="147"/>
      <c r="BO35" s="147"/>
      <c r="BP35" s="147"/>
      <c r="BQ35" s="147"/>
      <c r="BR35" s="147"/>
      <c r="BS35" s="147"/>
      <c r="BT35" s="147"/>
      <c r="BU35" s="147"/>
      <c r="BV35" s="147"/>
      <c r="BW35" s="147"/>
      <c r="BX35" s="147"/>
      <c r="BY35" s="147"/>
      <c r="BZ35" s="147"/>
      <c r="CA35" s="147"/>
      <c r="CB35" s="147"/>
      <c r="CC35" s="147"/>
      <c r="CD35" s="147"/>
      <c r="CE35" s="147"/>
      <c r="CF35" s="147"/>
      <c r="CG35" s="147"/>
      <c r="CH35" s="147"/>
      <c r="CI35" s="147"/>
      <c r="CJ35" s="147"/>
      <c r="CK35" s="147"/>
      <c r="CL35" s="147"/>
      <c r="CM35" s="147"/>
      <c r="CN35" s="147"/>
      <c r="CO35" s="147"/>
      <c r="CP35" s="147"/>
    </row>
    <row r="36" spans="1:94" s="213" customFormat="1" ht="15" x14ac:dyDescent="0.25">
      <c r="A36" s="281"/>
      <c r="B36" s="282"/>
      <c r="C36" s="283"/>
      <c r="D36" s="284"/>
      <c r="E36" s="285"/>
      <c r="F36" s="197"/>
      <c r="G36" s="259"/>
      <c r="H36" s="259"/>
      <c r="I36" s="259"/>
      <c r="J36" s="286"/>
      <c r="K36" s="280"/>
      <c r="L36" s="321"/>
      <c r="M36" s="259"/>
      <c r="N36" s="259"/>
      <c r="O36"/>
      <c r="P36"/>
      <c r="Q36"/>
      <c r="R36"/>
      <c r="S36"/>
      <c r="T36"/>
      <c r="U36"/>
      <c r="V36"/>
      <c r="W36"/>
      <c r="X36"/>
      <c r="Y36"/>
      <c r="Z36" s="344"/>
      <c r="AA36" s="363" t="s">
        <v>94</v>
      </c>
      <c r="AB36" s="333" t="s">
        <v>95</v>
      </c>
      <c r="AC36" s="333" t="s">
        <v>106</v>
      </c>
      <c r="AD36" s="330"/>
    </row>
    <row r="37" spans="1:94" s="153" customFormat="1" ht="17.25" customHeight="1" x14ac:dyDescent="0.25">
      <c r="A37" s="139"/>
      <c r="B37" s="188"/>
      <c r="C37" s="459" t="s">
        <v>37</v>
      </c>
      <c r="D37" s="460"/>
      <c r="E37" s="150"/>
      <c r="F37" s="165"/>
      <c r="G37" s="166"/>
      <c r="H37" s="166"/>
      <c r="I37" s="166"/>
      <c r="J37" s="322"/>
      <c r="K37" s="166"/>
      <c r="L37" s="166"/>
      <c r="M37" s="166"/>
      <c r="N37" s="166"/>
      <c r="O37"/>
      <c r="P37"/>
      <c r="Q37"/>
      <c r="R37"/>
      <c r="S37"/>
      <c r="T37"/>
      <c r="U37"/>
      <c r="V37"/>
      <c r="W37"/>
      <c r="X37"/>
      <c r="Y37"/>
      <c r="Z37" s="344"/>
      <c r="AA37" s="461" t="s">
        <v>107</v>
      </c>
      <c r="AB37" s="462"/>
      <c r="AC37" s="462"/>
      <c r="AD37" s="329"/>
      <c r="AE37" s="147"/>
      <c r="AF37" s="147"/>
      <c r="AG37" s="147"/>
      <c r="AH37" s="147"/>
      <c r="AI37" s="147"/>
      <c r="AJ37" s="147"/>
      <c r="AK37" s="147"/>
      <c r="AL37" s="147"/>
      <c r="AM37" s="147"/>
      <c r="AN37" s="147"/>
      <c r="AO37" s="147"/>
      <c r="AP37" s="147"/>
      <c r="AQ37" s="147"/>
      <c r="AR37" s="147"/>
      <c r="AS37" s="147"/>
      <c r="AT37" s="147"/>
      <c r="AU37" s="147"/>
      <c r="AV37" s="147"/>
      <c r="AW37" s="147"/>
      <c r="AX37" s="147"/>
      <c r="AY37" s="147"/>
      <c r="AZ37" s="147"/>
      <c r="BA37" s="147"/>
      <c r="BB37" s="147"/>
      <c r="BC37" s="147"/>
      <c r="BD37" s="147"/>
      <c r="BE37" s="147"/>
      <c r="BF37" s="147"/>
      <c r="BG37" s="147"/>
      <c r="BH37" s="147"/>
      <c r="BI37" s="147"/>
      <c r="BJ37" s="147"/>
      <c r="BK37" s="147"/>
      <c r="BL37" s="147"/>
      <c r="BM37" s="147"/>
      <c r="BN37" s="147"/>
      <c r="BO37" s="147"/>
      <c r="BP37" s="147"/>
      <c r="BQ37" s="147"/>
      <c r="BR37" s="147"/>
      <c r="BS37" s="147"/>
      <c r="BT37" s="147"/>
      <c r="BU37" s="147"/>
      <c r="BV37" s="147"/>
      <c r="BW37" s="147"/>
      <c r="BX37" s="147"/>
      <c r="BY37" s="147"/>
      <c r="BZ37" s="147"/>
      <c r="CA37" s="147"/>
      <c r="CB37" s="147"/>
      <c r="CC37" s="147"/>
      <c r="CD37" s="147"/>
      <c r="CE37" s="147"/>
      <c r="CF37" s="147"/>
      <c r="CG37" s="147"/>
      <c r="CH37" s="147"/>
      <c r="CI37" s="147"/>
      <c r="CJ37" s="147"/>
      <c r="CK37" s="147"/>
      <c r="CL37" s="147"/>
      <c r="CM37" s="147"/>
      <c r="CN37" s="147"/>
      <c r="CO37" s="147"/>
      <c r="CP37" s="147"/>
    </row>
    <row r="38" spans="1:94" s="153" customFormat="1" ht="15" x14ac:dyDescent="0.25">
      <c r="A38" s="139"/>
      <c r="B38" s="188"/>
      <c r="C38" s="443" t="str">
        <f>perm_name</f>
        <v>Permanent Positions</v>
      </c>
      <c r="D38" s="444"/>
      <c r="E38" s="189">
        <v>1</v>
      </c>
      <c r="F38" s="190">
        <f>SUMIF($E9:$E35,$E38,$F9:$F35)</f>
        <v>17.049999999999997</v>
      </c>
      <c r="G38" s="191">
        <f>SUMIF($E10:$E35,$E38,$G10:$G35)</f>
        <v>1083754.8800000001</v>
      </c>
      <c r="H38" s="192">
        <f>SUMIF($E10:$E35,$E38,$H10:$H35)</f>
        <v>198632.5</v>
      </c>
      <c r="I38" s="192">
        <f>SUMIF($E10:$E35,$E38,$I10:$I35)</f>
        <v>231349.15423360001</v>
      </c>
      <c r="J38" s="192">
        <f>SUM(G38:I38)</f>
        <v>1513736.5342336001</v>
      </c>
      <c r="K38" s="166"/>
      <c r="L38" s="191">
        <f>SUMIF($E10:$E35,$E38,$L10:$L35)</f>
        <v>0</v>
      </c>
      <c r="M38" s="192">
        <f>SUMIF($E10:$E35,$E38,$M10:$M35)</f>
        <v>-5202.0234239999991</v>
      </c>
      <c r="N38" s="192">
        <f>SUM(L38:M38)</f>
        <v>-5202.0234239999991</v>
      </c>
      <c r="O38"/>
      <c r="P38"/>
      <c r="Q38"/>
      <c r="R38"/>
      <c r="S38"/>
      <c r="T38"/>
      <c r="U38"/>
      <c r="V38"/>
      <c r="W38"/>
      <c r="X38"/>
      <c r="Y38"/>
      <c r="Z38" s="344"/>
      <c r="AA38" s="338">
        <f>ROUND(AdjPermSalary*CECPerm,-2)</f>
        <v>10800</v>
      </c>
      <c r="AB38" s="338">
        <f>ROUND((AdjPermVB*CECPerm+AdjPermVBBY*CECPerm),-2)</f>
        <v>2300</v>
      </c>
      <c r="AC38" s="338">
        <f>SUM(AA38:AB38)</f>
        <v>13100</v>
      </c>
      <c r="AD38" s="329"/>
      <c r="AE38" s="147"/>
      <c r="AF38" s="147"/>
      <c r="AG38" s="147"/>
      <c r="AH38" s="147"/>
      <c r="AI38" s="147"/>
      <c r="AJ38" s="147"/>
      <c r="AK38" s="147"/>
      <c r="AL38" s="147"/>
      <c r="AM38" s="147"/>
      <c r="AN38" s="147"/>
      <c r="AO38" s="147"/>
      <c r="AP38" s="147"/>
      <c r="AQ38" s="147"/>
      <c r="AR38" s="147"/>
      <c r="AS38" s="147"/>
      <c r="AT38" s="147"/>
      <c r="AU38" s="147"/>
      <c r="AV38" s="147"/>
      <c r="AW38" s="147"/>
      <c r="AX38" s="147"/>
      <c r="AY38" s="147"/>
      <c r="AZ38" s="147"/>
      <c r="BA38" s="147"/>
      <c r="BB38" s="147"/>
      <c r="BC38" s="147"/>
      <c r="BD38" s="147"/>
      <c r="BE38" s="147"/>
      <c r="BF38" s="147"/>
      <c r="BG38" s="147"/>
      <c r="BH38" s="147"/>
      <c r="BI38" s="147"/>
      <c r="BJ38" s="147"/>
      <c r="BK38" s="147"/>
      <c r="BL38" s="147"/>
      <c r="BM38" s="147"/>
      <c r="BN38" s="147"/>
      <c r="BO38" s="147"/>
      <c r="BP38" s="147"/>
      <c r="BQ38" s="147"/>
      <c r="BR38" s="147"/>
      <c r="BS38" s="147"/>
      <c r="BT38" s="147"/>
      <c r="BU38" s="147"/>
      <c r="BV38" s="147"/>
      <c r="BW38" s="147"/>
      <c r="BX38" s="147"/>
      <c r="BY38" s="147"/>
      <c r="BZ38" s="147"/>
      <c r="CA38" s="147"/>
      <c r="CB38" s="147"/>
      <c r="CC38" s="147"/>
      <c r="CD38" s="147"/>
      <c r="CE38" s="147"/>
      <c r="CF38" s="147"/>
      <c r="CG38" s="147"/>
      <c r="CH38" s="147"/>
      <c r="CI38" s="147"/>
      <c r="CJ38" s="147"/>
      <c r="CK38" s="147"/>
      <c r="CL38" s="147"/>
      <c r="CM38" s="147"/>
      <c r="CN38" s="147"/>
      <c r="CO38" s="147"/>
      <c r="CP38" s="147"/>
    </row>
    <row r="39" spans="1:94" s="153" customFormat="1" ht="15" x14ac:dyDescent="0.25">
      <c r="A39" s="139"/>
      <c r="B39" s="188"/>
      <c r="C39" s="443" t="str">
        <f>Group_name</f>
        <v>Board &amp; Group Positions</v>
      </c>
      <c r="D39" s="444"/>
      <c r="E39" s="189">
        <v>2</v>
      </c>
      <c r="F39" s="151">
        <f>SUMIF($E9:$E35,$E39,$F9:$F35)</f>
        <v>0</v>
      </c>
      <c r="G39" s="193">
        <f>SUMIF($E10:$E35,$E39,$G10:$G35)</f>
        <v>54975.97</v>
      </c>
      <c r="H39" s="152">
        <f>SUMIF($E10:$E35,$E39,$H10:$H35)</f>
        <v>0</v>
      </c>
      <c r="I39" s="152">
        <f>SUMIF($E10:$E35,$E39,$I10:$I35)</f>
        <v>4295.71</v>
      </c>
      <c r="J39" s="152">
        <f>SUM(G39:I39)</f>
        <v>59271.68</v>
      </c>
      <c r="K39" s="259"/>
      <c r="L39" s="193">
        <f>SUMIF($E10:$E35,$E39,$L10:$L35)</f>
        <v>0</v>
      </c>
      <c r="M39" s="152">
        <f>SUMIF($E11:$E37,$E39,$M11:$M37)</f>
        <v>0</v>
      </c>
      <c r="N39" s="152">
        <f>SUM(L39:M39)</f>
        <v>0</v>
      </c>
      <c r="O39"/>
      <c r="P39"/>
      <c r="Q39"/>
      <c r="R39"/>
      <c r="S39"/>
      <c r="T39"/>
      <c r="U39"/>
      <c r="V39"/>
      <c r="W39"/>
      <c r="X39"/>
      <c r="Y39"/>
      <c r="Z39" s="344"/>
      <c r="AA39" s="338">
        <f>ROUND(AdjGroupSalary*CECGroup,-2)</f>
        <v>500</v>
      </c>
      <c r="AB39" s="338">
        <f>ROUND(AdjGroupVB*CECGroup,-2)</f>
        <v>0</v>
      </c>
      <c r="AC39" s="338">
        <f>SUM(AA39:AB39)</f>
        <v>500</v>
      </c>
      <c r="AD39" s="329"/>
      <c r="AE39" s="147"/>
      <c r="AF39" s="147"/>
      <c r="AG39" s="147"/>
      <c r="AH39" s="147"/>
      <c r="AI39" s="147"/>
      <c r="AJ39" s="147"/>
      <c r="AK39" s="147"/>
      <c r="AL39" s="147"/>
      <c r="AM39" s="147"/>
      <c r="AN39" s="147"/>
      <c r="AO39" s="147"/>
      <c r="AP39" s="147"/>
      <c r="AQ39" s="147"/>
      <c r="AR39" s="147"/>
      <c r="AS39" s="147"/>
      <c r="AT39" s="147"/>
      <c r="AU39" s="147"/>
      <c r="AV39" s="147"/>
      <c r="AW39" s="147"/>
      <c r="AX39" s="147"/>
      <c r="AY39" s="147"/>
      <c r="AZ39" s="147"/>
      <c r="BA39" s="147"/>
      <c r="BB39" s="147"/>
      <c r="BC39" s="147"/>
      <c r="BD39" s="147"/>
      <c r="BE39" s="147"/>
      <c r="BF39" s="147"/>
      <c r="BG39" s="147"/>
      <c r="BH39" s="147"/>
      <c r="BI39" s="147"/>
      <c r="BJ39" s="147"/>
      <c r="BK39" s="147"/>
      <c r="BL39" s="147"/>
      <c r="BM39" s="147"/>
      <c r="BN39" s="147"/>
      <c r="BO39" s="147"/>
      <c r="BP39" s="147"/>
      <c r="BQ39" s="147"/>
      <c r="BR39" s="147"/>
      <c r="BS39" s="147"/>
      <c r="BT39" s="147"/>
      <c r="BU39" s="147"/>
      <c r="BV39" s="147"/>
      <c r="BW39" s="147"/>
      <c r="BX39" s="147"/>
      <c r="BY39" s="147"/>
      <c r="BZ39" s="147"/>
      <c r="CA39" s="147"/>
      <c r="CB39" s="147"/>
      <c r="CC39" s="147"/>
      <c r="CD39" s="147"/>
      <c r="CE39" s="147"/>
      <c r="CF39" s="147"/>
      <c r="CG39" s="147"/>
      <c r="CH39" s="147"/>
      <c r="CI39" s="147"/>
      <c r="CJ39" s="147"/>
      <c r="CK39" s="147"/>
      <c r="CL39" s="147"/>
      <c r="CM39" s="147"/>
      <c r="CN39" s="147"/>
      <c r="CO39" s="147"/>
      <c r="CP39" s="147"/>
    </row>
    <row r="40" spans="1:94" s="153" customFormat="1" ht="15" x14ac:dyDescent="0.25">
      <c r="A40" s="139"/>
      <c r="B40" s="188"/>
      <c r="C40" s="364" t="str">
        <f>Elect_name</f>
        <v>Elected Officials &amp; Full Time Commissioners</v>
      </c>
      <c r="D40" s="365"/>
      <c r="E40" s="189">
        <v>3</v>
      </c>
      <c r="F40" s="151">
        <f>SUMIF($E9:$E35,$E40,$F9:$F35)</f>
        <v>0</v>
      </c>
      <c r="G40" s="193">
        <f>SUMIF($E10:$E35,$E40,$G10:$G35)</f>
        <v>0</v>
      </c>
      <c r="H40" s="152">
        <f>SUMIF($E10:$E35,$E40,$H10:$H35)</f>
        <v>0</v>
      </c>
      <c r="I40" s="152">
        <f>SUMIF($E10:$E35,$E40,$I10:$I35)</f>
        <v>0</v>
      </c>
      <c r="J40" s="152">
        <f>SUM(G40:I40)</f>
        <v>0</v>
      </c>
      <c r="K40" s="259"/>
      <c r="L40" s="193">
        <f>SUMIF($E10:$E35,$E40,$L10:$L35)</f>
        <v>0</v>
      </c>
      <c r="M40" s="152">
        <f>SUMIF($E10:$E35,$E40,$M10:$M35)</f>
        <v>0</v>
      </c>
      <c r="N40" s="152">
        <f>SUM(L40:M40)</f>
        <v>0</v>
      </c>
      <c r="O40"/>
      <c r="P40"/>
      <c r="Q40"/>
      <c r="R40"/>
      <c r="S40"/>
      <c r="T40"/>
      <c r="U40"/>
      <c r="V40"/>
      <c r="W40"/>
      <c r="X40"/>
      <c r="Y40"/>
      <c r="Z40" s="344"/>
      <c r="AA40" s="363"/>
      <c r="AB40" s="363"/>
      <c r="AC40" s="363"/>
      <c r="AD40" s="329"/>
      <c r="AE40" s="147"/>
      <c r="AF40" s="147"/>
      <c r="AG40" s="147"/>
      <c r="AH40" s="147"/>
      <c r="AI40" s="147"/>
      <c r="AJ40" s="147"/>
      <c r="AK40" s="147"/>
      <c r="AL40" s="147"/>
      <c r="AM40" s="147"/>
      <c r="AN40" s="147"/>
      <c r="AO40" s="147"/>
      <c r="AP40" s="147"/>
      <c r="AQ40" s="147"/>
      <c r="AR40" s="147"/>
      <c r="AS40" s="147"/>
      <c r="AT40" s="147"/>
      <c r="AU40" s="147"/>
      <c r="AV40" s="147"/>
      <c r="AW40" s="147"/>
      <c r="AX40" s="147"/>
      <c r="AY40" s="147"/>
      <c r="AZ40" s="147"/>
      <c r="BA40" s="147"/>
      <c r="BB40" s="147"/>
      <c r="BC40" s="147"/>
      <c r="BD40" s="147"/>
      <c r="BE40" s="147"/>
      <c r="BF40" s="147"/>
      <c r="BG40" s="147"/>
      <c r="BH40" s="147"/>
      <c r="BI40" s="147"/>
      <c r="BJ40" s="147"/>
      <c r="BK40" s="147"/>
      <c r="BL40" s="147"/>
      <c r="BM40" s="147"/>
      <c r="BN40" s="147"/>
      <c r="BO40" s="147"/>
      <c r="BP40" s="147"/>
      <c r="BQ40" s="147"/>
      <c r="BR40" s="147"/>
      <c r="BS40" s="147"/>
      <c r="BT40" s="147"/>
      <c r="BU40" s="147"/>
      <c r="BV40" s="147"/>
      <c r="BW40" s="147"/>
      <c r="BX40" s="147"/>
      <c r="BY40" s="147"/>
      <c r="BZ40" s="147"/>
      <c r="CA40" s="147"/>
      <c r="CB40" s="147"/>
      <c r="CC40" s="147"/>
      <c r="CD40" s="147"/>
      <c r="CE40" s="147"/>
      <c r="CF40" s="147"/>
      <c r="CG40" s="147"/>
      <c r="CH40" s="147"/>
      <c r="CI40" s="147"/>
      <c r="CJ40" s="147"/>
      <c r="CK40" s="147"/>
      <c r="CL40" s="147"/>
      <c r="CM40" s="147"/>
      <c r="CN40" s="147"/>
      <c r="CO40" s="147"/>
      <c r="CP40" s="147"/>
    </row>
    <row r="41" spans="1:94" s="153" customFormat="1" ht="15" x14ac:dyDescent="0.25">
      <c r="A41" s="139"/>
      <c r="B41" s="188"/>
      <c r="C41" s="443" t="s">
        <v>38</v>
      </c>
      <c r="D41" s="444"/>
      <c r="E41" s="189"/>
      <c r="F41" s="161">
        <f>SUM(F38:F40)</f>
        <v>17.049999999999997</v>
      </c>
      <c r="G41" s="195">
        <f>SUM($G$38:$G$40)</f>
        <v>1138730.8500000001</v>
      </c>
      <c r="H41" s="162">
        <f>SUM($H$38:$H$40)</f>
        <v>198632.5</v>
      </c>
      <c r="I41" s="162">
        <f>SUM($I$38:$I$40)</f>
        <v>235644.8642336</v>
      </c>
      <c r="J41" s="162">
        <f>SUM($J$38:$J$40)</f>
        <v>1573008.2142336001</v>
      </c>
      <c r="K41" s="259"/>
      <c r="L41" s="195">
        <f>SUM($L$38:$L$40)</f>
        <v>0</v>
      </c>
      <c r="M41" s="162">
        <f>SUM($M$38:$M$40)</f>
        <v>-5202.0234239999991</v>
      </c>
      <c r="N41" s="162">
        <f>SUM(L41:M41)</f>
        <v>-5202.0234239999991</v>
      </c>
      <c r="O41"/>
      <c r="P41"/>
      <c r="Q41"/>
      <c r="R41"/>
      <c r="S41"/>
      <c r="T41"/>
      <c r="U41"/>
      <c r="V41"/>
      <c r="W41"/>
      <c r="X41"/>
      <c r="Y41"/>
      <c r="Z41" s="344"/>
      <c r="AA41" s="363" t="s">
        <v>94</v>
      </c>
      <c r="AB41" s="333" t="s">
        <v>95</v>
      </c>
      <c r="AC41" s="333" t="s">
        <v>106</v>
      </c>
      <c r="AD41" s="329"/>
      <c r="AE41" s="147"/>
      <c r="AF41" s="147"/>
      <c r="AG41" s="147"/>
      <c r="AH41" s="147"/>
      <c r="AI41" s="147"/>
      <c r="AJ41" s="147"/>
      <c r="AK41" s="147"/>
      <c r="AL41" s="147"/>
      <c r="AM41" s="147"/>
      <c r="AN41" s="147"/>
      <c r="AO41" s="147"/>
      <c r="AP41" s="147"/>
      <c r="AQ41" s="147"/>
      <c r="AR41" s="147"/>
      <c r="AS41" s="147"/>
      <c r="AT41" s="147"/>
      <c r="AU41" s="147"/>
      <c r="AV41" s="147"/>
      <c r="AW41" s="147"/>
      <c r="AX41" s="147"/>
      <c r="AY41" s="147"/>
      <c r="AZ41" s="147"/>
      <c r="BA41" s="147"/>
      <c r="BB41" s="147"/>
      <c r="BC41" s="147"/>
      <c r="BD41" s="147"/>
      <c r="BE41" s="147"/>
      <c r="BF41" s="147"/>
      <c r="BG41" s="147"/>
      <c r="BH41" s="147"/>
      <c r="BI41" s="147"/>
      <c r="BJ41" s="147"/>
      <c r="BK41" s="147"/>
      <c r="BL41" s="147"/>
      <c r="BM41" s="147"/>
      <c r="BN41" s="147"/>
      <c r="BO41" s="147"/>
      <c r="BP41" s="147"/>
      <c r="BQ41" s="147"/>
      <c r="BR41" s="147"/>
      <c r="BS41" s="147"/>
      <c r="BT41" s="147"/>
      <c r="BU41" s="147"/>
      <c r="BV41" s="147"/>
      <c r="BW41" s="147"/>
      <c r="BX41" s="147"/>
      <c r="BY41" s="147"/>
      <c r="BZ41" s="147"/>
      <c r="CA41" s="147"/>
      <c r="CB41" s="147"/>
      <c r="CC41" s="147"/>
      <c r="CD41" s="147"/>
      <c r="CE41" s="147"/>
      <c r="CF41" s="147"/>
      <c r="CG41" s="147"/>
      <c r="CH41" s="147"/>
      <c r="CI41" s="147"/>
      <c r="CJ41" s="147"/>
      <c r="CK41" s="147"/>
      <c r="CL41" s="147"/>
      <c r="CM41" s="147"/>
      <c r="CN41" s="147"/>
      <c r="CO41" s="147"/>
      <c r="CP41" s="147"/>
    </row>
    <row r="42" spans="1:94" s="153" customFormat="1" ht="4.5" customHeight="1" x14ac:dyDescent="0.25">
      <c r="A42" s="139"/>
      <c r="B42" s="188"/>
      <c r="C42" s="445"/>
      <c r="D42" s="446"/>
      <c r="E42" s="196"/>
      <c r="F42" s="197"/>
      <c r="G42" s="198"/>
      <c r="H42" s="199"/>
      <c r="I42" s="199"/>
      <c r="J42" s="324"/>
      <c r="K42" s="200"/>
      <c r="L42" s="323"/>
      <c r="M42" s="323"/>
      <c r="N42" s="201"/>
      <c r="O42"/>
      <c r="P42"/>
      <c r="Q42"/>
      <c r="R42"/>
      <c r="S42"/>
      <c r="T42"/>
      <c r="U42"/>
      <c r="V42"/>
      <c r="W42"/>
      <c r="X42"/>
      <c r="Y42"/>
      <c r="Z42" s="344"/>
      <c r="AA42" s="363"/>
      <c r="AB42" s="363"/>
      <c r="AC42" s="363"/>
      <c r="AD42" s="329"/>
      <c r="AE42" s="147"/>
      <c r="AF42" s="147"/>
      <c r="AG42" s="147"/>
      <c r="AH42" s="147"/>
      <c r="AI42" s="147"/>
      <c r="AJ42" s="147"/>
      <c r="AK42" s="147"/>
      <c r="AL42" s="147"/>
      <c r="AM42" s="147"/>
      <c r="AN42" s="147"/>
      <c r="AO42" s="147"/>
      <c r="AP42" s="147"/>
      <c r="AQ42" s="147"/>
      <c r="AR42" s="147"/>
      <c r="AS42" s="147"/>
      <c r="AT42" s="147"/>
      <c r="AU42" s="147"/>
      <c r="AV42" s="147"/>
      <c r="AW42" s="147"/>
      <c r="AX42" s="147"/>
      <c r="AY42" s="147"/>
      <c r="AZ42" s="147"/>
      <c r="BA42" s="147"/>
      <c r="BB42" s="147"/>
      <c r="BC42" s="147"/>
      <c r="BD42" s="147"/>
      <c r="BE42" s="147"/>
      <c r="BF42" s="147"/>
      <c r="BG42" s="147"/>
      <c r="BH42" s="147"/>
      <c r="BI42" s="147"/>
      <c r="BJ42" s="147"/>
      <c r="BK42" s="147"/>
      <c r="BL42" s="147"/>
      <c r="BM42" s="147"/>
      <c r="BN42" s="147"/>
      <c r="BO42" s="147"/>
      <c r="BP42" s="147"/>
      <c r="BQ42" s="147"/>
      <c r="BR42" s="147"/>
      <c r="BS42" s="147"/>
      <c r="BT42" s="147"/>
      <c r="BU42" s="147"/>
      <c r="BV42" s="147"/>
      <c r="BW42" s="147"/>
      <c r="BX42" s="147"/>
      <c r="BY42" s="147"/>
      <c r="BZ42" s="147"/>
      <c r="CA42" s="147"/>
      <c r="CB42" s="147"/>
      <c r="CC42" s="147"/>
      <c r="CD42" s="147"/>
      <c r="CE42" s="147"/>
      <c r="CF42" s="147"/>
      <c r="CG42" s="147"/>
      <c r="CH42" s="147"/>
      <c r="CI42" s="147"/>
      <c r="CJ42" s="147"/>
      <c r="CK42" s="147"/>
      <c r="CL42" s="147"/>
      <c r="CM42" s="147"/>
      <c r="CN42" s="147"/>
      <c r="CO42" s="147"/>
      <c r="CP42" s="147"/>
    </row>
    <row r="43" spans="1:94" s="153" customFormat="1" ht="15.75" customHeight="1" x14ac:dyDescent="0.25">
      <c r="A43" s="139"/>
      <c r="B43" s="202"/>
      <c r="C43" s="447" t="s">
        <v>39</v>
      </c>
      <c r="D43" s="448"/>
      <c r="E43" s="203" t="s">
        <v>40</v>
      </c>
      <c r="F43" s="205">
        <f>ROUND(F51-F41,2)</f>
        <v>4</v>
      </c>
      <c r="G43" s="206">
        <f>ROUND(G51-G41,-2)</f>
        <v>103000</v>
      </c>
      <c r="H43" s="159">
        <f>ROUND(H51-H41,-2)</f>
        <v>18000</v>
      </c>
      <c r="I43" s="159">
        <f>ROUND(I51-I41,-2)</f>
        <v>21300</v>
      </c>
      <c r="J43" s="159">
        <f>SUM(G43:I43)</f>
        <v>142300</v>
      </c>
      <c r="K43" s="424" t="str">
        <f>IF(E51=0,"ERROR! Enter Original Appropriation amount in DU 3.00!","Calculated "&amp;IF(J43&gt;0,"overfunding ","underfunding ")&amp;"is "&amp;TEXT(J43/J51,"#.0%;(#.0% );0% ;")&amp;" of Original Appropriation")</f>
        <v>Calculated overfunding is 8.3% of Original Appropriation</v>
      </c>
      <c r="L43" s="425"/>
      <c r="M43" s="425"/>
      <c r="N43" s="426"/>
      <c r="O43"/>
      <c r="P43"/>
      <c r="Q43"/>
      <c r="R43"/>
      <c r="S43"/>
      <c r="T43"/>
      <c r="U43"/>
      <c r="V43"/>
      <c r="W43"/>
      <c r="X43"/>
      <c r="Y43"/>
      <c r="Z43" s="344"/>
      <c r="AA43" s="451" t="s">
        <v>108</v>
      </c>
      <c r="AB43" s="452"/>
      <c r="AC43" s="452"/>
      <c r="AD43" s="329"/>
      <c r="AE43" s="147"/>
      <c r="AF43" s="147"/>
      <c r="AG43" s="147"/>
      <c r="AH43" s="147"/>
      <c r="AI43" s="147"/>
      <c r="AJ43" s="147"/>
      <c r="AK43" s="147"/>
      <c r="AL43" s="147"/>
      <c r="AM43" s="147"/>
      <c r="AN43" s="147"/>
      <c r="AO43" s="147"/>
      <c r="AP43" s="147"/>
      <c r="AQ43" s="147"/>
      <c r="AR43" s="147"/>
      <c r="AS43" s="147"/>
      <c r="AT43" s="147"/>
      <c r="AU43" s="147"/>
      <c r="AV43" s="147"/>
      <c r="AW43" s="147"/>
      <c r="AX43" s="147"/>
      <c r="AY43" s="147"/>
      <c r="AZ43" s="147"/>
      <c r="BA43" s="147"/>
      <c r="BB43" s="147"/>
      <c r="BC43" s="147"/>
      <c r="BD43" s="147"/>
      <c r="BE43" s="147"/>
      <c r="BF43" s="147"/>
      <c r="BG43" s="147"/>
      <c r="BH43" s="147"/>
      <c r="BI43" s="147"/>
      <c r="BJ43" s="147"/>
      <c r="BK43" s="147"/>
      <c r="BL43" s="147"/>
      <c r="BM43" s="147"/>
      <c r="BN43" s="147"/>
      <c r="BO43" s="147"/>
      <c r="BP43" s="147"/>
      <c r="BQ43" s="147"/>
      <c r="BR43" s="147"/>
      <c r="BS43" s="147"/>
      <c r="BT43" s="147"/>
      <c r="BU43" s="147"/>
      <c r="BV43" s="147"/>
      <c r="BW43" s="147"/>
      <c r="BX43" s="147"/>
      <c r="BY43" s="147"/>
      <c r="BZ43" s="147"/>
      <c r="CA43" s="147"/>
      <c r="CB43" s="147"/>
      <c r="CC43" s="147"/>
      <c r="CD43" s="147"/>
      <c r="CE43" s="147"/>
      <c r="CF43" s="147"/>
      <c r="CG43" s="147"/>
      <c r="CH43" s="147"/>
      <c r="CI43" s="147"/>
      <c r="CJ43" s="147"/>
      <c r="CK43" s="147"/>
      <c r="CL43" s="147"/>
      <c r="CM43" s="147"/>
      <c r="CN43" s="147"/>
      <c r="CO43" s="147"/>
      <c r="CP43" s="147"/>
    </row>
    <row r="44" spans="1:94" s="153" customFormat="1" ht="15.75" customHeight="1" x14ac:dyDescent="0.25">
      <c r="A44" s="139"/>
      <c r="B44" s="202"/>
      <c r="C44" s="449"/>
      <c r="D44" s="450"/>
      <c r="E44" s="204" t="s">
        <v>41</v>
      </c>
      <c r="F44" s="205">
        <f>ROUND(F60-F41,2)</f>
        <v>4</v>
      </c>
      <c r="G44" s="206">
        <f>ROUND(G60-G41,-2)</f>
        <v>103000</v>
      </c>
      <c r="H44" s="159">
        <f>ROUND(H60-H41,-2)</f>
        <v>18000</v>
      </c>
      <c r="I44" s="159">
        <f>ROUND(I60-I41,-2)</f>
        <v>21400</v>
      </c>
      <c r="J44" s="159">
        <f>SUM(G44:I44)</f>
        <v>142400</v>
      </c>
      <c r="K44" s="424" t="str">
        <f>IF(E51=0,"ERROR! Enter Original Appropriation amount in DU 3.00!","Calculated "&amp;IF(J44&gt;0,"overfunding ","underfunding ")&amp;"is "&amp;TEXT(J44/J60,"#.0%;(#.0% );0% ;")&amp;" of Estimated Expenditures")</f>
        <v>Calculated overfunding is 8.3% of Estimated Expenditures</v>
      </c>
      <c r="L44" s="425"/>
      <c r="M44" s="425"/>
      <c r="N44" s="426"/>
      <c r="O44"/>
      <c r="P44"/>
      <c r="Q44"/>
      <c r="R44"/>
      <c r="S44"/>
      <c r="T44"/>
      <c r="U44"/>
      <c r="V44"/>
      <c r="W44"/>
      <c r="X44"/>
      <c r="Y44"/>
      <c r="Z44" s="344"/>
      <c r="AA44" s="338">
        <f>NEW_AdjPermSalary-NEW_PermSalaryFilled</f>
        <v>0</v>
      </c>
      <c r="AB44" s="338">
        <f>NEW_AdjPermVB-NEW_PermVBFilled</f>
        <v>0</v>
      </c>
      <c r="AC44" s="338">
        <f>SUM(AA44:AB44)</f>
        <v>0</v>
      </c>
      <c r="AD44" s="329"/>
      <c r="AE44" s="147"/>
      <c r="AF44" s="147"/>
      <c r="AG44" s="147"/>
      <c r="AH44" s="147"/>
      <c r="AI44" s="147"/>
      <c r="AJ44" s="147"/>
      <c r="AK44" s="147"/>
      <c r="AL44" s="147"/>
      <c r="AM44" s="147"/>
      <c r="AN44" s="147"/>
      <c r="AO44" s="147"/>
      <c r="AP44" s="147"/>
      <c r="AQ44" s="147"/>
      <c r="AR44" s="147"/>
      <c r="AS44" s="147"/>
      <c r="AT44" s="147"/>
      <c r="AU44" s="147"/>
      <c r="AV44" s="147"/>
      <c r="AW44" s="147"/>
      <c r="AX44" s="147"/>
      <c r="AY44" s="147"/>
      <c r="AZ44" s="147"/>
      <c r="BA44" s="147"/>
      <c r="BB44" s="147"/>
      <c r="BC44" s="147"/>
      <c r="BD44" s="147"/>
      <c r="BE44" s="147"/>
      <c r="BF44" s="147"/>
      <c r="BG44" s="147"/>
      <c r="BH44" s="147"/>
      <c r="BI44" s="147"/>
      <c r="BJ44" s="147"/>
      <c r="BK44" s="147"/>
      <c r="BL44" s="147"/>
      <c r="BM44" s="147"/>
      <c r="BN44" s="147"/>
      <c r="BO44" s="147"/>
      <c r="BP44" s="147"/>
      <c r="BQ44" s="147"/>
      <c r="BR44" s="147"/>
      <c r="BS44" s="147"/>
      <c r="BT44" s="147"/>
      <c r="BU44" s="147"/>
      <c r="BV44" s="147"/>
      <c r="BW44" s="147"/>
      <c r="BX44" s="147"/>
      <c r="BY44" s="147"/>
      <c r="BZ44" s="147"/>
      <c r="CA44" s="147"/>
      <c r="CB44" s="147"/>
      <c r="CC44" s="147"/>
      <c r="CD44" s="147"/>
      <c r="CE44" s="147"/>
      <c r="CF44" s="147"/>
      <c r="CG44" s="147"/>
      <c r="CH44" s="147"/>
      <c r="CI44" s="147"/>
      <c r="CJ44" s="147"/>
      <c r="CK44" s="147"/>
      <c r="CL44" s="147"/>
      <c r="CM44" s="147"/>
      <c r="CN44" s="147"/>
      <c r="CO44" s="147"/>
      <c r="CP44" s="147"/>
    </row>
    <row r="45" spans="1:94" s="153" customFormat="1" ht="15.75" customHeight="1" x14ac:dyDescent="0.25">
      <c r="A45" s="139"/>
      <c r="B45" s="202"/>
      <c r="C45" s="215"/>
      <c r="D45" s="215"/>
      <c r="E45" s="204" t="s">
        <v>99</v>
      </c>
      <c r="F45" s="205">
        <f>ROUND(F67-F41-F63,2)</f>
        <v>4</v>
      </c>
      <c r="G45" s="206">
        <f>ROUND(G67-G41-G63,-2)</f>
        <v>103000</v>
      </c>
      <c r="H45" s="206">
        <f>ROUND(H67-H41-H63,-2)</f>
        <v>18000</v>
      </c>
      <c r="I45" s="206">
        <f>ROUND(I67-I41-I63,-2)</f>
        <v>21400</v>
      </c>
      <c r="J45" s="159">
        <f>SUM(G45:I45)</f>
        <v>142400</v>
      </c>
      <c r="K45" s="424" t="str">
        <f>IF(J67=0,"Program has a zero base",IF(E51=0,"ERROR! Enter Original Appropriation amount in DU 3.00!","Calculated "&amp;IF(J45&gt;0,"overfunding ","underfunding ")&amp;"is "&amp;TEXT(J45/J67,"#.0%;(#.0% );0% ;")&amp;" of the Base"))</f>
        <v>Calculated overfunding is 8.3% of the Base</v>
      </c>
      <c r="L45" s="425"/>
      <c r="M45" s="425"/>
      <c r="N45" s="426"/>
      <c r="O45"/>
      <c r="P45"/>
      <c r="Q45"/>
      <c r="R45"/>
      <c r="S45"/>
      <c r="T45"/>
      <c r="U45"/>
      <c r="V45"/>
      <c r="W45"/>
      <c r="X45"/>
      <c r="Y45"/>
      <c r="Z45" s="344"/>
      <c r="AA45" s="338">
        <f>NEW_AdjGroupSalary-NEW_GroupSalaryFilled</f>
        <v>0</v>
      </c>
      <c r="AB45" s="338">
        <f>NEW_AdjGroupVB-NEW_GroupVBFilled</f>
        <v>0</v>
      </c>
      <c r="AC45" s="338">
        <f>SUM(AA45:AB45)</f>
        <v>0</v>
      </c>
      <c r="AD45" s="329"/>
      <c r="AE45" s="147"/>
      <c r="AF45" s="147"/>
      <c r="AG45" s="147"/>
      <c r="AH45" s="147"/>
      <c r="AI45" s="147"/>
      <c r="AJ45" s="147"/>
      <c r="AK45" s="147"/>
      <c r="AL45" s="147"/>
      <c r="AM45" s="147"/>
      <c r="AN45" s="147"/>
      <c r="AO45" s="147"/>
      <c r="AP45" s="147"/>
      <c r="AQ45" s="147"/>
      <c r="AR45" s="147"/>
      <c r="AS45" s="147"/>
      <c r="AT45" s="147"/>
      <c r="AU45" s="147"/>
      <c r="AV45" s="147"/>
      <c r="AW45" s="147"/>
      <c r="AX45" s="147"/>
      <c r="AY45" s="147"/>
      <c r="AZ45" s="147"/>
      <c r="BA45" s="147"/>
      <c r="BB45" s="147"/>
      <c r="BC45" s="147"/>
      <c r="BD45" s="147"/>
      <c r="BE45" s="147"/>
      <c r="BF45" s="147"/>
      <c r="BG45" s="147"/>
      <c r="BH45" s="147"/>
      <c r="BI45" s="147"/>
      <c r="BJ45" s="147"/>
      <c r="BK45" s="147"/>
      <c r="BL45" s="147"/>
      <c r="BM45" s="147"/>
      <c r="BN45" s="147"/>
      <c r="BO45" s="147"/>
      <c r="BP45" s="147"/>
      <c r="BQ45" s="147"/>
      <c r="BR45" s="147"/>
      <c r="BS45" s="147"/>
      <c r="BT45" s="147"/>
      <c r="BU45" s="147"/>
      <c r="BV45" s="147"/>
      <c r="BW45" s="147"/>
      <c r="BX45" s="147"/>
      <c r="BY45" s="147"/>
      <c r="BZ45" s="147"/>
      <c r="CA45" s="147"/>
      <c r="CB45" s="147"/>
      <c r="CC45" s="147"/>
      <c r="CD45" s="147"/>
      <c r="CE45" s="147"/>
      <c r="CF45" s="147"/>
      <c r="CG45" s="147"/>
      <c r="CH45" s="147"/>
      <c r="CI45" s="147"/>
      <c r="CJ45" s="147"/>
      <c r="CK45" s="147"/>
      <c r="CL45" s="147"/>
      <c r="CM45" s="147"/>
      <c r="CN45" s="147"/>
      <c r="CO45" s="147"/>
      <c r="CP45" s="147"/>
    </row>
    <row r="46" spans="1:94" s="153" customFormat="1" ht="28.5" customHeight="1" x14ac:dyDescent="0.25">
      <c r="A46" s="139"/>
      <c r="B46" s="202"/>
      <c r="C46" s="215"/>
      <c r="D46" s="215"/>
      <c r="E46" s="427" t="s">
        <v>100</v>
      </c>
      <c r="F46" s="428"/>
      <c r="G46" s="428"/>
      <c r="H46" s="428"/>
      <c r="I46" s="428"/>
      <c r="J46" s="429"/>
      <c r="K46" s="433" t="str">
        <f>IF(OR(J45&lt;0,F45&lt;0),"You may not have sufficient funding or authorized FTP, and may need to make additional adjustments to finalize this form.  Please contact both your DFM and LSO analysts.","")</f>
        <v/>
      </c>
      <c r="L46" s="434"/>
      <c r="M46" s="434"/>
      <c r="N46" s="435"/>
      <c r="O46"/>
      <c r="P46"/>
      <c r="Q46"/>
      <c r="R46"/>
      <c r="S46"/>
      <c r="T46"/>
      <c r="U46"/>
      <c r="V46"/>
      <c r="W46"/>
      <c r="X46"/>
      <c r="Y46"/>
      <c r="Z46" s="344"/>
      <c r="AA46" s="363"/>
      <c r="AB46" s="363"/>
      <c r="AC46" s="363"/>
      <c r="AD46" s="329"/>
      <c r="AE46" s="147"/>
      <c r="AF46" s="147"/>
      <c r="AG46" s="147"/>
      <c r="AH46" s="147"/>
      <c r="AI46" s="147"/>
      <c r="AJ46" s="147"/>
      <c r="AK46" s="147"/>
      <c r="AL46" s="147"/>
      <c r="AM46" s="147"/>
      <c r="AN46" s="147"/>
      <c r="AO46" s="147"/>
      <c r="AP46" s="147"/>
      <c r="AQ46" s="147"/>
      <c r="AR46" s="147"/>
      <c r="AS46" s="147"/>
      <c r="AT46" s="147"/>
      <c r="AU46" s="147"/>
      <c r="AV46" s="147"/>
      <c r="AW46" s="147"/>
      <c r="AX46" s="147"/>
      <c r="AY46" s="147"/>
      <c r="AZ46" s="147"/>
      <c r="BA46" s="147"/>
      <c r="BB46" s="147"/>
      <c r="BC46" s="147"/>
      <c r="BD46" s="147"/>
      <c r="BE46" s="147"/>
      <c r="BF46" s="147"/>
      <c r="BG46" s="147"/>
      <c r="BH46" s="147"/>
      <c r="BI46" s="147"/>
      <c r="BJ46" s="147"/>
      <c r="BK46" s="147"/>
      <c r="BL46" s="147"/>
      <c r="BM46" s="147"/>
      <c r="BN46" s="147"/>
      <c r="BO46" s="147"/>
      <c r="BP46" s="147"/>
      <c r="BQ46" s="147"/>
      <c r="BR46" s="147"/>
      <c r="BS46" s="147"/>
      <c r="BT46" s="147"/>
      <c r="BU46" s="147"/>
      <c r="BV46" s="147"/>
      <c r="BW46" s="147"/>
      <c r="BX46" s="147"/>
      <c r="BY46" s="147"/>
      <c r="BZ46" s="147"/>
      <c r="CA46" s="147"/>
      <c r="CB46" s="147"/>
      <c r="CC46" s="147"/>
      <c r="CD46" s="147"/>
      <c r="CE46" s="147"/>
      <c r="CF46" s="147"/>
      <c r="CG46" s="147"/>
      <c r="CH46" s="147"/>
      <c r="CI46" s="147"/>
      <c r="CJ46" s="147"/>
      <c r="CK46" s="147"/>
      <c r="CL46" s="147"/>
      <c r="CM46" s="147"/>
      <c r="CN46" s="147"/>
      <c r="CO46" s="147"/>
      <c r="CP46" s="147"/>
    </row>
    <row r="47" spans="1:94" s="153" customFormat="1" ht="21.75" customHeight="1" x14ac:dyDescent="0.25">
      <c r="A47" s="139"/>
      <c r="B47" s="202"/>
      <c r="C47" s="215"/>
      <c r="D47" s="215"/>
      <c r="E47" s="430"/>
      <c r="F47" s="431"/>
      <c r="G47" s="431"/>
      <c r="H47" s="431"/>
      <c r="I47" s="431"/>
      <c r="J47" s="432"/>
      <c r="K47" s="436"/>
      <c r="L47" s="437"/>
      <c r="M47" s="437"/>
      <c r="N47" s="438"/>
      <c r="O47"/>
      <c r="P47"/>
      <c r="Q47"/>
      <c r="R47"/>
      <c r="S47"/>
      <c r="T47"/>
      <c r="U47"/>
      <c r="V47"/>
      <c r="W47"/>
      <c r="X47"/>
      <c r="Y47"/>
      <c r="Z47" s="344"/>
      <c r="AA47" s="363"/>
      <c r="AB47" s="363"/>
      <c r="AC47" s="363"/>
      <c r="AD47" s="329"/>
      <c r="AE47" s="147"/>
      <c r="AF47" s="147"/>
      <c r="AG47" s="147"/>
      <c r="AH47" s="147"/>
      <c r="AI47" s="147"/>
      <c r="AJ47" s="147"/>
      <c r="AK47" s="147"/>
      <c r="AL47" s="147"/>
      <c r="AM47" s="147"/>
      <c r="AN47" s="147"/>
      <c r="AO47" s="147"/>
      <c r="AP47" s="147"/>
      <c r="AQ47" s="147"/>
      <c r="AR47" s="147"/>
      <c r="AS47" s="147"/>
      <c r="AT47" s="147"/>
      <c r="AU47" s="147"/>
      <c r="AV47" s="147"/>
      <c r="AW47" s="147"/>
      <c r="AX47" s="147"/>
      <c r="AY47" s="147"/>
      <c r="AZ47" s="147"/>
      <c r="BA47" s="147"/>
      <c r="BB47" s="147"/>
      <c r="BC47" s="147"/>
      <c r="BD47" s="147"/>
      <c r="BE47" s="147"/>
      <c r="BF47" s="147"/>
      <c r="BG47" s="147"/>
      <c r="BH47" s="147"/>
      <c r="BI47" s="147"/>
      <c r="BJ47" s="147"/>
      <c r="BK47" s="147"/>
      <c r="BL47" s="147"/>
      <c r="BM47" s="147"/>
      <c r="BN47" s="147"/>
      <c r="BO47" s="147"/>
      <c r="BP47" s="147"/>
      <c r="BQ47" s="147"/>
      <c r="BR47" s="147"/>
      <c r="BS47" s="147"/>
      <c r="BT47" s="147"/>
      <c r="BU47" s="147"/>
      <c r="BV47" s="147"/>
      <c r="BW47" s="147"/>
      <c r="BX47" s="147"/>
      <c r="BY47" s="147"/>
      <c r="BZ47" s="147"/>
      <c r="CA47" s="147"/>
      <c r="CB47" s="147"/>
      <c r="CC47" s="147"/>
      <c r="CD47" s="147"/>
      <c r="CE47" s="147"/>
      <c r="CF47" s="147"/>
      <c r="CG47" s="147"/>
      <c r="CH47" s="147"/>
      <c r="CI47" s="147"/>
      <c r="CJ47" s="147"/>
      <c r="CK47" s="147"/>
      <c r="CL47" s="147"/>
      <c r="CM47" s="147"/>
      <c r="CN47" s="147"/>
      <c r="CO47" s="147"/>
      <c r="CP47" s="147"/>
    </row>
    <row r="48" spans="1:94" s="214" customFormat="1" ht="8.25" customHeight="1" x14ac:dyDescent="0.25">
      <c r="A48" s="207"/>
      <c r="B48" s="208"/>
      <c r="C48" s="136"/>
      <c r="D48" s="136"/>
      <c r="E48" s="209"/>
      <c r="F48" s="210"/>
      <c r="G48" s="211"/>
      <c r="H48" s="211"/>
      <c r="I48" s="211"/>
      <c r="J48" s="211"/>
      <c r="K48" s="211"/>
      <c r="L48" s="137"/>
      <c r="M48" s="138"/>
      <c r="N48" s="212"/>
      <c r="O48"/>
      <c r="P48"/>
      <c r="Q48"/>
      <c r="R48"/>
      <c r="S48"/>
      <c r="T48"/>
      <c r="U48"/>
      <c r="V48"/>
      <c r="W48"/>
      <c r="X48"/>
      <c r="Y48"/>
      <c r="Z48" s="344"/>
      <c r="AA48" s="339"/>
      <c r="AB48" s="339"/>
      <c r="AC48" s="339"/>
      <c r="AD48" s="330"/>
      <c r="AE48" s="213"/>
      <c r="AF48" s="213"/>
      <c r="AG48" s="213"/>
      <c r="AH48" s="213"/>
      <c r="AI48" s="213"/>
      <c r="AJ48" s="213"/>
      <c r="AK48" s="213"/>
      <c r="AL48" s="213"/>
      <c r="AM48" s="213"/>
      <c r="AN48" s="213"/>
      <c r="AO48" s="213"/>
      <c r="AP48" s="213"/>
      <c r="AQ48" s="213"/>
      <c r="AR48" s="213"/>
      <c r="AS48" s="213"/>
      <c r="AT48" s="213"/>
      <c r="AU48" s="213"/>
      <c r="AV48" s="213"/>
      <c r="AW48" s="213"/>
      <c r="AX48" s="213"/>
      <c r="AY48" s="213"/>
      <c r="AZ48" s="213"/>
      <c r="BA48" s="213"/>
      <c r="BB48" s="213"/>
      <c r="BC48" s="213"/>
      <c r="BD48" s="213"/>
      <c r="BE48" s="213"/>
      <c r="BF48" s="213"/>
      <c r="BG48" s="213"/>
      <c r="BH48" s="213"/>
      <c r="BI48" s="213"/>
      <c r="BJ48" s="213"/>
      <c r="BK48" s="213"/>
      <c r="BL48" s="213"/>
      <c r="BM48" s="213"/>
      <c r="BN48" s="213"/>
      <c r="BO48" s="213"/>
      <c r="BP48" s="213"/>
      <c r="BQ48" s="213"/>
      <c r="BR48" s="213"/>
      <c r="BS48" s="213"/>
      <c r="BT48" s="213"/>
      <c r="BU48" s="213"/>
      <c r="BV48" s="213"/>
      <c r="BW48" s="213"/>
      <c r="BX48" s="213"/>
      <c r="BY48" s="213"/>
      <c r="BZ48" s="213"/>
      <c r="CA48" s="213"/>
      <c r="CB48" s="213"/>
      <c r="CC48" s="213"/>
      <c r="CD48" s="213"/>
      <c r="CE48" s="213"/>
      <c r="CF48" s="213"/>
      <c r="CG48" s="213"/>
      <c r="CH48" s="213"/>
      <c r="CI48" s="213"/>
      <c r="CJ48" s="213"/>
      <c r="CK48" s="213"/>
      <c r="CL48" s="213"/>
      <c r="CM48" s="213"/>
      <c r="CN48" s="213"/>
      <c r="CO48" s="213"/>
      <c r="CP48" s="213"/>
    </row>
    <row r="49" spans="1:94" s="53" customFormat="1" ht="6" customHeight="1" x14ac:dyDescent="0.25">
      <c r="A49" s="63"/>
      <c r="B49" s="64"/>
      <c r="C49" s="65"/>
      <c r="D49" s="66"/>
      <c r="E49" s="67"/>
      <c r="F49" s="68"/>
      <c r="G49" s="64"/>
      <c r="H49" s="64"/>
      <c r="I49" s="64"/>
      <c r="J49" s="64"/>
      <c r="K49" s="64"/>
      <c r="L49" s="69"/>
      <c r="M49" s="69"/>
      <c r="N49" s="70"/>
      <c r="O49"/>
      <c r="P49"/>
      <c r="Q49"/>
      <c r="R49"/>
      <c r="S49"/>
      <c r="T49"/>
      <c r="U49"/>
      <c r="V49"/>
      <c r="W49"/>
      <c r="X49"/>
      <c r="Y49"/>
      <c r="Z49" s="344"/>
      <c r="AA49" s="363"/>
      <c r="AB49" s="363"/>
      <c r="AC49" s="363"/>
      <c r="AD49" s="110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1"/>
      <c r="AV49" s="41"/>
      <c r="AW49" s="41"/>
      <c r="AX49" s="41"/>
      <c r="AY49" s="41"/>
      <c r="AZ49" s="41"/>
      <c r="BA49" s="41"/>
      <c r="BB49" s="41"/>
      <c r="BC49" s="41"/>
      <c r="BD49" s="41"/>
      <c r="BE49" s="41"/>
      <c r="BF49" s="41"/>
      <c r="BG49" s="41"/>
      <c r="BH49" s="41"/>
      <c r="BI49" s="41"/>
      <c r="BJ49" s="41"/>
      <c r="BK49" s="41"/>
      <c r="BL49" s="41"/>
      <c r="BM49" s="41"/>
      <c r="BN49" s="41"/>
      <c r="BO49" s="41"/>
      <c r="BP49" s="41"/>
      <c r="BQ49" s="41"/>
      <c r="BR49" s="41"/>
      <c r="BS49" s="41"/>
      <c r="BT49" s="41"/>
      <c r="BU49" s="41"/>
      <c r="BV49" s="41"/>
      <c r="BW49" s="41"/>
      <c r="BX49" s="41"/>
      <c r="BY49" s="41"/>
      <c r="BZ49" s="41"/>
      <c r="CA49" s="41"/>
      <c r="CB49" s="41"/>
      <c r="CC49" s="41"/>
      <c r="CD49" s="41"/>
      <c r="CE49" s="41"/>
      <c r="CF49" s="41"/>
      <c r="CG49" s="41"/>
      <c r="CH49" s="41"/>
      <c r="CI49" s="41"/>
      <c r="CJ49" s="41"/>
      <c r="CK49" s="41"/>
      <c r="CL49" s="41"/>
      <c r="CM49" s="41"/>
      <c r="CN49" s="41"/>
      <c r="CO49" s="41"/>
      <c r="CP49" s="41"/>
    </row>
    <row r="50" spans="1:94" s="53" customFormat="1" ht="24.75" customHeight="1" x14ac:dyDescent="0.25">
      <c r="A50" s="257" t="s">
        <v>42</v>
      </c>
      <c r="B50" s="71"/>
      <c r="C50" s="439"/>
      <c r="D50" s="440"/>
      <c r="E50" s="72" t="s">
        <v>43</v>
      </c>
      <c r="F50" s="73" t="s">
        <v>24</v>
      </c>
      <c r="G50" s="72" t="str">
        <f>"FY "&amp;M4-2001&amp;" Salary"</f>
        <v>FY 22 Salary</v>
      </c>
      <c r="H50" s="72" t="str">
        <f>"FY "&amp;M4-2001&amp;" Health Ben"</f>
        <v>FY 22 Health Ben</v>
      </c>
      <c r="I50" s="72" t="str">
        <f>"FY "&amp;M4-2001&amp;" Var Ben"</f>
        <v>FY 22 Var Ben</v>
      </c>
      <c r="J50" s="72" t="str">
        <f>"FY "&amp;M4-1&amp;" Total"</f>
        <v>FY 2022 Total</v>
      </c>
      <c r="K50" s="307" t="str">
        <f>"FY "&amp;FiscalYear&amp;" SALARY CHG"</f>
        <v>FY 2023 SALARY CHG</v>
      </c>
      <c r="L50" s="74" t="str">
        <f>"FY "&amp;M4-2000&amp;" Chg Health Bens"</f>
        <v>FY 23 Chg Health Bens</v>
      </c>
      <c r="M50" s="74" t="str">
        <f>"FY "&amp;M4-2000&amp;" Chg Var Bens"</f>
        <v>FY 23 Chg Var Bens</v>
      </c>
      <c r="N50" s="74" t="s">
        <v>44</v>
      </c>
      <c r="O50"/>
      <c r="P50"/>
      <c r="Q50"/>
      <c r="R50"/>
      <c r="S50"/>
      <c r="T50"/>
      <c r="U50"/>
      <c r="V50"/>
      <c r="W50"/>
      <c r="X50"/>
      <c r="Y50"/>
      <c r="Z50" s="344"/>
      <c r="AA50" s="363"/>
      <c r="AB50" s="363"/>
      <c r="AC50" s="363"/>
      <c r="AD50" s="110"/>
      <c r="AE50" s="41"/>
      <c r="AF50" s="41"/>
      <c r="AG50" s="41"/>
      <c r="AH50" s="41"/>
      <c r="AI50" s="41"/>
      <c r="AJ50" s="41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U50" s="41"/>
      <c r="AV50" s="41"/>
      <c r="AW50" s="41"/>
      <c r="AX50" s="41"/>
      <c r="AY50" s="41"/>
      <c r="AZ50" s="41"/>
      <c r="BA50" s="41"/>
      <c r="BB50" s="41"/>
      <c r="BC50" s="41"/>
      <c r="BD50" s="41"/>
      <c r="BE50" s="41"/>
      <c r="BF50" s="41"/>
      <c r="BG50" s="41"/>
      <c r="BH50" s="41"/>
      <c r="BI50" s="41"/>
      <c r="BJ50" s="41"/>
      <c r="BK50" s="41"/>
      <c r="BL50" s="41"/>
      <c r="BM50" s="41"/>
      <c r="BN50" s="41"/>
      <c r="BO50" s="41"/>
      <c r="BP50" s="41"/>
      <c r="BQ50" s="41"/>
      <c r="BR50" s="41"/>
      <c r="BS50" s="41"/>
      <c r="BT50" s="41"/>
      <c r="BU50" s="41"/>
      <c r="BV50" s="41"/>
      <c r="BW50" s="41"/>
      <c r="BX50" s="41"/>
      <c r="BY50" s="41"/>
      <c r="BZ50" s="41"/>
      <c r="CA50" s="41"/>
      <c r="CB50" s="41"/>
      <c r="CC50" s="41"/>
      <c r="CD50" s="41"/>
      <c r="CE50" s="41"/>
      <c r="CF50" s="41"/>
      <c r="CG50" s="41"/>
      <c r="CH50" s="41"/>
      <c r="CI50" s="41"/>
      <c r="CJ50" s="41"/>
      <c r="CK50" s="41"/>
      <c r="CL50" s="41"/>
      <c r="CM50" s="41"/>
      <c r="CN50" s="41"/>
      <c r="CO50" s="41"/>
      <c r="CP50" s="41"/>
    </row>
    <row r="51" spans="1:94" s="53" customFormat="1" ht="15.75" customHeight="1" x14ac:dyDescent="0.25">
      <c r="A51" s="75">
        <v>3</v>
      </c>
      <c r="B51" s="76" t="s">
        <v>45</v>
      </c>
      <c r="C51" s="54" t="str">
        <f>"FY "&amp;M4-1</f>
        <v>FY 2022</v>
      </c>
      <c r="D51" s="77" t="s">
        <v>31</v>
      </c>
      <c r="E51" s="78">
        <f>OrigApprop</f>
        <v>1715300</v>
      </c>
      <c r="F51" s="272">
        <f>AppropFTP</f>
        <v>21.05</v>
      </c>
      <c r="G51" s="274">
        <f>IF(E51=0,0,(G41/$J$41)*$E$51)</f>
        <v>1241738.6058957542</v>
      </c>
      <c r="H51" s="274">
        <f>IF(E51=0,0,(H41/$J$41)*$E$51)</f>
        <v>216600.47555187281</v>
      </c>
      <c r="I51" s="275">
        <f>IF(E51=0,0,(I41/$J$41)*$E$51)</f>
        <v>256960.91855237316</v>
      </c>
      <c r="J51" s="90">
        <f>SUM(G51:I51)</f>
        <v>1715300</v>
      </c>
      <c r="K51" s="263"/>
      <c r="L51" s="61"/>
      <c r="M51" s="81"/>
      <c r="N51" s="81"/>
      <c r="O51"/>
      <c r="P51"/>
      <c r="Q51"/>
      <c r="R51"/>
      <c r="S51"/>
      <c r="T51"/>
      <c r="U51"/>
      <c r="V51"/>
      <c r="W51"/>
      <c r="X51"/>
      <c r="Y51"/>
      <c r="Z51" s="344"/>
      <c r="AA51" s="346"/>
      <c r="AB51" s="363"/>
      <c r="AC51" s="363"/>
      <c r="AD51" s="110"/>
      <c r="AE51" s="41"/>
      <c r="AF51" s="41"/>
      <c r="AG51" s="41"/>
      <c r="AH51" s="41"/>
      <c r="AI51" s="41"/>
      <c r="AJ51" s="41"/>
      <c r="AK51" s="41"/>
      <c r="AL51" s="41"/>
      <c r="AM51" s="41"/>
      <c r="AN51" s="41"/>
      <c r="AO51" s="41"/>
      <c r="AP51" s="41"/>
      <c r="AQ51" s="41"/>
      <c r="AR51" s="41"/>
      <c r="AS51" s="41"/>
      <c r="AT51" s="41"/>
      <c r="AU51" s="41"/>
      <c r="AV51" s="41"/>
      <c r="AW51" s="41"/>
      <c r="AX51" s="41"/>
      <c r="AY51" s="41"/>
      <c r="AZ51" s="41"/>
      <c r="BA51" s="41"/>
      <c r="BB51" s="41"/>
      <c r="BC51" s="41"/>
      <c r="BD51" s="41"/>
      <c r="BE51" s="41"/>
      <c r="BF51" s="41"/>
      <c r="BG51" s="41"/>
      <c r="BH51" s="41"/>
      <c r="BI51" s="41"/>
      <c r="BJ51" s="41"/>
      <c r="BK51" s="41"/>
      <c r="BL51" s="41"/>
      <c r="BM51" s="41"/>
      <c r="BN51" s="41"/>
      <c r="BO51" s="41"/>
      <c r="BP51" s="41"/>
      <c r="BQ51" s="41"/>
      <c r="BR51" s="41"/>
      <c r="BS51" s="41"/>
      <c r="BT51" s="41"/>
      <c r="BU51" s="41"/>
      <c r="BV51" s="41"/>
      <c r="BW51" s="41"/>
      <c r="BX51" s="41"/>
      <c r="BY51" s="41"/>
      <c r="BZ51" s="41"/>
      <c r="CA51" s="41"/>
      <c r="CB51" s="41"/>
      <c r="CC51" s="41"/>
      <c r="CD51" s="41"/>
      <c r="CE51" s="41"/>
      <c r="CF51" s="41"/>
      <c r="CG51" s="41"/>
      <c r="CH51" s="41"/>
      <c r="CI51" s="41"/>
      <c r="CJ51" s="41"/>
      <c r="CK51" s="41"/>
      <c r="CL51" s="41"/>
      <c r="CM51" s="41"/>
      <c r="CN51" s="41"/>
      <c r="CO51" s="41"/>
      <c r="CP51" s="41"/>
    </row>
    <row r="52" spans="1:94" s="53" customFormat="1" ht="15.75" customHeight="1" x14ac:dyDescent="0.25">
      <c r="A52" s="82"/>
      <c r="B52" s="83"/>
      <c r="C52" s="84"/>
      <c r="D52" s="132" t="s">
        <v>46</v>
      </c>
      <c r="E52" s="133"/>
      <c r="F52" s="55">
        <f>F51</f>
        <v>21.05</v>
      </c>
      <c r="G52" s="79">
        <f>ROUND(G51,-2)</f>
        <v>1241700</v>
      </c>
      <c r="H52" s="79">
        <f>ROUND(H51,-2)</f>
        <v>216600</v>
      </c>
      <c r="I52" s="266">
        <f>ROUND(I51,-2)</f>
        <v>257000</v>
      </c>
      <c r="J52" s="80">
        <f>ROUND(J51,-2)</f>
        <v>1715300</v>
      </c>
      <c r="K52" s="263"/>
      <c r="L52" s="61"/>
      <c r="M52" s="81"/>
      <c r="N52" s="81"/>
      <c r="O52"/>
      <c r="P52"/>
      <c r="Q52"/>
      <c r="R52"/>
      <c r="S52"/>
      <c r="T52"/>
      <c r="U52"/>
      <c r="V52"/>
      <c r="W52"/>
      <c r="X52"/>
      <c r="Y52"/>
      <c r="Z52" s="344"/>
      <c r="AA52" s="347"/>
      <c r="AB52" s="363"/>
      <c r="AC52" s="363"/>
      <c r="AD52" s="110"/>
      <c r="AE52" s="41"/>
      <c r="AF52" s="41"/>
      <c r="AG52" s="41"/>
      <c r="AH52" s="41"/>
      <c r="AI52" s="41"/>
      <c r="AJ52" s="41"/>
      <c r="AK52" s="41"/>
      <c r="AL52" s="41"/>
      <c r="AM52" s="41"/>
      <c r="AN52" s="41"/>
      <c r="AO52" s="41"/>
      <c r="AP52" s="41"/>
      <c r="AQ52" s="41"/>
      <c r="AR52" s="41"/>
      <c r="AS52" s="41"/>
      <c r="AT52" s="41"/>
      <c r="AU52" s="41"/>
      <c r="AV52" s="41"/>
      <c r="AW52" s="41"/>
      <c r="AX52" s="41"/>
      <c r="AY52" s="41"/>
      <c r="AZ52" s="41"/>
      <c r="BA52" s="41"/>
      <c r="BB52" s="41"/>
      <c r="BC52" s="41"/>
      <c r="BD52" s="41"/>
      <c r="BE52" s="41"/>
      <c r="BF52" s="41"/>
      <c r="BG52" s="41"/>
      <c r="BH52" s="41"/>
      <c r="BI52" s="41"/>
      <c r="BJ52" s="41"/>
      <c r="BK52" s="41"/>
      <c r="BL52" s="41"/>
      <c r="BM52" s="41"/>
      <c r="BN52" s="41"/>
      <c r="BO52" s="41"/>
      <c r="BP52" s="41"/>
      <c r="BQ52" s="41"/>
      <c r="BR52" s="41"/>
      <c r="BS52" s="41"/>
      <c r="BT52" s="41"/>
      <c r="BU52" s="41"/>
      <c r="BV52" s="41"/>
      <c r="BW52" s="41"/>
      <c r="BX52" s="41"/>
      <c r="BY52" s="41"/>
      <c r="BZ52" s="41"/>
      <c r="CA52" s="41"/>
      <c r="CB52" s="41"/>
      <c r="CC52" s="41"/>
      <c r="CD52" s="41"/>
      <c r="CE52" s="41"/>
      <c r="CF52" s="41"/>
      <c r="CG52" s="41"/>
      <c r="CH52" s="41"/>
      <c r="CI52" s="41"/>
      <c r="CJ52" s="41"/>
      <c r="CK52" s="41"/>
      <c r="CL52" s="41"/>
      <c r="CM52" s="41"/>
      <c r="CN52" s="41"/>
      <c r="CO52" s="41"/>
      <c r="CP52" s="41"/>
    </row>
    <row r="53" spans="1:94" s="53" customFormat="1" ht="15" x14ac:dyDescent="0.25">
      <c r="A53" s="85"/>
      <c r="B53" s="83"/>
      <c r="C53" s="441" t="s">
        <v>47</v>
      </c>
      <c r="D53" s="442"/>
      <c r="E53" s="271"/>
      <c r="F53" s="273"/>
      <c r="G53" s="62"/>
      <c r="H53" s="62"/>
      <c r="I53" s="62"/>
      <c r="J53" s="62"/>
      <c r="K53" s="62"/>
      <c r="L53" s="61"/>
      <c r="M53" s="86"/>
      <c r="N53" s="86"/>
      <c r="O53"/>
      <c r="P53"/>
      <c r="Q53"/>
      <c r="R53"/>
      <c r="S53"/>
      <c r="T53"/>
      <c r="U53"/>
      <c r="V53"/>
      <c r="W53"/>
      <c r="X53"/>
      <c r="Y53"/>
      <c r="Z53" s="344"/>
      <c r="AA53" s="363"/>
      <c r="AB53" s="363"/>
      <c r="AC53" s="363"/>
      <c r="AD53" s="110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U53" s="41"/>
      <c r="AV53" s="41"/>
      <c r="AW53" s="41"/>
      <c r="AX53" s="41"/>
      <c r="AY53" s="41"/>
      <c r="AZ53" s="41"/>
      <c r="BA53" s="41"/>
      <c r="BB53" s="41"/>
      <c r="BC53" s="41"/>
      <c r="BD53" s="41"/>
      <c r="BE53" s="41"/>
      <c r="BF53" s="41"/>
      <c r="BG53" s="41"/>
      <c r="BH53" s="41"/>
      <c r="BI53" s="41"/>
      <c r="BJ53" s="41"/>
      <c r="BK53" s="41"/>
      <c r="BL53" s="41"/>
      <c r="BM53" s="41"/>
      <c r="BN53" s="41"/>
      <c r="BO53" s="41"/>
      <c r="BP53" s="41"/>
      <c r="BQ53" s="41"/>
      <c r="BR53" s="41"/>
      <c r="BS53" s="41"/>
      <c r="BT53" s="41"/>
      <c r="BU53" s="41"/>
      <c r="BV53" s="41"/>
      <c r="BW53" s="41"/>
      <c r="BX53" s="41"/>
      <c r="BY53" s="41"/>
      <c r="BZ53" s="41"/>
      <c r="CA53" s="41"/>
      <c r="CB53" s="41"/>
      <c r="CC53" s="41"/>
      <c r="CD53" s="41"/>
      <c r="CE53" s="41"/>
      <c r="CF53" s="41"/>
      <c r="CG53" s="41"/>
      <c r="CH53" s="41"/>
      <c r="CI53" s="41"/>
      <c r="CJ53" s="41"/>
      <c r="CK53" s="41"/>
      <c r="CL53" s="41"/>
      <c r="CM53" s="41"/>
      <c r="CN53" s="41"/>
      <c r="CO53" s="41"/>
      <c r="CP53" s="41"/>
    </row>
    <row r="54" spans="1:94" s="53" customFormat="1" ht="15.75" customHeight="1" x14ac:dyDescent="0.25">
      <c r="A54" s="85">
        <v>4.1100000000000003</v>
      </c>
      <c r="B54" s="83"/>
      <c r="C54" s="408" t="s">
        <v>48</v>
      </c>
      <c r="D54" s="409"/>
      <c r="E54" s="59"/>
      <c r="F54" s="58">
        <v>0</v>
      </c>
      <c r="G54" s="88">
        <v>0</v>
      </c>
      <c r="H54" s="88">
        <v>0</v>
      </c>
      <c r="I54" s="265">
        <v>0</v>
      </c>
      <c r="J54" s="89">
        <f>SUM(G54:I54)</f>
        <v>0</v>
      </c>
      <c r="K54" s="62"/>
      <c r="L54" s="61"/>
      <c r="M54" s="86"/>
      <c r="N54" s="86"/>
      <c r="O54"/>
      <c r="P54"/>
      <c r="Q54"/>
      <c r="R54"/>
      <c r="S54"/>
      <c r="T54"/>
      <c r="U54"/>
      <c r="V54"/>
      <c r="W54"/>
      <c r="X54"/>
      <c r="Y54"/>
      <c r="Z54" s="344"/>
      <c r="AA54" s="363"/>
      <c r="AB54" s="363"/>
      <c r="AC54" s="363"/>
      <c r="AD54" s="110"/>
      <c r="AE54" s="41"/>
      <c r="AF54" s="41"/>
      <c r="AG54" s="41"/>
      <c r="AH54" s="41"/>
      <c r="AI54" s="41"/>
      <c r="AJ54" s="41"/>
      <c r="AK54" s="41"/>
      <c r="AL54" s="41"/>
      <c r="AM54" s="41"/>
      <c r="AN54" s="41"/>
      <c r="AO54" s="41"/>
      <c r="AP54" s="41"/>
      <c r="AQ54" s="41"/>
      <c r="AR54" s="41"/>
      <c r="AS54" s="41"/>
      <c r="AT54" s="41"/>
      <c r="AU54" s="41"/>
      <c r="AV54" s="41"/>
      <c r="AW54" s="41"/>
      <c r="AX54" s="41"/>
      <c r="AY54" s="41"/>
      <c r="AZ54" s="41"/>
      <c r="BA54" s="41"/>
      <c r="BB54" s="41"/>
      <c r="BC54" s="41"/>
      <c r="BD54" s="41"/>
      <c r="BE54" s="41"/>
      <c r="BF54" s="41"/>
      <c r="BG54" s="41"/>
      <c r="BH54" s="41"/>
      <c r="BI54" s="41"/>
      <c r="BJ54" s="41"/>
      <c r="BK54" s="41"/>
      <c r="BL54" s="41"/>
      <c r="BM54" s="41"/>
      <c r="BN54" s="41"/>
      <c r="BO54" s="41"/>
      <c r="BP54" s="41"/>
      <c r="BQ54" s="41"/>
      <c r="BR54" s="41"/>
      <c r="BS54" s="41"/>
      <c r="BT54" s="41"/>
      <c r="BU54" s="41"/>
      <c r="BV54" s="41"/>
      <c r="BW54" s="41"/>
      <c r="BX54" s="41"/>
      <c r="BY54" s="41"/>
      <c r="BZ54" s="41"/>
      <c r="CA54" s="41"/>
      <c r="CB54" s="41"/>
      <c r="CC54" s="41"/>
      <c r="CD54" s="41"/>
      <c r="CE54" s="41"/>
      <c r="CF54" s="41"/>
      <c r="CG54" s="41"/>
      <c r="CH54" s="41"/>
      <c r="CI54" s="41"/>
      <c r="CJ54" s="41"/>
      <c r="CK54" s="41"/>
      <c r="CL54" s="41"/>
      <c r="CM54" s="41"/>
      <c r="CN54" s="41"/>
      <c r="CO54" s="41"/>
      <c r="CP54" s="41"/>
    </row>
    <row r="55" spans="1:94" s="53" customFormat="1" ht="15.75" customHeight="1" x14ac:dyDescent="0.25">
      <c r="A55" s="85">
        <v>4.3099999999999996</v>
      </c>
      <c r="B55" s="83"/>
      <c r="C55" s="421" t="s">
        <v>49</v>
      </c>
      <c r="D55" s="422"/>
      <c r="E55" s="59"/>
      <c r="F55" s="277">
        <v>0</v>
      </c>
      <c r="G55" s="92">
        <v>0</v>
      </c>
      <c r="H55" s="92">
        <v>0</v>
      </c>
      <c r="I55" s="264">
        <v>0</v>
      </c>
      <c r="J55" s="287">
        <f>SUM(G55:I55)</f>
        <v>0</v>
      </c>
      <c r="K55" s="62"/>
      <c r="L55" s="88"/>
      <c r="M55" s="261"/>
      <c r="N55" s="89">
        <f>SUM(L55:M55)</f>
        <v>0</v>
      </c>
      <c r="O55"/>
      <c r="P55"/>
      <c r="Q55"/>
      <c r="R55"/>
      <c r="S55"/>
      <c r="T55"/>
      <c r="U55"/>
      <c r="V55"/>
      <c r="W55"/>
      <c r="X55"/>
      <c r="Y55"/>
      <c r="Z55" s="344"/>
      <c r="AA55" s="363"/>
      <c r="AB55" s="363"/>
      <c r="AC55" s="363"/>
      <c r="AD55" s="110"/>
      <c r="AE55" s="41"/>
      <c r="AF55" s="41"/>
      <c r="AG55" s="41"/>
      <c r="AH55" s="41"/>
      <c r="AI55" s="41"/>
      <c r="AJ55" s="41"/>
      <c r="AK55" s="41"/>
      <c r="AL55" s="41"/>
      <c r="AM55" s="41"/>
      <c r="AN55" s="41"/>
      <c r="AO55" s="41"/>
      <c r="AP55" s="41"/>
      <c r="AQ55" s="41"/>
      <c r="AR55" s="41"/>
      <c r="AS55" s="41"/>
      <c r="AT55" s="41"/>
      <c r="AU55" s="41"/>
      <c r="AV55" s="41"/>
      <c r="AW55" s="41"/>
      <c r="AX55" s="41"/>
      <c r="AY55" s="41"/>
      <c r="AZ55" s="41"/>
      <c r="BA55" s="41"/>
      <c r="BB55" s="41"/>
      <c r="BC55" s="41"/>
      <c r="BD55" s="41"/>
      <c r="BE55" s="41"/>
      <c r="BF55" s="41"/>
      <c r="BG55" s="41"/>
      <c r="BH55" s="41"/>
      <c r="BI55" s="41"/>
      <c r="BJ55" s="41"/>
      <c r="BK55" s="41"/>
      <c r="BL55" s="41"/>
      <c r="BM55" s="41"/>
      <c r="BN55" s="41"/>
      <c r="BO55" s="41"/>
      <c r="BP55" s="41"/>
      <c r="BQ55" s="41"/>
      <c r="BR55" s="41"/>
      <c r="BS55" s="41"/>
      <c r="BT55" s="41"/>
      <c r="BU55" s="41"/>
      <c r="BV55" s="41"/>
      <c r="BW55" s="41"/>
      <c r="BX55" s="41"/>
      <c r="BY55" s="41"/>
      <c r="BZ55" s="41"/>
      <c r="CA55" s="41"/>
      <c r="CB55" s="41"/>
      <c r="CC55" s="41"/>
      <c r="CD55" s="41"/>
      <c r="CE55" s="41"/>
      <c r="CF55" s="41"/>
      <c r="CG55" s="41"/>
      <c r="CH55" s="41"/>
      <c r="CI55" s="41"/>
      <c r="CJ55" s="41"/>
      <c r="CK55" s="41"/>
      <c r="CL55" s="41"/>
      <c r="CM55" s="41"/>
      <c r="CN55" s="41"/>
      <c r="CO55" s="41"/>
      <c r="CP55" s="41"/>
    </row>
    <row r="56" spans="1:94" s="53" customFormat="1" ht="15.75" customHeight="1" x14ac:dyDescent="0.25">
      <c r="A56" s="75">
        <v>5</v>
      </c>
      <c r="B56" s="76"/>
      <c r="C56" s="54" t="str">
        <f>"FY "&amp;M4-1</f>
        <v>FY 2022</v>
      </c>
      <c r="D56" s="131" t="s">
        <v>50</v>
      </c>
      <c r="E56" s="135"/>
      <c r="F56" s="55">
        <f>SUM(F52:F55)</f>
        <v>21.05</v>
      </c>
      <c r="G56" s="80">
        <f>SUM(G52:G55)</f>
        <v>1241700</v>
      </c>
      <c r="H56" s="80">
        <f>SUM(H52:H55)</f>
        <v>216600</v>
      </c>
      <c r="I56" s="260">
        <f>SUM(I52:I55)</f>
        <v>257000</v>
      </c>
      <c r="J56" s="80">
        <f>SUM(J52:J55)</f>
        <v>1715300</v>
      </c>
      <c r="K56" s="263"/>
      <c r="L56" s="61"/>
      <c r="M56" s="61"/>
      <c r="N56" s="61"/>
      <c r="O56"/>
      <c r="P56"/>
      <c r="Q56"/>
      <c r="R56"/>
      <c r="S56"/>
      <c r="T56"/>
      <c r="U56"/>
      <c r="V56"/>
      <c r="W56"/>
      <c r="X56"/>
      <c r="Y56"/>
      <c r="Z56" s="344"/>
      <c r="AA56" s="363"/>
      <c r="AB56" s="363"/>
      <c r="AC56" s="363"/>
      <c r="AD56" s="110"/>
      <c r="AE56" s="41"/>
      <c r="AF56" s="41"/>
      <c r="AG56" s="41"/>
      <c r="AH56" s="41"/>
      <c r="AI56" s="41"/>
      <c r="AJ56" s="41"/>
      <c r="AK56" s="41"/>
      <c r="AL56" s="41"/>
      <c r="AM56" s="41"/>
      <c r="AN56" s="41"/>
      <c r="AO56" s="41"/>
      <c r="AP56" s="41"/>
      <c r="AQ56" s="41"/>
      <c r="AR56" s="41"/>
      <c r="AS56" s="41"/>
      <c r="AT56" s="41"/>
      <c r="AU56" s="41"/>
      <c r="AV56" s="41"/>
      <c r="AW56" s="41"/>
      <c r="AX56" s="41"/>
      <c r="AY56" s="41"/>
      <c r="AZ56" s="41"/>
      <c r="BA56" s="41"/>
      <c r="BB56" s="41"/>
      <c r="BC56" s="41"/>
      <c r="BD56" s="41"/>
      <c r="BE56" s="41"/>
      <c r="BF56" s="41"/>
      <c r="BG56" s="41"/>
      <c r="BH56" s="41"/>
      <c r="BI56" s="41"/>
      <c r="BJ56" s="41"/>
      <c r="BK56" s="41"/>
      <c r="BL56" s="41"/>
      <c r="BM56" s="41"/>
      <c r="BN56" s="41"/>
      <c r="BO56" s="41"/>
      <c r="BP56" s="41"/>
      <c r="BQ56" s="41"/>
      <c r="BR56" s="41"/>
      <c r="BS56" s="41"/>
      <c r="BT56" s="41"/>
      <c r="BU56" s="41"/>
      <c r="BV56" s="41"/>
      <c r="BW56" s="41"/>
      <c r="BX56" s="41"/>
      <c r="BY56" s="41"/>
      <c r="BZ56" s="41"/>
      <c r="CA56" s="41"/>
      <c r="CB56" s="41"/>
      <c r="CC56" s="41"/>
      <c r="CD56" s="41"/>
      <c r="CE56" s="41"/>
      <c r="CF56" s="41"/>
      <c r="CG56" s="41"/>
      <c r="CH56" s="41"/>
      <c r="CI56" s="41"/>
      <c r="CJ56" s="41"/>
      <c r="CK56" s="41"/>
      <c r="CL56" s="41"/>
      <c r="CM56" s="41"/>
      <c r="CN56" s="41"/>
      <c r="CO56" s="41"/>
      <c r="CP56" s="41"/>
    </row>
    <row r="57" spans="1:94" s="53" customFormat="1" ht="15.75" customHeight="1" x14ac:dyDescent="0.25">
      <c r="A57" s="85"/>
      <c r="B57" s="83"/>
      <c r="C57" s="419" t="s">
        <v>51</v>
      </c>
      <c r="D57" s="423"/>
      <c r="E57" s="367"/>
      <c r="F57" s="273"/>
      <c r="G57" s="62"/>
      <c r="H57" s="62"/>
      <c r="I57" s="62"/>
      <c r="J57" s="62"/>
      <c r="K57" s="62"/>
      <c r="L57" s="61"/>
      <c r="M57" s="61"/>
      <c r="N57" s="61"/>
      <c r="O57"/>
      <c r="P57"/>
      <c r="Q57"/>
      <c r="R57"/>
      <c r="S57"/>
      <c r="T57"/>
      <c r="U57"/>
      <c r="V57"/>
      <c r="W57"/>
      <c r="X57"/>
      <c r="Y57"/>
      <c r="Z57" s="344"/>
      <c r="AA57" s="363"/>
      <c r="AB57" s="363"/>
      <c r="AC57" s="363"/>
      <c r="AD57" s="110"/>
      <c r="AE57" s="41"/>
      <c r="AF57" s="41"/>
      <c r="AG57" s="41"/>
      <c r="AH57" s="41"/>
      <c r="AI57" s="41"/>
      <c r="AJ57" s="41"/>
      <c r="AK57" s="41"/>
      <c r="AL57" s="41"/>
      <c r="AM57" s="41"/>
      <c r="AN57" s="41"/>
      <c r="AO57" s="41"/>
      <c r="AP57" s="41"/>
      <c r="AQ57" s="41"/>
      <c r="AR57" s="41"/>
      <c r="AS57" s="41"/>
      <c r="AT57" s="41"/>
      <c r="AU57" s="41"/>
      <c r="AV57" s="41"/>
      <c r="AW57" s="41"/>
      <c r="AX57" s="41"/>
      <c r="AY57" s="41"/>
      <c r="AZ57" s="41"/>
      <c r="BA57" s="41"/>
      <c r="BB57" s="41"/>
      <c r="BC57" s="41"/>
      <c r="BD57" s="41"/>
      <c r="BE57" s="41"/>
      <c r="BF57" s="41"/>
      <c r="BG57" s="41"/>
      <c r="BH57" s="41"/>
      <c r="BI57" s="41"/>
      <c r="BJ57" s="41"/>
      <c r="BK57" s="41"/>
      <c r="BL57" s="41"/>
      <c r="BM57" s="41"/>
      <c r="BN57" s="41"/>
      <c r="BO57" s="41"/>
      <c r="BP57" s="41"/>
      <c r="BQ57" s="41"/>
      <c r="BR57" s="41"/>
      <c r="BS57" s="41"/>
      <c r="BT57" s="41"/>
      <c r="BU57" s="41"/>
      <c r="BV57" s="41"/>
      <c r="BW57" s="41"/>
      <c r="BX57" s="41"/>
      <c r="BY57" s="41"/>
      <c r="BZ57" s="41"/>
      <c r="CA57" s="41"/>
      <c r="CB57" s="41"/>
      <c r="CC57" s="41"/>
      <c r="CD57" s="41"/>
      <c r="CE57" s="41"/>
      <c r="CF57" s="41"/>
      <c r="CG57" s="41"/>
      <c r="CH57" s="41"/>
      <c r="CI57" s="41"/>
      <c r="CJ57" s="41"/>
      <c r="CK57" s="41"/>
      <c r="CL57" s="41"/>
      <c r="CM57" s="41"/>
      <c r="CN57" s="41"/>
      <c r="CO57" s="41"/>
      <c r="CP57" s="41"/>
    </row>
    <row r="58" spans="1:94" s="53" customFormat="1" ht="15.75" customHeight="1" x14ac:dyDescent="0.25">
      <c r="A58" s="85">
        <v>6.31</v>
      </c>
      <c r="B58" s="83"/>
      <c r="C58" s="408" t="s">
        <v>52</v>
      </c>
      <c r="D58" s="409"/>
      <c r="E58" s="102"/>
      <c r="F58" s="58">
        <v>0</v>
      </c>
      <c r="G58" s="88">
        <v>0</v>
      </c>
      <c r="H58" s="88">
        <v>0</v>
      </c>
      <c r="I58" s="265">
        <v>0</v>
      </c>
      <c r="J58" s="89">
        <f>SUM(G58:I58)</f>
        <v>0</v>
      </c>
      <c r="K58" s="62"/>
      <c r="L58" s="88"/>
      <c r="M58" s="262"/>
      <c r="N58" s="89">
        <f>SUM(L58:M58)</f>
        <v>0</v>
      </c>
      <c r="O58"/>
      <c r="P58"/>
      <c r="Q58"/>
      <c r="R58"/>
      <c r="S58"/>
      <c r="T58"/>
      <c r="U58"/>
      <c r="V58"/>
      <c r="W58"/>
      <c r="X58"/>
      <c r="Y58"/>
      <c r="Z58" s="344"/>
      <c r="AA58" s="363"/>
      <c r="AB58" s="363"/>
      <c r="AC58" s="363"/>
      <c r="AD58" s="110"/>
      <c r="AE58" s="41"/>
      <c r="AF58" s="41"/>
      <c r="AG58" s="41"/>
      <c r="AH58" s="41"/>
      <c r="AI58" s="41"/>
      <c r="AJ58" s="41"/>
      <c r="AK58" s="41"/>
      <c r="AL58" s="41"/>
      <c r="AM58" s="41"/>
      <c r="AN58" s="41"/>
      <c r="AO58" s="41"/>
      <c r="AP58" s="41"/>
      <c r="AQ58" s="41"/>
      <c r="AR58" s="41"/>
      <c r="AS58" s="41"/>
      <c r="AT58" s="41"/>
      <c r="AU58" s="41"/>
      <c r="AV58" s="41"/>
      <c r="AW58" s="41"/>
      <c r="AX58" s="41"/>
      <c r="AY58" s="41"/>
      <c r="AZ58" s="41"/>
      <c r="BA58" s="41"/>
      <c r="BB58" s="41"/>
      <c r="BC58" s="41"/>
      <c r="BD58" s="41"/>
      <c r="BE58" s="41"/>
      <c r="BF58" s="41"/>
      <c r="BG58" s="41"/>
      <c r="BH58" s="41"/>
      <c r="BI58" s="41"/>
      <c r="BJ58" s="41"/>
      <c r="BK58" s="41"/>
      <c r="BL58" s="41"/>
      <c r="BM58" s="41"/>
      <c r="BN58" s="41"/>
      <c r="BO58" s="41"/>
      <c r="BP58" s="41"/>
      <c r="BQ58" s="41"/>
      <c r="BR58" s="41"/>
      <c r="BS58" s="41"/>
      <c r="BT58" s="41"/>
      <c r="BU58" s="41"/>
      <c r="BV58" s="41"/>
      <c r="BW58" s="41"/>
      <c r="BX58" s="41"/>
      <c r="BY58" s="41"/>
      <c r="BZ58" s="41"/>
      <c r="CA58" s="41"/>
      <c r="CB58" s="41"/>
      <c r="CC58" s="41"/>
      <c r="CD58" s="41"/>
      <c r="CE58" s="41"/>
      <c r="CF58" s="41"/>
      <c r="CG58" s="41"/>
      <c r="CH58" s="41"/>
      <c r="CI58" s="41"/>
      <c r="CJ58" s="41"/>
      <c r="CK58" s="41"/>
      <c r="CL58" s="41"/>
      <c r="CM58" s="41"/>
      <c r="CN58" s="41"/>
      <c r="CO58" s="41"/>
      <c r="CP58" s="41"/>
    </row>
    <row r="59" spans="1:94" s="53" customFormat="1" ht="15.75" customHeight="1" x14ac:dyDescent="0.25">
      <c r="A59" s="85">
        <v>6.51</v>
      </c>
      <c r="B59" s="83"/>
      <c r="C59" s="421" t="s">
        <v>66</v>
      </c>
      <c r="D59" s="422"/>
      <c r="E59" s="102"/>
      <c r="F59" s="58">
        <v>0</v>
      </c>
      <c r="G59" s="88">
        <v>0</v>
      </c>
      <c r="H59" s="92">
        <v>0</v>
      </c>
      <c r="I59" s="264">
        <v>0</v>
      </c>
      <c r="J59" s="267">
        <f>SUM(G59:I59)</f>
        <v>0</v>
      </c>
      <c r="K59" s="62"/>
      <c r="L59" s="88"/>
      <c r="M59" s="261"/>
      <c r="N59" s="89">
        <f>SUM(L59:M59)</f>
        <v>0</v>
      </c>
      <c r="O59"/>
      <c r="P59"/>
      <c r="Q59"/>
      <c r="R59"/>
      <c r="S59"/>
      <c r="T59"/>
      <c r="U59"/>
      <c r="V59"/>
      <c r="W59"/>
      <c r="X59"/>
      <c r="Y59"/>
      <c r="Z59" s="344"/>
      <c r="AA59" s="363"/>
      <c r="AB59" s="363"/>
      <c r="AC59" s="363"/>
      <c r="AD59" s="110"/>
      <c r="AE59" s="41"/>
      <c r="AF59" s="41"/>
      <c r="AG59" s="41"/>
      <c r="AH59" s="41"/>
      <c r="AI59" s="41"/>
      <c r="AJ59" s="41"/>
      <c r="AK59" s="41"/>
      <c r="AL59" s="41"/>
      <c r="AM59" s="41"/>
      <c r="AN59" s="41"/>
      <c r="AO59" s="41"/>
      <c r="AP59" s="41"/>
      <c r="AQ59" s="41"/>
      <c r="AR59" s="41"/>
      <c r="AS59" s="41"/>
      <c r="AT59" s="41"/>
      <c r="AU59" s="41"/>
      <c r="AV59" s="41"/>
      <c r="AW59" s="41"/>
      <c r="AX59" s="41"/>
      <c r="AY59" s="41"/>
      <c r="AZ59" s="41"/>
      <c r="BA59" s="41"/>
      <c r="BB59" s="41"/>
      <c r="BC59" s="41"/>
      <c r="BD59" s="41"/>
      <c r="BE59" s="41"/>
      <c r="BF59" s="41"/>
      <c r="BG59" s="41"/>
      <c r="BH59" s="41"/>
      <c r="BI59" s="41"/>
      <c r="BJ59" s="41"/>
      <c r="BK59" s="41"/>
      <c r="BL59" s="41"/>
      <c r="BM59" s="41"/>
      <c r="BN59" s="41"/>
      <c r="BO59" s="41"/>
      <c r="BP59" s="41"/>
      <c r="BQ59" s="41"/>
      <c r="BR59" s="41"/>
      <c r="BS59" s="41"/>
      <c r="BT59" s="41"/>
      <c r="BU59" s="41"/>
      <c r="BV59" s="41"/>
      <c r="BW59" s="41"/>
      <c r="BX59" s="41"/>
      <c r="BY59" s="41"/>
      <c r="BZ59" s="41"/>
      <c r="CA59" s="41"/>
      <c r="CB59" s="41"/>
      <c r="CC59" s="41"/>
      <c r="CD59" s="41"/>
      <c r="CE59" s="41"/>
      <c r="CF59" s="41"/>
      <c r="CG59" s="41"/>
      <c r="CH59" s="41"/>
      <c r="CI59" s="41"/>
      <c r="CJ59" s="41"/>
      <c r="CK59" s="41"/>
      <c r="CL59" s="41"/>
      <c r="CM59" s="41"/>
      <c r="CN59" s="41"/>
      <c r="CO59" s="41"/>
      <c r="CP59" s="41"/>
    </row>
    <row r="60" spans="1:94" s="53" customFormat="1" ht="15.75" customHeight="1" x14ac:dyDescent="0.25">
      <c r="A60" s="75">
        <v>7</v>
      </c>
      <c r="B60" s="76"/>
      <c r="C60" s="54" t="str">
        <f>"FY "&amp;M4-1</f>
        <v>FY 2022</v>
      </c>
      <c r="D60" s="131" t="s">
        <v>53</v>
      </c>
      <c r="E60" s="135"/>
      <c r="F60" s="55">
        <f>SUM(F56:F59)</f>
        <v>21.05</v>
      </c>
      <c r="G60" s="80">
        <f>SUM(G56:G59)</f>
        <v>1241700</v>
      </c>
      <c r="H60" s="80">
        <f>SUM(H56:H59)</f>
        <v>216600</v>
      </c>
      <c r="I60" s="260">
        <f>SUM(I56:I59)</f>
        <v>257000</v>
      </c>
      <c r="J60" s="80">
        <f>SUM(J56:J59)</f>
        <v>1715300</v>
      </c>
      <c r="K60" s="263"/>
      <c r="L60" s="61"/>
      <c r="M60" s="61"/>
      <c r="N60" s="60"/>
      <c r="O60"/>
      <c r="P60"/>
      <c r="Q60"/>
      <c r="R60"/>
      <c r="S60"/>
      <c r="T60"/>
      <c r="U60"/>
      <c r="V60"/>
      <c r="W60"/>
      <c r="X60"/>
      <c r="Y60"/>
      <c r="Z60" s="344"/>
      <c r="AA60" s="363"/>
      <c r="AB60" s="363"/>
      <c r="AC60" s="363"/>
      <c r="AD60" s="110"/>
      <c r="AE60" s="41"/>
      <c r="AF60" s="41"/>
      <c r="AG60" s="41"/>
      <c r="AH60" s="41"/>
      <c r="AI60" s="41"/>
      <c r="AJ60" s="41"/>
      <c r="AK60" s="41"/>
      <c r="AL60" s="41"/>
      <c r="AM60" s="41"/>
      <c r="AN60" s="41"/>
      <c r="AO60" s="41"/>
      <c r="AP60" s="41"/>
      <c r="AQ60" s="41"/>
      <c r="AR60" s="41"/>
      <c r="AS60" s="41"/>
      <c r="AT60" s="41"/>
      <c r="AU60" s="41"/>
      <c r="AV60" s="41"/>
      <c r="AW60" s="41"/>
      <c r="AX60" s="41"/>
      <c r="AY60" s="41"/>
      <c r="AZ60" s="41"/>
      <c r="BA60" s="41"/>
      <c r="BB60" s="41"/>
      <c r="BC60" s="41"/>
      <c r="BD60" s="41"/>
      <c r="BE60" s="41"/>
      <c r="BF60" s="41"/>
      <c r="BG60" s="41"/>
      <c r="BH60" s="41"/>
      <c r="BI60" s="41"/>
      <c r="BJ60" s="41"/>
      <c r="BK60" s="41"/>
      <c r="BL60" s="41"/>
      <c r="BM60" s="41"/>
      <c r="BN60" s="41"/>
      <c r="BO60" s="41"/>
      <c r="BP60" s="41"/>
      <c r="BQ60" s="41"/>
      <c r="BR60" s="41"/>
      <c r="BS60" s="41"/>
      <c r="BT60" s="41"/>
      <c r="BU60" s="41"/>
      <c r="BV60" s="41"/>
      <c r="BW60" s="41"/>
      <c r="BX60" s="41"/>
      <c r="BY60" s="41"/>
      <c r="BZ60" s="41"/>
      <c r="CA60" s="41"/>
      <c r="CB60" s="41"/>
      <c r="CC60" s="41"/>
      <c r="CD60" s="41"/>
      <c r="CE60" s="41"/>
      <c r="CF60" s="41"/>
      <c r="CG60" s="41"/>
      <c r="CH60" s="41"/>
      <c r="CI60" s="41"/>
      <c r="CJ60" s="41"/>
      <c r="CK60" s="41"/>
      <c r="CL60" s="41"/>
      <c r="CM60" s="41"/>
      <c r="CN60" s="41"/>
      <c r="CO60" s="41"/>
      <c r="CP60" s="41"/>
    </row>
    <row r="61" spans="1:94" s="53" customFormat="1" ht="15.75" customHeight="1" x14ac:dyDescent="0.25">
      <c r="A61" s="85"/>
      <c r="B61" s="83"/>
      <c r="C61" s="419" t="s">
        <v>54</v>
      </c>
      <c r="D61" s="423"/>
      <c r="E61" s="367"/>
      <c r="F61" s="273"/>
      <c r="G61" s="62"/>
      <c r="H61" s="62"/>
      <c r="I61" s="62"/>
      <c r="J61" s="62"/>
      <c r="K61" s="62"/>
      <c r="L61" s="61"/>
      <c r="M61" s="61"/>
      <c r="N61" s="60"/>
      <c r="O61"/>
      <c r="P61"/>
      <c r="Q61"/>
      <c r="R61"/>
      <c r="S61"/>
      <c r="T61"/>
      <c r="U61"/>
      <c r="V61"/>
      <c r="W61"/>
      <c r="X61"/>
      <c r="Y61"/>
      <c r="Z61" s="344"/>
      <c r="AA61" s="363"/>
      <c r="AB61" s="363"/>
      <c r="AC61" s="363"/>
      <c r="AD61" s="110"/>
      <c r="AE61" s="41"/>
      <c r="AF61" s="41"/>
      <c r="AG61" s="41"/>
      <c r="AH61" s="41"/>
      <c r="AI61" s="41"/>
      <c r="AJ61" s="41"/>
      <c r="AK61" s="41"/>
      <c r="AL61" s="41"/>
      <c r="AM61" s="41"/>
      <c r="AN61" s="41"/>
      <c r="AO61" s="41"/>
      <c r="AP61" s="41"/>
      <c r="AQ61" s="41"/>
      <c r="AR61" s="41"/>
      <c r="AS61" s="41"/>
      <c r="AT61" s="41"/>
      <c r="AU61" s="41"/>
      <c r="AV61" s="41"/>
      <c r="AW61" s="41"/>
      <c r="AX61" s="41"/>
      <c r="AY61" s="41"/>
      <c r="AZ61" s="41"/>
      <c r="BA61" s="41"/>
      <c r="BB61" s="41"/>
      <c r="BC61" s="41"/>
      <c r="BD61" s="41"/>
      <c r="BE61" s="41"/>
      <c r="BF61" s="41"/>
      <c r="BG61" s="41"/>
      <c r="BH61" s="41"/>
      <c r="BI61" s="41"/>
      <c r="BJ61" s="41"/>
      <c r="BK61" s="41"/>
      <c r="BL61" s="41"/>
      <c r="BM61" s="41"/>
      <c r="BN61" s="41"/>
      <c r="BO61" s="41"/>
      <c r="BP61" s="41"/>
      <c r="BQ61" s="41"/>
      <c r="BR61" s="41"/>
      <c r="BS61" s="41"/>
      <c r="BT61" s="41"/>
      <c r="BU61" s="41"/>
      <c r="BV61" s="41"/>
      <c r="BW61" s="41"/>
      <c r="BX61" s="41"/>
      <c r="BY61" s="41"/>
      <c r="BZ61" s="41"/>
      <c r="CA61" s="41"/>
      <c r="CB61" s="41"/>
      <c r="CC61" s="41"/>
      <c r="CD61" s="41"/>
      <c r="CE61" s="41"/>
      <c r="CF61" s="41"/>
      <c r="CG61" s="41"/>
      <c r="CH61" s="41"/>
      <c r="CI61" s="41"/>
      <c r="CJ61" s="41"/>
      <c r="CK61" s="41"/>
      <c r="CL61" s="41"/>
      <c r="CM61" s="41"/>
      <c r="CN61" s="41"/>
      <c r="CO61" s="41"/>
      <c r="CP61" s="41"/>
    </row>
    <row r="62" spans="1:94" s="53" customFormat="1" ht="15.75" customHeight="1" x14ac:dyDescent="0.25">
      <c r="A62" s="85">
        <v>8.31</v>
      </c>
      <c r="B62" s="83"/>
      <c r="C62" s="408" t="s">
        <v>67</v>
      </c>
      <c r="D62" s="409"/>
      <c r="E62" s="102"/>
      <c r="F62" s="58">
        <v>0</v>
      </c>
      <c r="G62" s="88">
        <v>0</v>
      </c>
      <c r="H62" s="91">
        <v>0</v>
      </c>
      <c r="I62" s="276">
        <v>0</v>
      </c>
      <c r="J62" s="89">
        <f>SUM(G62:I62)</f>
        <v>0</v>
      </c>
      <c r="K62" s="62"/>
      <c r="L62" s="88"/>
      <c r="M62" s="261"/>
      <c r="N62" s="89">
        <f>SUM(L62:M62)</f>
        <v>0</v>
      </c>
      <c r="O62"/>
      <c r="P62"/>
      <c r="Q62"/>
      <c r="R62"/>
      <c r="S62"/>
      <c r="T62"/>
      <c r="U62"/>
      <c r="V62"/>
      <c r="W62"/>
      <c r="X62"/>
      <c r="Y62"/>
      <c r="Z62" s="344"/>
      <c r="AA62" s="363"/>
      <c r="AB62" s="363"/>
      <c r="AC62" s="363"/>
      <c r="AD62" s="110"/>
      <c r="AE62" s="41"/>
      <c r="AF62" s="41"/>
      <c r="AG62" s="41"/>
      <c r="AH62" s="41"/>
      <c r="AI62" s="41"/>
      <c r="AJ62" s="41"/>
      <c r="AK62" s="41"/>
      <c r="AL62" s="41"/>
      <c r="AM62" s="41"/>
      <c r="AN62" s="41"/>
      <c r="AO62" s="41"/>
      <c r="AP62" s="41"/>
      <c r="AQ62" s="41"/>
      <c r="AR62" s="41"/>
      <c r="AS62" s="41"/>
      <c r="AT62" s="41"/>
      <c r="AU62" s="41"/>
      <c r="AV62" s="41"/>
      <c r="AW62" s="41"/>
      <c r="AX62" s="41"/>
      <c r="AY62" s="41"/>
      <c r="AZ62" s="41"/>
      <c r="BA62" s="41"/>
      <c r="BB62" s="41"/>
      <c r="BC62" s="41"/>
      <c r="BD62" s="41"/>
      <c r="BE62" s="41"/>
      <c r="BF62" s="41"/>
      <c r="BG62" s="41"/>
      <c r="BH62" s="41"/>
      <c r="BI62" s="41"/>
      <c r="BJ62" s="41"/>
      <c r="BK62" s="41"/>
      <c r="BL62" s="41"/>
      <c r="BM62" s="41"/>
      <c r="BN62" s="41"/>
      <c r="BO62" s="41"/>
      <c r="BP62" s="41"/>
      <c r="BQ62" s="41"/>
      <c r="BR62" s="41"/>
      <c r="BS62" s="41"/>
      <c r="BT62" s="41"/>
      <c r="BU62" s="41"/>
      <c r="BV62" s="41"/>
      <c r="BW62" s="41"/>
      <c r="BX62" s="41"/>
      <c r="BY62" s="41"/>
      <c r="BZ62" s="41"/>
      <c r="CA62" s="41"/>
      <c r="CB62" s="41"/>
      <c r="CC62" s="41"/>
      <c r="CD62" s="41"/>
      <c r="CE62" s="41"/>
      <c r="CF62" s="41"/>
      <c r="CG62" s="41"/>
      <c r="CH62" s="41"/>
      <c r="CI62" s="41"/>
      <c r="CJ62" s="41"/>
      <c r="CK62" s="41"/>
      <c r="CL62" s="41"/>
      <c r="CM62" s="41"/>
      <c r="CN62" s="41"/>
      <c r="CO62" s="41"/>
      <c r="CP62" s="41"/>
    </row>
    <row r="63" spans="1:94" s="53" customFormat="1" ht="15.75" customHeight="1" x14ac:dyDescent="0.25">
      <c r="A63" s="85">
        <v>8.41</v>
      </c>
      <c r="B63" s="83"/>
      <c r="C63" s="408" t="s">
        <v>55</v>
      </c>
      <c r="D63" s="409"/>
      <c r="E63" s="102"/>
      <c r="F63" s="58">
        <v>0</v>
      </c>
      <c r="G63" s="89">
        <f>ROUND((OneTimePC_Total-H63)/(1+(PermVB+Retire1)),-2)</f>
        <v>0</v>
      </c>
      <c r="H63" s="89">
        <f>ROUND(IF(AND(F63&lt;0,OneTimePC_Total&lt;0),F63*Health,0),-2)</f>
        <v>0</v>
      </c>
      <c r="I63" s="310">
        <f>OneTimePC_Total-G63-H63</f>
        <v>0</v>
      </c>
      <c r="J63" s="89">
        <v>0</v>
      </c>
      <c r="K63" s="308"/>
      <c r="L63" s="88"/>
      <c r="M63" s="261"/>
      <c r="N63" s="89">
        <f>SUM(L63:M63)</f>
        <v>0</v>
      </c>
      <c r="O63"/>
      <c r="P63"/>
      <c r="Q63"/>
      <c r="R63"/>
      <c r="S63"/>
      <c r="T63"/>
      <c r="U63"/>
      <c r="V63"/>
      <c r="W63"/>
      <c r="X63"/>
      <c r="Y63"/>
      <c r="Z63" s="344"/>
      <c r="AA63" s="363"/>
      <c r="AB63" s="363"/>
      <c r="AC63" s="363"/>
      <c r="AD63" s="110"/>
      <c r="AE63" s="41"/>
      <c r="AF63" s="41"/>
      <c r="AG63" s="41"/>
      <c r="AH63" s="41"/>
      <c r="AI63" s="41"/>
      <c r="AJ63" s="41"/>
      <c r="AK63" s="41"/>
      <c r="AL63" s="41"/>
      <c r="AM63" s="41"/>
      <c r="AN63" s="41"/>
      <c r="AO63" s="41"/>
      <c r="AP63" s="41"/>
      <c r="AQ63" s="41"/>
      <c r="AR63" s="41"/>
      <c r="AS63" s="41"/>
      <c r="AT63" s="41"/>
      <c r="AU63" s="41"/>
      <c r="AV63" s="41"/>
      <c r="AW63" s="41"/>
      <c r="AX63" s="41"/>
      <c r="AY63" s="41"/>
      <c r="AZ63" s="41"/>
      <c r="BA63" s="41"/>
      <c r="BB63" s="41"/>
      <c r="BC63" s="41"/>
      <c r="BD63" s="41"/>
      <c r="BE63" s="41"/>
      <c r="BF63" s="41"/>
      <c r="BG63" s="41"/>
      <c r="BH63" s="41"/>
      <c r="BI63" s="41"/>
      <c r="BJ63" s="41"/>
      <c r="BK63" s="41"/>
      <c r="BL63" s="41"/>
      <c r="BM63" s="41"/>
      <c r="BN63" s="41"/>
      <c r="BO63" s="41"/>
      <c r="BP63" s="41"/>
      <c r="BQ63" s="41"/>
      <c r="BR63" s="41"/>
      <c r="BS63" s="41"/>
      <c r="BT63" s="41"/>
      <c r="BU63" s="41"/>
      <c r="BV63" s="41"/>
      <c r="BW63" s="41"/>
      <c r="BX63" s="41"/>
      <c r="BY63" s="41"/>
      <c r="BZ63" s="41"/>
      <c r="CA63" s="41"/>
      <c r="CB63" s="41"/>
      <c r="CC63" s="41"/>
      <c r="CD63" s="41"/>
      <c r="CE63" s="41"/>
      <c r="CF63" s="41"/>
      <c r="CG63" s="41"/>
      <c r="CH63" s="41"/>
      <c r="CI63" s="41"/>
      <c r="CJ63" s="41"/>
      <c r="CK63" s="41"/>
      <c r="CL63" s="41"/>
      <c r="CM63" s="41"/>
      <c r="CN63" s="41"/>
      <c r="CO63" s="41"/>
      <c r="CP63" s="41"/>
    </row>
    <row r="64" spans="1:94" s="53" customFormat="1" ht="15.75" customHeight="1" thickBot="1" x14ac:dyDescent="0.3">
      <c r="A64" s="93">
        <v>8.51</v>
      </c>
      <c r="B64" s="93"/>
      <c r="C64" s="413" t="s">
        <v>56</v>
      </c>
      <c r="D64" s="414"/>
      <c r="E64" s="134"/>
      <c r="F64" s="58">
        <v>0</v>
      </c>
      <c r="G64" s="88"/>
      <c r="H64" s="88">
        <v>0</v>
      </c>
      <c r="I64" s="265"/>
      <c r="J64" s="89">
        <f>SUM(G64:I64)</f>
        <v>0</v>
      </c>
      <c r="K64" s="62"/>
      <c r="L64" s="88"/>
      <c r="M64" s="261"/>
      <c r="N64" s="89">
        <f>SUM(L64:M64)</f>
        <v>0</v>
      </c>
      <c r="O64"/>
      <c r="P64"/>
      <c r="Q64"/>
      <c r="R64"/>
      <c r="S64"/>
      <c r="T64"/>
      <c r="U64"/>
      <c r="V64"/>
      <c r="W64"/>
      <c r="X64"/>
      <c r="Y64"/>
      <c r="Z64" s="344"/>
      <c r="AA64" s="363"/>
      <c r="AB64" s="363"/>
      <c r="AC64" s="363"/>
      <c r="AD64" s="110"/>
      <c r="AE64" s="41"/>
      <c r="AF64" s="41"/>
      <c r="AG64" s="41"/>
      <c r="AH64" s="41"/>
      <c r="AI64" s="41"/>
      <c r="AJ64" s="41"/>
      <c r="AK64" s="41"/>
      <c r="AL64" s="41"/>
      <c r="AM64" s="41"/>
      <c r="AN64" s="41"/>
      <c r="AO64" s="41"/>
      <c r="AP64" s="41"/>
      <c r="AQ64" s="41"/>
      <c r="AR64" s="41"/>
      <c r="AS64" s="41"/>
      <c r="AT64" s="41"/>
      <c r="AU64" s="41"/>
      <c r="AV64" s="41"/>
      <c r="AW64" s="41"/>
      <c r="AX64" s="41"/>
      <c r="AY64" s="41"/>
      <c r="AZ64" s="41"/>
      <c r="BA64" s="41"/>
      <c r="BB64" s="41"/>
      <c r="BC64" s="41"/>
      <c r="BD64" s="41"/>
      <c r="BE64" s="41"/>
      <c r="BF64" s="41"/>
      <c r="BG64" s="41"/>
      <c r="BH64" s="41"/>
      <c r="BI64" s="41"/>
      <c r="BJ64" s="41"/>
      <c r="BK64" s="41"/>
      <c r="BL64" s="41"/>
      <c r="BM64" s="41"/>
      <c r="BN64" s="41"/>
      <c r="BO64" s="41"/>
      <c r="BP64" s="41"/>
      <c r="BQ64" s="41"/>
      <c r="BR64" s="41"/>
      <c r="BS64" s="41"/>
      <c r="BT64" s="41"/>
      <c r="BU64" s="41"/>
      <c r="BV64" s="41"/>
      <c r="BW64" s="41"/>
      <c r="BX64" s="41"/>
      <c r="BY64" s="41"/>
      <c r="BZ64" s="41"/>
      <c r="CA64" s="41"/>
      <c r="CB64" s="41"/>
      <c r="CC64" s="41"/>
      <c r="CD64" s="41"/>
      <c r="CE64" s="41"/>
      <c r="CF64" s="41"/>
      <c r="CG64" s="41"/>
      <c r="CH64" s="41"/>
      <c r="CI64" s="41"/>
      <c r="CJ64" s="41"/>
      <c r="CK64" s="41"/>
      <c r="CL64" s="41"/>
      <c r="CM64" s="41"/>
      <c r="CN64" s="41"/>
      <c r="CO64" s="41"/>
      <c r="CP64" s="41"/>
    </row>
    <row r="65" spans="1:94" s="53" customFormat="1" ht="6" customHeight="1" thickTop="1" x14ac:dyDescent="0.25">
      <c r="A65" s="94"/>
      <c r="B65" s="95"/>
      <c r="C65" s="415"/>
      <c r="D65" s="416"/>
      <c r="E65" s="96"/>
      <c r="F65" s="97"/>
      <c r="G65" s="98"/>
      <c r="H65" s="98"/>
      <c r="I65" s="98"/>
      <c r="J65" s="98"/>
      <c r="K65" s="98"/>
      <c r="L65" s="98"/>
      <c r="M65" s="99"/>
      <c r="N65" s="95"/>
      <c r="O65"/>
      <c r="P65"/>
      <c r="Q65"/>
      <c r="R65"/>
      <c r="S65"/>
      <c r="T65"/>
      <c r="U65"/>
      <c r="V65"/>
      <c r="W65"/>
      <c r="X65"/>
      <c r="Y65"/>
      <c r="Z65" s="344"/>
      <c r="AA65" s="363"/>
      <c r="AB65" s="363"/>
      <c r="AC65" s="363"/>
      <c r="AD65" s="110"/>
      <c r="AE65" s="41"/>
      <c r="AF65" s="41"/>
      <c r="AG65" s="41"/>
      <c r="AH65" s="41"/>
      <c r="AI65" s="41"/>
      <c r="AJ65" s="41"/>
      <c r="AK65" s="41"/>
      <c r="AL65" s="41"/>
      <c r="AM65" s="41"/>
      <c r="AN65" s="41"/>
      <c r="AO65" s="41"/>
      <c r="AP65" s="41"/>
      <c r="AQ65" s="41"/>
      <c r="AR65" s="41"/>
      <c r="AS65" s="41"/>
      <c r="AT65" s="41"/>
      <c r="AU65" s="41"/>
      <c r="AV65" s="41"/>
      <c r="AW65" s="41"/>
      <c r="AX65" s="41"/>
      <c r="AY65" s="41"/>
      <c r="AZ65" s="41"/>
      <c r="BA65" s="41"/>
      <c r="BB65" s="41"/>
      <c r="BC65" s="41"/>
      <c r="BD65" s="41"/>
      <c r="BE65" s="41"/>
      <c r="BF65" s="41"/>
      <c r="BG65" s="41"/>
      <c r="BH65" s="41"/>
      <c r="BI65" s="41"/>
      <c r="BJ65" s="41"/>
      <c r="BK65" s="41"/>
      <c r="BL65" s="41"/>
      <c r="BM65" s="41"/>
      <c r="BN65" s="41"/>
      <c r="BO65" s="41"/>
      <c r="BP65" s="41"/>
      <c r="BQ65" s="41"/>
      <c r="BR65" s="41"/>
      <c r="BS65" s="41"/>
      <c r="BT65" s="41"/>
      <c r="BU65" s="41"/>
      <c r="BV65" s="41"/>
      <c r="BW65" s="41"/>
      <c r="BX65" s="41"/>
      <c r="BY65" s="41"/>
      <c r="BZ65" s="41"/>
      <c r="CA65" s="41"/>
      <c r="CB65" s="41"/>
      <c r="CC65" s="41"/>
      <c r="CD65" s="41"/>
      <c r="CE65" s="41"/>
      <c r="CF65" s="41"/>
      <c r="CG65" s="41"/>
      <c r="CH65" s="41"/>
      <c r="CI65" s="41"/>
      <c r="CJ65" s="41"/>
      <c r="CK65" s="41"/>
      <c r="CL65" s="41"/>
      <c r="CM65" s="41"/>
      <c r="CN65" s="41"/>
      <c r="CO65" s="41"/>
      <c r="CP65" s="41"/>
    </row>
    <row r="66" spans="1:94" s="107" customFormat="1" ht="15" x14ac:dyDescent="0.25">
      <c r="A66" s="100"/>
      <c r="B66" s="101"/>
      <c r="C66" s="417"/>
      <c r="D66" s="418"/>
      <c r="E66" s="102"/>
      <c r="F66" s="103" t="s">
        <v>24</v>
      </c>
      <c r="G66" s="104" t="str">
        <f>"FY "&amp;M4-2000&amp;" Salary"</f>
        <v>FY 23 Salary</v>
      </c>
      <c r="H66" s="104" t="str">
        <f>"FY"&amp;M4-2000&amp;" Health Ben"</f>
        <v>FY23 Health Ben</v>
      </c>
      <c r="I66" s="104" t="str">
        <f>"FY "&amp;M4-2000&amp;" Var Ben"</f>
        <v>FY 23 Var Ben</v>
      </c>
      <c r="J66" s="104" t="str">
        <f>"FY "&amp;M4&amp;" Total"</f>
        <v>FY 2023 Total</v>
      </c>
      <c r="K66" s="104"/>
      <c r="L66" s="105"/>
      <c r="M66" s="105"/>
      <c r="N66" s="101"/>
      <c r="O66"/>
      <c r="P66"/>
      <c r="Q66"/>
      <c r="R66"/>
      <c r="S66"/>
      <c r="T66"/>
      <c r="U66"/>
      <c r="V66"/>
      <c r="W66"/>
      <c r="X66"/>
      <c r="Y66"/>
      <c r="Z66" s="344"/>
      <c r="AA66" s="339"/>
      <c r="AB66" s="339"/>
      <c r="AC66" s="339"/>
      <c r="AD66" s="105"/>
      <c r="AE66" s="106"/>
      <c r="AF66" s="106"/>
      <c r="AG66" s="106"/>
      <c r="AH66" s="106"/>
      <c r="AI66" s="106"/>
      <c r="AJ66" s="106"/>
      <c r="AK66" s="106"/>
      <c r="AL66" s="106"/>
      <c r="AM66" s="106"/>
      <c r="AN66" s="106"/>
      <c r="AO66" s="106"/>
      <c r="AP66" s="106"/>
      <c r="AQ66" s="106"/>
      <c r="AR66" s="106"/>
      <c r="AS66" s="106"/>
      <c r="AT66" s="106"/>
      <c r="AU66" s="106"/>
      <c r="AV66" s="106"/>
      <c r="AW66" s="106"/>
      <c r="AX66" s="106"/>
      <c r="AY66" s="106"/>
      <c r="AZ66" s="106"/>
      <c r="BA66" s="106"/>
      <c r="BB66" s="106"/>
      <c r="BC66" s="106"/>
      <c r="BD66" s="106"/>
      <c r="BE66" s="106"/>
      <c r="BF66" s="106"/>
      <c r="BG66" s="106"/>
      <c r="BH66" s="106"/>
      <c r="BI66" s="106"/>
      <c r="BJ66" s="106"/>
      <c r="BK66" s="106"/>
      <c r="BL66" s="106"/>
      <c r="BM66" s="106"/>
      <c r="BN66" s="106"/>
      <c r="BO66" s="106"/>
      <c r="BP66" s="106"/>
      <c r="BQ66" s="106"/>
      <c r="BR66" s="106"/>
      <c r="BS66" s="106"/>
      <c r="BT66" s="106"/>
      <c r="BU66" s="106"/>
      <c r="BV66" s="106"/>
      <c r="BW66" s="106"/>
      <c r="BX66" s="106"/>
      <c r="BY66" s="106"/>
      <c r="BZ66" s="106"/>
      <c r="CA66" s="106"/>
      <c r="CB66" s="106"/>
      <c r="CC66" s="106"/>
      <c r="CD66" s="106"/>
      <c r="CE66" s="106"/>
      <c r="CF66" s="106"/>
      <c r="CG66" s="106"/>
      <c r="CH66" s="106"/>
      <c r="CI66" s="106"/>
      <c r="CJ66" s="106"/>
      <c r="CK66" s="106"/>
      <c r="CL66" s="106"/>
      <c r="CM66" s="106"/>
      <c r="CN66" s="106"/>
      <c r="CO66" s="106"/>
      <c r="CP66" s="106"/>
    </row>
    <row r="67" spans="1:94" s="53" customFormat="1" ht="15" x14ac:dyDescent="0.25">
      <c r="A67" s="82">
        <v>9</v>
      </c>
      <c r="B67" s="83"/>
      <c r="C67" s="84" t="str">
        <f>"FY "&amp;M4</f>
        <v>FY 2023</v>
      </c>
      <c r="D67" s="108" t="s">
        <v>57</v>
      </c>
      <c r="E67" s="109"/>
      <c r="F67" s="55">
        <f>SUM(F60:F64)</f>
        <v>21.05</v>
      </c>
      <c r="G67" s="80">
        <f>SUM(G60:G64)</f>
        <v>1241700</v>
      </c>
      <c r="H67" s="80">
        <f>SUM(H60:H64)</f>
        <v>216600</v>
      </c>
      <c r="I67" s="80">
        <f>SUM(I60:I64)</f>
        <v>257000</v>
      </c>
      <c r="J67" s="80">
        <f>SUM(J60:J64)</f>
        <v>1715300</v>
      </c>
      <c r="K67" s="263"/>
      <c r="L67" s="110"/>
      <c r="M67" s="110"/>
      <c r="N67" s="111"/>
      <c r="O67"/>
      <c r="P67"/>
      <c r="Q67"/>
      <c r="R67"/>
      <c r="S67"/>
      <c r="T67"/>
      <c r="U67"/>
      <c r="V67"/>
      <c r="W67"/>
      <c r="X67"/>
      <c r="Y67"/>
      <c r="Z67" s="344"/>
      <c r="AA67" s="363"/>
      <c r="AB67" s="363"/>
      <c r="AC67" s="363"/>
      <c r="AD67" s="110"/>
      <c r="AE67" s="41"/>
      <c r="AF67" s="41"/>
      <c r="AG67" s="41"/>
      <c r="AH67" s="41"/>
      <c r="AI67" s="41"/>
      <c r="AJ67" s="41"/>
      <c r="AK67" s="41"/>
      <c r="AL67" s="41"/>
      <c r="AM67" s="41"/>
      <c r="AN67" s="41"/>
      <c r="AO67" s="41"/>
      <c r="AP67" s="41"/>
      <c r="AQ67" s="41"/>
      <c r="AR67" s="41"/>
      <c r="AS67" s="41"/>
      <c r="AT67" s="41"/>
      <c r="AU67" s="41"/>
      <c r="AV67" s="41"/>
      <c r="AW67" s="41"/>
      <c r="AX67" s="41"/>
      <c r="AY67" s="41"/>
      <c r="AZ67" s="41"/>
      <c r="BA67" s="41"/>
      <c r="BB67" s="41"/>
      <c r="BC67" s="41"/>
      <c r="BD67" s="41"/>
      <c r="BE67" s="41"/>
      <c r="BF67" s="41"/>
      <c r="BG67" s="41"/>
      <c r="BH67" s="41"/>
      <c r="BI67" s="41"/>
      <c r="BJ67" s="41"/>
      <c r="BK67" s="41"/>
      <c r="BL67" s="41"/>
      <c r="BM67" s="41"/>
      <c r="BN67" s="41"/>
      <c r="BO67" s="41"/>
      <c r="BP67" s="41"/>
      <c r="BQ67" s="41"/>
      <c r="BR67" s="41"/>
      <c r="BS67" s="41"/>
      <c r="BT67" s="41"/>
      <c r="BU67" s="41"/>
      <c r="BV67" s="41"/>
      <c r="BW67" s="41"/>
      <c r="BX67" s="41"/>
      <c r="BY67" s="41"/>
      <c r="BZ67" s="41"/>
      <c r="CA67" s="41"/>
      <c r="CB67" s="41"/>
      <c r="CC67" s="41"/>
      <c r="CD67" s="41"/>
      <c r="CE67" s="41"/>
      <c r="CF67" s="41"/>
      <c r="CG67" s="41"/>
      <c r="CH67" s="41"/>
      <c r="CI67" s="41"/>
      <c r="CJ67" s="41"/>
      <c r="CK67" s="41"/>
      <c r="CL67" s="41"/>
      <c r="CM67" s="41"/>
      <c r="CN67" s="41"/>
      <c r="CO67" s="41"/>
      <c r="CP67" s="41"/>
    </row>
    <row r="68" spans="1:94" s="53" customFormat="1" ht="15.75" customHeight="1" x14ac:dyDescent="0.25">
      <c r="A68" s="85">
        <v>10.11</v>
      </c>
      <c r="B68" s="83"/>
      <c r="C68" s="419" t="s">
        <v>58</v>
      </c>
      <c r="D68" s="420"/>
      <c r="E68" s="112"/>
      <c r="F68" s="288"/>
      <c r="G68" s="287"/>
      <c r="H68" s="113">
        <f>IF(DUNine=0,0,ROUND(SUM(L41:L65),-2))</f>
        <v>0</v>
      </c>
      <c r="I68" s="113"/>
      <c r="J68" s="287">
        <f>SUM(G68:I68)</f>
        <v>0</v>
      </c>
      <c r="K68" s="291"/>
      <c r="L68" s="292"/>
      <c r="M68" s="292"/>
      <c r="N68" s="293"/>
      <c r="O68"/>
      <c r="P68"/>
      <c r="Q68"/>
      <c r="R68"/>
      <c r="S68"/>
      <c r="T68"/>
      <c r="U68"/>
      <c r="V68"/>
      <c r="W68"/>
      <c r="X68"/>
      <c r="Y68"/>
      <c r="Z68" s="344"/>
      <c r="AA68" s="363"/>
      <c r="AB68" s="363"/>
      <c r="AC68" s="363"/>
      <c r="AD68" s="110"/>
      <c r="AE68" s="41"/>
      <c r="AF68" s="41"/>
      <c r="AG68" s="41"/>
      <c r="AH68" s="41"/>
      <c r="AI68" s="41"/>
      <c r="AJ68" s="41"/>
      <c r="AK68" s="41"/>
      <c r="AL68" s="41"/>
      <c r="AM68" s="41"/>
      <c r="AN68" s="41"/>
      <c r="AO68" s="41"/>
      <c r="AP68" s="41"/>
      <c r="AQ68" s="41"/>
      <c r="AR68" s="41"/>
      <c r="AS68" s="41"/>
      <c r="AT68" s="41"/>
      <c r="AU68" s="41"/>
      <c r="AV68" s="41"/>
      <c r="AW68" s="41"/>
      <c r="AX68" s="41"/>
      <c r="AY68" s="41"/>
      <c r="AZ68" s="41"/>
      <c r="BA68" s="41"/>
      <c r="BB68" s="41"/>
      <c r="BC68" s="41"/>
      <c r="BD68" s="41"/>
      <c r="BE68" s="41"/>
      <c r="BF68" s="41"/>
      <c r="BG68" s="41"/>
      <c r="BH68" s="41"/>
      <c r="BI68" s="41"/>
      <c r="BJ68" s="41"/>
      <c r="BK68" s="41"/>
      <c r="BL68" s="41"/>
      <c r="BM68" s="41"/>
      <c r="BN68" s="41"/>
      <c r="BO68" s="41"/>
      <c r="BP68" s="41"/>
      <c r="BQ68" s="41"/>
      <c r="BR68" s="41"/>
      <c r="BS68" s="41"/>
      <c r="BT68" s="41"/>
      <c r="BU68" s="41"/>
      <c r="BV68" s="41"/>
      <c r="BW68" s="41"/>
      <c r="BX68" s="41"/>
      <c r="BY68" s="41"/>
      <c r="BZ68" s="41"/>
      <c r="CA68" s="41"/>
      <c r="CB68" s="41"/>
      <c r="CC68" s="41"/>
      <c r="CD68" s="41"/>
      <c r="CE68" s="41"/>
      <c r="CF68" s="41"/>
      <c r="CG68" s="41"/>
      <c r="CH68" s="41"/>
      <c r="CI68" s="41"/>
      <c r="CJ68" s="41"/>
      <c r="CK68" s="41"/>
      <c r="CL68" s="41"/>
      <c r="CM68" s="41"/>
      <c r="CN68" s="41"/>
      <c r="CO68" s="41"/>
      <c r="CP68" s="41"/>
    </row>
    <row r="69" spans="1:94" s="53" customFormat="1" ht="15" x14ac:dyDescent="0.25">
      <c r="A69" s="85">
        <v>10.119999999999999</v>
      </c>
      <c r="B69" s="83"/>
      <c r="C69" s="419" t="s">
        <v>59</v>
      </c>
      <c r="D69" s="420"/>
      <c r="E69" s="112"/>
      <c r="F69" s="288"/>
      <c r="G69" s="113"/>
      <c r="H69" s="113"/>
      <c r="I69" s="113">
        <f>IF(DUNine=0,0,ROUND(SUM(M41:M64),-2))</f>
        <v>-5200</v>
      </c>
      <c r="J69" s="287">
        <f>SUM(G69:I69)</f>
        <v>-5200</v>
      </c>
      <c r="K69" s="291"/>
      <c r="L69" s="292"/>
      <c r="M69" s="292"/>
      <c r="N69" s="293"/>
      <c r="O69"/>
      <c r="P69"/>
      <c r="Q69"/>
      <c r="R69"/>
      <c r="S69"/>
      <c r="T69"/>
      <c r="U69"/>
      <c r="V69"/>
      <c r="W69"/>
      <c r="X69"/>
      <c r="Y69"/>
      <c r="Z69" s="344"/>
      <c r="AA69" s="363"/>
      <c r="AB69" s="363"/>
      <c r="AC69" s="363"/>
      <c r="AD69" s="110"/>
      <c r="AE69" s="41"/>
      <c r="AF69" s="41"/>
      <c r="AG69" s="41"/>
      <c r="AH69" s="41"/>
      <c r="AI69" s="41"/>
      <c r="AJ69" s="41"/>
      <c r="AK69" s="41"/>
      <c r="AL69" s="41"/>
      <c r="AM69" s="41"/>
      <c r="AN69" s="41"/>
      <c r="AO69" s="41"/>
      <c r="AP69" s="41"/>
      <c r="AQ69" s="41"/>
      <c r="AR69" s="41"/>
      <c r="AS69" s="41"/>
      <c r="AT69" s="41"/>
      <c r="AU69" s="41"/>
      <c r="AV69" s="41"/>
      <c r="AW69" s="41"/>
      <c r="AX69" s="41"/>
      <c r="AY69" s="41"/>
      <c r="AZ69" s="41"/>
      <c r="BA69" s="41"/>
      <c r="BB69" s="41"/>
      <c r="BC69" s="41"/>
      <c r="BD69" s="41"/>
      <c r="BE69" s="41"/>
      <c r="BF69" s="41"/>
      <c r="BG69" s="41"/>
      <c r="BH69" s="41"/>
      <c r="BI69" s="41"/>
      <c r="BJ69" s="41"/>
      <c r="BK69" s="41"/>
      <c r="BL69" s="41"/>
      <c r="BM69" s="41"/>
      <c r="BN69" s="41"/>
      <c r="BO69" s="41"/>
      <c r="BP69" s="41"/>
      <c r="BQ69" s="41"/>
      <c r="BR69" s="41"/>
      <c r="BS69" s="41"/>
      <c r="BT69" s="41"/>
      <c r="BU69" s="41"/>
      <c r="BV69" s="41"/>
      <c r="BW69" s="41"/>
      <c r="BX69" s="41"/>
      <c r="BY69" s="41"/>
      <c r="BZ69" s="41"/>
      <c r="CA69" s="41"/>
      <c r="CB69" s="41"/>
      <c r="CC69" s="41"/>
      <c r="CD69" s="41"/>
      <c r="CE69" s="41"/>
      <c r="CF69" s="41"/>
      <c r="CG69" s="41"/>
      <c r="CH69" s="41"/>
      <c r="CI69" s="41"/>
      <c r="CJ69" s="41"/>
      <c r="CK69" s="41"/>
      <c r="CL69" s="41"/>
      <c r="CM69" s="41"/>
      <c r="CN69" s="41"/>
      <c r="CO69" s="41"/>
      <c r="CP69" s="41"/>
    </row>
    <row r="70" spans="1:94" s="53" customFormat="1" ht="15" x14ac:dyDescent="0.25">
      <c r="A70" s="85"/>
      <c r="B70" s="83"/>
      <c r="C70" s="406"/>
      <c r="D70" s="407"/>
      <c r="E70" s="236" t="s">
        <v>23</v>
      </c>
      <c r="F70" s="288"/>
      <c r="G70" s="113"/>
      <c r="H70" s="113"/>
      <c r="I70" s="113"/>
      <c r="J70" s="287">
        <f>SUM(G70:I70)</f>
        <v>0</v>
      </c>
      <c r="K70" s="291"/>
      <c r="L70" s="292"/>
      <c r="M70" s="294"/>
      <c r="N70" s="295"/>
      <c r="O70"/>
      <c r="P70"/>
      <c r="Q70"/>
      <c r="R70"/>
      <c r="S70"/>
      <c r="T70"/>
      <c r="U70"/>
      <c r="V70"/>
      <c r="W70"/>
      <c r="X70"/>
      <c r="Y70"/>
      <c r="Z70" s="344"/>
      <c r="AA70" s="363"/>
      <c r="AB70" s="363"/>
      <c r="AC70" s="363"/>
      <c r="AD70" s="110"/>
      <c r="AE70" s="41"/>
      <c r="AF70" s="41"/>
      <c r="AG70" s="41"/>
      <c r="AH70" s="41"/>
      <c r="AI70" s="41"/>
      <c r="AJ70" s="41"/>
      <c r="AK70" s="41"/>
      <c r="AL70" s="41"/>
      <c r="AM70" s="41"/>
      <c r="AN70" s="41"/>
      <c r="AO70" s="41"/>
      <c r="AP70" s="41"/>
      <c r="AQ70" s="41"/>
      <c r="AR70" s="41"/>
      <c r="AS70" s="41"/>
      <c r="AT70" s="41"/>
      <c r="AU70" s="41"/>
      <c r="AV70" s="41"/>
      <c r="AW70" s="41"/>
      <c r="AX70" s="41"/>
      <c r="AY70" s="41"/>
      <c r="AZ70" s="41"/>
      <c r="BA70" s="41"/>
      <c r="BB70" s="41"/>
      <c r="BC70" s="41"/>
      <c r="BD70" s="41"/>
      <c r="BE70" s="41"/>
      <c r="BF70" s="41"/>
      <c r="BG70" s="41"/>
      <c r="BH70" s="41"/>
      <c r="BI70" s="41"/>
      <c r="BJ70" s="41"/>
      <c r="BK70" s="41"/>
      <c r="BL70" s="41"/>
      <c r="BM70" s="41"/>
      <c r="BN70" s="41"/>
      <c r="BO70" s="41"/>
      <c r="BP70" s="41"/>
      <c r="BQ70" s="41"/>
      <c r="BR70" s="41"/>
      <c r="BS70" s="41"/>
      <c r="BT70" s="41"/>
      <c r="BU70" s="41"/>
      <c r="BV70" s="41"/>
      <c r="BW70" s="41"/>
      <c r="BX70" s="41"/>
      <c r="BY70" s="41"/>
      <c r="BZ70" s="41"/>
      <c r="CA70" s="41"/>
      <c r="CB70" s="41"/>
      <c r="CC70" s="41"/>
      <c r="CD70" s="41"/>
      <c r="CE70" s="41"/>
      <c r="CF70" s="41"/>
      <c r="CG70" s="41"/>
      <c r="CH70" s="41"/>
      <c r="CI70" s="41"/>
      <c r="CJ70" s="41"/>
      <c r="CK70" s="41"/>
      <c r="CL70" s="41"/>
      <c r="CM70" s="41"/>
      <c r="CN70" s="41"/>
      <c r="CO70" s="41"/>
      <c r="CP70" s="41"/>
    </row>
    <row r="71" spans="1:94" s="53" customFormat="1" ht="15.75" customHeight="1" x14ac:dyDescent="0.25">
      <c r="A71" s="85">
        <v>10.51</v>
      </c>
      <c r="B71" s="83"/>
      <c r="C71" s="408" t="s">
        <v>60</v>
      </c>
      <c r="D71" s="409"/>
      <c r="E71" s="237"/>
      <c r="F71" s="288"/>
      <c r="G71" s="92">
        <v>0</v>
      </c>
      <c r="H71" s="92">
        <v>0</v>
      </c>
      <c r="I71" s="287">
        <f>ROUND(IF(AND($G71&lt;&gt;0,$E71=1),$G71*PermVBBY+$G71*Retire1BY,IF(AND($G71&lt;&gt;0,$E71=2),$G71*GroupVBBY,IF(AND($G71&lt;&gt;0,$E71=3),$G71*ElectVBBY+$G71*Retire1BY,0))),-2)</f>
        <v>0</v>
      </c>
      <c r="J71" s="113">
        <f t="shared" ref="J71:J74" si="11">SUM(G71:I71)</f>
        <v>0</v>
      </c>
      <c r="K71" s="296"/>
      <c r="L71" s="297"/>
      <c r="M71" s="348" t="s">
        <v>112</v>
      </c>
      <c r="N71" s="356"/>
      <c r="O71" s="357"/>
      <c r="P71" s="357"/>
      <c r="Q71"/>
      <c r="R71"/>
      <c r="S71"/>
      <c r="T71"/>
      <c r="U71"/>
      <c r="V71"/>
      <c r="W71"/>
      <c r="X71"/>
      <c r="Y71"/>
      <c r="Z71" s="344"/>
      <c r="AA71" s="363"/>
      <c r="AB71" s="363"/>
      <c r="AC71" s="363"/>
      <c r="AD71" s="110"/>
      <c r="AE71" s="41"/>
      <c r="AF71" s="41"/>
      <c r="AG71" s="41"/>
      <c r="AH71" s="41"/>
      <c r="AI71" s="41"/>
      <c r="AJ71" s="41"/>
      <c r="AK71" s="41"/>
      <c r="AL71" s="41"/>
      <c r="AM71" s="41"/>
      <c r="AN71" s="41"/>
      <c r="AO71" s="41"/>
      <c r="AP71" s="41"/>
      <c r="AQ71" s="41"/>
      <c r="AR71" s="41"/>
      <c r="AS71" s="41"/>
      <c r="AT71" s="41"/>
      <c r="AU71" s="41"/>
      <c r="AV71" s="41"/>
      <c r="AW71" s="41"/>
      <c r="AX71" s="41"/>
      <c r="AY71" s="41"/>
      <c r="AZ71" s="41"/>
      <c r="BA71" s="41"/>
      <c r="BB71" s="41"/>
      <c r="BC71" s="41"/>
      <c r="BD71" s="41"/>
      <c r="BE71" s="41"/>
      <c r="BF71" s="41"/>
      <c r="BG71" s="41"/>
      <c r="BH71" s="41"/>
      <c r="BI71" s="41"/>
      <c r="BJ71" s="41"/>
      <c r="BK71" s="41"/>
      <c r="BL71" s="41"/>
      <c r="BM71" s="41"/>
      <c r="BN71" s="41"/>
      <c r="BO71" s="41"/>
      <c r="BP71" s="41"/>
      <c r="BQ71" s="41"/>
      <c r="BR71" s="41"/>
      <c r="BS71" s="41"/>
      <c r="BT71" s="41"/>
      <c r="BU71" s="41"/>
      <c r="BV71" s="41"/>
      <c r="BW71" s="41"/>
      <c r="BX71" s="41"/>
      <c r="BY71" s="41"/>
      <c r="BZ71" s="41"/>
      <c r="CA71" s="41"/>
      <c r="CB71" s="41"/>
      <c r="CC71" s="41"/>
      <c r="CD71" s="41"/>
      <c r="CE71" s="41"/>
      <c r="CF71" s="41"/>
      <c r="CG71" s="41"/>
      <c r="CH71" s="41"/>
      <c r="CI71" s="41"/>
      <c r="CJ71" s="41"/>
      <c r="CK71" s="41"/>
      <c r="CL71" s="41"/>
      <c r="CM71" s="41"/>
      <c r="CN71" s="41"/>
      <c r="CO71" s="41"/>
      <c r="CP71" s="41"/>
    </row>
    <row r="72" spans="1:94" s="53" customFormat="1" ht="15.75" customHeight="1" x14ac:dyDescent="0.25">
      <c r="A72" s="85">
        <v>10.61</v>
      </c>
      <c r="B72" s="83"/>
      <c r="C72" s="408" t="s">
        <v>101</v>
      </c>
      <c r="D72" s="410"/>
      <c r="E72" s="290">
        <f>CECPerm</f>
        <v>0.01</v>
      </c>
      <c r="F72" s="288"/>
      <c r="G72" s="355">
        <f>IF(DUNine=0,0,IF(DUNine&lt;0,0,ROUND(AdjPermSalary*CECPerm,-2)))</f>
        <v>10800</v>
      </c>
      <c r="H72" s="287"/>
      <c r="I72" s="287">
        <f>ROUND(($G72*PermVBBY+$G72*Retire1BY),-2)</f>
        <v>2300</v>
      </c>
      <c r="J72" s="113">
        <f>SUM(G72:I72)</f>
        <v>13100</v>
      </c>
      <c r="K72" s="296"/>
      <c r="L72" s="298"/>
      <c r="M72" s="349" t="e">
        <f>IF(DUNine=0,0,IF(((#REF!-G39-G40)*E72)&lt;0,0,ROUND(((#REF!-G39-G40)*E72),-2)))</f>
        <v>#REF!</v>
      </c>
      <c r="N72" s="358"/>
      <c r="O72" s="357" t="e">
        <f>IF(DUNine=0,0,IF(DUNine&lt;0,0,IF(SubCECBase&lt;RoundedAppropSalary,ROUND(AdjPermSalary*CECpermCalc,-2)+((SubCECBase-RoundedAppropSalary)*CECpermCalc),IF(SubCECBase&gt;RoundedAppropSalary,ROUND(AdjPermSalary*CECpermCalc,-2)+((SubCECBase-RoundedAppropSalary)*CECpermCalc),ROUND(AdjPermSalary*CECpermCalc,-2)))))</f>
        <v>#REF!</v>
      </c>
      <c r="P72" s="357"/>
      <c r="Q72"/>
      <c r="R72"/>
      <c r="S72"/>
      <c r="T72"/>
      <c r="U72"/>
      <c r="V72"/>
      <c r="W72"/>
      <c r="X72"/>
      <c r="Y72"/>
      <c r="Z72" s="344"/>
      <c r="AA72" s="363"/>
      <c r="AB72" s="363"/>
      <c r="AC72" s="363"/>
      <c r="AD72" s="110"/>
      <c r="AE72" s="41"/>
      <c r="AF72" s="41"/>
      <c r="AG72" s="41"/>
      <c r="AH72" s="41"/>
      <c r="AI72" s="41"/>
      <c r="AJ72" s="41"/>
      <c r="AK72" s="41"/>
      <c r="AL72" s="41"/>
      <c r="AM72" s="41"/>
      <c r="AN72" s="41"/>
      <c r="AO72" s="41"/>
      <c r="AP72" s="41"/>
      <c r="AQ72" s="41"/>
      <c r="AR72" s="41"/>
      <c r="AS72" s="41"/>
      <c r="AT72" s="41"/>
      <c r="AU72" s="41"/>
      <c r="AV72" s="41"/>
      <c r="AW72" s="41"/>
      <c r="AX72" s="41"/>
      <c r="AY72" s="41"/>
      <c r="AZ72" s="41"/>
      <c r="BA72" s="41"/>
      <c r="BB72" s="41"/>
      <c r="BC72" s="41"/>
      <c r="BD72" s="41"/>
      <c r="BE72" s="41"/>
      <c r="BF72" s="41"/>
      <c r="BG72" s="41"/>
      <c r="BH72" s="41"/>
      <c r="BI72" s="41"/>
      <c r="BJ72" s="41"/>
      <c r="BK72" s="41"/>
      <c r="BL72" s="41"/>
      <c r="BM72" s="41"/>
      <c r="BN72" s="41"/>
      <c r="BO72" s="41"/>
      <c r="BP72" s="41"/>
      <c r="BQ72" s="41"/>
      <c r="BR72" s="41"/>
      <c r="BS72" s="41"/>
      <c r="BT72" s="41"/>
      <c r="BU72" s="41"/>
      <c r="BV72" s="41"/>
      <c r="BW72" s="41"/>
      <c r="BX72" s="41"/>
      <c r="BY72" s="41"/>
      <c r="BZ72" s="41"/>
      <c r="CA72" s="41"/>
      <c r="CB72" s="41"/>
      <c r="CC72" s="41"/>
      <c r="CD72" s="41"/>
      <c r="CE72" s="41"/>
      <c r="CF72" s="41"/>
      <c r="CG72" s="41"/>
      <c r="CH72" s="41"/>
      <c r="CI72" s="41"/>
      <c r="CJ72" s="41"/>
      <c r="CK72" s="41"/>
      <c r="CL72" s="41"/>
      <c r="CM72" s="41"/>
      <c r="CN72" s="41"/>
      <c r="CO72" s="41"/>
      <c r="CP72" s="41"/>
    </row>
    <row r="73" spans="1:94" s="53" customFormat="1" ht="15.6" customHeight="1" x14ac:dyDescent="0.25">
      <c r="A73" s="85">
        <v>10.62</v>
      </c>
      <c r="B73" s="83"/>
      <c r="C73" s="408" t="s">
        <v>61</v>
      </c>
      <c r="D73" s="410"/>
      <c r="E73" s="289">
        <f>CECGroup</f>
        <v>0.01</v>
      </c>
      <c r="F73" s="288"/>
      <c r="G73" s="355">
        <f>IF(DUNine=0,0,IF(DUNine&lt;0,0,ROUND(AdjGroupSalary*CECGroup,-2)))</f>
        <v>500</v>
      </c>
      <c r="H73" s="287"/>
      <c r="I73" s="287">
        <f>ROUND(($G73*GroupVBBY),-2)</f>
        <v>0</v>
      </c>
      <c r="J73" s="113">
        <f t="shared" si="11"/>
        <v>500</v>
      </c>
      <c r="K73" s="301"/>
      <c r="L73" s="302"/>
      <c r="M73" s="359"/>
      <c r="N73" s="360"/>
      <c r="O73" s="357"/>
      <c r="P73" s="357"/>
      <c r="Q73"/>
      <c r="R73"/>
      <c r="S73"/>
      <c r="T73"/>
      <c r="U73"/>
      <c r="V73"/>
      <c r="W73"/>
      <c r="X73"/>
      <c r="Y73"/>
      <c r="Z73" s="344"/>
      <c r="AA73" s="363"/>
      <c r="AB73" s="363"/>
      <c r="AC73" s="363"/>
      <c r="AD73" s="110"/>
      <c r="AE73" s="41"/>
      <c r="AF73" s="41"/>
      <c r="AG73" s="41"/>
      <c r="AH73" s="41"/>
      <c r="AI73" s="41"/>
      <c r="AJ73" s="41"/>
      <c r="AK73" s="41"/>
      <c r="AL73" s="41"/>
      <c r="AM73" s="41"/>
      <c r="AN73" s="41"/>
      <c r="AO73" s="41"/>
      <c r="AP73" s="41"/>
      <c r="AQ73" s="41"/>
      <c r="AR73" s="41"/>
      <c r="AS73" s="41"/>
      <c r="AT73" s="41"/>
      <c r="AU73" s="41"/>
      <c r="AV73" s="41"/>
      <c r="AW73" s="41"/>
      <c r="AX73" s="41"/>
      <c r="AY73" s="41"/>
      <c r="AZ73" s="41"/>
      <c r="BA73" s="41"/>
      <c r="BB73" s="41"/>
      <c r="BC73" s="41"/>
      <c r="BD73" s="41"/>
      <c r="BE73" s="41"/>
      <c r="BF73" s="41"/>
      <c r="BG73" s="41"/>
      <c r="BH73" s="41"/>
      <c r="BI73" s="41"/>
      <c r="BJ73" s="41"/>
      <c r="BK73" s="41"/>
      <c r="BL73" s="41"/>
      <c r="BM73" s="41"/>
      <c r="BN73" s="41"/>
      <c r="BO73" s="41"/>
      <c r="BP73" s="41"/>
      <c r="BQ73" s="41"/>
      <c r="BR73" s="41"/>
      <c r="BS73" s="41"/>
      <c r="BT73" s="41"/>
      <c r="BU73" s="41"/>
      <c r="BV73" s="41"/>
      <c r="BW73" s="41"/>
      <c r="BX73" s="41"/>
      <c r="BY73" s="41"/>
      <c r="BZ73" s="41"/>
      <c r="CA73" s="41"/>
      <c r="CB73" s="41"/>
      <c r="CC73" s="41"/>
      <c r="CD73" s="41"/>
      <c r="CE73" s="41"/>
      <c r="CF73" s="41"/>
      <c r="CG73" s="41"/>
      <c r="CH73" s="41"/>
      <c r="CI73" s="41"/>
      <c r="CJ73" s="41"/>
      <c r="CK73" s="41"/>
      <c r="CL73" s="41"/>
      <c r="CM73" s="41"/>
      <c r="CN73" s="41"/>
      <c r="CO73" s="41"/>
      <c r="CP73" s="41"/>
    </row>
    <row r="74" spans="1:94" s="53" customFormat="1" ht="15.6" customHeight="1" x14ac:dyDescent="0.25">
      <c r="A74" s="85">
        <v>10.63</v>
      </c>
      <c r="B74" s="83"/>
      <c r="C74" s="366" t="s">
        <v>62</v>
      </c>
      <c r="D74" s="368"/>
      <c r="E74" s="112"/>
      <c r="F74" s="288"/>
      <c r="G74" s="92">
        <v>0</v>
      </c>
      <c r="H74" s="287"/>
      <c r="I74" s="287">
        <f>ROUND(($G74*ElectVBBY+$G74*Retire1BY),-2)</f>
        <v>0</v>
      </c>
      <c r="J74" s="113">
        <f t="shared" si="11"/>
        <v>0</v>
      </c>
      <c r="K74" s="301"/>
      <c r="L74" s="302"/>
      <c r="M74" s="303"/>
      <c r="N74" s="304"/>
      <c r="O74"/>
      <c r="P74"/>
      <c r="Q74"/>
      <c r="R74"/>
      <c r="S74"/>
      <c r="T74"/>
      <c r="U74"/>
      <c r="V74"/>
      <c r="W74"/>
      <c r="X74"/>
      <c r="Y74"/>
      <c r="Z74" s="344"/>
      <c r="AA74" s="363"/>
      <c r="AB74" s="363"/>
      <c r="AC74" s="363"/>
      <c r="AD74" s="110"/>
      <c r="AE74" s="41"/>
      <c r="AF74" s="41"/>
      <c r="AG74" s="41"/>
      <c r="AH74" s="41"/>
      <c r="AI74" s="41"/>
      <c r="AJ74" s="41"/>
      <c r="AK74" s="41"/>
      <c r="AL74" s="41"/>
      <c r="AM74" s="41"/>
      <c r="AN74" s="41"/>
      <c r="AO74" s="41"/>
      <c r="AP74" s="41"/>
      <c r="AQ74" s="41"/>
      <c r="AR74" s="41"/>
      <c r="AS74" s="41"/>
      <c r="AT74" s="41"/>
      <c r="AU74" s="41"/>
      <c r="AV74" s="41"/>
      <c r="AW74" s="41"/>
      <c r="AX74" s="41"/>
      <c r="AY74" s="41"/>
      <c r="AZ74" s="41"/>
      <c r="BA74" s="41"/>
      <c r="BB74" s="41"/>
      <c r="BC74" s="41"/>
      <c r="BD74" s="41"/>
      <c r="BE74" s="41"/>
      <c r="BF74" s="41"/>
      <c r="BG74" s="41"/>
      <c r="BH74" s="41"/>
      <c r="BI74" s="41"/>
      <c r="BJ74" s="41"/>
      <c r="BK74" s="41"/>
      <c r="BL74" s="41"/>
      <c r="BM74" s="41"/>
      <c r="BN74" s="41"/>
      <c r="BO74" s="41"/>
      <c r="BP74" s="41"/>
      <c r="BQ74" s="41"/>
      <c r="BR74" s="41"/>
      <c r="BS74" s="41"/>
      <c r="BT74" s="41"/>
      <c r="BU74" s="41"/>
      <c r="BV74" s="41"/>
      <c r="BW74" s="41"/>
      <c r="BX74" s="41"/>
      <c r="BY74" s="41"/>
      <c r="BZ74" s="41"/>
      <c r="CA74" s="41"/>
      <c r="CB74" s="41"/>
      <c r="CC74" s="41"/>
      <c r="CD74" s="41"/>
      <c r="CE74" s="41"/>
      <c r="CF74" s="41"/>
      <c r="CG74" s="41"/>
      <c r="CH74" s="41"/>
      <c r="CI74" s="41"/>
      <c r="CJ74" s="41"/>
      <c r="CK74" s="41"/>
      <c r="CL74" s="41"/>
      <c r="CM74" s="41"/>
      <c r="CN74" s="41"/>
      <c r="CO74" s="41"/>
      <c r="CP74" s="41"/>
    </row>
    <row r="75" spans="1:94" s="53" customFormat="1" ht="15.75" customHeight="1" x14ac:dyDescent="0.25">
      <c r="A75" s="75">
        <v>11</v>
      </c>
      <c r="B75" s="76"/>
      <c r="C75" s="54" t="str">
        <f>"FY "&amp;M4</f>
        <v>FY 2023</v>
      </c>
      <c r="D75" s="77" t="s">
        <v>63</v>
      </c>
      <c r="E75" s="112"/>
      <c r="F75" s="55">
        <f>SUM(F67:F74)</f>
        <v>21.05</v>
      </c>
      <c r="G75" s="80">
        <f>SUM(G67:G74)</f>
        <v>1253000</v>
      </c>
      <c r="H75" s="80">
        <f>SUM(H67:H74)</f>
        <v>216600</v>
      </c>
      <c r="I75" s="80">
        <f>SUM(I67:I74)</f>
        <v>254100</v>
      </c>
      <c r="J75" s="80">
        <f>SUM(J67:K74)</f>
        <v>1723700</v>
      </c>
      <c r="K75" s="296"/>
      <c r="L75" s="299"/>
      <c r="M75" s="299"/>
      <c r="N75" s="300"/>
      <c r="O75"/>
      <c r="P75"/>
      <c r="Q75"/>
      <c r="R75"/>
      <c r="S75"/>
      <c r="T75"/>
      <c r="U75"/>
      <c r="V75"/>
      <c r="W75"/>
      <c r="X75"/>
      <c r="Y75"/>
      <c r="Z75" s="344"/>
      <c r="AA75" s="363"/>
      <c r="AB75" s="363"/>
      <c r="AC75" s="363"/>
      <c r="AD75" s="110"/>
      <c r="AE75" s="41"/>
      <c r="AF75" s="41"/>
      <c r="AG75" s="41"/>
      <c r="AH75" s="41"/>
      <c r="AI75" s="41"/>
      <c r="AJ75" s="41"/>
      <c r="AK75" s="41"/>
      <c r="AL75" s="41"/>
      <c r="AM75" s="41"/>
      <c r="AN75" s="41"/>
      <c r="AO75" s="41"/>
      <c r="AP75" s="41"/>
      <c r="AQ75" s="41"/>
      <c r="AR75" s="41"/>
      <c r="AS75" s="41"/>
      <c r="AT75" s="41"/>
      <c r="AU75" s="41"/>
      <c r="AV75" s="41"/>
      <c r="AW75" s="41"/>
      <c r="AX75" s="41"/>
      <c r="AY75" s="41"/>
      <c r="AZ75" s="41"/>
      <c r="BA75" s="41"/>
      <c r="BB75" s="41"/>
      <c r="BC75" s="41"/>
      <c r="BD75" s="41"/>
      <c r="BE75" s="41"/>
      <c r="BF75" s="41"/>
      <c r="BG75" s="41"/>
      <c r="BH75" s="41"/>
      <c r="BI75" s="41"/>
      <c r="BJ75" s="41"/>
      <c r="BK75" s="41"/>
      <c r="BL75" s="41"/>
      <c r="BM75" s="41"/>
      <c r="BN75" s="41"/>
      <c r="BO75" s="41"/>
      <c r="BP75" s="41"/>
      <c r="BQ75" s="41"/>
      <c r="BR75" s="41"/>
      <c r="BS75" s="41"/>
      <c r="BT75" s="41"/>
      <c r="BU75" s="41"/>
      <c r="BV75" s="41"/>
      <c r="BW75" s="41"/>
      <c r="BX75" s="41"/>
      <c r="BY75" s="41"/>
      <c r="BZ75" s="41"/>
      <c r="CA75" s="41"/>
      <c r="CB75" s="41"/>
      <c r="CC75" s="41"/>
      <c r="CD75" s="41"/>
      <c r="CE75" s="41"/>
      <c r="CF75" s="41"/>
      <c r="CG75" s="41"/>
      <c r="CH75" s="41"/>
      <c r="CI75" s="41"/>
      <c r="CJ75" s="41"/>
      <c r="CK75" s="41"/>
      <c r="CL75" s="41"/>
      <c r="CM75" s="41"/>
      <c r="CN75" s="41"/>
      <c r="CO75" s="41"/>
      <c r="CP75" s="41"/>
    </row>
    <row r="76" spans="1:94" s="53" customFormat="1" ht="28.5" customHeight="1" x14ac:dyDescent="0.25">
      <c r="A76" s="85"/>
      <c r="B76" s="83"/>
      <c r="C76" s="411" t="s">
        <v>64</v>
      </c>
      <c r="D76" s="412"/>
      <c r="E76" s="59"/>
      <c r="F76" s="59"/>
      <c r="G76" s="61"/>
      <c r="H76" s="61"/>
      <c r="I76" s="61"/>
      <c r="J76" s="61"/>
      <c r="K76" s="291"/>
      <c r="L76" s="292"/>
      <c r="M76" s="305"/>
      <c r="N76" s="293"/>
      <c r="O76"/>
      <c r="P76"/>
      <c r="Q76"/>
      <c r="R76"/>
      <c r="S76"/>
      <c r="T76"/>
      <c r="U76"/>
      <c r="V76"/>
      <c r="W76"/>
      <c r="X76"/>
      <c r="Y76"/>
      <c r="Z76" s="344"/>
      <c r="AA76" s="363"/>
      <c r="AB76" s="363"/>
      <c r="AC76" s="363"/>
      <c r="AD76" s="110"/>
      <c r="AE76" s="41"/>
      <c r="AF76" s="41"/>
      <c r="AG76" s="41"/>
      <c r="AH76" s="41"/>
      <c r="AI76" s="41"/>
      <c r="AJ76" s="41"/>
      <c r="AK76" s="41"/>
      <c r="AL76" s="41"/>
      <c r="AM76" s="41"/>
      <c r="AN76" s="41"/>
      <c r="AO76" s="41"/>
      <c r="AP76" s="41"/>
      <c r="AQ76" s="41"/>
      <c r="AR76" s="41"/>
      <c r="AS76" s="41"/>
      <c r="AT76" s="41"/>
      <c r="AU76" s="41"/>
      <c r="AV76" s="41"/>
      <c r="AW76" s="41"/>
      <c r="AX76" s="41"/>
      <c r="AY76" s="41"/>
      <c r="AZ76" s="41"/>
      <c r="BA76" s="41"/>
      <c r="BB76" s="41"/>
      <c r="BC76" s="41"/>
      <c r="BD76" s="41"/>
      <c r="BE76" s="41"/>
      <c r="BF76" s="41"/>
      <c r="BG76" s="41"/>
      <c r="BH76" s="41"/>
      <c r="BI76" s="41"/>
      <c r="BJ76" s="41"/>
      <c r="BK76" s="41"/>
      <c r="BL76" s="41"/>
      <c r="BM76" s="41"/>
      <c r="BN76" s="41"/>
      <c r="BO76" s="41"/>
      <c r="BP76" s="41"/>
      <c r="BQ76" s="41"/>
      <c r="BR76" s="41"/>
      <c r="BS76" s="41"/>
      <c r="BT76" s="41"/>
      <c r="BU76" s="41"/>
      <c r="BV76" s="41"/>
      <c r="BW76" s="41"/>
      <c r="BX76" s="41"/>
      <c r="BY76" s="41"/>
      <c r="BZ76" s="41"/>
      <c r="CA76" s="41"/>
      <c r="CB76" s="41"/>
      <c r="CC76" s="41"/>
      <c r="CD76" s="41"/>
      <c r="CE76" s="41"/>
      <c r="CF76" s="41"/>
      <c r="CG76" s="41"/>
      <c r="CH76" s="41"/>
      <c r="CI76" s="41"/>
      <c r="CJ76" s="41"/>
      <c r="CK76" s="41"/>
      <c r="CL76" s="41"/>
      <c r="CM76" s="41"/>
      <c r="CN76" s="41"/>
      <c r="CO76" s="41"/>
      <c r="CP76" s="41"/>
    </row>
    <row r="77" spans="1:94" s="53" customFormat="1" ht="15" x14ac:dyDescent="0.25">
      <c r="A77" s="116">
        <v>12.01</v>
      </c>
      <c r="B77" s="57"/>
      <c r="C77" s="404"/>
      <c r="D77" s="405"/>
      <c r="E77" s="87"/>
      <c r="F77" s="58"/>
      <c r="G77" s="88"/>
      <c r="H77" s="88"/>
      <c r="I77" s="88"/>
      <c r="J77" s="80">
        <f>ROUND(SUM(G77:I77),-2)</f>
        <v>0</v>
      </c>
      <c r="K77" s="296"/>
      <c r="L77" s="292"/>
      <c r="M77" s="292"/>
      <c r="N77" s="293"/>
      <c r="O77"/>
      <c r="P77"/>
      <c r="Q77"/>
      <c r="R77"/>
      <c r="S77"/>
      <c r="T77"/>
      <c r="U77"/>
      <c r="V77"/>
      <c r="W77"/>
      <c r="X77"/>
      <c r="Y77"/>
      <c r="Z77" s="344"/>
      <c r="AA77" s="363"/>
      <c r="AB77" s="363"/>
      <c r="AC77" s="363"/>
      <c r="AD77" s="110"/>
      <c r="AE77" s="41"/>
      <c r="AF77" s="41"/>
      <c r="AG77" s="41"/>
      <c r="AH77" s="41"/>
      <c r="AI77" s="41"/>
      <c r="AJ77" s="41"/>
      <c r="AK77" s="41"/>
      <c r="AL77" s="41"/>
      <c r="AM77" s="41"/>
      <c r="AN77" s="41"/>
      <c r="AO77" s="41"/>
      <c r="AP77" s="41"/>
      <c r="AQ77" s="41"/>
      <c r="AR77" s="41"/>
      <c r="AS77" s="41"/>
      <c r="AT77" s="41"/>
      <c r="AU77" s="41"/>
      <c r="AV77" s="41"/>
      <c r="AW77" s="41"/>
      <c r="AX77" s="41"/>
      <c r="AY77" s="41"/>
      <c r="AZ77" s="41"/>
      <c r="BA77" s="41"/>
      <c r="BB77" s="41"/>
      <c r="BC77" s="41"/>
      <c r="BD77" s="41"/>
      <c r="BE77" s="41"/>
      <c r="BF77" s="41"/>
      <c r="BG77" s="41"/>
      <c r="BH77" s="41"/>
      <c r="BI77" s="41"/>
      <c r="BJ77" s="41"/>
      <c r="BK77" s="41"/>
      <c r="BL77" s="41"/>
      <c r="BM77" s="41"/>
      <c r="BN77" s="41"/>
      <c r="BO77" s="41"/>
      <c r="BP77" s="41"/>
      <c r="BQ77" s="41"/>
      <c r="BR77" s="41"/>
      <c r="BS77" s="41"/>
      <c r="BT77" s="41"/>
      <c r="BU77" s="41"/>
      <c r="BV77" s="41"/>
      <c r="BW77" s="41"/>
      <c r="BX77" s="41"/>
      <c r="BY77" s="41"/>
      <c r="BZ77" s="41"/>
      <c r="CA77" s="41"/>
      <c r="CB77" s="41"/>
      <c r="CC77" s="41"/>
      <c r="CD77" s="41"/>
      <c r="CE77" s="41"/>
      <c r="CF77" s="41"/>
      <c r="CG77" s="41"/>
      <c r="CH77" s="41"/>
      <c r="CI77" s="41"/>
      <c r="CJ77" s="41"/>
      <c r="CK77" s="41"/>
      <c r="CL77" s="41"/>
      <c r="CM77" s="41"/>
      <c r="CN77" s="41"/>
      <c r="CO77" s="41"/>
      <c r="CP77" s="41"/>
    </row>
    <row r="78" spans="1:94" s="53" customFormat="1" ht="15" x14ac:dyDescent="0.25">
      <c r="A78" s="116">
        <v>12.02</v>
      </c>
      <c r="B78" s="57"/>
      <c r="C78" s="404"/>
      <c r="D78" s="405"/>
      <c r="E78" s="87"/>
      <c r="F78" s="58"/>
      <c r="G78" s="88"/>
      <c r="H78" s="88"/>
      <c r="I78" s="88"/>
      <c r="J78" s="80">
        <f>ROUND(SUM(G78:I78),-2)</f>
        <v>0</v>
      </c>
      <c r="K78" s="296"/>
      <c r="L78" s="292"/>
      <c r="M78" s="292"/>
      <c r="N78" s="293"/>
      <c r="O78"/>
      <c r="P78"/>
      <c r="Q78"/>
      <c r="R78"/>
      <c r="S78"/>
      <c r="T78"/>
      <c r="U78"/>
      <c r="V78"/>
      <c r="W78"/>
      <c r="X78"/>
      <c r="Y78"/>
      <c r="Z78" s="344"/>
      <c r="AA78" s="363"/>
      <c r="AB78" s="363"/>
      <c r="AC78" s="363"/>
      <c r="AD78" s="110"/>
      <c r="AE78" s="41"/>
      <c r="AF78" s="41"/>
      <c r="AG78" s="41"/>
      <c r="AH78" s="41"/>
      <c r="AI78" s="41"/>
      <c r="AJ78" s="41"/>
      <c r="AK78" s="41"/>
      <c r="AL78" s="41"/>
      <c r="AM78" s="41"/>
      <c r="AN78" s="41"/>
      <c r="AO78" s="41"/>
      <c r="AP78" s="41"/>
      <c r="AQ78" s="41"/>
      <c r="AR78" s="41"/>
      <c r="AS78" s="41"/>
      <c r="AT78" s="41"/>
      <c r="AU78" s="41"/>
      <c r="AV78" s="41"/>
      <c r="AW78" s="41"/>
      <c r="AX78" s="41"/>
      <c r="AY78" s="41"/>
      <c r="AZ78" s="41"/>
      <c r="BA78" s="41"/>
      <c r="BB78" s="41"/>
      <c r="BC78" s="41"/>
      <c r="BD78" s="41"/>
      <c r="BE78" s="41"/>
      <c r="BF78" s="41"/>
      <c r="BG78" s="41"/>
      <c r="BH78" s="41"/>
      <c r="BI78" s="41"/>
      <c r="BJ78" s="41"/>
      <c r="BK78" s="41"/>
      <c r="BL78" s="41"/>
      <c r="BM78" s="41"/>
      <c r="BN78" s="41"/>
      <c r="BO78" s="41"/>
      <c r="BP78" s="41"/>
      <c r="BQ78" s="41"/>
      <c r="BR78" s="41"/>
      <c r="BS78" s="41"/>
      <c r="BT78" s="41"/>
      <c r="BU78" s="41"/>
      <c r="BV78" s="41"/>
      <c r="BW78" s="41"/>
      <c r="BX78" s="41"/>
      <c r="BY78" s="41"/>
      <c r="BZ78" s="41"/>
      <c r="CA78" s="41"/>
      <c r="CB78" s="41"/>
      <c r="CC78" s="41"/>
      <c r="CD78" s="41"/>
      <c r="CE78" s="41"/>
      <c r="CF78" s="41"/>
      <c r="CG78" s="41"/>
      <c r="CH78" s="41"/>
      <c r="CI78" s="41"/>
      <c r="CJ78" s="41"/>
      <c r="CK78" s="41"/>
      <c r="CL78" s="41"/>
      <c r="CM78" s="41"/>
      <c r="CN78" s="41"/>
      <c r="CO78" s="41"/>
      <c r="CP78" s="41"/>
    </row>
    <row r="79" spans="1:94" s="53" customFormat="1" ht="15" x14ac:dyDescent="0.25">
      <c r="A79" s="116">
        <v>12.03</v>
      </c>
      <c r="B79" s="57" t="s">
        <v>45</v>
      </c>
      <c r="C79" s="404"/>
      <c r="D79" s="405"/>
      <c r="E79" s="87"/>
      <c r="F79" s="58"/>
      <c r="G79" s="88"/>
      <c r="H79" s="88"/>
      <c r="I79" s="88"/>
      <c r="J79" s="80">
        <f>ROUND(SUM(G79:I79),-2)</f>
        <v>0</v>
      </c>
      <c r="K79" s="296"/>
      <c r="L79" s="292"/>
      <c r="M79" s="292"/>
      <c r="N79" s="293"/>
      <c r="O79"/>
      <c r="P79"/>
      <c r="Q79"/>
      <c r="R79"/>
      <c r="S79"/>
      <c r="T79"/>
      <c r="U79"/>
      <c r="V79"/>
      <c r="W79"/>
      <c r="X79"/>
      <c r="Y79"/>
      <c r="Z79" s="344"/>
      <c r="AA79" s="363"/>
      <c r="AB79" s="363"/>
      <c r="AC79" s="363"/>
      <c r="AD79" s="110"/>
      <c r="AE79" s="41"/>
      <c r="AF79" s="41"/>
      <c r="AG79" s="41"/>
      <c r="AH79" s="41"/>
      <c r="AI79" s="41"/>
      <c r="AJ79" s="41"/>
      <c r="AK79" s="41"/>
      <c r="AL79" s="41"/>
      <c r="AM79" s="41"/>
      <c r="AN79" s="41"/>
      <c r="AO79" s="41"/>
      <c r="AP79" s="41"/>
      <c r="AQ79" s="41"/>
      <c r="AR79" s="41"/>
      <c r="AS79" s="41"/>
      <c r="AT79" s="41"/>
      <c r="AU79" s="41"/>
      <c r="AV79" s="41"/>
      <c r="AW79" s="41"/>
      <c r="AX79" s="41"/>
      <c r="AY79" s="41"/>
      <c r="AZ79" s="41"/>
      <c r="BA79" s="41"/>
      <c r="BB79" s="41"/>
      <c r="BC79" s="41"/>
      <c r="BD79" s="41"/>
      <c r="BE79" s="41"/>
      <c r="BF79" s="41"/>
      <c r="BG79" s="41"/>
      <c r="BH79" s="41"/>
      <c r="BI79" s="41"/>
      <c r="BJ79" s="41"/>
      <c r="BK79" s="41"/>
      <c r="BL79" s="41"/>
      <c r="BM79" s="41"/>
      <c r="BN79" s="41"/>
      <c r="BO79" s="41"/>
      <c r="BP79" s="41"/>
      <c r="BQ79" s="41"/>
      <c r="BR79" s="41"/>
      <c r="BS79" s="41"/>
      <c r="BT79" s="41"/>
      <c r="BU79" s="41"/>
      <c r="BV79" s="41"/>
      <c r="BW79" s="41"/>
      <c r="BX79" s="41"/>
      <c r="BY79" s="41"/>
      <c r="BZ79" s="41"/>
      <c r="CA79" s="41"/>
      <c r="CB79" s="41"/>
      <c r="CC79" s="41"/>
      <c r="CD79" s="41"/>
      <c r="CE79" s="41"/>
      <c r="CF79" s="41"/>
      <c r="CG79" s="41"/>
      <c r="CH79" s="41"/>
      <c r="CI79" s="41"/>
      <c r="CJ79" s="41"/>
      <c r="CK79" s="41"/>
      <c r="CL79" s="41"/>
      <c r="CM79" s="41"/>
      <c r="CN79" s="41"/>
      <c r="CO79" s="41"/>
      <c r="CP79" s="41"/>
    </row>
    <row r="80" spans="1:94" s="53" customFormat="1" ht="15.75" customHeight="1" x14ac:dyDescent="0.25">
      <c r="A80" s="117">
        <v>13</v>
      </c>
      <c r="B80" s="118"/>
      <c r="C80" s="119" t="str">
        <f>"FY "&amp;M4</f>
        <v>FY 2023</v>
      </c>
      <c r="D80" s="120" t="s">
        <v>65</v>
      </c>
      <c r="E80" s="121"/>
      <c r="F80" s="55">
        <f>SUM(F75:F79)</f>
        <v>21.05</v>
      </c>
      <c r="G80" s="80">
        <f>SUM(G75:G79)</f>
        <v>1253000</v>
      </c>
      <c r="H80" s="80">
        <f>SUM(H75:H79)</f>
        <v>216600</v>
      </c>
      <c r="I80" s="80">
        <f>SUM(I75:I79)</f>
        <v>254100</v>
      </c>
      <c r="J80" s="80">
        <f>SUM(J75:J79)</f>
        <v>1723700</v>
      </c>
      <c r="K80" s="270"/>
      <c r="L80" s="122"/>
      <c r="M80" s="122"/>
      <c r="N80" s="123"/>
      <c r="O80"/>
      <c r="P80"/>
      <c r="Q80"/>
      <c r="R80"/>
      <c r="S80"/>
      <c r="T80"/>
      <c r="U80"/>
      <c r="V80"/>
      <c r="W80"/>
      <c r="X80"/>
      <c r="Y80"/>
      <c r="Z80" s="344"/>
      <c r="AA80" s="363"/>
      <c r="AB80" s="363"/>
      <c r="AC80" s="363"/>
      <c r="AD80" s="110"/>
      <c r="AE80" s="41"/>
      <c r="AF80" s="41"/>
      <c r="AG80" s="41"/>
      <c r="AH80" s="41"/>
      <c r="AI80" s="41"/>
      <c r="AJ80" s="41"/>
      <c r="AK80" s="41"/>
      <c r="AL80" s="41"/>
      <c r="AM80" s="41"/>
      <c r="AN80" s="41"/>
      <c r="AO80" s="41"/>
      <c r="AP80" s="41"/>
      <c r="AQ80" s="41"/>
      <c r="AR80" s="41"/>
      <c r="AS80" s="41"/>
      <c r="AT80" s="41"/>
      <c r="AU80" s="41"/>
      <c r="AV80" s="41"/>
      <c r="AW80" s="41"/>
      <c r="AX80" s="41"/>
      <c r="AY80" s="41"/>
      <c r="AZ80" s="41"/>
      <c r="BA80" s="41"/>
      <c r="BB80" s="41"/>
      <c r="BC80" s="41"/>
      <c r="BD80" s="41"/>
      <c r="BE80" s="41"/>
      <c r="BF80" s="41"/>
      <c r="BG80" s="41"/>
      <c r="BH80" s="41"/>
      <c r="BI80" s="41"/>
      <c r="BJ80" s="41"/>
      <c r="BK80" s="41"/>
      <c r="BL80" s="41"/>
      <c r="BM80" s="41"/>
      <c r="BN80" s="41"/>
      <c r="BO80" s="41"/>
      <c r="BP80" s="41"/>
      <c r="BQ80" s="41"/>
      <c r="BR80" s="41"/>
      <c r="BS80" s="41"/>
      <c r="BT80" s="41"/>
      <c r="BU80" s="41"/>
      <c r="BV80" s="41"/>
      <c r="BW80" s="41"/>
      <c r="BX80" s="41"/>
      <c r="BY80" s="41"/>
      <c r="BZ80" s="41"/>
      <c r="CA80" s="41"/>
      <c r="CB80" s="41"/>
      <c r="CC80" s="41"/>
      <c r="CD80" s="41"/>
      <c r="CE80" s="41"/>
      <c r="CF80" s="41"/>
      <c r="CG80" s="41"/>
      <c r="CH80" s="41"/>
      <c r="CI80" s="41"/>
      <c r="CJ80" s="41"/>
      <c r="CK80" s="41"/>
      <c r="CL80" s="41"/>
      <c r="CM80" s="41"/>
      <c r="CN80" s="41"/>
      <c r="CO80" s="41"/>
      <c r="CP80" s="41"/>
    </row>
  </sheetData>
  <mergeCells count="51">
    <mergeCell ref="C13:D13"/>
    <mergeCell ref="M1:N1"/>
    <mergeCell ref="M2:N2"/>
    <mergeCell ref="M3:N3"/>
    <mergeCell ref="M4:N4"/>
    <mergeCell ref="I5:L5"/>
    <mergeCell ref="C8:D8"/>
    <mergeCell ref="AA8:AC8"/>
    <mergeCell ref="C9:D9"/>
    <mergeCell ref="C10:D10"/>
    <mergeCell ref="C11:D11"/>
    <mergeCell ref="C12:D12"/>
    <mergeCell ref="K43:N43"/>
    <mergeCell ref="AA43:AC43"/>
    <mergeCell ref="K44:N44"/>
    <mergeCell ref="C16:D16"/>
    <mergeCell ref="C17:D17"/>
    <mergeCell ref="C18:D18"/>
    <mergeCell ref="C37:D37"/>
    <mergeCell ref="AA37:AC37"/>
    <mergeCell ref="C38:D38"/>
    <mergeCell ref="C54:D54"/>
    <mergeCell ref="C39:D39"/>
    <mergeCell ref="C41:D41"/>
    <mergeCell ref="C42:D42"/>
    <mergeCell ref="C43:D44"/>
    <mergeCell ref="K45:N45"/>
    <mergeCell ref="E46:J47"/>
    <mergeCell ref="K46:N47"/>
    <mergeCell ref="C50:D50"/>
    <mergeCell ref="C53:D53"/>
    <mergeCell ref="C69:D69"/>
    <mergeCell ref="C55:D55"/>
    <mergeCell ref="C57:D57"/>
    <mergeCell ref="C58:D58"/>
    <mergeCell ref="C59:D59"/>
    <mergeCell ref="C61:D61"/>
    <mergeCell ref="C62:D62"/>
    <mergeCell ref="C63:D63"/>
    <mergeCell ref="C64:D64"/>
    <mergeCell ref="C65:D65"/>
    <mergeCell ref="C66:D66"/>
    <mergeCell ref="C68:D68"/>
    <mergeCell ref="C78:D78"/>
    <mergeCell ref="C79:D79"/>
    <mergeCell ref="C70:D70"/>
    <mergeCell ref="C71:D71"/>
    <mergeCell ref="C72:D72"/>
    <mergeCell ref="C73:D73"/>
    <mergeCell ref="C76:D76"/>
    <mergeCell ref="C77:D77"/>
  </mergeCells>
  <conditionalFormatting sqref="K44">
    <cfRule type="expression" dxfId="38" priority="5">
      <formula>$J$44&lt;0</formula>
    </cfRule>
  </conditionalFormatting>
  <conditionalFormatting sqref="K43">
    <cfRule type="expression" dxfId="37" priority="4">
      <formula>$J$43&lt;0</formula>
    </cfRule>
  </conditionalFormatting>
  <conditionalFormatting sqref="L16">
    <cfRule type="expression" dxfId="36" priority="3">
      <formula>$J$16&lt;0</formula>
    </cfRule>
  </conditionalFormatting>
  <conditionalFormatting sqref="K45">
    <cfRule type="expression" dxfId="35" priority="2">
      <formula>$J$44&lt;0</formula>
    </cfRule>
  </conditionalFormatting>
  <conditionalFormatting sqref="K43:N45">
    <cfRule type="containsText" dxfId="34" priority="1" operator="containsText" text="underfunding">
      <formula>NOT(ISERROR(SEARCH("underfunding",K43)))</formula>
    </cfRule>
  </conditionalFormatting>
  <printOptions horizontalCentered="1"/>
  <pageMargins left="0.5" right="0.5" top="0.65" bottom="0.65" header="0.26" footer="0.31"/>
  <pageSetup scale="63" fitToHeight="2" orientation="landscape" r:id="rId1"/>
  <headerFooter>
    <oddHeader>&amp;L&amp;"Helv,Bold"FORM B6:  WAGE &amp;&amp; SALARY RECONCILIATION</oddHeader>
    <oddFooter>&amp;LPrinted: &amp;D, &amp;T&amp;RPage &amp;P of &amp;N</oddFooter>
  </headerFooter>
  <rowBreaks count="1" manualBreakCount="1">
    <brk id="64" max="12" man="1"/>
  </rowBreaks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F62EF950-2090-4EC4-8980-269024B9C744}">
          <x14:formula1>
            <xm:f>Benefits!$A$20:$A$26</xm:f>
          </x14:formula1>
          <xm:sqref>C20:C30 C32:C36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8DBAC4-FD96-4547-97BF-30D268C45945}">
  <sheetPr>
    <tabColor rgb="FF92D050"/>
    <pageSetUpPr fitToPage="1"/>
  </sheetPr>
  <dimension ref="A1:CP80"/>
  <sheetViews>
    <sheetView showGridLines="0" zoomScaleNormal="100" workbookViewId="0">
      <selection activeCell="C8" sqref="C8:N16"/>
    </sheetView>
  </sheetViews>
  <sheetFormatPr defaultColWidth="9.140625" defaultRowHeight="15.75" x14ac:dyDescent="0.25"/>
  <cols>
    <col min="1" max="1" width="7.85546875" style="124" customWidth="1"/>
    <col min="2" max="2" width="7.7109375" style="125" customWidth="1"/>
    <col min="3" max="3" width="9" style="125" customWidth="1"/>
    <col min="4" max="4" width="39.28515625" style="53" customWidth="1"/>
    <col min="5" max="5" width="13" style="126" customWidth="1"/>
    <col min="6" max="6" width="12.28515625" style="127" customWidth="1"/>
    <col min="7" max="7" width="12.140625" style="127" bestFit="1" customWidth="1"/>
    <col min="8" max="8" width="14.5703125" style="127" customWidth="1"/>
    <col min="9" max="9" width="19.5703125" style="128" bestFit="1" customWidth="1"/>
    <col min="10" max="10" width="13.7109375" style="129" customWidth="1"/>
    <col min="11" max="11" width="13.7109375" style="129" hidden="1" customWidth="1"/>
    <col min="12" max="12" width="18.42578125" style="129" customWidth="1"/>
    <col min="13" max="13" width="16.42578125" style="129" customWidth="1"/>
    <col min="14" max="14" width="16.140625" style="128" customWidth="1"/>
    <col min="15" max="25" width="16.140625" customWidth="1"/>
    <col min="26" max="26" width="16.140625" style="344" customWidth="1"/>
    <col min="27" max="27" width="22.140625" style="334" bestFit="1" customWidth="1"/>
    <col min="28" max="28" width="31.140625" style="334" bestFit="1" customWidth="1"/>
    <col min="29" max="29" width="7.85546875" style="334" bestFit="1" customWidth="1"/>
    <col min="30" max="30" width="9.140625" style="110" customWidth="1"/>
    <col min="31" max="94" width="9.140625" style="17"/>
    <col min="95" max="16384" width="9.140625" style="18"/>
  </cols>
  <sheetData>
    <row r="1" spans="1:94" x14ac:dyDescent="0.25">
      <c r="A1" s="12" t="s">
        <v>13</v>
      </c>
      <c r="B1" s="13"/>
      <c r="C1" s="13"/>
      <c r="D1" s="14" t="s">
        <v>1989</v>
      </c>
      <c r="E1" s="15"/>
      <c r="F1" s="15"/>
      <c r="G1" s="15"/>
      <c r="H1" s="15"/>
      <c r="I1" s="15"/>
      <c r="J1" s="15"/>
      <c r="K1" s="15"/>
      <c r="L1" s="16" t="s">
        <v>14</v>
      </c>
      <c r="M1" s="467">
        <v>352</v>
      </c>
      <c r="N1" s="468"/>
      <c r="AA1" s="363"/>
      <c r="AB1" s="333"/>
      <c r="AC1" s="333"/>
      <c r="AD1" s="325"/>
    </row>
    <row r="2" spans="1:94" ht="20.25" x14ac:dyDescent="0.25">
      <c r="A2" s="19" t="s">
        <v>116</v>
      </c>
      <c r="B2" s="20"/>
      <c r="C2" s="20"/>
      <c r="D2" s="14" t="s">
        <v>1990</v>
      </c>
      <c r="E2" s="21"/>
      <c r="F2" s="21"/>
      <c r="G2" s="21"/>
      <c r="H2" s="21"/>
      <c r="I2" s="21"/>
      <c r="J2" s="20"/>
      <c r="K2" s="20"/>
      <c r="L2" s="22" t="s">
        <v>113</v>
      </c>
      <c r="M2" s="469" t="s">
        <v>1994</v>
      </c>
      <c r="N2" s="470"/>
      <c r="AA2" s="333"/>
      <c r="AB2" s="333"/>
      <c r="AC2" s="333"/>
      <c r="AD2" s="325"/>
    </row>
    <row r="3" spans="1:94" x14ac:dyDescent="0.25">
      <c r="A3" s="19" t="s">
        <v>117</v>
      </c>
      <c r="B3" s="20"/>
      <c r="C3" s="20"/>
      <c r="D3" s="23" t="s">
        <v>2018</v>
      </c>
      <c r="E3" s="24"/>
      <c r="F3" s="25"/>
      <c r="G3" s="25"/>
      <c r="H3" s="25"/>
      <c r="I3" s="26"/>
      <c r="J3" s="20"/>
      <c r="K3" s="20"/>
      <c r="L3" s="22" t="s">
        <v>114</v>
      </c>
      <c r="M3" s="467" t="s">
        <v>1069</v>
      </c>
      <c r="N3" s="468"/>
      <c r="AA3" s="363"/>
      <c r="AB3" s="333"/>
      <c r="AC3" s="333"/>
      <c r="AD3" s="325"/>
    </row>
    <row r="4" spans="1:94" x14ac:dyDescent="0.25">
      <c r="A4" s="19"/>
      <c r="B4" s="20"/>
      <c r="C4" s="20"/>
      <c r="D4" s="27"/>
      <c r="E4" s="24"/>
      <c r="F4" s="25"/>
      <c r="G4" s="25"/>
      <c r="H4" s="25"/>
      <c r="I4" s="28"/>
      <c r="J4" s="26"/>
      <c r="K4" s="26"/>
      <c r="L4" s="22" t="s">
        <v>15</v>
      </c>
      <c r="M4" s="467">
        <v>2023</v>
      </c>
      <c r="N4" s="468"/>
      <c r="AA4" s="363"/>
      <c r="AB4" s="333"/>
      <c r="AC4" s="333"/>
      <c r="AD4" s="325"/>
    </row>
    <row r="5" spans="1:94" s="34" customFormat="1" ht="18" customHeight="1" x14ac:dyDescent="0.25">
      <c r="A5" s="19" t="s">
        <v>16</v>
      </c>
      <c r="B5" s="20"/>
      <c r="C5" s="20"/>
      <c r="D5" s="350">
        <v>44440</v>
      </c>
      <c r="E5" s="27"/>
      <c r="F5" s="30"/>
      <c r="G5" s="31"/>
      <c r="H5" s="31" t="s">
        <v>17</v>
      </c>
      <c r="I5" s="469" t="s">
        <v>1992</v>
      </c>
      <c r="J5" s="471"/>
      <c r="K5" s="471"/>
      <c r="L5" s="470"/>
      <c r="M5" s="351" t="s">
        <v>115</v>
      </c>
      <c r="N5" s="32" t="s">
        <v>1993</v>
      </c>
      <c r="O5"/>
      <c r="P5"/>
      <c r="Q5"/>
      <c r="R5"/>
      <c r="S5"/>
      <c r="T5"/>
      <c r="U5"/>
      <c r="V5"/>
      <c r="W5"/>
      <c r="X5"/>
      <c r="Y5"/>
      <c r="Z5" s="344"/>
      <c r="AA5" s="363"/>
      <c r="AB5" s="333"/>
      <c r="AC5" s="333"/>
      <c r="AD5" s="326"/>
      <c r="AE5" s="33"/>
      <c r="AF5" s="33"/>
      <c r="AG5" s="33"/>
      <c r="AH5" s="33"/>
      <c r="AI5" s="33"/>
      <c r="AJ5" s="33"/>
      <c r="AK5" s="33"/>
      <c r="AL5" s="33"/>
      <c r="AM5" s="33"/>
      <c r="AN5" s="33"/>
      <c r="AO5" s="33"/>
      <c r="AP5" s="33"/>
      <c r="AQ5" s="33"/>
      <c r="AR5" s="33"/>
      <c r="AS5" s="33"/>
      <c r="AT5" s="33"/>
      <c r="AU5" s="33"/>
      <c r="AV5" s="33"/>
      <c r="AW5" s="33"/>
      <c r="AX5" s="33"/>
      <c r="AY5" s="33"/>
      <c r="AZ5" s="33"/>
      <c r="BA5" s="33"/>
      <c r="BB5" s="33"/>
      <c r="BC5" s="33"/>
      <c r="BD5" s="33"/>
      <c r="BE5" s="33"/>
      <c r="BF5" s="33"/>
      <c r="BG5" s="33"/>
      <c r="BH5" s="33"/>
      <c r="BI5" s="33"/>
      <c r="BJ5" s="33"/>
      <c r="BK5" s="33"/>
      <c r="BL5" s="33"/>
      <c r="BM5" s="33"/>
      <c r="BN5" s="33"/>
      <c r="BO5" s="33"/>
      <c r="BP5" s="33"/>
      <c r="BQ5" s="33"/>
      <c r="BR5" s="33"/>
      <c r="BS5" s="33"/>
      <c r="BT5" s="33"/>
      <c r="BU5" s="33"/>
      <c r="BV5" s="33"/>
      <c r="BW5" s="33"/>
      <c r="BX5" s="33"/>
      <c r="BY5" s="33"/>
      <c r="BZ5" s="33"/>
      <c r="CA5" s="33"/>
      <c r="CB5" s="33"/>
      <c r="CC5" s="33"/>
      <c r="CD5" s="33"/>
      <c r="CE5" s="33"/>
      <c r="CF5" s="33"/>
      <c r="CG5" s="33"/>
      <c r="CH5" s="33"/>
      <c r="CI5" s="33"/>
      <c r="CJ5" s="33"/>
      <c r="CK5" s="33"/>
      <c r="CL5" s="33"/>
      <c r="CM5" s="33"/>
      <c r="CN5" s="33"/>
      <c r="CO5" s="33"/>
      <c r="CP5" s="33"/>
    </row>
    <row r="6" spans="1:94" ht="23.25" customHeight="1" x14ac:dyDescent="0.25">
      <c r="A6" s="19"/>
      <c r="B6" s="20" t="s">
        <v>18</v>
      </c>
      <c r="C6" s="20"/>
      <c r="D6" s="29"/>
      <c r="E6" s="35" t="s">
        <v>19</v>
      </c>
      <c r="F6" s="36"/>
      <c r="G6" s="25"/>
      <c r="H6" s="25"/>
      <c r="I6" s="37"/>
      <c r="J6" s="31" t="s">
        <v>84</v>
      </c>
      <c r="K6" s="31"/>
      <c r="L6" s="352"/>
      <c r="M6" s="353" t="s">
        <v>85</v>
      </c>
      <c r="N6" s="306"/>
      <c r="AA6" s="363"/>
      <c r="AB6" s="333"/>
      <c r="AC6" s="333"/>
      <c r="AD6" s="325"/>
    </row>
    <row r="7" spans="1:94" x14ac:dyDescent="0.25">
      <c r="A7" s="38"/>
      <c r="B7" s="39"/>
      <c r="C7" s="40"/>
      <c r="D7" s="41"/>
      <c r="E7" s="42"/>
      <c r="F7" s="40"/>
      <c r="G7" s="43"/>
      <c r="H7" s="44"/>
      <c r="I7" s="45"/>
      <c r="J7" s="46"/>
      <c r="K7" s="46"/>
      <c r="L7" s="46"/>
      <c r="M7" s="46"/>
      <c r="N7" s="47"/>
    </row>
    <row r="8" spans="1:94" s="52" customFormat="1" ht="40.5" customHeight="1" x14ac:dyDescent="0.25">
      <c r="A8" s="48" t="s">
        <v>20</v>
      </c>
      <c r="B8" s="369" t="s">
        <v>21</v>
      </c>
      <c r="C8" s="472" t="s">
        <v>22</v>
      </c>
      <c r="D8" s="473"/>
      <c r="E8" s="369" t="s">
        <v>23</v>
      </c>
      <c r="F8" s="49" t="s">
        <v>24</v>
      </c>
      <c r="G8" s="50" t="str">
        <f>"FY "&amp;'TAAC|0001-00'!FiscalYear-1&amp;" SALARY"</f>
        <v>FY 2022 SALARY</v>
      </c>
      <c r="H8" s="50" t="str">
        <f>"FY "&amp;'TAAC|0001-00'!FiscalYear-1&amp;" HEALTH BENEFITS"</f>
        <v>FY 2022 HEALTH BENEFITS</v>
      </c>
      <c r="I8" s="50" t="str">
        <f>"FY "&amp;'TAAC|0001-00'!FiscalYear-1&amp;" VAR BENEFITS"</f>
        <v>FY 2022 VAR BENEFITS</v>
      </c>
      <c r="J8" s="50" t="str">
        <f>"FY "&amp;'TAAC|0001-00'!FiscalYear-1&amp;" TOTAL"</f>
        <v>FY 2022 TOTAL</v>
      </c>
      <c r="K8" s="50" t="str">
        <f>"FY "&amp;'TAAC|0001-00'!FiscalYear&amp;" SALARY CHANGE"</f>
        <v>FY 2023 SALARY CHANGE</v>
      </c>
      <c r="L8" s="50" t="str">
        <f>"FY "&amp;'TAAC|0001-00'!FiscalYear&amp;" CHG HEALTH BENEFITS"</f>
        <v>FY 2023 CHG HEALTH BENEFITS</v>
      </c>
      <c r="M8" s="50" t="str">
        <f>"FY "&amp;'TAAC|0001-00'!FiscalYear&amp;" CHG VAR BENEFITS"</f>
        <v>FY 2023 CHG VAR BENEFITS</v>
      </c>
      <c r="N8" s="50" t="s">
        <v>25</v>
      </c>
      <c r="O8"/>
      <c r="P8"/>
      <c r="Q8"/>
      <c r="R8"/>
      <c r="S8"/>
      <c r="T8"/>
      <c r="U8"/>
      <c r="V8"/>
      <c r="W8"/>
      <c r="X8"/>
      <c r="Y8"/>
      <c r="Z8" s="344"/>
      <c r="AA8" s="463" t="s">
        <v>105</v>
      </c>
      <c r="AB8" s="463"/>
      <c r="AC8" s="463"/>
      <c r="AD8" s="327"/>
      <c r="AE8" s="51"/>
      <c r="AF8" s="51"/>
      <c r="AG8" s="51"/>
      <c r="AH8" s="51"/>
      <c r="AI8" s="51"/>
      <c r="AJ8" s="51"/>
      <c r="AK8" s="51"/>
      <c r="AL8" s="51"/>
      <c r="AM8" s="51"/>
      <c r="AN8" s="51"/>
      <c r="AO8" s="51"/>
      <c r="AP8" s="51"/>
      <c r="AQ8" s="51"/>
      <c r="AR8" s="51"/>
      <c r="AS8" s="51"/>
      <c r="AT8" s="51"/>
      <c r="AU8" s="51"/>
      <c r="AV8" s="51"/>
      <c r="AW8" s="51"/>
      <c r="AX8" s="51"/>
      <c r="AY8" s="51"/>
      <c r="AZ8" s="51"/>
      <c r="BA8" s="51"/>
      <c r="BB8" s="51"/>
      <c r="BC8" s="51"/>
      <c r="BD8" s="51"/>
      <c r="BE8" s="51"/>
      <c r="BF8" s="51"/>
      <c r="BG8" s="51"/>
      <c r="BH8" s="51"/>
      <c r="BI8" s="51"/>
      <c r="BJ8" s="51"/>
      <c r="BK8" s="51"/>
      <c r="BL8" s="51"/>
      <c r="BM8" s="51"/>
      <c r="BN8" s="51"/>
      <c r="BO8" s="51"/>
      <c r="BP8" s="51"/>
      <c r="BQ8" s="51"/>
      <c r="BR8" s="51"/>
      <c r="BS8" s="51"/>
      <c r="BT8" s="51"/>
      <c r="BU8" s="51"/>
      <c r="BV8" s="51"/>
      <c r="BW8" s="51"/>
      <c r="BX8" s="51"/>
      <c r="BY8" s="51"/>
      <c r="BZ8" s="51"/>
      <c r="CA8" s="51"/>
      <c r="CB8" s="51"/>
      <c r="CC8" s="51"/>
      <c r="CD8" s="51"/>
      <c r="CE8" s="51"/>
      <c r="CF8" s="51"/>
      <c r="CG8" s="51"/>
      <c r="CH8" s="51"/>
      <c r="CI8" s="51"/>
      <c r="CJ8" s="51"/>
      <c r="CK8" s="51"/>
      <c r="CL8" s="51"/>
      <c r="CM8" s="51"/>
      <c r="CN8" s="51"/>
      <c r="CO8" s="51"/>
      <c r="CP8" s="51"/>
    </row>
    <row r="9" spans="1:94" s="149" customFormat="1" x14ac:dyDescent="0.25">
      <c r="A9" s="139"/>
      <c r="B9" s="140"/>
      <c r="C9" s="464" t="s">
        <v>26</v>
      </c>
      <c r="D9" s="465"/>
      <c r="E9" s="141"/>
      <c r="F9" s="142"/>
      <c r="G9" s="143"/>
      <c r="H9" s="143"/>
      <c r="I9" s="143"/>
      <c r="J9" s="144"/>
      <c r="K9" s="144"/>
      <c r="L9" s="145"/>
      <c r="M9" s="146"/>
      <c r="N9" s="144"/>
      <c r="O9"/>
      <c r="P9"/>
      <c r="Q9"/>
      <c r="R9"/>
      <c r="S9"/>
      <c r="T9"/>
      <c r="U9"/>
      <c r="V9"/>
      <c r="W9"/>
      <c r="X9"/>
      <c r="Y9"/>
      <c r="Z9" s="344"/>
      <c r="AA9" s="363" t="s">
        <v>94</v>
      </c>
      <c r="AB9" s="333" t="s">
        <v>95</v>
      </c>
      <c r="AC9" s="333" t="s">
        <v>106</v>
      </c>
      <c r="AD9" s="328"/>
      <c r="AE9" s="148"/>
      <c r="AF9" s="148"/>
      <c r="AG9" s="148"/>
      <c r="AH9" s="148"/>
      <c r="AI9" s="148"/>
      <c r="AJ9" s="148"/>
      <c r="AK9" s="148"/>
      <c r="AL9" s="148"/>
      <c r="AM9" s="148"/>
      <c r="AN9" s="148"/>
      <c r="AO9" s="148"/>
      <c r="AP9" s="148"/>
      <c r="AQ9" s="148"/>
      <c r="AR9" s="148"/>
      <c r="AS9" s="148"/>
      <c r="AT9" s="148"/>
      <c r="AU9" s="148"/>
      <c r="AV9" s="148"/>
      <c r="AW9" s="148"/>
      <c r="AX9" s="148"/>
      <c r="AY9" s="148"/>
      <c r="AZ9" s="148"/>
      <c r="BA9" s="148"/>
      <c r="BB9" s="148"/>
      <c r="BC9" s="148"/>
      <c r="BD9" s="148"/>
      <c r="BE9" s="148"/>
      <c r="BF9" s="148"/>
      <c r="BG9" s="148"/>
      <c r="BH9" s="148"/>
      <c r="BI9" s="148"/>
      <c r="BJ9" s="148"/>
      <c r="BK9" s="148"/>
      <c r="BL9" s="148"/>
      <c r="BM9" s="148"/>
      <c r="BN9" s="148"/>
      <c r="BO9" s="148"/>
      <c r="BP9" s="148"/>
      <c r="BQ9" s="148"/>
      <c r="BR9" s="148"/>
      <c r="BS9" s="148"/>
      <c r="BT9" s="148"/>
      <c r="BU9" s="148"/>
      <c r="BV9" s="148"/>
      <c r="BW9" s="148"/>
      <c r="BX9" s="148"/>
      <c r="BY9" s="148"/>
      <c r="BZ9" s="148"/>
      <c r="CA9" s="148"/>
      <c r="CB9" s="148"/>
      <c r="CC9" s="148"/>
      <c r="CD9" s="148"/>
      <c r="CE9" s="148"/>
      <c r="CF9" s="148"/>
      <c r="CG9" s="148"/>
      <c r="CH9" s="148"/>
      <c r="CI9" s="148"/>
      <c r="CJ9" s="148"/>
      <c r="CK9" s="148"/>
      <c r="CL9" s="148"/>
      <c r="CM9" s="148"/>
      <c r="CN9" s="148"/>
      <c r="CO9" s="148"/>
      <c r="CP9" s="148"/>
    </row>
    <row r="10" spans="1:94" s="149" customFormat="1" x14ac:dyDescent="0.25">
      <c r="A10" s="139"/>
      <c r="B10" s="139"/>
      <c r="C10" s="443" t="s">
        <v>27</v>
      </c>
      <c r="D10" s="466"/>
      <c r="E10" s="217">
        <v>1</v>
      </c>
      <c r="F10" s="288">
        <f>[0]!TAAC000100col_INC_FTI</f>
        <v>61.11</v>
      </c>
      <c r="G10" s="218">
        <f>[0]!TAAC000100col_FTI_SALARY_PERM</f>
        <v>2458166.8800000004</v>
      </c>
      <c r="H10" s="218">
        <f>[0]!TAAC000100col_HEALTH_PERM</f>
        <v>711931.5</v>
      </c>
      <c r="I10" s="218">
        <f>[0]!TAAC000100col_TOT_VB_PERM</f>
        <v>524578.76259359997</v>
      </c>
      <c r="J10" s="219">
        <f>SUM(G10:I10)</f>
        <v>3694677.1425936003</v>
      </c>
      <c r="K10" s="219">
        <f>[0]!TAAC000100col_1_27TH_PP</f>
        <v>0</v>
      </c>
      <c r="L10" s="218">
        <f>[0]!TAAC000100col_HEALTH_PERM_CHG</f>
        <v>0</v>
      </c>
      <c r="M10" s="218">
        <f>[0]!TAAC000100col_TOT_VB_PERM_CHG</f>
        <v>-11799.201024</v>
      </c>
      <c r="N10" s="218">
        <f>SUM(L10:M10)</f>
        <v>-11799.201024</v>
      </c>
      <c r="O10"/>
      <c r="P10"/>
      <c r="Q10"/>
      <c r="R10"/>
      <c r="S10"/>
      <c r="T10"/>
      <c r="U10"/>
      <c r="V10"/>
      <c r="W10"/>
      <c r="X10"/>
      <c r="Y10"/>
      <c r="Z10" s="344"/>
      <c r="AA10" s="338">
        <f>ROUND(CECPerm*PermSalary,-2)</f>
        <v>24600</v>
      </c>
      <c r="AB10" s="335">
        <f>ROUND(PermVarBen*CECPerm+(CECPerm*PermVarBenChg),-2)</f>
        <v>5100</v>
      </c>
      <c r="AC10" s="335">
        <f>SUM(AA10:AB10)</f>
        <v>29700</v>
      </c>
      <c r="AD10" s="328"/>
      <c r="AE10" s="148"/>
      <c r="AF10" s="148"/>
      <c r="AG10" s="148"/>
      <c r="AH10" s="148"/>
      <c r="AI10" s="148"/>
      <c r="AJ10" s="148"/>
      <c r="AK10" s="148"/>
      <c r="AL10" s="148"/>
      <c r="AM10" s="148"/>
      <c r="AN10" s="148"/>
      <c r="AO10" s="148"/>
      <c r="AP10" s="148"/>
      <c r="AQ10" s="148"/>
      <c r="AR10" s="148"/>
      <c r="AS10" s="148"/>
      <c r="AT10" s="148"/>
      <c r="AU10" s="148"/>
      <c r="AV10" s="148"/>
      <c r="AW10" s="148"/>
      <c r="AX10" s="148"/>
      <c r="AY10" s="148"/>
      <c r="AZ10" s="148"/>
      <c r="BA10" s="148"/>
      <c r="BB10" s="148"/>
      <c r="BC10" s="148"/>
      <c r="BD10" s="148"/>
      <c r="BE10" s="148"/>
      <c r="BF10" s="148"/>
      <c r="BG10" s="148"/>
      <c r="BH10" s="148"/>
      <c r="BI10" s="148"/>
      <c r="BJ10" s="148"/>
      <c r="BK10" s="148"/>
      <c r="BL10" s="148"/>
      <c r="BM10" s="148"/>
      <c r="BN10" s="148"/>
      <c r="BO10" s="148"/>
      <c r="BP10" s="148"/>
      <c r="BQ10" s="148"/>
      <c r="BR10" s="148"/>
      <c r="BS10" s="148"/>
      <c r="BT10" s="148"/>
      <c r="BU10" s="148"/>
      <c r="BV10" s="148"/>
      <c r="BW10" s="148"/>
      <c r="BX10" s="148"/>
      <c r="BY10" s="148"/>
      <c r="BZ10" s="148"/>
      <c r="CA10" s="148"/>
      <c r="CB10" s="148"/>
      <c r="CC10" s="148"/>
      <c r="CD10" s="148"/>
      <c r="CE10" s="148"/>
      <c r="CF10" s="148"/>
      <c r="CG10" s="148"/>
      <c r="CH10" s="148"/>
      <c r="CI10" s="148"/>
      <c r="CJ10" s="148"/>
      <c r="CK10" s="148"/>
      <c r="CL10" s="148"/>
      <c r="CM10" s="148"/>
      <c r="CN10" s="148"/>
      <c r="CO10" s="148"/>
      <c r="CP10" s="148"/>
    </row>
    <row r="11" spans="1:94" s="149" customFormat="1" x14ac:dyDescent="0.25">
      <c r="A11" s="139"/>
      <c r="B11" s="139"/>
      <c r="C11" s="443" t="s">
        <v>28</v>
      </c>
      <c r="D11" s="466"/>
      <c r="E11" s="217">
        <v>2</v>
      </c>
      <c r="F11" s="288"/>
      <c r="G11" s="218">
        <f>[0]!TAAC000100col_Group_Salary</f>
        <v>526925.31000000006</v>
      </c>
      <c r="H11" s="218">
        <v>0</v>
      </c>
      <c r="I11" s="218">
        <f>[0]!TAAC000100col_Group_Ben</f>
        <v>42396.600000000006</v>
      </c>
      <c r="J11" s="219">
        <f>SUM(G11:I11)</f>
        <v>569321.91</v>
      </c>
      <c r="K11" s="268"/>
      <c r="L11" s="218"/>
      <c r="M11" s="218"/>
      <c r="N11" s="218"/>
      <c r="O11"/>
      <c r="P11"/>
      <c r="Q11"/>
      <c r="R11"/>
      <c r="S11"/>
      <c r="T11"/>
      <c r="U11"/>
      <c r="V11"/>
      <c r="W11"/>
      <c r="X11"/>
      <c r="Y11"/>
      <c r="Z11" s="344"/>
      <c r="AA11" s="338">
        <f>ROUND(GroupSalary*CECGroup,-2)</f>
        <v>5300</v>
      </c>
      <c r="AB11" s="335">
        <f>ROUND((GroupSalary*GroupVBBY)*CECGroup,-2)</f>
        <v>400</v>
      </c>
      <c r="AC11" s="335">
        <f>SUM(AA12:AB12)</f>
        <v>0</v>
      </c>
      <c r="AD11" s="328"/>
      <c r="AE11" s="148"/>
      <c r="AF11" s="148"/>
      <c r="AG11" s="148"/>
      <c r="AH11" s="148"/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148"/>
      <c r="AV11" s="148"/>
      <c r="AW11" s="148"/>
      <c r="AX11" s="148"/>
      <c r="AY11" s="148"/>
      <c r="AZ11" s="148"/>
      <c r="BA11" s="148"/>
      <c r="BB11" s="148"/>
      <c r="BC11" s="148"/>
      <c r="BD11" s="148"/>
      <c r="BE11" s="148"/>
      <c r="BF11" s="148"/>
      <c r="BG11" s="148"/>
      <c r="BH11" s="148"/>
      <c r="BI11" s="148"/>
      <c r="BJ11" s="148"/>
      <c r="BK11" s="148"/>
      <c r="BL11" s="148"/>
      <c r="BM11" s="148"/>
      <c r="BN11" s="148"/>
      <c r="BO11" s="148"/>
      <c r="BP11" s="148"/>
      <c r="BQ11" s="148"/>
      <c r="BR11" s="148"/>
      <c r="BS11" s="148"/>
      <c r="BT11" s="148"/>
      <c r="BU11" s="148"/>
      <c r="BV11" s="148"/>
      <c r="BW11" s="148"/>
      <c r="BX11" s="148"/>
      <c r="BY11" s="148"/>
      <c r="BZ11" s="148"/>
      <c r="CA11" s="148"/>
      <c r="CB11" s="148"/>
      <c r="CC11" s="148"/>
      <c r="CD11" s="148"/>
      <c r="CE11" s="148"/>
      <c r="CF11" s="148"/>
      <c r="CG11" s="148"/>
      <c r="CH11" s="148"/>
      <c r="CI11" s="148"/>
      <c r="CJ11" s="148"/>
      <c r="CK11" s="148"/>
      <c r="CL11" s="148"/>
      <c r="CM11" s="148"/>
      <c r="CN11" s="148"/>
      <c r="CO11" s="148"/>
      <c r="CP11" s="148"/>
    </row>
    <row r="12" spans="1:94" s="149" customFormat="1" x14ac:dyDescent="0.25">
      <c r="A12" s="139"/>
      <c r="B12" s="139"/>
      <c r="C12" s="443" t="s">
        <v>29</v>
      </c>
      <c r="D12" s="444"/>
      <c r="E12" s="217">
        <v>3</v>
      </c>
      <c r="F12" s="288">
        <f>[0]!TAAC000100col_TOTAL_ELECT_PCN_FTI</f>
        <v>0</v>
      </c>
      <c r="G12" s="218">
        <f>[0]!TAAC000100col_FTI_SALARY_ELECT</f>
        <v>0</v>
      </c>
      <c r="H12" s="218">
        <f>[0]!TAAC000100col_HEALTH_ELECT</f>
        <v>0</v>
      </c>
      <c r="I12" s="218">
        <f>[0]!TAAC000100col_TOT_VB_ELECT</f>
        <v>0</v>
      </c>
      <c r="J12" s="219">
        <f>SUM(G12:I12)</f>
        <v>0</v>
      </c>
      <c r="K12" s="268"/>
      <c r="L12" s="218">
        <f>[0]!TAAC000100col_HEALTH_ELECT_CHG</f>
        <v>0</v>
      </c>
      <c r="M12" s="218">
        <f>[0]!TAAC000100col_TOT_VB_ELECT_CHG</f>
        <v>0</v>
      </c>
      <c r="N12" s="219">
        <f>SUM(L12:M12)</f>
        <v>0</v>
      </c>
      <c r="O12"/>
      <c r="P12"/>
      <c r="Q12"/>
      <c r="R12"/>
      <c r="S12"/>
      <c r="T12"/>
      <c r="U12"/>
      <c r="V12"/>
      <c r="W12"/>
      <c r="X12"/>
      <c r="Y12"/>
      <c r="Z12" s="344"/>
      <c r="AA12" s="336"/>
      <c r="AB12" s="336"/>
      <c r="AC12" s="336"/>
      <c r="AD12" s="328"/>
      <c r="AE12" s="148"/>
      <c r="AF12" s="148"/>
      <c r="AG12" s="148"/>
      <c r="AH12" s="148"/>
      <c r="AI12" s="148"/>
      <c r="AJ12" s="148"/>
      <c r="AK12" s="148"/>
      <c r="AL12" s="148"/>
      <c r="AM12" s="148"/>
      <c r="AN12" s="148"/>
      <c r="AO12" s="148"/>
      <c r="AP12" s="148"/>
      <c r="AQ12" s="148"/>
      <c r="AR12" s="148"/>
      <c r="AS12" s="148"/>
      <c r="AT12" s="148"/>
      <c r="AU12" s="148"/>
      <c r="AV12" s="148"/>
      <c r="AW12" s="148"/>
      <c r="AX12" s="148"/>
      <c r="AY12" s="148"/>
      <c r="AZ12" s="148"/>
      <c r="BA12" s="148"/>
      <c r="BB12" s="148"/>
      <c r="BC12" s="148"/>
      <c r="BD12" s="148"/>
      <c r="BE12" s="148"/>
      <c r="BF12" s="148"/>
      <c r="BG12" s="148"/>
      <c r="BH12" s="148"/>
      <c r="BI12" s="148"/>
      <c r="BJ12" s="148"/>
      <c r="BK12" s="148"/>
      <c r="BL12" s="148"/>
      <c r="BM12" s="148"/>
      <c r="BN12" s="148"/>
      <c r="BO12" s="148"/>
      <c r="BP12" s="148"/>
      <c r="BQ12" s="148"/>
      <c r="BR12" s="148"/>
      <c r="BS12" s="148"/>
      <c r="BT12" s="148"/>
      <c r="BU12" s="148"/>
      <c r="BV12" s="148"/>
      <c r="BW12" s="148"/>
      <c r="BX12" s="148"/>
      <c r="BY12" s="148"/>
      <c r="BZ12" s="148"/>
      <c r="CA12" s="148"/>
      <c r="CB12" s="148"/>
      <c r="CC12" s="148"/>
      <c r="CD12" s="148"/>
      <c r="CE12" s="148"/>
      <c r="CF12" s="148"/>
      <c r="CG12" s="148"/>
      <c r="CH12" s="148"/>
      <c r="CI12" s="148"/>
      <c r="CJ12" s="148"/>
      <c r="CK12" s="148"/>
      <c r="CL12" s="148"/>
      <c r="CM12" s="148"/>
      <c r="CN12" s="148"/>
      <c r="CO12" s="148"/>
      <c r="CP12" s="148"/>
    </row>
    <row r="13" spans="1:94" s="153" customFormat="1" x14ac:dyDescent="0.25">
      <c r="A13" s="139"/>
      <c r="B13" s="139"/>
      <c r="C13" s="443" t="s">
        <v>30</v>
      </c>
      <c r="D13" s="466"/>
      <c r="E13" s="217"/>
      <c r="F13" s="220">
        <f>SUM(F10:F12)</f>
        <v>61.11</v>
      </c>
      <c r="G13" s="221">
        <f>SUM(G10:G12)</f>
        <v>2985092.1900000004</v>
      </c>
      <c r="H13" s="221">
        <f>SUM(H10:H12)</f>
        <v>711931.5</v>
      </c>
      <c r="I13" s="221">
        <f>SUM(I10:I12)</f>
        <v>566975.36259359994</v>
      </c>
      <c r="J13" s="219">
        <f>SUM(G13:I13)</f>
        <v>4263999.0525936</v>
      </c>
      <c r="K13" s="268"/>
      <c r="L13" s="219">
        <f>SUM(L10:L12)</f>
        <v>0</v>
      </c>
      <c r="M13" s="219">
        <f>SUM(M10:M12)</f>
        <v>-11799.201024</v>
      </c>
      <c r="N13" s="219">
        <f>SUM(N10:N12)</f>
        <v>-11799.201024</v>
      </c>
      <c r="O13"/>
      <c r="P13"/>
      <c r="Q13"/>
      <c r="R13"/>
      <c r="S13"/>
      <c r="T13"/>
      <c r="U13"/>
      <c r="V13"/>
      <c r="W13"/>
      <c r="X13"/>
      <c r="Y13"/>
      <c r="Z13" s="344"/>
      <c r="AA13" s="336"/>
      <c r="AB13" s="336"/>
      <c r="AC13" s="336"/>
      <c r="AD13" s="329"/>
      <c r="AE13" s="147"/>
      <c r="AF13" s="147"/>
      <c r="AG13" s="147"/>
      <c r="AH13" s="147"/>
      <c r="AI13" s="147"/>
      <c r="AJ13" s="147"/>
      <c r="AK13" s="147"/>
      <c r="AL13" s="147"/>
      <c r="AM13" s="147"/>
      <c r="AN13" s="147"/>
      <c r="AO13" s="147"/>
      <c r="AP13" s="147"/>
      <c r="AQ13" s="147"/>
      <c r="AR13" s="147"/>
      <c r="AS13" s="147"/>
      <c r="AT13" s="147"/>
      <c r="AU13" s="147"/>
      <c r="AV13" s="147"/>
      <c r="AW13" s="147"/>
      <c r="AX13" s="147"/>
      <c r="AY13" s="147"/>
      <c r="AZ13" s="147"/>
      <c r="BA13" s="147"/>
      <c r="BB13" s="147"/>
      <c r="BC13" s="147"/>
      <c r="BD13" s="147"/>
      <c r="BE13" s="147"/>
      <c r="BF13" s="147"/>
      <c r="BG13" s="147"/>
      <c r="BH13" s="147"/>
      <c r="BI13" s="147"/>
      <c r="BJ13" s="147"/>
      <c r="BK13" s="147"/>
      <c r="BL13" s="147"/>
      <c r="BM13" s="147"/>
      <c r="BN13" s="147"/>
      <c r="BO13" s="147"/>
      <c r="BP13" s="147"/>
      <c r="BQ13" s="147"/>
      <c r="BR13" s="147"/>
      <c r="BS13" s="147"/>
      <c r="BT13" s="147"/>
      <c r="BU13" s="147"/>
      <c r="BV13" s="147"/>
      <c r="BW13" s="147"/>
      <c r="BX13" s="147"/>
      <c r="BY13" s="147"/>
      <c r="BZ13" s="147"/>
      <c r="CA13" s="147"/>
      <c r="CB13" s="147"/>
      <c r="CC13" s="147"/>
      <c r="CD13" s="147"/>
      <c r="CE13" s="147"/>
      <c r="CF13" s="147"/>
      <c r="CG13" s="147"/>
      <c r="CH13" s="147"/>
      <c r="CI13" s="147"/>
      <c r="CJ13" s="147"/>
      <c r="CK13" s="147"/>
      <c r="CL13" s="147"/>
      <c r="CM13" s="147"/>
      <c r="CN13" s="147"/>
      <c r="CO13" s="147"/>
      <c r="CP13" s="147"/>
    </row>
    <row r="14" spans="1:94" s="153" customFormat="1" ht="5.45" customHeight="1" x14ac:dyDescent="0.25">
      <c r="A14" s="139"/>
      <c r="B14" s="139"/>
      <c r="C14" s="364"/>
      <c r="D14" s="370"/>
      <c r="E14" s="217"/>
      <c r="F14" s="220"/>
      <c r="G14" s="219"/>
      <c r="H14" s="219"/>
      <c r="I14" s="219"/>
      <c r="J14" s="219"/>
      <c r="K14" s="268"/>
      <c r="L14" s="219"/>
      <c r="M14" s="222"/>
      <c r="N14" s="222"/>
      <c r="O14"/>
      <c r="P14"/>
      <c r="Q14"/>
      <c r="R14"/>
      <c r="S14"/>
      <c r="T14"/>
      <c r="U14"/>
      <c r="V14"/>
      <c r="W14"/>
      <c r="X14"/>
      <c r="Y14"/>
      <c r="Z14" s="344"/>
      <c r="AA14" s="336"/>
      <c r="AB14" s="336"/>
      <c r="AC14" s="336"/>
      <c r="AD14" s="329"/>
      <c r="AE14" s="147"/>
      <c r="AF14" s="147"/>
      <c r="AG14" s="147"/>
      <c r="AH14" s="147"/>
      <c r="AI14" s="147"/>
      <c r="AJ14" s="147"/>
      <c r="AK14" s="147"/>
      <c r="AL14" s="147"/>
      <c r="AM14" s="147"/>
      <c r="AN14" s="147"/>
      <c r="AO14" s="147"/>
      <c r="AP14" s="147"/>
      <c r="AQ14" s="147"/>
      <c r="AR14" s="147"/>
      <c r="AS14" s="147"/>
      <c r="AT14" s="147"/>
      <c r="AU14" s="147"/>
      <c r="AV14" s="147"/>
      <c r="AW14" s="147"/>
      <c r="AX14" s="147"/>
      <c r="AY14" s="147"/>
      <c r="AZ14" s="147"/>
      <c r="BA14" s="147"/>
      <c r="BB14" s="147"/>
      <c r="BC14" s="147"/>
      <c r="BD14" s="147"/>
      <c r="BE14" s="147"/>
      <c r="BF14" s="147"/>
      <c r="BG14" s="147"/>
      <c r="BH14" s="147"/>
      <c r="BI14" s="147"/>
      <c r="BJ14" s="147"/>
      <c r="BK14" s="147"/>
      <c r="BL14" s="147"/>
      <c r="BM14" s="147"/>
      <c r="BN14" s="147"/>
      <c r="BO14" s="147"/>
      <c r="BP14" s="147"/>
      <c r="BQ14" s="147"/>
      <c r="BR14" s="147"/>
      <c r="BS14" s="147"/>
      <c r="BT14" s="147"/>
      <c r="BU14" s="147"/>
      <c r="BV14" s="147"/>
      <c r="BW14" s="147"/>
      <c r="BX14" s="147"/>
      <c r="BY14" s="147"/>
      <c r="BZ14" s="147"/>
      <c r="CA14" s="147"/>
      <c r="CB14" s="147"/>
      <c r="CC14" s="147"/>
      <c r="CD14" s="147"/>
      <c r="CE14" s="147"/>
      <c r="CF14" s="147"/>
      <c r="CG14" s="147"/>
      <c r="CH14" s="147"/>
      <c r="CI14" s="147"/>
      <c r="CJ14" s="147"/>
      <c r="CK14" s="147"/>
      <c r="CL14" s="147"/>
      <c r="CM14" s="147"/>
      <c r="CN14" s="147"/>
      <c r="CO14" s="147"/>
      <c r="CP14" s="147"/>
    </row>
    <row r="15" spans="1:94" s="153" customFormat="1" ht="15.75" customHeight="1" x14ac:dyDescent="0.25">
      <c r="A15" s="139"/>
      <c r="B15" s="156"/>
      <c r="C15" s="157" t="str">
        <f>"FY "&amp;'TAAC|0001-00'!FiscalYear-1</f>
        <v>FY 2022</v>
      </c>
      <c r="D15" s="158" t="s">
        <v>31</v>
      </c>
      <c r="E15" s="354">
        <v>3835800</v>
      </c>
      <c r="F15" s="55">
        <v>62.85</v>
      </c>
      <c r="G15" s="223">
        <f>IF(OrigApprop=0,0,(G13/$J$13)*OrigApprop)</f>
        <v>2685323.4442998637</v>
      </c>
      <c r="H15" s="223">
        <f>IF(OrigApprop=0,0,(H13/$J$13)*OrigApprop)</f>
        <v>640437.95836187154</v>
      </c>
      <c r="I15" s="223">
        <f>IF(G15=0,0,(I13/$J$13)*OrigApprop)</f>
        <v>510038.59733826504</v>
      </c>
      <c r="J15" s="223">
        <f>SUM(G15:I15)</f>
        <v>3835800</v>
      </c>
      <c r="K15" s="268"/>
      <c r="L15" s="224"/>
      <c r="M15" s="224"/>
      <c r="N15" s="224"/>
      <c r="O15"/>
      <c r="P15"/>
      <c r="Q15"/>
      <c r="R15"/>
      <c r="S15"/>
      <c r="T15"/>
      <c r="U15"/>
      <c r="V15"/>
      <c r="W15"/>
      <c r="X15"/>
      <c r="Y15"/>
      <c r="Z15" s="344"/>
      <c r="AA15" s="336"/>
      <c r="AB15" s="336"/>
      <c r="AC15" s="336"/>
      <c r="AD15" s="329"/>
      <c r="AE15" s="147"/>
      <c r="AF15" s="147"/>
      <c r="AG15" s="147"/>
      <c r="AH15" s="147"/>
      <c r="AI15" s="147"/>
      <c r="AJ15" s="147"/>
      <c r="AK15" s="147"/>
      <c r="AL15" s="147"/>
      <c r="AM15" s="147"/>
      <c r="AN15" s="147"/>
      <c r="AO15" s="147"/>
      <c r="AP15" s="147"/>
      <c r="AQ15" s="147"/>
      <c r="AR15" s="147"/>
      <c r="AS15" s="147"/>
      <c r="AT15" s="147"/>
      <c r="AU15" s="147"/>
      <c r="AV15" s="147"/>
      <c r="AW15" s="147"/>
      <c r="AX15" s="147"/>
      <c r="AY15" s="147"/>
      <c r="AZ15" s="147"/>
      <c r="BA15" s="147"/>
      <c r="BB15" s="147"/>
      <c r="BC15" s="147"/>
      <c r="BD15" s="147"/>
      <c r="BE15" s="147"/>
      <c r="BF15" s="147"/>
      <c r="BG15" s="147"/>
      <c r="BH15" s="147"/>
      <c r="BI15" s="147"/>
      <c r="BJ15" s="147"/>
      <c r="BK15" s="147"/>
      <c r="BL15" s="147"/>
      <c r="BM15" s="147"/>
      <c r="BN15" s="147"/>
      <c r="BO15" s="147"/>
      <c r="BP15" s="147"/>
      <c r="BQ15" s="147"/>
      <c r="BR15" s="147"/>
      <c r="BS15" s="147"/>
      <c r="BT15" s="147"/>
      <c r="BU15" s="147"/>
      <c r="BV15" s="147"/>
      <c r="BW15" s="147"/>
      <c r="BX15" s="147"/>
      <c r="BY15" s="147"/>
      <c r="BZ15" s="147"/>
      <c r="CA15" s="147"/>
      <c r="CB15" s="147"/>
      <c r="CC15" s="147"/>
      <c r="CD15" s="147"/>
      <c r="CE15" s="147"/>
      <c r="CF15" s="147"/>
      <c r="CG15" s="147"/>
      <c r="CH15" s="147"/>
      <c r="CI15" s="147"/>
      <c r="CJ15" s="147"/>
      <c r="CK15" s="147"/>
      <c r="CL15" s="147"/>
      <c r="CM15" s="147"/>
      <c r="CN15" s="147"/>
      <c r="CO15" s="147"/>
      <c r="CP15" s="147"/>
    </row>
    <row r="16" spans="1:94" s="153" customFormat="1" ht="15.75" customHeight="1" x14ac:dyDescent="0.25">
      <c r="A16" s="139"/>
      <c r="B16" s="139"/>
      <c r="C16" s="453" t="s">
        <v>32</v>
      </c>
      <c r="D16" s="454"/>
      <c r="E16" s="160" t="s">
        <v>33</v>
      </c>
      <c r="F16" s="161">
        <f>F15-F13</f>
        <v>1.740000000000002</v>
      </c>
      <c r="G16" s="162">
        <f>G15-G13</f>
        <v>-299768.74570013676</v>
      </c>
      <c r="H16" s="162">
        <f>H15-H13</f>
        <v>-71493.541638128459</v>
      </c>
      <c r="I16" s="162">
        <f>I15-I13</f>
        <v>-56936.765255334903</v>
      </c>
      <c r="J16" s="162">
        <f>J15-J13</f>
        <v>-428199.0525936</v>
      </c>
      <c r="K16" s="269"/>
      <c r="L16" s="56" t="str">
        <f>IF('TAAC|0001-00'!OrigApprop=0,"ERROR! Enter Original Appropriation amount in DU 3.00!","Calculated "&amp;IF('TAAC|0001-00'!AdjustedTotal&gt;0,"overfunding ","underfunding ")&amp;"is "&amp;TEXT('TAAC|0001-00'!AdjustedTotal/'TAAC|0001-00'!AppropTotal,"#.0%;(#.0% );0% ;")&amp;" of Original Appropriation")</f>
        <v>Calculated underfunding is (11.2% ) of Original Appropriation</v>
      </c>
      <c r="M16" s="163"/>
      <c r="N16" s="164"/>
      <c r="O16"/>
      <c r="P16"/>
      <c r="Q16"/>
      <c r="R16"/>
      <c r="S16"/>
      <c r="T16"/>
      <c r="U16"/>
      <c r="V16"/>
      <c r="W16"/>
      <c r="X16"/>
      <c r="Y16"/>
      <c r="Z16" s="344"/>
      <c r="AA16" s="336"/>
      <c r="AB16" s="336"/>
      <c r="AC16" s="336"/>
      <c r="AD16" s="329"/>
      <c r="AE16" s="147"/>
      <c r="AF16" s="147"/>
      <c r="AG16" s="147"/>
      <c r="AH16" s="147"/>
      <c r="AI16" s="147"/>
      <c r="AJ16" s="147"/>
      <c r="AK16" s="147"/>
      <c r="AL16" s="147"/>
      <c r="AM16" s="147"/>
      <c r="AN16" s="147"/>
      <c r="AO16" s="147"/>
      <c r="AP16" s="147"/>
      <c r="AQ16" s="147"/>
      <c r="AR16" s="147"/>
      <c r="AS16" s="147"/>
      <c r="AT16" s="147"/>
      <c r="AU16" s="147"/>
      <c r="AV16" s="147"/>
      <c r="AW16" s="147"/>
      <c r="AX16" s="147"/>
      <c r="AY16" s="147"/>
      <c r="AZ16" s="147"/>
      <c r="BA16" s="147"/>
      <c r="BB16" s="147"/>
      <c r="BC16" s="147"/>
      <c r="BD16" s="147"/>
      <c r="BE16" s="147"/>
      <c r="BF16" s="147"/>
      <c r="BG16" s="147"/>
      <c r="BH16" s="147"/>
      <c r="BI16" s="147"/>
      <c r="BJ16" s="147"/>
      <c r="BK16" s="147"/>
      <c r="BL16" s="147"/>
      <c r="BM16" s="147"/>
      <c r="BN16" s="147"/>
      <c r="BO16" s="147"/>
      <c r="BP16" s="147"/>
      <c r="BQ16" s="147"/>
      <c r="BR16" s="147"/>
      <c r="BS16" s="147"/>
      <c r="BT16" s="147"/>
      <c r="BU16" s="147"/>
      <c r="BV16" s="147"/>
      <c r="BW16" s="147"/>
      <c r="BX16" s="147"/>
      <c r="BY16" s="147"/>
      <c r="BZ16" s="147"/>
      <c r="CA16" s="147"/>
      <c r="CB16" s="147"/>
      <c r="CC16" s="147"/>
      <c r="CD16" s="147"/>
      <c r="CE16" s="147"/>
      <c r="CF16" s="147"/>
      <c r="CG16" s="147"/>
      <c r="CH16" s="147"/>
      <c r="CI16" s="147"/>
      <c r="CJ16" s="147"/>
      <c r="CK16" s="147"/>
      <c r="CL16" s="147"/>
      <c r="CM16" s="147"/>
      <c r="CN16" s="147"/>
      <c r="CO16" s="147"/>
      <c r="CP16" s="147"/>
    </row>
    <row r="17" spans="1:94" s="153" customFormat="1" x14ac:dyDescent="0.25">
      <c r="A17" s="139"/>
      <c r="B17" s="139"/>
      <c r="C17" s="455" t="s">
        <v>34</v>
      </c>
      <c r="D17" s="456"/>
      <c r="E17" s="147"/>
      <c r="F17" s="258"/>
      <c r="G17" s="147"/>
      <c r="H17" s="166"/>
      <c r="I17" s="167"/>
      <c r="J17" s="166"/>
      <c r="K17" s="166"/>
      <c r="L17" s="166"/>
      <c r="M17" s="166"/>
      <c r="N17" s="166"/>
      <c r="O17"/>
      <c r="P17"/>
      <c r="Q17"/>
      <c r="R17"/>
      <c r="S17"/>
      <c r="T17"/>
      <c r="U17"/>
      <c r="V17"/>
      <c r="W17"/>
      <c r="X17"/>
      <c r="Y17"/>
      <c r="Z17" s="344"/>
      <c r="AA17" s="336"/>
      <c r="AB17" s="336"/>
      <c r="AC17" s="336"/>
      <c r="AD17" s="329"/>
      <c r="AE17" s="147"/>
      <c r="AF17" s="147"/>
      <c r="AG17" s="147"/>
      <c r="AH17" s="147"/>
      <c r="AI17" s="147"/>
      <c r="AJ17" s="147"/>
      <c r="AK17" s="147"/>
      <c r="AL17" s="147"/>
      <c r="AM17" s="147"/>
      <c r="AN17" s="147"/>
      <c r="AO17" s="147"/>
      <c r="AP17" s="147"/>
      <c r="AQ17" s="147"/>
      <c r="AR17" s="147"/>
      <c r="AS17" s="147"/>
      <c r="AT17" s="147"/>
      <c r="AU17" s="147"/>
      <c r="AV17" s="147"/>
      <c r="AW17" s="147"/>
      <c r="AX17" s="147"/>
      <c r="AY17" s="147"/>
      <c r="AZ17" s="147"/>
      <c r="BA17" s="147"/>
      <c r="BB17" s="147"/>
      <c r="BC17" s="147"/>
      <c r="BD17" s="147"/>
      <c r="BE17" s="147"/>
      <c r="BF17" s="147"/>
      <c r="BG17" s="147"/>
      <c r="BH17" s="147"/>
      <c r="BI17" s="147"/>
      <c r="BJ17" s="147"/>
      <c r="BK17" s="147"/>
      <c r="BL17" s="147"/>
      <c r="BM17" s="147"/>
      <c r="BN17" s="147"/>
      <c r="BO17" s="147"/>
      <c r="BP17" s="147"/>
      <c r="BQ17" s="147"/>
      <c r="BR17" s="147"/>
      <c r="BS17" s="147"/>
      <c r="BT17" s="147"/>
      <c r="BU17" s="147"/>
      <c r="BV17" s="147"/>
      <c r="BW17" s="147"/>
      <c r="BX17" s="147"/>
      <c r="BY17" s="147"/>
      <c r="BZ17" s="147"/>
      <c r="CA17" s="147"/>
      <c r="CB17" s="147"/>
      <c r="CC17" s="147"/>
      <c r="CD17" s="147"/>
      <c r="CE17" s="147"/>
      <c r="CF17" s="147"/>
      <c r="CG17" s="147"/>
      <c r="CH17" s="147"/>
      <c r="CI17" s="147"/>
      <c r="CJ17" s="147"/>
      <c r="CK17" s="147"/>
      <c r="CL17" s="147"/>
      <c r="CM17" s="147"/>
      <c r="CN17" s="147"/>
      <c r="CO17" s="147"/>
      <c r="CP17" s="147"/>
    </row>
    <row r="18" spans="1:94" s="153" customFormat="1" ht="26.25" customHeight="1" x14ac:dyDescent="0.25">
      <c r="A18" s="139"/>
      <c r="B18" s="168"/>
      <c r="C18" s="457" t="s">
        <v>35</v>
      </c>
      <c r="D18" s="458"/>
      <c r="E18" s="150"/>
      <c r="F18" s="165"/>
      <c r="G18" s="166"/>
      <c r="H18" s="169"/>
      <c r="I18" s="166"/>
      <c r="J18" s="166"/>
      <c r="K18" s="166"/>
      <c r="L18" s="166"/>
      <c r="M18" s="166"/>
      <c r="N18" s="166"/>
      <c r="O18"/>
      <c r="P18"/>
      <c r="Q18"/>
      <c r="R18"/>
      <c r="S18"/>
      <c r="T18"/>
      <c r="U18"/>
      <c r="V18"/>
      <c r="W18"/>
      <c r="X18"/>
      <c r="Y18"/>
      <c r="Z18" s="344"/>
      <c r="AA18" s="336"/>
      <c r="AB18" s="336"/>
      <c r="AC18" s="336"/>
      <c r="AD18" s="329"/>
      <c r="AE18" s="147"/>
      <c r="AF18" s="147"/>
      <c r="AG18" s="147"/>
      <c r="AH18" s="147"/>
      <c r="AI18" s="147"/>
      <c r="AJ18" s="147"/>
      <c r="AK18" s="147"/>
      <c r="AL18" s="147"/>
      <c r="AM18" s="147"/>
      <c r="AN18" s="147"/>
      <c r="AO18" s="147"/>
      <c r="AP18" s="147"/>
      <c r="AQ18" s="147"/>
      <c r="AR18" s="147"/>
      <c r="AS18" s="147"/>
      <c r="AT18" s="147"/>
      <c r="AU18" s="147"/>
      <c r="AV18" s="147"/>
      <c r="AW18" s="147"/>
      <c r="AX18" s="147"/>
      <c r="AY18" s="147"/>
      <c r="AZ18" s="147"/>
      <c r="BA18" s="147"/>
      <c r="BB18" s="147"/>
      <c r="BC18" s="147"/>
      <c r="BD18" s="147"/>
      <c r="BE18" s="147"/>
      <c r="BF18" s="147"/>
      <c r="BG18" s="147"/>
      <c r="BH18" s="147"/>
      <c r="BI18" s="147"/>
      <c r="BJ18" s="147"/>
      <c r="BK18" s="147"/>
      <c r="BL18" s="147"/>
      <c r="BM18" s="147"/>
      <c r="BN18" s="147"/>
      <c r="BO18" s="147"/>
      <c r="BP18" s="147"/>
      <c r="BQ18" s="147"/>
      <c r="BR18" s="147"/>
      <c r="BS18" s="147"/>
      <c r="BT18" s="147"/>
      <c r="BU18" s="147"/>
      <c r="BV18" s="147"/>
      <c r="BW18" s="147"/>
      <c r="BX18" s="147"/>
      <c r="BY18" s="147"/>
      <c r="BZ18" s="147"/>
      <c r="CA18" s="147"/>
      <c r="CB18" s="147"/>
      <c r="CC18" s="147"/>
      <c r="CD18" s="147"/>
      <c r="CE18" s="147"/>
      <c r="CF18" s="147"/>
      <c r="CG18" s="147"/>
      <c r="CH18" s="147"/>
      <c r="CI18" s="147"/>
      <c r="CJ18" s="147"/>
      <c r="CK18" s="147"/>
      <c r="CL18" s="147"/>
    </row>
    <row r="19" spans="1:94" s="153" customFormat="1" ht="25.5" x14ac:dyDescent="0.25">
      <c r="A19" s="238"/>
      <c r="B19" s="202"/>
      <c r="C19" s="239" t="s">
        <v>86</v>
      </c>
      <c r="D19" s="240" t="s">
        <v>87</v>
      </c>
      <c r="E19" s="241"/>
      <c r="F19" s="165"/>
      <c r="G19" s="166"/>
      <c r="H19" s="169"/>
      <c r="I19" s="170"/>
      <c r="J19" s="166"/>
      <c r="K19" s="166"/>
      <c r="L19" s="169"/>
      <c r="M19" s="166"/>
      <c r="N19" s="166"/>
      <c r="O19"/>
      <c r="P19"/>
      <c r="Q19"/>
      <c r="R19"/>
      <c r="S19"/>
      <c r="T19"/>
      <c r="U19"/>
      <c r="V19"/>
      <c r="W19"/>
      <c r="X19"/>
      <c r="Y19"/>
      <c r="Z19" s="344"/>
      <c r="AA19" s="363"/>
      <c r="AB19" s="363"/>
      <c r="AC19" s="363"/>
      <c r="AD19" s="329"/>
      <c r="AE19" s="147"/>
      <c r="AF19" s="147"/>
      <c r="AG19" s="147"/>
      <c r="AH19" s="147"/>
      <c r="AI19" s="147"/>
      <c r="AJ19" s="147"/>
      <c r="AK19" s="147"/>
      <c r="AL19" s="147"/>
      <c r="AM19" s="147"/>
      <c r="AN19" s="147"/>
      <c r="AO19" s="147"/>
      <c r="AP19" s="147"/>
      <c r="AQ19" s="147"/>
      <c r="AR19" s="147"/>
      <c r="AS19" s="147"/>
      <c r="AT19" s="147"/>
      <c r="AU19" s="147"/>
      <c r="AV19" s="147"/>
      <c r="AW19" s="147"/>
      <c r="AX19" s="147"/>
      <c r="AY19" s="147"/>
      <c r="AZ19" s="147"/>
      <c r="BA19" s="147"/>
      <c r="BB19" s="147"/>
      <c r="BC19" s="147"/>
      <c r="BD19" s="147"/>
      <c r="BE19" s="147"/>
      <c r="BF19" s="147"/>
      <c r="BG19" s="147"/>
      <c r="BH19" s="147"/>
      <c r="BI19" s="147"/>
      <c r="BJ19" s="147"/>
      <c r="BK19" s="147"/>
      <c r="BL19" s="147"/>
      <c r="BM19" s="147"/>
      <c r="BN19" s="147"/>
      <c r="BO19" s="147"/>
      <c r="BP19" s="147"/>
      <c r="BQ19" s="147"/>
      <c r="BR19" s="147"/>
      <c r="BS19" s="147"/>
      <c r="BT19" s="147"/>
      <c r="BU19" s="147"/>
      <c r="BV19" s="147"/>
      <c r="BW19" s="147"/>
      <c r="BX19" s="147"/>
      <c r="BY19" s="147"/>
      <c r="BZ19" s="147"/>
      <c r="CA19" s="147"/>
      <c r="CB19" s="147"/>
      <c r="CC19" s="147"/>
      <c r="CD19" s="147"/>
      <c r="CE19" s="147"/>
      <c r="CF19" s="147"/>
      <c r="CG19" s="147"/>
      <c r="CH19" s="147"/>
      <c r="CI19" s="147"/>
      <c r="CJ19" s="147"/>
      <c r="CK19" s="147"/>
      <c r="CL19" s="147"/>
      <c r="CM19" s="147"/>
      <c r="CN19" s="147"/>
      <c r="CO19" s="147"/>
      <c r="CP19" s="147"/>
    </row>
    <row r="20" spans="1:94" s="177" customFormat="1" ht="15" x14ac:dyDescent="0.25">
      <c r="A20" s="171"/>
      <c r="B20" s="172"/>
      <c r="C20" s="244"/>
      <c r="D20" s="242"/>
      <c r="E20" s="173"/>
      <c r="F20" s="174">
        <v>0</v>
      </c>
      <c r="G20" s="175">
        <v>0</v>
      </c>
      <c r="H20" s="176">
        <f t="shared" ref="H20:H30" si="0">IF(AND($F20&lt;&gt;0,$G20&lt;&gt;0,OR($E20=1,$E20=3)),$F20*Health,0)</f>
        <v>0</v>
      </c>
      <c r="I20" s="176">
        <f t="shared" ref="I20:I30" si="1">IF(AND($E20=1,$C20=""),$G20*PermVB+$G20*Retire1,IF($E20=1,$G20*PermVB+$G20*VLOOKUP($C20,Retirement_Rates,3,FALSE),IF($E20=2,$G20*GroupVB,IF(AND($E20=3,$C20=""),$G20*ElectVB+$G20*Retire1,IF($E20=3,$G20*ElectVB+$G20*VLOOKUP($C20,Retirement_Rates,3,FALSE),0)))))</f>
        <v>0</v>
      </c>
      <c r="J20" s="159">
        <f>IF($E20&gt;0,SUM($G20:$I20),0)</f>
        <v>0</v>
      </c>
      <c r="K20" s="166"/>
      <c r="L20" s="176">
        <f t="shared" ref="L20:L30" si="2">IF(AND($F20&lt;&gt;0,$G20&lt;&gt;0,OR($E20=1,$E20=3)),$F20*HealthCHG,0)</f>
        <v>0</v>
      </c>
      <c r="M20" s="176">
        <f>IF(AND($E20=1,$C20=""),$G20*PermVBCHG+$G20*Retire1CHG,IF($E20=1,$G20*PermVBCHG+$G20*VLOOKUP($C20,Retirement_Rates,5,FALSE),IF($E20=2,0,IF(AND($E20=3,$C20=""),$G20*ElectVBCHG+$G20*Retire1CHG,IF($E20=3,$G20*ElectVBCHG+$G20*VLOOKUP($C20,Retirement_Rates,5,FALSE),0)))))</f>
        <v>0</v>
      </c>
      <c r="N20" s="176">
        <f>SUM(L20:M20)</f>
        <v>0</v>
      </c>
      <c r="O20"/>
      <c r="P20"/>
      <c r="Q20"/>
      <c r="R20"/>
      <c r="S20"/>
      <c r="T20"/>
      <c r="U20"/>
      <c r="V20"/>
      <c r="W20"/>
      <c r="X20"/>
      <c r="Y20"/>
      <c r="Z20" s="344"/>
      <c r="AA20" s="363"/>
      <c r="AB20" s="363"/>
      <c r="AC20" s="363"/>
      <c r="AD20" s="329"/>
      <c r="AE20" s="147"/>
      <c r="AF20" s="147"/>
      <c r="AG20" s="147"/>
      <c r="AH20" s="147"/>
      <c r="AI20" s="147"/>
      <c r="AJ20" s="147"/>
      <c r="AK20" s="147"/>
      <c r="AL20" s="147"/>
      <c r="AM20" s="147"/>
      <c r="AN20" s="147"/>
      <c r="AO20" s="147"/>
      <c r="AP20" s="147"/>
      <c r="AQ20" s="147"/>
      <c r="AR20" s="147"/>
      <c r="AS20" s="147"/>
      <c r="AT20" s="147"/>
      <c r="AU20" s="147"/>
      <c r="AV20" s="147"/>
      <c r="AW20" s="147"/>
      <c r="AX20" s="147"/>
      <c r="AY20" s="147"/>
      <c r="AZ20" s="147"/>
      <c r="BA20" s="147"/>
      <c r="BB20" s="147"/>
      <c r="BC20" s="147"/>
      <c r="BD20" s="147"/>
      <c r="BE20" s="147"/>
      <c r="BF20" s="147"/>
      <c r="BG20" s="147"/>
      <c r="BH20" s="147"/>
      <c r="BI20" s="147"/>
      <c r="BJ20" s="147"/>
      <c r="BK20" s="147"/>
      <c r="BL20" s="147"/>
      <c r="BM20" s="147"/>
      <c r="BN20" s="147"/>
      <c r="BO20" s="147"/>
      <c r="BP20" s="147"/>
      <c r="BQ20" s="147"/>
      <c r="BR20" s="147"/>
      <c r="BS20" s="147"/>
      <c r="BT20" s="147"/>
      <c r="BU20" s="147"/>
      <c r="BV20" s="147"/>
      <c r="BW20" s="147"/>
      <c r="BX20" s="147"/>
      <c r="BY20" s="147"/>
      <c r="BZ20" s="147"/>
      <c r="CA20" s="147"/>
      <c r="CB20" s="147"/>
      <c r="CC20" s="147"/>
      <c r="CD20" s="147"/>
      <c r="CE20" s="147"/>
      <c r="CF20" s="147"/>
      <c r="CG20" s="147"/>
      <c r="CH20" s="147"/>
      <c r="CI20" s="147"/>
      <c r="CJ20" s="147"/>
      <c r="CK20" s="147"/>
      <c r="CL20" s="147"/>
      <c r="CM20" s="147"/>
      <c r="CN20" s="147"/>
      <c r="CO20" s="147"/>
      <c r="CP20" s="147"/>
    </row>
    <row r="21" spans="1:94" s="177" customFormat="1" ht="15" x14ac:dyDescent="0.25">
      <c r="A21" s="178"/>
      <c r="B21" s="179"/>
      <c r="C21" s="244"/>
      <c r="D21" s="242"/>
      <c r="E21" s="180"/>
      <c r="F21" s="181">
        <v>0</v>
      </c>
      <c r="G21" s="175">
        <v>0</v>
      </c>
      <c r="H21" s="176">
        <f t="shared" si="0"/>
        <v>0</v>
      </c>
      <c r="I21" s="176">
        <f t="shared" si="1"/>
        <v>0</v>
      </c>
      <c r="J21" s="159">
        <f t="shared" ref="J21:J35" si="3">IF($E21&gt;0,SUM($G21:$I21),0)</f>
        <v>0</v>
      </c>
      <c r="K21" s="166"/>
      <c r="L21" s="176">
        <f t="shared" si="2"/>
        <v>0</v>
      </c>
      <c r="M21" s="176">
        <f t="shared" ref="M21:M30" si="4">IF(AND($E21=1,$C21=""),$G21*PermVBCHG+$G21*Retire1CHG,IF($E21=1,$G21*PermVBCHG+$G21*VLOOKUP($C21,Retirement_Rates,5,FALSE),IF($E21=2,0,IF(AND($E21=3,$C21=""),$G21*ElectVBCHG+$G21*Retire1CHG,IF($E21=3,$G21*ElectVBCHG+$G21*VLOOKUP($C21,Retirement_Rates,5,FALSE),0)))))</f>
        <v>0</v>
      </c>
      <c r="N21" s="183">
        <f t="shared" ref="N21:N30" si="5">SUM(L21:M21)</f>
        <v>0</v>
      </c>
      <c r="O21"/>
      <c r="P21"/>
      <c r="Q21"/>
      <c r="R21"/>
      <c r="S21"/>
      <c r="T21"/>
      <c r="U21"/>
      <c r="V21"/>
      <c r="W21"/>
      <c r="X21"/>
      <c r="Y21"/>
      <c r="Z21" s="344"/>
      <c r="AA21" s="363"/>
      <c r="AB21" s="363"/>
      <c r="AC21" s="363"/>
      <c r="AD21" s="329"/>
      <c r="AE21" s="147"/>
      <c r="AF21" s="147"/>
      <c r="AG21" s="147"/>
      <c r="AH21" s="147"/>
      <c r="AI21" s="147"/>
      <c r="AJ21" s="147"/>
      <c r="AK21" s="147"/>
      <c r="AL21" s="147"/>
      <c r="AM21" s="147"/>
      <c r="AN21" s="147"/>
      <c r="AO21" s="147"/>
      <c r="AP21" s="147"/>
      <c r="AQ21" s="147"/>
      <c r="AR21" s="147"/>
      <c r="AS21" s="147"/>
      <c r="AT21" s="147"/>
      <c r="AU21" s="147"/>
      <c r="AV21" s="147"/>
      <c r="AW21" s="147"/>
      <c r="AX21" s="147"/>
      <c r="AY21" s="147"/>
      <c r="AZ21" s="147"/>
      <c r="BA21" s="147"/>
      <c r="BB21" s="147"/>
      <c r="BC21" s="147"/>
      <c r="BD21" s="147"/>
      <c r="BE21" s="147"/>
      <c r="BF21" s="147"/>
      <c r="BG21" s="147"/>
      <c r="BH21" s="147"/>
      <c r="BI21" s="147"/>
      <c r="BJ21" s="147"/>
      <c r="BK21" s="147"/>
      <c r="BL21" s="147"/>
      <c r="BM21" s="147"/>
      <c r="BN21" s="147"/>
      <c r="BO21" s="147"/>
      <c r="BP21" s="147"/>
      <c r="BQ21" s="147"/>
      <c r="BR21" s="147"/>
      <c r="BS21" s="147"/>
      <c r="BT21" s="147"/>
      <c r="BU21" s="147"/>
      <c r="BV21" s="147"/>
      <c r="BW21" s="147"/>
      <c r="BX21" s="147"/>
      <c r="BY21" s="147"/>
      <c r="BZ21" s="147"/>
      <c r="CA21" s="147"/>
      <c r="CB21" s="147"/>
      <c r="CC21" s="147"/>
      <c r="CD21" s="147"/>
      <c r="CE21" s="147"/>
      <c r="CF21" s="147"/>
      <c r="CG21" s="147"/>
      <c r="CH21" s="147"/>
      <c r="CI21" s="147"/>
      <c r="CJ21" s="147"/>
      <c r="CK21" s="147"/>
      <c r="CL21" s="147"/>
      <c r="CM21" s="147"/>
      <c r="CN21" s="147"/>
      <c r="CO21" s="147"/>
      <c r="CP21" s="147"/>
    </row>
    <row r="22" spans="1:94" s="177" customFormat="1" ht="15" x14ac:dyDescent="0.25">
      <c r="A22" s="178"/>
      <c r="B22" s="179"/>
      <c r="C22" s="244"/>
      <c r="D22" s="242"/>
      <c r="E22" s="180"/>
      <c r="F22" s="181">
        <v>0</v>
      </c>
      <c r="G22" s="175">
        <v>0</v>
      </c>
      <c r="H22" s="176">
        <f t="shared" si="0"/>
        <v>0</v>
      </c>
      <c r="I22" s="176">
        <f t="shared" si="1"/>
        <v>0</v>
      </c>
      <c r="J22" s="159">
        <f t="shared" si="3"/>
        <v>0</v>
      </c>
      <c r="K22" s="166"/>
      <c r="L22" s="176">
        <f t="shared" si="2"/>
        <v>0</v>
      </c>
      <c r="M22" s="176">
        <f t="shared" si="4"/>
        <v>0</v>
      </c>
      <c r="N22" s="183">
        <f t="shared" si="5"/>
        <v>0</v>
      </c>
      <c r="O22"/>
      <c r="P22"/>
      <c r="Q22"/>
      <c r="R22"/>
      <c r="S22"/>
      <c r="T22"/>
      <c r="U22"/>
      <c r="V22"/>
      <c r="W22"/>
      <c r="X22"/>
      <c r="Y22"/>
      <c r="Z22" s="344"/>
      <c r="AA22" s="363"/>
      <c r="AB22" s="363"/>
      <c r="AC22" s="363"/>
      <c r="AD22" s="329"/>
      <c r="AE22" s="147"/>
      <c r="AF22" s="147"/>
      <c r="AG22" s="147"/>
      <c r="AH22" s="147"/>
      <c r="AI22" s="147"/>
      <c r="AJ22" s="147"/>
      <c r="AK22" s="147"/>
      <c r="AL22" s="147"/>
      <c r="AM22" s="147"/>
      <c r="AN22" s="147"/>
      <c r="AO22" s="147"/>
      <c r="AP22" s="147"/>
      <c r="AQ22" s="147"/>
      <c r="AR22" s="147"/>
      <c r="AS22" s="147"/>
      <c r="AT22" s="147"/>
      <c r="AU22" s="147"/>
      <c r="AV22" s="147"/>
      <c r="AW22" s="147"/>
      <c r="AX22" s="147"/>
      <c r="AY22" s="147"/>
      <c r="AZ22" s="147"/>
      <c r="BA22" s="147"/>
      <c r="BB22" s="147"/>
      <c r="BC22" s="147"/>
      <c r="BD22" s="147"/>
      <c r="BE22" s="147"/>
      <c r="BF22" s="147"/>
      <c r="BG22" s="147"/>
      <c r="BH22" s="147"/>
      <c r="BI22" s="147"/>
      <c r="BJ22" s="147"/>
      <c r="BK22" s="147"/>
      <c r="BL22" s="147"/>
      <c r="BM22" s="147"/>
      <c r="BN22" s="147"/>
      <c r="BO22" s="147"/>
      <c r="BP22" s="147"/>
      <c r="BQ22" s="147"/>
      <c r="BR22" s="147"/>
      <c r="BS22" s="147"/>
      <c r="BT22" s="147"/>
      <c r="BU22" s="147"/>
      <c r="BV22" s="147"/>
      <c r="BW22" s="147"/>
      <c r="BX22" s="147"/>
      <c r="BY22" s="147"/>
      <c r="BZ22" s="147"/>
      <c r="CA22" s="147"/>
      <c r="CB22" s="147"/>
      <c r="CC22" s="147"/>
      <c r="CD22" s="147"/>
      <c r="CE22" s="147"/>
      <c r="CF22" s="147"/>
      <c r="CG22" s="147"/>
      <c r="CH22" s="147"/>
      <c r="CI22" s="147"/>
      <c r="CJ22" s="147"/>
      <c r="CK22" s="147"/>
      <c r="CL22" s="147"/>
      <c r="CM22" s="147"/>
      <c r="CN22" s="147"/>
      <c r="CO22" s="147"/>
      <c r="CP22" s="147"/>
    </row>
    <row r="23" spans="1:94" s="177" customFormat="1" ht="15" x14ac:dyDescent="0.25">
      <c r="A23" s="178"/>
      <c r="B23" s="179"/>
      <c r="C23" s="244"/>
      <c r="D23" s="242"/>
      <c r="E23" s="180"/>
      <c r="F23" s="181">
        <v>0</v>
      </c>
      <c r="G23" s="175">
        <v>0</v>
      </c>
      <c r="H23" s="176">
        <f t="shared" si="0"/>
        <v>0</v>
      </c>
      <c r="I23" s="176">
        <f t="shared" si="1"/>
        <v>0</v>
      </c>
      <c r="J23" s="159">
        <f t="shared" si="3"/>
        <v>0</v>
      </c>
      <c r="K23" s="166"/>
      <c r="L23" s="176">
        <f t="shared" si="2"/>
        <v>0</v>
      </c>
      <c r="M23" s="176">
        <f t="shared" si="4"/>
        <v>0</v>
      </c>
      <c r="N23" s="183">
        <f t="shared" si="5"/>
        <v>0</v>
      </c>
      <c r="O23"/>
      <c r="P23"/>
      <c r="Q23"/>
      <c r="R23"/>
      <c r="S23"/>
      <c r="T23"/>
      <c r="U23"/>
      <c r="V23"/>
      <c r="W23"/>
      <c r="X23"/>
      <c r="Y23"/>
      <c r="Z23" s="344"/>
      <c r="AA23" s="363"/>
      <c r="AB23" s="363"/>
      <c r="AC23" s="363"/>
      <c r="AD23" s="329"/>
      <c r="AE23" s="147"/>
      <c r="AF23" s="147"/>
      <c r="AG23" s="147"/>
      <c r="AH23" s="147"/>
      <c r="AI23" s="147"/>
      <c r="AJ23" s="147"/>
      <c r="AK23" s="147"/>
      <c r="AL23" s="147"/>
      <c r="AM23" s="147"/>
      <c r="AN23" s="147"/>
      <c r="AO23" s="147"/>
      <c r="AP23" s="147"/>
      <c r="AQ23" s="147"/>
      <c r="AR23" s="147"/>
      <c r="AS23" s="147"/>
      <c r="AT23" s="147"/>
      <c r="AU23" s="147"/>
      <c r="AV23" s="147"/>
      <c r="AW23" s="147"/>
      <c r="AX23" s="147"/>
      <c r="AY23" s="147"/>
      <c r="AZ23" s="147"/>
      <c r="BA23" s="147"/>
      <c r="BB23" s="147"/>
      <c r="BC23" s="147"/>
      <c r="BD23" s="147"/>
      <c r="BE23" s="147"/>
      <c r="BF23" s="147"/>
      <c r="BG23" s="147"/>
      <c r="BH23" s="147"/>
      <c r="BI23" s="147"/>
      <c r="BJ23" s="147"/>
      <c r="BK23" s="147"/>
      <c r="BL23" s="147"/>
      <c r="BM23" s="147"/>
      <c r="BN23" s="147"/>
      <c r="BO23" s="147"/>
      <c r="BP23" s="147"/>
      <c r="BQ23" s="147"/>
      <c r="BR23" s="147"/>
      <c r="BS23" s="147"/>
      <c r="BT23" s="147"/>
      <c r="BU23" s="147"/>
      <c r="BV23" s="147"/>
      <c r="BW23" s="147"/>
      <c r="BX23" s="147"/>
      <c r="BY23" s="147"/>
      <c r="BZ23" s="147"/>
      <c r="CA23" s="147"/>
      <c r="CB23" s="147"/>
      <c r="CC23" s="147"/>
      <c r="CD23" s="147"/>
      <c r="CE23" s="147"/>
      <c r="CF23" s="147"/>
      <c r="CG23" s="147"/>
      <c r="CH23" s="147"/>
      <c r="CI23" s="147"/>
      <c r="CJ23" s="147"/>
      <c r="CK23" s="147"/>
      <c r="CL23" s="147"/>
      <c r="CM23" s="147"/>
      <c r="CN23" s="147"/>
      <c r="CO23" s="147"/>
      <c r="CP23" s="147"/>
    </row>
    <row r="24" spans="1:94" s="177" customFormat="1" ht="15" x14ac:dyDescent="0.25">
      <c r="A24" s="178"/>
      <c r="B24" s="179"/>
      <c r="C24" s="244"/>
      <c r="D24" s="242"/>
      <c r="E24" s="180"/>
      <c r="F24" s="181">
        <v>0</v>
      </c>
      <c r="G24" s="175">
        <v>0</v>
      </c>
      <c r="H24" s="176">
        <f t="shared" si="0"/>
        <v>0</v>
      </c>
      <c r="I24" s="176">
        <f t="shared" si="1"/>
        <v>0</v>
      </c>
      <c r="J24" s="159">
        <f t="shared" si="3"/>
        <v>0</v>
      </c>
      <c r="K24" s="166"/>
      <c r="L24" s="176">
        <f t="shared" si="2"/>
        <v>0</v>
      </c>
      <c r="M24" s="176">
        <f t="shared" si="4"/>
        <v>0</v>
      </c>
      <c r="N24" s="183">
        <f t="shared" si="5"/>
        <v>0</v>
      </c>
      <c r="O24"/>
      <c r="P24"/>
      <c r="Q24"/>
      <c r="R24"/>
      <c r="S24"/>
      <c r="T24"/>
      <c r="U24"/>
      <c r="V24"/>
      <c r="W24"/>
      <c r="X24"/>
      <c r="Y24"/>
      <c r="Z24" s="344"/>
      <c r="AA24" s="345"/>
      <c r="AB24" s="363"/>
      <c r="AC24" s="363"/>
      <c r="AD24" s="329"/>
      <c r="AE24" s="147"/>
      <c r="AF24" s="147"/>
      <c r="AG24" s="147"/>
      <c r="AH24" s="147"/>
      <c r="AI24" s="147"/>
      <c r="AJ24" s="147"/>
      <c r="AK24" s="147"/>
      <c r="AL24" s="147"/>
      <c r="AM24" s="147"/>
      <c r="AN24" s="147"/>
      <c r="AO24" s="147"/>
      <c r="AP24" s="147"/>
      <c r="AQ24" s="147"/>
      <c r="AR24" s="147"/>
      <c r="AS24" s="147"/>
      <c r="AT24" s="147"/>
      <c r="AU24" s="147"/>
      <c r="AV24" s="147"/>
      <c r="AW24" s="147"/>
      <c r="AX24" s="147"/>
      <c r="AY24" s="147"/>
      <c r="AZ24" s="147"/>
      <c r="BA24" s="147"/>
      <c r="BB24" s="147"/>
      <c r="BC24" s="147"/>
      <c r="BD24" s="147"/>
      <c r="BE24" s="147"/>
      <c r="BF24" s="147"/>
      <c r="BG24" s="147"/>
      <c r="BH24" s="147"/>
      <c r="BI24" s="147"/>
      <c r="BJ24" s="147"/>
      <c r="BK24" s="147"/>
      <c r="BL24" s="147"/>
      <c r="BM24" s="147"/>
      <c r="BN24" s="147"/>
      <c r="BO24" s="147"/>
      <c r="BP24" s="147"/>
      <c r="BQ24" s="147"/>
      <c r="BR24" s="147"/>
      <c r="BS24" s="147"/>
      <c r="BT24" s="147"/>
      <c r="BU24" s="147"/>
      <c r="BV24" s="147"/>
      <c r="BW24" s="147"/>
      <c r="BX24" s="147"/>
      <c r="BY24" s="147"/>
      <c r="BZ24" s="147"/>
      <c r="CA24" s="147"/>
      <c r="CB24" s="147"/>
      <c r="CC24" s="147"/>
      <c r="CD24" s="147"/>
      <c r="CE24" s="147"/>
      <c r="CF24" s="147"/>
      <c r="CG24" s="147"/>
      <c r="CH24" s="147"/>
      <c r="CI24" s="147"/>
      <c r="CJ24" s="147"/>
      <c r="CK24" s="147"/>
      <c r="CL24" s="147"/>
      <c r="CM24" s="147"/>
      <c r="CN24" s="147"/>
      <c r="CO24" s="147"/>
      <c r="CP24" s="147"/>
    </row>
    <row r="25" spans="1:94" s="177" customFormat="1" ht="15" x14ac:dyDescent="0.25">
      <c r="A25" s="178"/>
      <c r="B25" s="179"/>
      <c r="C25" s="244"/>
      <c r="D25" s="242"/>
      <c r="E25" s="180"/>
      <c r="F25" s="181">
        <v>0</v>
      </c>
      <c r="G25" s="182">
        <v>0</v>
      </c>
      <c r="H25" s="176">
        <f t="shared" si="0"/>
        <v>0</v>
      </c>
      <c r="I25" s="176">
        <f t="shared" si="1"/>
        <v>0</v>
      </c>
      <c r="J25" s="159">
        <f t="shared" si="3"/>
        <v>0</v>
      </c>
      <c r="K25" s="166"/>
      <c r="L25" s="176">
        <f t="shared" si="2"/>
        <v>0</v>
      </c>
      <c r="M25" s="176">
        <f t="shared" si="4"/>
        <v>0</v>
      </c>
      <c r="N25" s="183">
        <f t="shared" si="5"/>
        <v>0</v>
      </c>
      <c r="O25"/>
      <c r="P25"/>
      <c r="Q25"/>
      <c r="R25"/>
      <c r="S25"/>
      <c r="T25"/>
      <c r="U25"/>
      <c r="V25"/>
      <c r="W25"/>
      <c r="X25"/>
      <c r="Y25"/>
      <c r="Z25" s="344"/>
      <c r="AA25" s="345"/>
      <c r="AB25" s="363"/>
      <c r="AC25" s="363"/>
      <c r="AD25" s="329"/>
      <c r="AE25" s="147"/>
      <c r="AF25" s="147"/>
      <c r="AG25" s="147"/>
      <c r="AH25" s="147"/>
      <c r="AI25" s="147"/>
      <c r="AJ25" s="147"/>
      <c r="AK25" s="147"/>
      <c r="AL25" s="147"/>
      <c r="AM25" s="147"/>
      <c r="AN25" s="147"/>
      <c r="AO25" s="147"/>
      <c r="AP25" s="147"/>
      <c r="AQ25" s="147"/>
      <c r="AR25" s="147"/>
      <c r="AS25" s="147"/>
      <c r="AT25" s="147"/>
      <c r="AU25" s="147"/>
      <c r="AV25" s="147"/>
      <c r="AW25" s="147"/>
      <c r="AX25" s="147"/>
      <c r="AY25" s="147"/>
      <c r="AZ25" s="147"/>
      <c r="BA25" s="147"/>
      <c r="BB25" s="147"/>
      <c r="BC25" s="147"/>
      <c r="BD25" s="147"/>
      <c r="BE25" s="147"/>
      <c r="BF25" s="147"/>
      <c r="BG25" s="147"/>
      <c r="BH25" s="147"/>
      <c r="BI25" s="147"/>
      <c r="BJ25" s="147"/>
      <c r="BK25" s="147"/>
      <c r="BL25" s="147"/>
      <c r="BM25" s="147"/>
      <c r="BN25" s="147"/>
      <c r="BO25" s="147"/>
      <c r="BP25" s="147"/>
      <c r="BQ25" s="147"/>
      <c r="BR25" s="147"/>
      <c r="BS25" s="147"/>
      <c r="BT25" s="147"/>
      <c r="BU25" s="147"/>
      <c r="BV25" s="147"/>
      <c r="BW25" s="147"/>
      <c r="BX25" s="147"/>
      <c r="BY25" s="147"/>
      <c r="BZ25" s="147"/>
      <c r="CA25" s="147"/>
      <c r="CB25" s="147"/>
      <c r="CC25" s="147"/>
      <c r="CD25" s="147"/>
      <c r="CE25" s="147"/>
      <c r="CF25" s="147"/>
      <c r="CG25" s="147"/>
      <c r="CH25" s="147"/>
      <c r="CI25" s="147"/>
      <c r="CJ25" s="147"/>
      <c r="CK25" s="147"/>
      <c r="CL25" s="147"/>
      <c r="CM25" s="147"/>
      <c r="CN25" s="147"/>
      <c r="CO25" s="147"/>
      <c r="CP25" s="147"/>
    </row>
    <row r="26" spans="1:94" s="177" customFormat="1" ht="15" x14ac:dyDescent="0.25">
      <c r="A26" s="178"/>
      <c r="B26" s="179"/>
      <c r="C26" s="244"/>
      <c r="D26" s="242"/>
      <c r="E26" s="180"/>
      <c r="F26" s="181">
        <v>0</v>
      </c>
      <c r="G26" s="182">
        <v>0</v>
      </c>
      <c r="H26" s="176">
        <f t="shared" si="0"/>
        <v>0</v>
      </c>
      <c r="I26" s="176">
        <f t="shared" si="1"/>
        <v>0</v>
      </c>
      <c r="J26" s="159">
        <f t="shared" si="3"/>
        <v>0</v>
      </c>
      <c r="K26" s="166"/>
      <c r="L26" s="176">
        <f t="shared" si="2"/>
        <v>0</v>
      </c>
      <c r="M26" s="176">
        <f t="shared" si="4"/>
        <v>0</v>
      </c>
      <c r="N26" s="183">
        <f t="shared" si="5"/>
        <v>0</v>
      </c>
      <c r="O26"/>
      <c r="P26"/>
      <c r="Q26"/>
      <c r="R26"/>
      <c r="S26"/>
      <c r="T26"/>
      <c r="U26"/>
      <c r="V26"/>
      <c r="W26"/>
      <c r="X26"/>
      <c r="Y26"/>
      <c r="Z26" s="344"/>
      <c r="AA26" s="345"/>
      <c r="AB26" s="363"/>
      <c r="AC26" s="363"/>
      <c r="AD26" s="329"/>
      <c r="AE26" s="147"/>
      <c r="AF26" s="147"/>
      <c r="AG26" s="147"/>
      <c r="AH26" s="147"/>
      <c r="AI26" s="147"/>
      <c r="AJ26" s="147"/>
      <c r="AK26" s="147"/>
      <c r="AL26" s="147"/>
      <c r="AM26" s="147"/>
      <c r="AN26" s="147"/>
      <c r="AO26" s="147"/>
      <c r="AP26" s="147"/>
      <c r="AQ26" s="147"/>
      <c r="AR26" s="147"/>
      <c r="AS26" s="147"/>
      <c r="AT26" s="147"/>
      <c r="AU26" s="147"/>
      <c r="AV26" s="147"/>
      <c r="AW26" s="147"/>
      <c r="AX26" s="147"/>
      <c r="AY26" s="147"/>
      <c r="AZ26" s="147"/>
      <c r="BA26" s="147"/>
      <c r="BB26" s="147"/>
      <c r="BC26" s="147"/>
      <c r="BD26" s="147"/>
      <c r="BE26" s="147"/>
      <c r="BF26" s="147"/>
      <c r="BG26" s="147"/>
      <c r="BH26" s="147"/>
      <c r="BI26" s="147"/>
      <c r="BJ26" s="147"/>
      <c r="BK26" s="147"/>
      <c r="BL26" s="147"/>
      <c r="BM26" s="147"/>
      <c r="BN26" s="147"/>
      <c r="BO26" s="147"/>
      <c r="BP26" s="147"/>
      <c r="BQ26" s="147"/>
      <c r="BR26" s="147"/>
      <c r="BS26" s="147"/>
      <c r="BT26" s="147"/>
      <c r="BU26" s="147"/>
      <c r="BV26" s="147"/>
      <c r="BW26" s="147"/>
      <c r="BX26" s="147"/>
      <c r="BY26" s="147"/>
      <c r="BZ26" s="147"/>
      <c r="CA26" s="147"/>
      <c r="CB26" s="147"/>
      <c r="CC26" s="147"/>
      <c r="CD26" s="147"/>
      <c r="CE26" s="147"/>
      <c r="CF26" s="147"/>
      <c r="CG26" s="147"/>
      <c r="CH26" s="147"/>
      <c r="CI26" s="147"/>
      <c r="CJ26" s="147"/>
      <c r="CK26" s="147"/>
      <c r="CL26" s="147"/>
      <c r="CM26" s="147"/>
      <c r="CN26" s="147"/>
      <c r="CO26" s="147"/>
      <c r="CP26" s="147"/>
    </row>
    <row r="27" spans="1:94" s="177" customFormat="1" ht="15" x14ac:dyDescent="0.25">
      <c r="A27" s="178"/>
      <c r="B27" s="179"/>
      <c r="C27" s="244"/>
      <c r="D27" s="242"/>
      <c r="E27" s="180"/>
      <c r="F27" s="181">
        <v>0</v>
      </c>
      <c r="G27" s="182">
        <v>0</v>
      </c>
      <c r="H27" s="176">
        <f t="shared" si="0"/>
        <v>0</v>
      </c>
      <c r="I27" s="176">
        <f t="shared" si="1"/>
        <v>0</v>
      </c>
      <c r="J27" s="159">
        <f t="shared" si="3"/>
        <v>0</v>
      </c>
      <c r="K27" s="166"/>
      <c r="L27" s="176">
        <f t="shared" si="2"/>
        <v>0</v>
      </c>
      <c r="M27" s="176">
        <f t="shared" si="4"/>
        <v>0</v>
      </c>
      <c r="N27" s="183">
        <f t="shared" si="5"/>
        <v>0</v>
      </c>
      <c r="O27"/>
      <c r="P27"/>
      <c r="Q27"/>
      <c r="R27"/>
      <c r="S27"/>
      <c r="T27"/>
      <c r="U27"/>
      <c r="V27"/>
      <c r="W27"/>
      <c r="X27"/>
      <c r="Y27"/>
      <c r="Z27" s="344"/>
      <c r="AA27" s="363"/>
      <c r="AB27" s="363"/>
      <c r="AC27" s="363"/>
      <c r="AD27" s="329"/>
      <c r="AE27" s="147"/>
      <c r="AF27" s="147"/>
      <c r="AG27" s="147"/>
      <c r="AH27" s="147"/>
      <c r="AI27" s="147"/>
      <c r="AJ27" s="147"/>
      <c r="AK27" s="147"/>
      <c r="AL27" s="147"/>
      <c r="AM27" s="147"/>
      <c r="AN27" s="147"/>
      <c r="AO27" s="147"/>
      <c r="AP27" s="147"/>
      <c r="AQ27" s="147"/>
      <c r="AR27" s="147"/>
      <c r="AS27" s="147"/>
      <c r="AT27" s="147"/>
      <c r="AU27" s="147"/>
      <c r="AV27" s="147"/>
      <c r="AW27" s="147"/>
      <c r="AX27" s="147"/>
      <c r="AY27" s="147"/>
      <c r="AZ27" s="147"/>
      <c r="BA27" s="147"/>
      <c r="BB27" s="147"/>
      <c r="BC27" s="147"/>
      <c r="BD27" s="147"/>
      <c r="BE27" s="147"/>
      <c r="BF27" s="147"/>
      <c r="BG27" s="147"/>
      <c r="BH27" s="147"/>
      <c r="BI27" s="147"/>
      <c r="BJ27" s="147"/>
      <c r="BK27" s="147"/>
      <c r="BL27" s="147"/>
      <c r="BM27" s="147"/>
      <c r="BN27" s="147"/>
      <c r="BO27" s="147"/>
      <c r="BP27" s="147"/>
      <c r="BQ27" s="147"/>
      <c r="BR27" s="147"/>
      <c r="BS27" s="147"/>
      <c r="BT27" s="147"/>
      <c r="BU27" s="147"/>
      <c r="BV27" s="147"/>
      <c r="BW27" s="147"/>
      <c r="BX27" s="147"/>
      <c r="BY27" s="147"/>
      <c r="BZ27" s="147"/>
      <c r="CA27" s="147"/>
      <c r="CB27" s="147"/>
      <c r="CC27" s="147"/>
      <c r="CD27" s="147"/>
      <c r="CE27" s="147"/>
      <c r="CF27" s="147"/>
      <c r="CG27" s="147"/>
      <c r="CH27" s="147"/>
      <c r="CI27" s="147"/>
      <c r="CJ27" s="147"/>
      <c r="CK27" s="147"/>
      <c r="CL27" s="147"/>
      <c r="CM27" s="147"/>
      <c r="CN27" s="147"/>
      <c r="CO27" s="147"/>
      <c r="CP27" s="147"/>
    </row>
    <row r="28" spans="1:94" s="177" customFormat="1" ht="15" x14ac:dyDescent="0.25">
      <c r="A28" s="178"/>
      <c r="B28" s="179"/>
      <c r="C28" s="244"/>
      <c r="D28" s="242"/>
      <c r="E28" s="180"/>
      <c r="F28" s="181">
        <v>0</v>
      </c>
      <c r="G28" s="182">
        <v>0</v>
      </c>
      <c r="H28" s="176">
        <f t="shared" si="0"/>
        <v>0</v>
      </c>
      <c r="I28" s="176">
        <f t="shared" si="1"/>
        <v>0</v>
      </c>
      <c r="J28" s="159">
        <f t="shared" si="3"/>
        <v>0</v>
      </c>
      <c r="K28" s="166"/>
      <c r="L28" s="176">
        <f t="shared" si="2"/>
        <v>0</v>
      </c>
      <c r="M28" s="176">
        <f t="shared" si="4"/>
        <v>0</v>
      </c>
      <c r="N28" s="183">
        <f t="shared" si="5"/>
        <v>0</v>
      </c>
      <c r="O28"/>
      <c r="P28"/>
      <c r="Q28"/>
      <c r="R28"/>
      <c r="S28"/>
      <c r="T28"/>
      <c r="U28"/>
      <c r="V28"/>
      <c r="W28"/>
      <c r="X28"/>
      <c r="Y28"/>
      <c r="Z28" s="344"/>
      <c r="AA28" s="363"/>
      <c r="AB28" s="363"/>
      <c r="AC28" s="363"/>
      <c r="AD28" s="329"/>
      <c r="AE28" s="147"/>
      <c r="AF28" s="147"/>
      <c r="AG28" s="147"/>
      <c r="AH28" s="147"/>
      <c r="AI28" s="147"/>
      <c r="AJ28" s="147"/>
      <c r="AK28" s="147"/>
      <c r="AL28" s="147"/>
      <c r="AM28" s="147"/>
      <c r="AN28" s="147"/>
      <c r="AO28" s="147"/>
      <c r="AP28" s="147"/>
      <c r="AQ28" s="147"/>
      <c r="AR28" s="147"/>
      <c r="AS28" s="147"/>
      <c r="AT28" s="147"/>
      <c r="AU28" s="147"/>
      <c r="AV28" s="147"/>
      <c r="AW28" s="147"/>
      <c r="AX28" s="147"/>
      <c r="AY28" s="147"/>
      <c r="AZ28" s="147"/>
      <c r="BA28" s="147"/>
      <c r="BB28" s="147"/>
      <c r="BC28" s="147"/>
      <c r="BD28" s="147"/>
      <c r="BE28" s="147"/>
      <c r="BF28" s="147"/>
      <c r="BG28" s="147"/>
      <c r="BH28" s="147"/>
      <c r="BI28" s="147"/>
      <c r="BJ28" s="147"/>
      <c r="BK28" s="147"/>
      <c r="BL28" s="147"/>
      <c r="BM28" s="147"/>
      <c r="BN28" s="147"/>
      <c r="BO28" s="147"/>
      <c r="BP28" s="147"/>
      <c r="BQ28" s="147"/>
      <c r="BR28" s="147"/>
      <c r="BS28" s="147"/>
      <c r="BT28" s="147"/>
      <c r="BU28" s="147"/>
      <c r="BV28" s="147"/>
      <c r="BW28" s="147"/>
      <c r="BX28" s="147"/>
      <c r="BY28" s="147"/>
      <c r="BZ28" s="147"/>
      <c r="CA28" s="147"/>
      <c r="CB28" s="147"/>
      <c r="CC28" s="147"/>
      <c r="CD28" s="147"/>
      <c r="CE28" s="147"/>
      <c r="CF28" s="147"/>
      <c r="CG28" s="147"/>
      <c r="CH28" s="147"/>
      <c r="CI28" s="147"/>
      <c r="CJ28" s="147"/>
      <c r="CK28" s="147"/>
      <c r="CL28" s="147"/>
      <c r="CM28" s="147"/>
      <c r="CN28" s="147"/>
      <c r="CO28" s="147"/>
      <c r="CP28" s="147"/>
    </row>
    <row r="29" spans="1:94" s="177" customFormat="1" ht="15" x14ac:dyDescent="0.25">
      <c r="A29" s="179"/>
      <c r="B29" s="179"/>
      <c r="C29" s="171"/>
      <c r="D29" s="243"/>
      <c r="E29" s="180"/>
      <c r="F29" s="181">
        <v>0</v>
      </c>
      <c r="G29" s="182">
        <v>0</v>
      </c>
      <c r="H29" s="176">
        <f t="shared" si="0"/>
        <v>0</v>
      </c>
      <c r="I29" s="176">
        <f t="shared" si="1"/>
        <v>0</v>
      </c>
      <c r="J29" s="159">
        <f t="shared" si="3"/>
        <v>0</v>
      </c>
      <c r="K29" s="166"/>
      <c r="L29" s="176">
        <f t="shared" si="2"/>
        <v>0</v>
      </c>
      <c r="M29" s="176">
        <f t="shared" si="4"/>
        <v>0</v>
      </c>
      <c r="N29" s="183">
        <f t="shared" si="5"/>
        <v>0</v>
      </c>
      <c r="O29"/>
      <c r="P29"/>
      <c r="Q29"/>
      <c r="R29"/>
      <c r="S29"/>
      <c r="T29"/>
      <c r="U29"/>
      <c r="V29"/>
      <c r="W29"/>
      <c r="X29"/>
      <c r="Y29"/>
      <c r="Z29" s="344"/>
      <c r="AA29" s="363"/>
      <c r="AB29" s="363"/>
      <c r="AC29" s="363"/>
      <c r="AD29" s="329"/>
      <c r="AE29" s="147"/>
      <c r="AF29" s="147"/>
      <c r="AG29" s="147"/>
      <c r="AH29" s="147"/>
      <c r="AI29" s="147"/>
      <c r="AJ29" s="147"/>
      <c r="AK29" s="147"/>
      <c r="AL29" s="147"/>
      <c r="AM29" s="147"/>
      <c r="AN29" s="147"/>
      <c r="AO29" s="147"/>
      <c r="AP29" s="147"/>
      <c r="AQ29" s="147"/>
      <c r="AR29" s="147"/>
      <c r="AS29" s="147"/>
      <c r="AT29" s="147"/>
      <c r="AU29" s="147"/>
      <c r="AV29" s="147"/>
      <c r="AW29" s="147"/>
      <c r="AX29" s="147"/>
      <c r="AY29" s="147"/>
      <c r="AZ29" s="147"/>
      <c r="BA29" s="147"/>
      <c r="BB29" s="147"/>
      <c r="BC29" s="147"/>
      <c r="BD29" s="147"/>
      <c r="BE29" s="147"/>
      <c r="BF29" s="147"/>
      <c r="BG29" s="147"/>
      <c r="BH29" s="147"/>
      <c r="BI29" s="147"/>
      <c r="BJ29" s="147"/>
      <c r="BK29" s="147"/>
      <c r="BL29" s="147"/>
      <c r="BM29" s="147"/>
      <c r="BN29" s="147"/>
      <c r="BO29" s="147"/>
      <c r="BP29" s="147"/>
      <c r="BQ29" s="147"/>
      <c r="BR29" s="147"/>
      <c r="BS29" s="147"/>
      <c r="BT29" s="147"/>
      <c r="BU29" s="147"/>
      <c r="BV29" s="147"/>
      <c r="BW29" s="147"/>
      <c r="BX29" s="147"/>
      <c r="BY29" s="147"/>
      <c r="BZ29" s="147"/>
      <c r="CA29" s="147"/>
      <c r="CB29" s="147"/>
      <c r="CC29" s="147"/>
      <c r="CD29" s="147"/>
      <c r="CE29" s="147"/>
      <c r="CF29" s="147"/>
      <c r="CG29" s="147"/>
      <c r="CH29" s="147"/>
      <c r="CI29" s="147"/>
      <c r="CJ29" s="147"/>
      <c r="CK29" s="147"/>
      <c r="CL29" s="147"/>
      <c r="CM29" s="147"/>
      <c r="CN29" s="147"/>
      <c r="CO29" s="147"/>
      <c r="CP29" s="147"/>
    </row>
    <row r="30" spans="1:94" s="177" customFormat="1" ht="15" x14ac:dyDescent="0.25">
      <c r="A30" s="179"/>
      <c r="B30" s="184"/>
      <c r="C30" s="171"/>
      <c r="D30" s="243"/>
      <c r="E30" s="180"/>
      <c r="F30" s="181">
        <v>0</v>
      </c>
      <c r="G30" s="182">
        <v>0</v>
      </c>
      <c r="H30" s="176">
        <f t="shared" si="0"/>
        <v>0</v>
      </c>
      <c r="I30" s="176">
        <f t="shared" si="1"/>
        <v>0</v>
      </c>
      <c r="J30" s="159">
        <f t="shared" si="3"/>
        <v>0</v>
      </c>
      <c r="K30" s="166"/>
      <c r="L30" s="176">
        <f t="shared" si="2"/>
        <v>0</v>
      </c>
      <c r="M30" s="176">
        <f t="shared" si="4"/>
        <v>0</v>
      </c>
      <c r="N30" s="183">
        <f t="shared" si="5"/>
        <v>0</v>
      </c>
      <c r="O30"/>
      <c r="P30"/>
      <c r="Q30"/>
      <c r="R30"/>
      <c r="S30"/>
      <c r="T30"/>
      <c r="U30"/>
      <c r="V30"/>
      <c r="W30"/>
      <c r="X30"/>
      <c r="Y30"/>
      <c r="Z30" s="344"/>
      <c r="AA30" s="363"/>
      <c r="AB30" s="363"/>
      <c r="AC30" s="363"/>
      <c r="AD30" s="329"/>
      <c r="AE30" s="147"/>
      <c r="AF30" s="147"/>
      <c r="AG30" s="147"/>
      <c r="AH30" s="147"/>
      <c r="AI30" s="147"/>
      <c r="AJ30" s="147"/>
      <c r="AK30" s="147"/>
      <c r="AL30" s="147"/>
      <c r="AM30" s="147"/>
      <c r="AN30" s="147"/>
      <c r="AO30" s="147"/>
      <c r="AP30" s="147"/>
      <c r="AQ30" s="147"/>
      <c r="AR30" s="147"/>
      <c r="AS30" s="147"/>
      <c r="AT30" s="147"/>
      <c r="AU30" s="147"/>
      <c r="AV30" s="147"/>
      <c r="AW30" s="147"/>
      <c r="AX30" s="147"/>
      <c r="AY30" s="147"/>
      <c r="AZ30" s="147"/>
      <c r="BA30" s="147"/>
      <c r="BB30" s="147"/>
      <c r="BC30" s="147"/>
      <c r="BD30" s="147"/>
      <c r="BE30" s="147"/>
      <c r="BF30" s="147"/>
      <c r="BG30" s="147"/>
      <c r="BH30" s="147"/>
      <c r="BI30" s="147"/>
      <c r="BJ30" s="147"/>
      <c r="BK30" s="147"/>
      <c r="BL30" s="147"/>
      <c r="BM30" s="147"/>
      <c r="BN30" s="147"/>
      <c r="BO30" s="147"/>
      <c r="BP30" s="147"/>
      <c r="BQ30" s="147"/>
      <c r="BR30" s="147"/>
      <c r="BS30" s="147"/>
      <c r="BT30" s="147"/>
      <c r="BU30" s="147"/>
      <c r="BV30" s="147"/>
      <c r="BW30" s="147"/>
      <c r="BX30" s="147"/>
      <c r="BY30" s="147"/>
      <c r="BZ30" s="147"/>
      <c r="CA30" s="147"/>
      <c r="CB30" s="147"/>
      <c r="CC30" s="147"/>
      <c r="CD30" s="147"/>
      <c r="CE30" s="147"/>
      <c r="CF30" s="147"/>
      <c r="CG30" s="147"/>
      <c r="CH30" s="147"/>
      <c r="CI30" s="147"/>
      <c r="CJ30" s="147"/>
      <c r="CK30" s="147"/>
      <c r="CL30" s="147"/>
      <c r="CM30" s="147"/>
      <c r="CN30" s="147"/>
      <c r="CO30" s="147"/>
      <c r="CP30" s="147"/>
    </row>
    <row r="31" spans="1:94" s="153" customFormat="1" ht="15" x14ac:dyDescent="0.25">
      <c r="A31" s="139"/>
      <c r="B31" s="168"/>
      <c r="C31" s="245"/>
      <c r="D31" s="246" t="s">
        <v>36</v>
      </c>
      <c r="E31" s="150"/>
      <c r="F31" s="165"/>
      <c r="G31" s="166"/>
      <c r="H31" s="166"/>
      <c r="I31" s="166"/>
      <c r="J31" s="166"/>
      <c r="K31" s="166"/>
      <c r="L31" s="166"/>
      <c r="M31" s="166"/>
      <c r="N31" s="166"/>
      <c r="O31"/>
      <c r="P31"/>
      <c r="Q31"/>
      <c r="R31"/>
      <c r="S31"/>
      <c r="T31"/>
      <c r="U31"/>
      <c r="V31"/>
      <c r="W31"/>
      <c r="X31"/>
      <c r="Y31"/>
      <c r="Z31" s="344"/>
      <c r="AA31" s="363"/>
      <c r="AB31" s="363"/>
      <c r="AC31" s="363"/>
      <c r="AD31" s="329"/>
      <c r="AE31" s="147"/>
      <c r="AF31" s="147"/>
      <c r="AG31" s="147"/>
      <c r="AH31" s="147"/>
      <c r="AI31" s="147"/>
      <c r="AJ31" s="147"/>
      <c r="AK31" s="147"/>
      <c r="AL31" s="147"/>
      <c r="AM31" s="147"/>
      <c r="AN31" s="147"/>
      <c r="AO31" s="147"/>
      <c r="AP31" s="147"/>
      <c r="AQ31" s="147"/>
      <c r="AR31" s="147"/>
      <c r="AS31" s="147"/>
      <c r="AT31" s="147"/>
      <c r="AU31" s="147"/>
      <c r="AV31" s="147"/>
      <c r="AW31" s="147"/>
      <c r="AX31" s="147"/>
      <c r="AY31" s="147"/>
      <c r="AZ31" s="147"/>
      <c r="BA31" s="147"/>
      <c r="BB31" s="147"/>
      <c r="BC31" s="147"/>
      <c r="BD31" s="147"/>
      <c r="BE31" s="147"/>
      <c r="BF31" s="147"/>
      <c r="BG31" s="147"/>
      <c r="BH31" s="147"/>
      <c r="BI31" s="147"/>
      <c r="BJ31" s="147"/>
      <c r="BK31" s="147"/>
      <c r="BL31" s="147"/>
      <c r="BM31" s="147"/>
      <c r="BN31" s="147"/>
      <c r="BO31" s="147"/>
      <c r="BP31" s="147"/>
      <c r="BQ31" s="147"/>
      <c r="BR31" s="147"/>
      <c r="BS31" s="147"/>
      <c r="BT31" s="147"/>
      <c r="BU31" s="147"/>
      <c r="BV31" s="147"/>
      <c r="BW31" s="147"/>
      <c r="BX31" s="147"/>
      <c r="BY31" s="147"/>
      <c r="BZ31" s="147"/>
      <c r="CA31" s="147"/>
      <c r="CB31" s="147"/>
      <c r="CC31" s="147"/>
      <c r="CD31" s="147"/>
      <c r="CE31" s="147"/>
      <c r="CF31" s="147"/>
      <c r="CG31" s="147"/>
      <c r="CH31" s="147"/>
      <c r="CI31" s="147"/>
      <c r="CJ31" s="147"/>
      <c r="CK31" s="147"/>
      <c r="CL31" s="147"/>
      <c r="CM31" s="147"/>
      <c r="CN31" s="147"/>
      <c r="CO31" s="147"/>
      <c r="CP31" s="147"/>
    </row>
    <row r="32" spans="1:94" s="177" customFormat="1" ht="15" x14ac:dyDescent="0.25">
      <c r="A32" s="185"/>
      <c r="B32" s="185"/>
      <c r="C32" s="244"/>
      <c r="D32" s="242"/>
      <c r="E32" s="173"/>
      <c r="F32" s="174">
        <v>0</v>
      </c>
      <c r="G32" s="175">
        <v>0</v>
      </c>
      <c r="H32" s="176">
        <f t="shared" ref="H32:H35" si="6">IF(AND($F32&lt;&gt;0,$G32&lt;&gt;0,OR($E32=1,$E32=3)),$F32*Health,0)</f>
        <v>0</v>
      </c>
      <c r="I32" s="176">
        <f t="shared" ref="I32:I34" si="7">IF(AND($E32=1,$C32=""),$G32*PermVB+$G32*Retire1,IF($E32=1,$G32*PermVB+$G32*VLOOKUP($C32,Retirement_Rates,3,FALSE),IF($E32=2,$G32*GroupVB,IF(AND($E32=3,$C32=""),$G32*ElectVB+$G32*Retire1,IF($E32=3,$G32*ElectVB+$G32*VLOOKUP($C32,Retirement_Rates,3,FALSE),0)))))</f>
        <v>0</v>
      </c>
      <c r="J32" s="279">
        <f t="shared" si="3"/>
        <v>0</v>
      </c>
      <c r="K32" s="166"/>
      <c r="L32" s="176">
        <f t="shared" ref="L32:L35" si="8">IF(AND($F32&lt;&gt;0,$G32&lt;&gt;0,OR($E32=1,$E32=3)),$F32*HealthCHG,0)</f>
        <v>0</v>
      </c>
      <c r="M32" s="176">
        <f t="shared" ref="M32:M35" si="9">IF(AND($E32=1,$C32=""),$G32*PermVBCHG+$G32*Retire1CHG,IF($E32=1,$G32*PermVBCHG+$G32*VLOOKUP($C32,Retirement_Rates,5,FALSE),IF($E32=2,0,IF(AND($E32=3,$C32=""),$G32*ElectVBCHG+$G32*Retire1CHG,IF($E32=3,$G32*ElectVBCHG+$G32*VLOOKUP($C32,Retirement_Rates,5,FALSE),0)))))</f>
        <v>0</v>
      </c>
      <c r="N32" s="176">
        <f t="shared" ref="N32:N35" si="10">SUM(L32:M32)</f>
        <v>0</v>
      </c>
      <c r="O32"/>
      <c r="P32"/>
      <c r="Q32"/>
      <c r="R32"/>
      <c r="S32"/>
      <c r="T32"/>
      <c r="U32"/>
      <c r="V32"/>
      <c r="W32"/>
      <c r="X32"/>
      <c r="Y32"/>
      <c r="Z32" s="344"/>
      <c r="AA32" s="363"/>
      <c r="AB32" s="363"/>
      <c r="AC32" s="363"/>
      <c r="AD32" s="329"/>
      <c r="AE32" s="147"/>
      <c r="AF32" s="147"/>
      <c r="AG32" s="147"/>
      <c r="AH32" s="147"/>
      <c r="AI32" s="147"/>
      <c r="AJ32" s="147"/>
      <c r="AK32" s="147"/>
      <c r="AL32" s="147"/>
      <c r="AM32" s="147"/>
      <c r="AN32" s="147"/>
      <c r="AO32" s="147"/>
      <c r="AP32" s="147"/>
      <c r="AQ32" s="147"/>
      <c r="AR32" s="147"/>
      <c r="AS32" s="147"/>
      <c r="AT32" s="147"/>
      <c r="AU32" s="147"/>
      <c r="AV32" s="147"/>
      <c r="AW32" s="147"/>
      <c r="AX32" s="147"/>
      <c r="AY32" s="147"/>
      <c r="AZ32" s="147"/>
      <c r="BA32" s="147"/>
      <c r="BB32" s="147"/>
      <c r="BC32" s="147"/>
      <c r="BD32" s="147"/>
      <c r="BE32" s="147"/>
      <c r="BF32" s="147"/>
      <c r="BG32" s="147"/>
      <c r="BH32" s="147"/>
      <c r="BI32" s="147"/>
      <c r="BJ32" s="147"/>
      <c r="BK32" s="147"/>
      <c r="BL32" s="147"/>
      <c r="BM32" s="147"/>
      <c r="BN32" s="147"/>
      <c r="BO32" s="147"/>
      <c r="BP32" s="147"/>
      <c r="BQ32" s="147"/>
      <c r="BR32" s="147"/>
      <c r="BS32" s="147"/>
      <c r="BT32" s="147"/>
      <c r="BU32" s="147"/>
      <c r="BV32" s="147"/>
      <c r="BW32" s="147"/>
      <c r="BX32" s="147"/>
      <c r="BY32" s="147"/>
      <c r="BZ32" s="147"/>
      <c r="CA32" s="147"/>
      <c r="CB32" s="147"/>
      <c r="CC32" s="147"/>
      <c r="CD32" s="147"/>
      <c r="CE32" s="147"/>
      <c r="CF32" s="147"/>
      <c r="CG32" s="147"/>
      <c r="CH32" s="147"/>
      <c r="CI32" s="147"/>
      <c r="CJ32" s="147"/>
      <c r="CK32" s="147"/>
      <c r="CL32" s="147"/>
      <c r="CM32" s="147"/>
      <c r="CN32" s="147"/>
      <c r="CO32" s="147"/>
      <c r="CP32" s="147"/>
    </row>
    <row r="33" spans="1:94" s="177" customFormat="1" ht="15" x14ac:dyDescent="0.25">
      <c r="A33" s="186"/>
      <c r="B33" s="187"/>
      <c r="C33" s="244"/>
      <c r="D33" s="242"/>
      <c r="E33" s="180"/>
      <c r="F33" s="181">
        <v>0</v>
      </c>
      <c r="G33" s="182">
        <v>0</v>
      </c>
      <c r="H33" s="176">
        <f t="shared" si="6"/>
        <v>0</v>
      </c>
      <c r="I33" s="176">
        <f t="shared" si="7"/>
        <v>0</v>
      </c>
      <c r="J33" s="279">
        <f t="shared" si="3"/>
        <v>0</v>
      </c>
      <c r="K33" s="166"/>
      <c r="L33" s="176">
        <f t="shared" si="8"/>
        <v>0</v>
      </c>
      <c r="M33" s="176">
        <f t="shared" si="9"/>
        <v>0</v>
      </c>
      <c r="N33" s="183">
        <f t="shared" si="10"/>
        <v>0</v>
      </c>
      <c r="O33"/>
      <c r="P33"/>
      <c r="Q33"/>
      <c r="R33"/>
      <c r="S33"/>
      <c r="T33"/>
      <c r="U33"/>
      <c r="V33"/>
      <c r="W33"/>
      <c r="X33"/>
      <c r="Y33"/>
      <c r="Z33" s="344"/>
      <c r="AA33" s="363"/>
      <c r="AB33" s="363"/>
      <c r="AC33" s="363"/>
      <c r="AD33" s="329"/>
      <c r="AE33" s="147"/>
      <c r="AF33" s="147"/>
      <c r="AG33" s="147"/>
      <c r="AH33" s="147"/>
      <c r="AI33" s="147"/>
      <c r="AJ33" s="147"/>
      <c r="AK33" s="147"/>
      <c r="AL33" s="147"/>
      <c r="AM33" s="147"/>
      <c r="AN33" s="147"/>
      <c r="AO33" s="147"/>
      <c r="AP33" s="147"/>
      <c r="AQ33" s="147"/>
      <c r="AR33" s="147"/>
      <c r="AS33" s="147"/>
      <c r="AT33" s="147"/>
      <c r="AU33" s="147"/>
      <c r="AV33" s="147"/>
      <c r="AW33" s="147"/>
      <c r="AX33" s="147"/>
      <c r="AY33" s="147"/>
      <c r="AZ33" s="147"/>
      <c r="BA33" s="147"/>
      <c r="BB33" s="147"/>
      <c r="BC33" s="147"/>
      <c r="BD33" s="147"/>
      <c r="BE33" s="147"/>
      <c r="BF33" s="147"/>
      <c r="BG33" s="147"/>
      <c r="BH33" s="147"/>
      <c r="BI33" s="147"/>
      <c r="BJ33" s="147"/>
      <c r="BK33" s="147"/>
      <c r="BL33" s="147"/>
      <c r="BM33" s="147"/>
      <c r="BN33" s="147"/>
      <c r="BO33" s="147"/>
      <c r="BP33" s="147"/>
      <c r="BQ33" s="147"/>
      <c r="BR33" s="147"/>
      <c r="BS33" s="147"/>
      <c r="BT33" s="147"/>
      <c r="BU33" s="147"/>
      <c r="BV33" s="147"/>
      <c r="BW33" s="147"/>
      <c r="BX33" s="147"/>
      <c r="BY33" s="147"/>
      <c r="BZ33" s="147"/>
      <c r="CA33" s="147"/>
      <c r="CB33" s="147"/>
      <c r="CC33" s="147"/>
      <c r="CD33" s="147"/>
      <c r="CE33" s="147"/>
      <c r="CF33" s="147"/>
      <c r="CG33" s="147"/>
      <c r="CH33" s="147"/>
      <c r="CI33" s="147"/>
      <c r="CJ33" s="147"/>
      <c r="CK33" s="147"/>
      <c r="CL33" s="147"/>
      <c r="CM33" s="147"/>
      <c r="CN33" s="147"/>
      <c r="CO33" s="147"/>
      <c r="CP33" s="147"/>
    </row>
    <row r="34" spans="1:94" s="177" customFormat="1" ht="15" x14ac:dyDescent="0.25">
      <c r="A34" s="186"/>
      <c r="B34" s="187"/>
      <c r="C34" s="244"/>
      <c r="D34" s="242"/>
      <c r="E34" s="180"/>
      <c r="F34" s="181">
        <v>0</v>
      </c>
      <c r="G34" s="182">
        <v>0</v>
      </c>
      <c r="H34" s="176">
        <f t="shared" si="6"/>
        <v>0</v>
      </c>
      <c r="I34" s="176">
        <f t="shared" si="7"/>
        <v>0</v>
      </c>
      <c r="J34" s="279">
        <f t="shared" si="3"/>
        <v>0</v>
      </c>
      <c r="K34" s="280"/>
      <c r="L34" s="176">
        <f t="shared" si="8"/>
        <v>0</v>
      </c>
      <c r="M34" s="176">
        <f t="shared" si="9"/>
        <v>0</v>
      </c>
      <c r="N34" s="183">
        <f t="shared" si="10"/>
        <v>0</v>
      </c>
      <c r="O34"/>
      <c r="P34"/>
      <c r="Q34"/>
      <c r="R34"/>
      <c r="S34"/>
      <c r="T34"/>
      <c r="U34"/>
      <c r="V34"/>
      <c r="W34"/>
      <c r="X34"/>
      <c r="Y34"/>
      <c r="Z34" s="344"/>
      <c r="AA34" s="363"/>
      <c r="AB34" s="363"/>
      <c r="AC34" s="363"/>
      <c r="AD34" s="329"/>
      <c r="AE34" s="147"/>
      <c r="AF34" s="147"/>
      <c r="AG34" s="147"/>
      <c r="AH34" s="147"/>
      <c r="AI34" s="147"/>
      <c r="AJ34" s="147"/>
      <c r="AK34" s="147"/>
      <c r="AL34" s="147"/>
      <c r="AM34" s="147"/>
      <c r="AN34" s="147"/>
      <c r="AO34" s="147"/>
      <c r="AP34" s="147"/>
      <c r="AQ34" s="147"/>
      <c r="AR34" s="147"/>
      <c r="AS34" s="147"/>
      <c r="AT34" s="147"/>
      <c r="AU34" s="147"/>
      <c r="AV34" s="147"/>
      <c r="AW34" s="147"/>
      <c r="AX34" s="147"/>
      <c r="AY34" s="147"/>
      <c r="AZ34" s="147"/>
      <c r="BA34" s="147"/>
      <c r="BB34" s="147"/>
      <c r="BC34" s="147"/>
      <c r="BD34" s="147"/>
      <c r="BE34" s="147"/>
      <c r="BF34" s="147"/>
      <c r="BG34" s="147"/>
      <c r="BH34" s="147"/>
      <c r="BI34" s="147"/>
      <c r="BJ34" s="147"/>
      <c r="BK34" s="147"/>
      <c r="BL34" s="147"/>
      <c r="BM34" s="147"/>
      <c r="BN34" s="147"/>
      <c r="BO34" s="147"/>
      <c r="BP34" s="147"/>
      <c r="BQ34" s="147"/>
      <c r="BR34" s="147"/>
      <c r="BS34" s="147"/>
      <c r="BT34" s="147"/>
      <c r="BU34" s="147"/>
      <c r="BV34" s="147"/>
      <c r="BW34" s="147"/>
      <c r="BX34" s="147"/>
      <c r="BY34" s="147"/>
      <c r="BZ34" s="147"/>
      <c r="CA34" s="147"/>
      <c r="CB34" s="147"/>
      <c r="CC34" s="147"/>
      <c r="CD34" s="147"/>
      <c r="CE34" s="147"/>
      <c r="CF34" s="147"/>
      <c r="CG34" s="147"/>
      <c r="CH34" s="147"/>
      <c r="CI34" s="147"/>
      <c r="CJ34" s="147"/>
      <c r="CK34" s="147"/>
      <c r="CL34" s="147"/>
      <c r="CM34" s="147"/>
      <c r="CN34" s="147"/>
      <c r="CO34" s="147"/>
      <c r="CP34" s="147"/>
    </row>
    <row r="35" spans="1:94" s="177" customFormat="1" ht="15" x14ac:dyDescent="0.25">
      <c r="A35" s="186"/>
      <c r="B35" s="187"/>
      <c r="C35" s="244"/>
      <c r="D35" s="242"/>
      <c r="E35" s="180"/>
      <c r="F35" s="181">
        <v>0</v>
      </c>
      <c r="G35" s="182">
        <v>0</v>
      </c>
      <c r="H35" s="176">
        <f t="shared" si="6"/>
        <v>0</v>
      </c>
      <c r="I35" s="176">
        <f>IF(AND($E35=1,$C35=""),$G35*(PermVB+Retire1),IF($E35=1,$G35*PermVB+$G35*VLOOKUP($C35,Retirement_Rates,3,FALSE),IF($E35=2,$G35*GroupVB,IF(AND($E35=3,$C35=""),$G35*ElectVB+$G35*Retire1,IF($E35=3,$G35*ElectVB+$G35*VLOOKUP($C35,Retirement_Rates,3,FALSE),0)))))</f>
        <v>0</v>
      </c>
      <c r="J35" s="279">
        <f t="shared" si="3"/>
        <v>0</v>
      </c>
      <c r="K35" s="309"/>
      <c r="L35" s="176">
        <f t="shared" si="8"/>
        <v>0</v>
      </c>
      <c r="M35" s="176">
        <f t="shared" si="9"/>
        <v>0</v>
      </c>
      <c r="N35" s="183">
        <f t="shared" si="10"/>
        <v>0</v>
      </c>
      <c r="O35"/>
      <c r="P35"/>
      <c r="Q35"/>
      <c r="R35"/>
      <c r="S35"/>
      <c r="T35"/>
      <c r="U35"/>
      <c r="V35"/>
      <c r="W35"/>
      <c r="X35"/>
      <c r="Y35"/>
      <c r="Z35" s="344"/>
      <c r="AA35" s="363"/>
      <c r="AB35" s="363"/>
      <c r="AC35" s="363"/>
      <c r="AD35" s="329"/>
      <c r="AE35" s="147"/>
      <c r="AF35" s="147"/>
      <c r="AG35" s="147"/>
      <c r="AH35" s="147"/>
      <c r="AI35" s="147"/>
      <c r="AJ35" s="147"/>
      <c r="AK35" s="147"/>
      <c r="AL35" s="147"/>
      <c r="AM35" s="147"/>
      <c r="AN35" s="147"/>
      <c r="AO35" s="147"/>
      <c r="AP35" s="147"/>
      <c r="AQ35" s="147"/>
      <c r="AR35" s="147"/>
      <c r="AS35" s="147"/>
      <c r="AT35" s="147"/>
      <c r="AU35" s="147"/>
      <c r="AV35" s="147"/>
      <c r="AW35" s="147"/>
      <c r="AX35" s="147"/>
      <c r="AY35" s="147"/>
      <c r="AZ35" s="147"/>
      <c r="BA35" s="147"/>
      <c r="BB35" s="147"/>
      <c r="BC35" s="147"/>
      <c r="BD35" s="147"/>
      <c r="BE35" s="147"/>
      <c r="BF35" s="147"/>
      <c r="BG35" s="147"/>
      <c r="BH35" s="147"/>
      <c r="BI35" s="147"/>
      <c r="BJ35" s="147"/>
      <c r="BK35" s="147"/>
      <c r="BL35" s="147"/>
      <c r="BM35" s="147"/>
      <c r="BN35" s="147"/>
      <c r="BO35" s="147"/>
      <c r="BP35" s="147"/>
      <c r="BQ35" s="147"/>
      <c r="BR35" s="147"/>
      <c r="BS35" s="147"/>
      <c r="BT35" s="147"/>
      <c r="BU35" s="147"/>
      <c r="BV35" s="147"/>
      <c r="BW35" s="147"/>
      <c r="BX35" s="147"/>
      <c r="BY35" s="147"/>
      <c r="BZ35" s="147"/>
      <c r="CA35" s="147"/>
      <c r="CB35" s="147"/>
      <c r="CC35" s="147"/>
      <c r="CD35" s="147"/>
      <c r="CE35" s="147"/>
      <c r="CF35" s="147"/>
      <c r="CG35" s="147"/>
      <c r="CH35" s="147"/>
      <c r="CI35" s="147"/>
      <c r="CJ35" s="147"/>
      <c r="CK35" s="147"/>
      <c r="CL35" s="147"/>
      <c r="CM35" s="147"/>
      <c r="CN35" s="147"/>
      <c r="CO35" s="147"/>
      <c r="CP35" s="147"/>
    </row>
    <row r="36" spans="1:94" s="213" customFormat="1" ht="15" x14ac:dyDescent="0.25">
      <c r="A36" s="281"/>
      <c r="B36" s="282"/>
      <c r="C36" s="283"/>
      <c r="D36" s="284"/>
      <c r="E36" s="285"/>
      <c r="F36" s="197"/>
      <c r="G36" s="259"/>
      <c r="H36" s="259"/>
      <c r="I36" s="259"/>
      <c r="J36" s="286"/>
      <c r="K36" s="280"/>
      <c r="L36" s="321"/>
      <c r="M36" s="259"/>
      <c r="N36" s="259"/>
      <c r="O36"/>
      <c r="P36"/>
      <c r="Q36"/>
      <c r="R36"/>
      <c r="S36"/>
      <c r="T36"/>
      <c r="U36"/>
      <c r="V36"/>
      <c r="W36"/>
      <c r="X36"/>
      <c r="Y36"/>
      <c r="Z36" s="344"/>
      <c r="AA36" s="363" t="s">
        <v>94</v>
      </c>
      <c r="AB36" s="333" t="s">
        <v>95</v>
      </c>
      <c r="AC36" s="333" t="s">
        <v>106</v>
      </c>
      <c r="AD36" s="330"/>
    </row>
    <row r="37" spans="1:94" s="153" customFormat="1" ht="17.25" customHeight="1" x14ac:dyDescent="0.25">
      <c r="A37" s="139"/>
      <c r="B37" s="188"/>
      <c r="C37" s="459" t="s">
        <v>37</v>
      </c>
      <c r="D37" s="460"/>
      <c r="E37" s="150"/>
      <c r="F37" s="165"/>
      <c r="G37" s="166"/>
      <c r="H37" s="166"/>
      <c r="I37" s="166"/>
      <c r="J37" s="322"/>
      <c r="K37" s="166"/>
      <c r="L37" s="166"/>
      <c r="M37" s="166"/>
      <c r="N37" s="166"/>
      <c r="O37"/>
      <c r="P37"/>
      <c r="Q37"/>
      <c r="R37"/>
      <c r="S37"/>
      <c r="T37"/>
      <c r="U37"/>
      <c r="V37"/>
      <c r="W37"/>
      <c r="X37"/>
      <c r="Y37"/>
      <c r="Z37" s="344"/>
      <c r="AA37" s="461" t="s">
        <v>107</v>
      </c>
      <c r="AB37" s="462"/>
      <c r="AC37" s="462"/>
      <c r="AD37" s="329"/>
      <c r="AE37" s="147"/>
      <c r="AF37" s="147"/>
      <c r="AG37" s="147"/>
      <c r="AH37" s="147"/>
      <c r="AI37" s="147"/>
      <c r="AJ37" s="147"/>
      <c r="AK37" s="147"/>
      <c r="AL37" s="147"/>
      <c r="AM37" s="147"/>
      <c r="AN37" s="147"/>
      <c r="AO37" s="147"/>
      <c r="AP37" s="147"/>
      <c r="AQ37" s="147"/>
      <c r="AR37" s="147"/>
      <c r="AS37" s="147"/>
      <c r="AT37" s="147"/>
      <c r="AU37" s="147"/>
      <c r="AV37" s="147"/>
      <c r="AW37" s="147"/>
      <c r="AX37" s="147"/>
      <c r="AY37" s="147"/>
      <c r="AZ37" s="147"/>
      <c r="BA37" s="147"/>
      <c r="BB37" s="147"/>
      <c r="BC37" s="147"/>
      <c r="BD37" s="147"/>
      <c r="BE37" s="147"/>
      <c r="BF37" s="147"/>
      <c r="BG37" s="147"/>
      <c r="BH37" s="147"/>
      <c r="BI37" s="147"/>
      <c r="BJ37" s="147"/>
      <c r="BK37" s="147"/>
      <c r="BL37" s="147"/>
      <c r="BM37" s="147"/>
      <c r="BN37" s="147"/>
      <c r="BO37" s="147"/>
      <c r="BP37" s="147"/>
      <c r="BQ37" s="147"/>
      <c r="BR37" s="147"/>
      <c r="BS37" s="147"/>
      <c r="BT37" s="147"/>
      <c r="BU37" s="147"/>
      <c r="BV37" s="147"/>
      <c r="BW37" s="147"/>
      <c r="BX37" s="147"/>
      <c r="BY37" s="147"/>
      <c r="BZ37" s="147"/>
      <c r="CA37" s="147"/>
      <c r="CB37" s="147"/>
      <c r="CC37" s="147"/>
      <c r="CD37" s="147"/>
      <c r="CE37" s="147"/>
      <c r="CF37" s="147"/>
      <c r="CG37" s="147"/>
      <c r="CH37" s="147"/>
      <c r="CI37" s="147"/>
      <c r="CJ37" s="147"/>
      <c r="CK37" s="147"/>
      <c r="CL37" s="147"/>
      <c r="CM37" s="147"/>
      <c r="CN37" s="147"/>
      <c r="CO37" s="147"/>
      <c r="CP37" s="147"/>
    </row>
    <row r="38" spans="1:94" s="153" customFormat="1" ht="15" x14ac:dyDescent="0.25">
      <c r="A38" s="139"/>
      <c r="B38" s="188"/>
      <c r="C38" s="443" t="str">
        <f>perm_name</f>
        <v>Permanent Positions</v>
      </c>
      <c r="D38" s="444"/>
      <c r="E38" s="189">
        <v>1</v>
      </c>
      <c r="F38" s="190">
        <f>SUMIF($E9:$E35,$E38,$F9:$F35)</f>
        <v>61.11</v>
      </c>
      <c r="G38" s="191">
        <f>SUMIF($E10:$E35,$E38,$G10:$G35)</f>
        <v>2458166.8800000004</v>
      </c>
      <c r="H38" s="192">
        <f>SUMIF($E10:$E35,$E38,$H10:$H35)</f>
        <v>711931.5</v>
      </c>
      <c r="I38" s="192">
        <f>SUMIF($E10:$E35,$E38,$I10:$I35)</f>
        <v>524578.76259359997</v>
      </c>
      <c r="J38" s="192">
        <f>SUM(G38:I38)</f>
        <v>3694677.1425936003</v>
      </c>
      <c r="K38" s="166"/>
      <c r="L38" s="191">
        <f>SUMIF($E10:$E35,$E38,$L10:$L35)</f>
        <v>0</v>
      </c>
      <c r="M38" s="192">
        <f>SUMIF($E10:$E35,$E38,$M10:$M35)</f>
        <v>-11799.201024</v>
      </c>
      <c r="N38" s="192">
        <f>SUM(L38:M38)</f>
        <v>-11799.201024</v>
      </c>
      <c r="O38"/>
      <c r="P38"/>
      <c r="Q38"/>
      <c r="R38"/>
      <c r="S38"/>
      <c r="T38"/>
      <c r="U38"/>
      <c r="V38"/>
      <c r="W38"/>
      <c r="X38"/>
      <c r="Y38"/>
      <c r="Z38" s="344"/>
      <c r="AA38" s="338">
        <f>ROUND(AdjPermSalary*CECPerm,-2)</f>
        <v>24600</v>
      </c>
      <c r="AB38" s="338">
        <f>ROUND((AdjPermVB*CECPerm+AdjPermVBBY*CECPerm),-2)</f>
        <v>5100</v>
      </c>
      <c r="AC38" s="338">
        <f>SUM(AA38:AB38)</f>
        <v>29700</v>
      </c>
      <c r="AD38" s="329"/>
      <c r="AE38" s="147"/>
      <c r="AF38" s="147"/>
      <c r="AG38" s="147"/>
      <c r="AH38" s="147"/>
      <c r="AI38" s="147"/>
      <c r="AJ38" s="147"/>
      <c r="AK38" s="147"/>
      <c r="AL38" s="147"/>
      <c r="AM38" s="147"/>
      <c r="AN38" s="147"/>
      <c r="AO38" s="147"/>
      <c r="AP38" s="147"/>
      <c r="AQ38" s="147"/>
      <c r="AR38" s="147"/>
      <c r="AS38" s="147"/>
      <c r="AT38" s="147"/>
      <c r="AU38" s="147"/>
      <c r="AV38" s="147"/>
      <c r="AW38" s="147"/>
      <c r="AX38" s="147"/>
      <c r="AY38" s="147"/>
      <c r="AZ38" s="147"/>
      <c r="BA38" s="147"/>
      <c r="BB38" s="147"/>
      <c r="BC38" s="147"/>
      <c r="BD38" s="147"/>
      <c r="BE38" s="147"/>
      <c r="BF38" s="147"/>
      <c r="BG38" s="147"/>
      <c r="BH38" s="147"/>
      <c r="BI38" s="147"/>
      <c r="BJ38" s="147"/>
      <c r="BK38" s="147"/>
      <c r="BL38" s="147"/>
      <c r="BM38" s="147"/>
      <c r="BN38" s="147"/>
      <c r="BO38" s="147"/>
      <c r="BP38" s="147"/>
      <c r="BQ38" s="147"/>
      <c r="BR38" s="147"/>
      <c r="BS38" s="147"/>
      <c r="BT38" s="147"/>
      <c r="BU38" s="147"/>
      <c r="BV38" s="147"/>
      <c r="BW38" s="147"/>
      <c r="BX38" s="147"/>
      <c r="BY38" s="147"/>
      <c r="BZ38" s="147"/>
      <c r="CA38" s="147"/>
      <c r="CB38" s="147"/>
      <c r="CC38" s="147"/>
      <c r="CD38" s="147"/>
      <c r="CE38" s="147"/>
      <c r="CF38" s="147"/>
      <c r="CG38" s="147"/>
      <c r="CH38" s="147"/>
      <c r="CI38" s="147"/>
      <c r="CJ38" s="147"/>
      <c r="CK38" s="147"/>
      <c r="CL38" s="147"/>
      <c r="CM38" s="147"/>
      <c r="CN38" s="147"/>
      <c r="CO38" s="147"/>
      <c r="CP38" s="147"/>
    </row>
    <row r="39" spans="1:94" s="153" customFormat="1" ht="15" x14ac:dyDescent="0.25">
      <c r="A39" s="139"/>
      <c r="B39" s="188"/>
      <c r="C39" s="443" t="str">
        <f>Group_name</f>
        <v>Board &amp; Group Positions</v>
      </c>
      <c r="D39" s="444"/>
      <c r="E39" s="189">
        <v>2</v>
      </c>
      <c r="F39" s="151">
        <f>SUMIF($E9:$E35,$E39,$F9:$F35)</f>
        <v>0</v>
      </c>
      <c r="G39" s="193">
        <f>SUMIF($E10:$E35,$E39,$G10:$G35)</f>
        <v>526925.31000000006</v>
      </c>
      <c r="H39" s="152">
        <f>SUMIF($E10:$E35,$E39,$H10:$H35)</f>
        <v>0</v>
      </c>
      <c r="I39" s="152">
        <f>SUMIF($E10:$E35,$E39,$I10:$I35)</f>
        <v>42396.600000000006</v>
      </c>
      <c r="J39" s="152">
        <f>SUM(G39:I39)</f>
        <v>569321.91</v>
      </c>
      <c r="K39" s="259"/>
      <c r="L39" s="193">
        <f>SUMIF($E10:$E35,$E39,$L10:$L35)</f>
        <v>0</v>
      </c>
      <c r="M39" s="152">
        <f>SUMIF($E11:$E37,$E39,$M11:$M37)</f>
        <v>0</v>
      </c>
      <c r="N39" s="152">
        <f>SUM(L39:M39)</f>
        <v>0</v>
      </c>
      <c r="O39"/>
      <c r="P39"/>
      <c r="Q39"/>
      <c r="R39"/>
      <c r="S39"/>
      <c r="T39"/>
      <c r="U39"/>
      <c r="V39"/>
      <c r="W39"/>
      <c r="X39"/>
      <c r="Y39"/>
      <c r="Z39" s="344"/>
      <c r="AA39" s="338">
        <f>ROUND(AdjGroupSalary*CECGroup,-2)</f>
        <v>5300</v>
      </c>
      <c r="AB39" s="338">
        <f>ROUND(AdjGroupVB*CECGroup,-2)</f>
        <v>400</v>
      </c>
      <c r="AC39" s="338">
        <f>SUM(AA39:AB39)</f>
        <v>5700</v>
      </c>
      <c r="AD39" s="329"/>
      <c r="AE39" s="147"/>
      <c r="AF39" s="147"/>
      <c r="AG39" s="147"/>
      <c r="AH39" s="147"/>
      <c r="AI39" s="147"/>
      <c r="AJ39" s="147"/>
      <c r="AK39" s="147"/>
      <c r="AL39" s="147"/>
      <c r="AM39" s="147"/>
      <c r="AN39" s="147"/>
      <c r="AO39" s="147"/>
      <c r="AP39" s="147"/>
      <c r="AQ39" s="147"/>
      <c r="AR39" s="147"/>
      <c r="AS39" s="147"/>
      <c r="AT39" s="147"/>
      <c r="AU39" s="147"/>
      <c r="AV39" s="147"/>
      <c r="AW39" s="147"/>
      <c r="AX39" s="147"/>
      <c r="AY39" s="147"/>
      <c r="AZ39" s="147"/>
      <c r="BA39" s="147"/>
      <c r="BB39" s="147"/>
      <c r="BC39" s="147"/>
      <c r="BD39" s="147"/>
      <c r="BE39" s="147"/>
      <c r="BF39" s="147"/>
      <c r="BG39" s="147"/>
      <c r="BH39" s="147"/>
      <c r="BI39" s="147"/>
      <c r="BJ39" s="147"/>
      <c r="BK39" s="147"/>
      <c r="BL39" s="147"/>
      <c r="BM39" s="147"/>
      <c r="BN39" s="147"/>
      <c r="BO39" s="147"/>
      <c r="BP39" s="147"/>
      <c r="BQ39" s="147"/>
      <c r="BR39" s="147"/>
      <c r="BS39" s="147"/>
      <c r="BT39" s="147"/>
      <c r="BU39" s="147"/>
      <c r="BV39" s="147"/>
      <c r="BW39" s="147"/>
      <c r="BX39" s="147"/>
      <c r="BY39" s="147"/>
      <c r="BZ39" s="147"/>
      <c r="CA39" s="147"/>
      <c r="CB39" s="147"/>
      <c r="CC39" s="147"/>
      <c r="CD39" s="147"/>
      <c r="CE39" s="147"/>
      <c r="CF39" s="147"/>
      <c r="CG39" s="147"/>
      <c r="CH39" s="147"/>
      <c r="CI39" s="147"/>
      <c r="CJ39" s="147"/>
      <c r="CK39" s="147"/>
      <c r="CL39" s="147"/>
      <c r="CM39" s="147"/>
      <c r="CN39" s="147"/>
      <c r="CO39" s="147"/>
      <c r="CP39" s="147"/>
    </row>
    <row r="40" spans="1:94" s="153" customFormat="1" ht="15" x14ac:dyDescent="0.25">
      <c r="A40" s="139"/>
      <c r="B40" s="188"/>
      <c r="C40" s="364" t="str">
        <f>Elect_name</f>
        <v>Elected Officials &amp; Full Time Commissioners</v>
      </c>
      <c r="D40" s="365"/>
      <c r="E40" s="189">
        <v>3</v>
      </c>
      <c r="F40" s="151">
        <f>SUMIF($E9:$E35,$E40,$F9:$F35)</f>
        <v>0</v>
      </c>
      <c r="G40" s="193">
        <f>SUMIF($E10:$E35,$E40,$G10:$G35)</f>
        <v>0</v>
      </c>
      <c r="H40" s="152">
        <f>SUMIF($E10:$E35,$E40,$H10:$H35)</f>
        <v>0</v>
      </c>
      <c r="I40" s="152">
        <f>SUMIF($E10:$E35,$E40,$I10:$I35)</f>
        <v>0</v>
      </c>
      <c r="J40" s="152">
        <f>SUM(G40:I40)</f>
        <v>0</v>
      </c>
      <c r="K40" s="259"/>
      <c r="L40" s="193">
        <f>SUMIF($E10:$E35,$E40,$L10:$L35)</f>
        <v>0</v>
      </c>
      <c r="M40" s="152">
        <f>SUMIF($E10:$E35,$E40,$M10:$M35)</f>
        <v>0</v>
      </c>
      <c r="N40" s="152">
        <f>SUM(L40:M40)</f>
        <v>0</v>
      </c>
      <c r="O40"/>
      <c r="P40"/>
      <c r="Q40"/>
      <c r="R40"/>
      <c r="S40"/>
      <c r="T40"/>
      <c r="U40"/>
      <c r="V40"/>
      <c r="W40"/>
      <c r="X40"/>
      <c r="Y40"/>
      <c r="Z40" s="344"/>
      <c r="AA40" s="363"/>
      <c r="AB40" s="363"/>
      <c r="AC40" s="363"/>
      <c r="AD40" s="329"/>
      <c r="AE40" s="147"/>
      <c r="AF40" s="147"/>
      <c r="AG40" s="147"/>
      <c r="AH40" s="147"/>
      <c r="AI40" s="147"/>
      <c r="AJ40" s="147"/>
      <c r="AK40" s="147"/>
      <c r="AL40" s="147"/>
      <c r="AM40" s="147"/>
      <c r="AN40" s="147"/>
      <c r="AO40" s="147"/>
      <c r="AP40" s="147"/>
      <c r="AQ40" s="147"/>
      <c r="AR40" s="147"/>
      <c r="AS40" s="147"/>
      <c r="AT40" s="147"/>
      <c r="AU40" s="147"/>
      <c r="AV40" s="147"/>
      <c r="AW40" s="147"/>
      <c r="AX40" s="147"/>
      <c r="AY40" s="147"/>
      <c r="AZ40" s="147"/>
      <c r="BA40" s="147"/>
      <c r="BB40" s="147"/>
      <c r="BC40" s="147"/>
      <c r="BD40" s="147"/>
      <c r="BE40" s="147"/>
      <c r="BF40" s="147"/>
      <c r="BG40" s="147"/>
      <c r="BH40" s="147"/>
      <c r="BI40" s="147"/>
      <c r="BJ40" s="147"/>
      <c r="BK40" s="147"/>
      <c r="BL40" s="147"/>
      <c r="BM40" s="147"/>
      <c r="BN40" s="147"/>
      <c r="BO40" s="147"/>
      <c r="BP40" s="147"/>
      <c r="BQ40" s="147"/>
      <c r="BR40" s="147"/>
      <c r="BS40" s="147"/>
      <c r="BT40" s="147"/>
      <c r="BU40" s="147"/>
      <c r="BV40" s="147"/>
      <c r="BW40" s="147"/>
      <c r="BX40" s="147"/>
      <c r="BY40" s="147"/>
      <c r="BZ40" s="147"/>
      <c r="CA40" s="147"/>
      <c r="CB40" s="147"/>
      <c r="CC40" s="147"/>
      <c r="CD40" s="147"/>
      <c r="CE40" s="147"/>
      <c r="CF40" s="147"/>
      <c r="CG40" s="147"/>
      <c r="CH40" s="147"/>
      <c r="CI40" s="147"/>
      <c r="CJ40" s="147"/>
      <c r="CK40" s="147"/>
      <c r="CL40" s="147"/>
      <c r="CM40" s="147"/>
      <c r="CN40" s="147"/>
      <c r="CO40" s="147"/>
      <c r="CP40" s="147"/>
    </row>
    <row r="41" spans="1:94" s="153" customFormat="1" ht="15" x14ac:dyDescent="0.25">
      <c r="A41" s="139"/>
      <c r="B41" s="188"/>
      <c r="C41" s="443" t="s">
        <v>38</v>
      </c>
      <c r="D41" s="444"/>
      <c r="E41" s="189"/>
      <c r="F41" s="161">
        <f>SUM(F38:F40)</f>
        <v>61.11</v>
      </c>
      <c r="G41" s="195">
        <f>SUM($G$38:$G$40)</f>
        <v>2985092.1900000004</v>
      </c>
      <c r="H41" s="162">
        <f>SUM($H$38:$H$40)</f>
        <v>711931.5</v>
      </c>
      <c r="I41" s="162">
        <f>SUM($I$38:$I$40)</f>
        <v>566975.36259359994</v>
      </c>
      <c r="J41" s="162">
        <f>SUM($J$38:$J$40)</f>
        <v>4263999.0525936</v>
      </c>
      <c r="K41" s="259"/>
      <c r="L41" s="195">
        <f>SUM($L$38:$L$40)</f>
        <v>0</v>
      </c>
      <c r="M41" s="162">
        <f>SUM($M$38:$M$40)</f>
        <v>-11799.201024</v>
      </c>
      <c r="N41" s="162">
        <f>SUM(L41:M41)</f>
        <v>-11799.201024</v>
      </c>
      <c r="O41"/>
      <c r="P41"/>
      <c r="Q41"/>
      <c r="R41"/>
      <c r="S41"/>
      <c r="T41"/>
      <c r="U41"/>
      <c r="V41"/>
      <c r="W41"/>
      <c r="X41"/>
      <c r="Y41"/>
      <c r="Z41" s="344"/>
      <c r="AA41" s="363" t="s">
        <v>94</v>
      </c>
      <c r="AB41" s="333" t="s">
        <v>95</v>
      </c>
      <c r="AC41" s="333" t="s">
        <v>106</v>
      </c>
      <c r="AD41" s="329"/>
      <c r="AE41" s="147"/>
      <c r="AF41" s="147"/>
      <c r="AG41" s="147"/>
      <c r="AH41" s="147"/>
      <c r="AI41" s="147"/>
      <c r="AJ41" s="147"/>
      <c r="AK41" s="147"/>
      <c r="AL41" s="147"/>
      <c r="AM41" s="147"/>
      <c r="AN41" s="147"/>
      <c r="AO41" s="147"/>
      <c r="AP41" s="147"/>
      <c r="AQ41" s="147"/>
      <c r="AR41" s="147"/>
      <c r="AS41" s="147"/>
      <c r="AT41" s="147"/>
      <c r="AU41" s="147"/>
      <c r="AV41" s="147"/>
      <c r="AW41" s="147"/>
      <c r="AX41" s="147"/>
      <c r="AY41" s="147"/>
      <c r="AZ41" s="147"/>
      <c r="BA41" s="147"/>
      <c r="BB41" s="147"/>
      <c r="BC41" s="147"/>
      <c r="BD41" s="147"/>
      <c r="BE41" s="147"/>
      <c r="BF41" s="147"/>
      <c r="BG41" s="147"/>
      <c r="BH41" s="147"/>
      <c r="BI41" s="147"/>
      <c r="BJ41" s="147"/>
      <c r="BK41" s="147"/>
      <c r="BL41" s="147"/>
      <c r="BM41" s="147"/>
      <c r="BN41" s="147"/>
      <c r="BO41" s="147"/>
      <c r="BP41" s="147"/>
      <c r="BQ41" s="147"/>
      <c r="BR41" s="147"/>
      <c r="BS41" s="147"/>
      <c r="BT41" s="147"/>
      <c r="BU41" s="147"/>
      <c r="BV41" s="147"/>
      <c r="BW41" s="147"/>
      <c r="BX41" s="147"/>
      <c r="BY41" s="147"/>
      <c r="BZ41" s="147"/>
      <c r="CA41" s="147"/>
      <c r="CB41" s="147"/>
      <c r="CC41" s="147"/>
      <c r="CD41" s="147"/>
      <c r="CE41" s="147"/>
      <c r="CF41" s="147"/>
      <c r="CG41" s="147"/>
      <c r="CH41" s="147"/>
      <c r="CI41" s="147"/>
      <c r="CJ41" s="147"/>
      <c r="CK41" s="147"/>
      <c r="CL41" s="147"/>
      <c r="CM41" s="147"/>
      <c r="CN41" s="147"/>
      <c r="CO41" s="147"/>
      <c r="CP41" s="147"/>
    </row>
    <row r="42" spans="1:94" s="153" customFormat="1" ht="4.5" customHeight="1" x14ac:dyDescent="0.25">
      <c r="A42" s="139"/>
      <c r="B42" s="188"/>
      <c r="C42" s="445"/>
      <c r="D42" s="446"/>
      <c r="E42" s="196"/>
      <c r="F42" s="197"/>
      <c r="G42" s="198"/>
      <c r="H42" s="199"/>
      <c r="I42" s="199"/>
      <c r="J42" s="324"/>
      <c r="K42" s="200"/>
      <c r="L42" s="323"/>
      <c r="M42" s="323"/>
      <c r="N42" s="201"/>
      <c r="O42"/>
      <c r="P42"/>
      <c r="Q42"/>
      <c r="R42"/>
      <c r="S42"/>
      <c r="T42"/>
      <c r="U42"/>
      <c r="V42"/>
      <c r="W42"/>
      <c r="X42"/>
      <c r="Y42"/>
      <c r="Z42" s="344"/>
      <c r="AA42" s="363"/>
      <c r="AB42" s="363"/>
      <c r="AC42" s="363"/>
      <c r="AD42" s="329"/>
      <c r="AE42" s="147"/>
      <c r="AF42" s="147"/>
      <c r="AG42" s="147"/>
      <c r="AH42" s="147"/>
      <c r="AI42" s="147"/>
      <c r="AJ42" s="147"/>
      <c r="AK42" s="147"/>
      <c r="AL42" s="147"/>
      <c r="AM42" s="147"/>
      <c r="AN42" s="147"/>
      <c r="AO42" s="147"/>
      <c r="AP42" s="147"/>
      <c r="AQ42" s="147"/>
      <c r="AR42" s="147"/>
      <c r="AS42" s="147"/>
      <c r="AT42" s="147"/>
      <c r="AU42" s="147"/>
      <c r="AV42" s="147"/>
      <c r="AW42" s="147"/>
      <c r="AX42" s="147"/>
      <c r="AY42" s="147"/>
      <c r="AZ42" s="147"/>
      <c r="BA42" s="147"/>
      <c r="BB42" s="147"/>
      <c r="BC42" s="147"/>
      <c r="BD42" s="147"/>
      <c r="BE42" s="147"/>
      <c r="BF42" s="147"/>
      <c r="BG42" s="147"/>
      <c r="BH42" s="147"/>
      <c r="BI42" s="147"/>
      <c r="BJ42" s="147"/>
      <c r="BK42" s="147"/>
      <c r="BL42" s="147"/>
      <c r="BM42" s="147"/>
      <c r="BN42" s="147"/>
      <c r="BO42" s="147"/>
      <c r="BP42" s="147"/>
      <c r="BQ42" s="147"/>
      <c r="BR42" s="147"/>
      <c r="BS42" s="147"/>
      <c r="BT42" s="147"/>
      <c r="BU42" s="147"/>
      <c r="BV42" s="147"/>
      <c r="BW42" s="147"/>
      <c r="BX42" s="147"/>
      <c r="BY42" s="147"/>
      <c r="BZ42" s="147"/>
      <c r="CA42" s="147"/>
      <c r="CB42" s="147"/>
      <c r="CC42" s="147"/>
      <c r="CD42" s="147"/>
      <c r="CE42" s="147"/>
      <c r="CF42" s="147"/>
      <c r="CG42" s="147"/>
      <c r="CH42" s="147"/>
      <c r="CI42" s="147"/>
      <c r="CJ42" s="147"/>
      <c r="CK42" s="147"/>
      <c r="CL42" s="147"/>
      <c r="CM42" s="147"/>
      <c r="CN42" s="147"/>
      <c r="CO42" s="147"/>
      <c r="CP42" s="147"/>
    </row>
    <row r="43" spans="1:94" s="153" customFormat="1" ht="15.75" customHeight="1" x14ac:dyDescent="0.25">
      <c r="A43" s="139"/>
      <c r="B43" s="202"/>
      <c r="C43" s="447" t="s">
        <v>39</v>
      </c>
      <c r="D43" s="448"/>
      <c r="E43" s="203" t="s">
        <v>40</v>
      </c>
      <c r="F43" s="205">
        <f>ROUND(F51-F41,2)</f>
        <v>1.74</v>
      </c>
      <c r="G43" s="206">
        <f>ROUND(G51-G41,-2)</f>
        <v>-299800</v>
      </c>
      <c r="H43" s="159">
        <f>ROUND(H51-H41,-2)</f>
        <v>-71500</v>
      </c>
      <c r="I43" s="159">
        <f>ROUND(I51-I41,-2)</f>
        <v>-56900</v>
      </c>
      <c r="J43" s="159">
        <f>SUM(G43:I43)</f>
        <v>-428200</v>
      </c>
      <c r="K43" s="424" t="str">
        <f>IF(E51=0,"ERROR! Enter Original Appropriation amount in DU 3.00!","Calculated "&amp;IF(J43&gt;0,"overfunding ","underfunding ")&amp;"is "&amp;TEXT(J43/J51,"#.0%;(#.0% );0% ;")&amp;" of Original Appropriation")</f>
        <v>Calculated underfunding is (11.2% ) of Original Appropriation</v>
      </c>
      <c r="L43" s="425"/>
      <c r="M43" s="425"/>
      <c r="N43" s="426"/>
      <c r="O43"/>
      <c r="P43"/>
      <c r="Q43"/>
      <c r="R43"/>
      <c r="S43"/>
      <c r="T43"/>
      <c r="U43"/>
      <c r="V43"/>
      <c r="W43"/>
      <c r="X43"/>
      <c r="Y43"/>
      <c r="Z43" s="344"/>
      <c r="AA43" s="451" t="s">
        <v>108</v>
      </c>
      <c r="AB43" s="452"/>
      <c r="AC43" s="452"/>
      <c r="AD43" s="329"/>
      <c r="AE43" s="147"/>
      <c r="AF43" s="147"/>
      <c r="AG43" s="147"/>
      <c r="AH43" s="147"/>
      <c r="AI43" s="147"/>
      <c r="AJ43" s="147"/>
      <c r="AK43" s="147"/>
      <c r="AL43" s="147"/>
      <c r="AM43" s="147"/>
      <c r="AN43" s="147"/>
      <c r="AO43" s="147"/>
      <c r="AP43" s="147"/>
      <c r="AQ43" s="147"/>
      <c r="AR43" s="147"/>
      <c r="AS43" s="147"/>
      <c r="AT43" s="147"/>
      <c r="AU43" s="147"/>
      <c r="AV43" s="147"/>
      <c r="AW43" s="147"/>
      <c r="AX43" s="147"/>
      <c r="AY43" s="147"/>
      <c r="AZ43" s="147"/>
      <c r="BA43" s="147"/>
      <c r="BB43" s="147"/>
      <c r="BC43" s="147"/>
      <c r="BD43" s="147"/>
      <c r="BE43" s="147"/>
      <c r="BF43" s="147"/>
      <c r="BG43" s="147"/>
      <c r="BH43" s="147"/>
      <c r="BI43" s="147"/>
      <c r="BJ43" s="147"/>
      <c r="BK43" s="147"/>
      <c r="BL43" s="147"/>
      <c r="BM43" s="147"/>
      <c r="BN43" s="147"/>
      <c r="BO43" s="147"/>
      <c r="BP43" s="147"/>
      <c r="BQ43" s="147"/>
      <c r="BR43" s="147"/>
      <c r="BS43" s="147"/>
      <c r="BT43" s="147"/>
      <c r="BU43" s="147"/>
      <c r="BV43" s="147"/>
      <c r="BW43" s="147"/>
      <c r="BX43" s="147"/>
      <c r="BY43" s="147"/>
      <c r="BZ43" s="147"/>
      <c r="CA43" s="147"/>
      <c r="CB43" s="147"/>
      <c r="CC43" s="147"/>
      <c r="CD43" s="147"/>
      <c r="CE43" s="147"/>
      <c r="CF43" s="147"/>
      <c r="CG43" s="147"/>
      <c r="CH43" s="147"/>
      <c r="CI43" s="147"/>
      <c r="CJ43" s="147"/>
      <c r="CK43" s="147"/>
      <c r="CL43" s="147"/>
      <c r="CM43" s="147"/>
      <c r="CN43" s="147"/>
      <c r="CO43" s="147"/>
      <c r="CP43" s="147"/>
    </row>
    <row r="44" spans="1:94" s="153" customFormat="1" ht="15.75" customHeight="1" x14ac:dyDescent="0.25">
      <c r="A44" s="139"/>
      <c r="B44" s="202"/>
      <c r="C44" s="449"/>
      <c r="D44" s="450"/>
      <c r="E44" s="204" t="s">
        <v>41</v>
      </c>
      <c r="F44" s="205">
        <f>ROUND(F60-F41,2)</f>
        <v>1.74</v>
      </c>
      <c r="G44" s="206">
        <f>ROUND(G60-G41,-2)</f>
        <v>-299800</v>
      </c>
      <c r="H44" s="159">
        <f>ROUND(H60-H41,-2)</f>
        <v>-71500</v>
      </c>
      <c r="I44" s="159">
        <f>ROUND(I60-I41,-2)</f>
        <v>-57000</v>
      </c>
      <c r="J44" s="159">
        <f>SUM(G44:I44)</f>
        <v>-428300</v>
      </c>
      <c r="K44" s="424" t="str">
        <f>IF(E51=0,"ERROR! Enter Original Appropriation amount in DU 3.00!","Calculated "&amp;IF(J44&gt;0,"overfunding ","underfunding ")&amp;"is "&amp;TEXT(J44/J60,"#.0%;(#.0% );0% ;")&amp;" of Estimated Expenditures")</f>
        <v>Calculated underfunding is (11.2% ) of Estimated Expenditures</v>
      </c>
      <c r="L44" s="425"/>
      <c r="M44" s="425"/>
      <c r="N44" s="426"/>
      <c r="O44"/>
      <c r="P44"/>
      <c r="Q44"/>
      <c r="R44"/>
      <c r="S44"/>
      <c r="T44"/>
      <c r="U44"/>
      <c r="V44"/>
      <c r="W44"/>
      <c r="X44"/>
      <c r="Y44"/>
      <c r="Z44" s="344"/>
      <c r="AA44" s="338">
        <f>NEW_AdjPermSalary-NEW_PermSalaryFilled</f>
        <v>0</v>
      </c>
      <c r="AB44" s="338">
        <f>NEW_AdjPermVB-NEW_PermVBFilled</f>
        <v>0</v>
      </c>
      <c r="AC44" s="338">
        <f>SUM(AA44:AB44)</f>
        <v>0</v>
      </c>
      <c r="AD44" s="329"/>
      <c r="AE44" s="147"/>
      <c r="AF44" s="147"/>
      <c r="AG44" s="147"/>
      <c r="AH44" s="147"/>
      <c r="AI44" s="147"/>
      <c r="AJ44" s="147"/>
      <c r="AK44" s="147"/>
      <c r="AL44" s="147"/>
      <c r="AM44" s="147"/>
      <c r="AN44" s="147"/>
      <c r="AO44" s="147"/>
      <c r="AP44" s="147"/>
      <c r="AQ44" s="147"/>
      <c r="AR44" s="147"/>
      <c r="AS44" s="147"/>
      <c r="AT44" s="147"/>
      <c r="AU44" s="147"/>
      <c r="AV44" s="147"/>
      <c r="AW44" s="147"/>
      <c r="AX44" s="147"/>
      <c r="AY44" s="147"/>
      <c r="AZ44" s="147"/>
      <c r="BA44" s="147"/>
      <c r="BB44" s="147"/>
      <c r="BC44" s="147"/>
      <c r="BD44" s="147"/>
      <c r="BE44" s="147"/>
      <c r="BF44" s="147"/>
      <c r="BG44" s="147"/>
      <c r="BH44" s="147"/>
      <c r="BI44" s="147"/>
      <c r="BJ44" s="147"/>
      <c r="BK44" s="147"/>
      <c r="BL44" s="147"/>
      <c r="BM44" s="147"/>
      <c r="BN44" s="147"/>
      <c r="BO44" s="147"/>
      <c r="BP44" s="147"/>
      <c r="BQ44" s="147"/>
      <c r="BR44" s="147"/>
      <c r="BS44" s="147"/>
      <c r="BT44" s="147"/>
      <c r="BU44" s="147"/>
      <c r="BV44" s="147"/>
      <c r="BW44" s="147"/>
      <c r="BX44" s="147"/>
      <c r="BY44" s="147"/>
      <c r="BZ44" s="147"/>
      <c r="CA44" s="147"/>
      <c r="CB44" s="147"/>
      <c r="CC44" s="147"/>
      <c r="CD44" s="147"/>
      <c r="CE44" s="147"/>
      <c r="CF44" s="147"/>
      <c r="CG44" s="147"/>
      <c r="CH44" s="147"/>
      <c r="CI44" s="147"/>
      <c r="CJ44" s="147"/>
      <c r="CK44" s="147"/>
      <c r="CL44" s="147"/>
      <c r="CM44" s="147"/>
      <c r="CN44" s="147"/>
      <c r="CO44" s="147"/>
      <c r="CP44" s="147"/>
    </row>
    <row r="45" spans="1:94" s="153" customFormat="1" ht="15.75" customHeight="1" x14ac:dyDescent="0.25">
      <c r="A45" s="139"/>
      <c r="B45" s="202"/>
      <c r="C45" s="215"/>
      <c r="D45" s="215"/>
      <c r="E45" s="204" t="s">
        <v>99</v>
      </c>
      <c r="F45" s="205">
        <f>ROUND(F67-F41-F63,2)</f>
        <v>1.74</v>
      </c>
      <c r="G45" s="206">
        <f>ROUND(G67-G41-G63,-2)</f>
        <v>-299800</v>
      </c>
      <c r="H45" s="206">
        <f>ROUND(H67-H41-H63,-2)</f>
        <v>-71500</v>
      </c>
      <c r="I45" s="206">
        <f>ROUND(I67-I41-I63,-2)</f>
        <v>-57000</v>
      </c>
      <c r="J45" s="159">
        <f>SUM(G45:I45)</f>
        <v>-428300</v>
      </c>
      <c r="K45" s="424" t="str">
        <f>IF(J67=0,"Program has a zero base",IF(E51=0,"ERROR! Enter Original Appropriation amount in DU 3.00!","Calculated "&amp;IF(J45&gt;0,"overfunding ","underfunding ")&amp;"is "&amp;TEXT(J45/J67,"#.0%;(#.0% );0% ;")&amp;" of the Base"))</f>
        <v>Calculated underfunding is (11.2% ) of the Base</v>
      </c>
      <c r="L45" s="425"/>
      <c r="M45" s="425"/>
      <c r="N45" s="426"/>
      <c r="O45"/>
      <c r="P45"/>
      <c r="Q45"/>
      <c r="R45"/>
      <c r="S45"/>
      <c r="T45"/>
      <c r="U45"/>
      <c r="V45"/>
      <c r="W45"/>
      <c r="X45"/>
      <c r="Y45"/>
      <c r="Z45" s="344"/>
      <c r="AA45" s="338">
        <f>NEW_AdjGroupSalary-NEW_GroupSalaryFilled</f>
        <v>0</v>
      </c>
      <c r="AB45" s="338">
        <f>NEW_AdjGroupVB-NEW_GroupVBFilled</f>
        <v>0</v>
      </c>
      <c r="AC45" s="338">
        <f>SUM(AA45:AB45)</f>
        <v>0</v>
      </c>
      <c r="AD45" s="329"/>
      <c r="AE45" s="147"/>
      <c r="AF45" s="147"/>
      <c r="AG45" s="147"/>
      <c r="AH45" s="147"/>
      <c r="AI45" s="147"/>
      <c r="AJ45" s="147"/>
      <c r="AK45" s="147"/>
      <c r="AL45" s="147"/>
      <c r="AM45" s="147"/>
      <c r="AN45" s="147"/>
      <c r="AO45" s="147"/>
      <c r="AP45" s="147"/>
      <c r="AQ45" s="147"/>
      <c r="AR45" s="147"/>
      <c r="AS45" s="147"/>
      <c r="AT45" s="147"/>
      <c r="AU45" s="147"/>
      <c r="AV45" s="147"/>
      <c r="AW45" s="147"/>
      <c r="AX45" s="147"/>
      <c r="AY45" s="147"/>
      <c r="AZ45" s="147"/>
      <c r="BA45" s="147"/>
      <c r="BB45" s="147"/>
      <c r="BC45" s="147"/>
      <c r="BD45" s="147"/>
      <c r="BE45" s="147"/>
      <c r="BF45" s="147"/>
      <c r="BG45" s="147"/>
      <c r="BH45" s="147"/>
      <c r="BI45" s="147"/>
      <c r="BJ45" s="147"/>
      <c r="BK45" s="147"/>
      <c r="BL45" s="147"/>
      <c r="BM45" s="147"/>
      <c r="BN45" s="147"/>
      <c r="BO45" s="147"/>
      <c r="BP45" s="147"/>
      <c r="BQ45" s="147"/>
      <c r="BR45" s="147"/>
      <c r="BS45" s="147"/>
      <c r="BT45" s="147"/>
      <c r="BU45" s="147"/>
      <c r="BV45" s="147"/>
      <c r="BW45" s="147"/>
      <c r="BX45" s="147"/>
      <c r="BY45" s="147"/>
      <c r="BZ45" s="147"/>
      <c r="CA45" s="147"/>
      <c r="CB45" s="147"/>
      <c r="CC45" s="147"/>
      <c r="CD45" s="147"/>
      <c r="CE45" s="147"/>
      <c r="CF45" s="147"/>
      <c r="CG45" s="147"/>
      <c r="CH45" s="147"/>
      <c r="CI45" s="147"/>
      <c r="CJ45" s="147"/>
      <c r="CK45" s="147"/>
      <c r="CL45" s="147"/>
      <c r="CM45" s="147"/>
      <c r="CN45" s="147"/>
      <c r="CO45" s="147"/>
      <c r="CP45" s="147"/>
    </row>
    <row r="46" spans="1:94" s="153" customFormat="1" ht="28.5" customHeight="1" x14ac:dyDescent="0.25">
      <c r="A46" s="139"/>
      <c r="B46" s="202"/>
      <c r="C46" s="215"/>
      <c r="D46" s="215"/>
      <c r="E46" s="427" t="s">
        <v>100</v>
      </c>
      <c r="F46" s="428"/>
      <c r="G46" s="428"/>
      <c r="H46" s="428"/>
      <c r="I46" s="428"/>
      <c r="J46" s="429"/>
      <c r="K46" s="433" t="str">
        <f>IF(OR(J45&lt;0,F45&lt;0),"You may not have sufficient funding or authorized FTP, and may need to make additional adjustments to finalize this form.  Please contact both your DFM and LSO analysts.","")</f>
        <v>You may not have sufficient funding or authorized FTP, and may need to make additional adjustments to finalize this form.  Please contact both your DFM and LSO analysts.</v>
      </c>
      <c r="L46" s="434"/>
      <c r="M46" s="434"/>
      <c r="N46" s="435"/>
      <c r="O46"/>
      <c r="P46"/>
      <c r="Q46"/>
      <c r="R46"/>
      <c r="S46"/>
      <c r="T46"/>
      <c r="U46"/>
      <c r="V46"/>
      <c r="W46"/>
      <c r="X46"/>
      <c r="Y46"/>
      <c r="Z46" s="344"/>
      <c r="AA46" s="363"/>
      <c r="AB46" s="363"/>
      <c r="AC46" s="363"/>
      <c r="AD46" s="329"/>
      <c r="AE46" s="147"/>
      <c r="AF46" s="147"/>
      <c r="AG46" s="147"/>
      <c r="AH46" s="147"/>
      <c r="AI46" s="147"/>
      <c r="AJ46" s="147"/>
      <c r="AK46" s="147"/>
      <c r="AL46" s="147"/>
      <c r="AM46" s="147"/>
      <c r="AN46" s="147"/>
      <c r="AO46" s="147"/>
      <c r="AP46" s="147"/>
      <c r="AQ46" s="147"/>
      <c r="AR46" s="147"/>
      <c r="AS46" s="147"/>
      <c r="AT46" s="147"/>
      <c r="AU46" s="147"/>
      <c r="AV46" s="147"/>
      <c r="AW46" s="147"/>
      <c r="AX46" s="147"/>
      <c r="AY46" s="147"/>
      <c r="AZ46" s="147"/>
      <c r="BA46" s="147"/>
      <c r="BB46" s="147"/>
      <c r="BC46" s="147"/>
      <c r="BD46" s="147"/>
      <c r="BE46" s="147"/>
      <c r="BF46" s="147"/>
      <c r="BG46" s="147"/>
      <c r="BH46" s="147"/>
      <c r="BI46" s="147"/>
      <c r="BJ46" s="147"/>
      <c r="BK46" s="147"/>
      <c r="BL46" s="147"/>
      <c r="BM46" s="147"/>
      <c r="BN46" s="147"/>
      <c r="BO46" s="147"/>
      <c r="BP46" s="147"/>
      <c r="BQ46" s="147"/>
      <c r="BR46" s="147"/>
      <c r="BS46" s="147"/>
      <c r="BT46" s="147"/>
      <c r="BU46" s="147"/>
      <c r="BV46" s="147"/>
      <c r="BW46" s="147"/>
      <c r="BX46" s="147"/>
      <c r="BY46" s="147"/>
      <c r="BZ46" s="147"/>
      <c r="CA46" s="147"/>
      <c r="CB46" s="147"/>
      <c r="CC46" s="147"/>
      <c r="CD46" s="147"/>
      <c r="CE46" s="147"/>
      <c r="CF46" s="147"/>
      <c r="CG46" s="147"/>
      <c r="CH46" s="147"/>
      <c r="CI46" s="147"/>
      <c r="CJ46" s="147"/>
      <c r="CK46" s="147"/>
      <c r="CL46" s="147"/>
      <c r="CM46" s="147"/>
      <c r="CN46" s="147"/>
      <c r="CO46" s="147"/>
      <c r="CP46" s="147"/>
    </row>
    <row r="47" spans="1:94" s="153" customFormat="1" ht="21.75" customHeight="1" x14ac:dyDescent="0.25">
      <c r="A47" s="139"/>
      <c r="B47" s="202"/>
      <c r="C47" s="215"/>
      <c r="D47" s="215"/>
      <c r="E47" s="430"/>
      <c r="F47" s="431"/>
      <c r="G47" s="431"/>
      <c r="H47" s="431"/>
      <c r="I47" s="431"/>
      <c r="J47" s="432"/>
      <c r="K47" s="436"/>
      <c r="L47" s="437"/>
      <c r="M47" s="437"/>
      <c r="N47" s="438"/>
      <c r="O47"/>
      <c r="P47"/>
      <c r="Q47"/>
      <c r="R47"/>
      <c r="S47"/>
      <c r="T47"/>
      <c r="U47"/>
      <c r="V47"/>
      <c r="W47"/>
      <c r="X47"/>
      <c r="Y47"/>
      <c r="Z47" s="344"/>
      <c r="AA47" s="363"/>
      <c r="AB47" s="363"/>
      <c r="AC47" s="363"/>
      <c r="AD47" s="329"/>
      <c r="AE47" s="147"/>
      <c r="AF47" s="147"/>
      <c r="AG47" s="147"/>
      <c r="AH47" s="147"/>
      <c r="AI47" s="147"/>
      <c r="AJ47" s="147"/>
      <c r="AK47" s="147"/>
      <c r="AL47" s="147"/>
      <c r="AM47" s="147"/>
      <c r="AN47" s="147"/>
      <c r="AO47" s="147"/>
      <c r="AP47" s="147"/>
      <c r="AQ47" s="147"/>
      <c r="AR47" s="147"/>
      <c r="AS47" s="147"/>
      <c r="AT47" s="147"/>
      <c r="AU47" s="147"/>
      <c r="AV47" s="147"/>
      <c r="AW47" s="147"/>
      <c r="AX47" s="147"/>
      <c r="AY47" s="147"/>
      <c r="AZ47" s="147"/>
      <c r="BA47" s="147"/>
      <c r="BB47" s="147"/>
      <c r="BC47" s="147"/>
      <c r="BD47" s="147"/>
      <c r="BE47" s="147"/>
      <c r="BF47" s="147"/>
      <c r="BG47" s="147"/>
      <c r="BH47" s="147"/>
      <c r="BI47" s="147"/>
      <c r="BJ47" s="147"/>
      <c r="BK47" s="147"/>
      <c r="BL47" s="147"/>
      <c r="BM47" s="147"/>
      <c r="BN47" s="147"/>
      <c r="BO47" s="147"/>
      <c r="BP47" s="147"/>
      <c r="BQ47" s="147"/>
      <c r="BR47" s="147"/>
      <c r="BS47" s="147"/>
      <c r="BT47" s="147"/>
      <c r="BU47" s="147"/>
      <c r="BV47" s="147"/>
      <c r="BW47" s="147"/>
      <c r="BX47" s="147"/>
      <c r="BY47" s="147"/>
      <c r="BZ47" s="147"/>
      <c r="CA47" s="147"/>
      <c r="CB47" s="147"/>
      <c r="CC47" s="147"/>
      <c r="CD47" s="147"/>
      <c r="CE47" s="147"/>
      <c r="CF47" s="147"/>
      <c r="CG47" s="147"/>
      <c r="CH47" s="147"/>
      <c r="CI47" s="147"/>
      <c r="CJ47" s="147"/>
      <c r="CK47" s="147"/>
      <c r="CL47" s="147"/>
      <c r="CM47" s="147"/>
      <c r="CN47" s="147"/>
      <c r="CO47" s="147"/>
      <c r="CP47" s="147"/>
    </row>
    <row r="48" spans="1:94" s="214" customFormat="1" ht="8.25" customHeight="1" x14ac:dyDescent="0.25">
      <c r="A48" s="207"/>
      <c r="B48" s="208"/>
      <c r="C48" s="136"/>
      <c r="D48" s="136"/>
      <c r="E48" s="209"/>
      <c r="F48" s="210"/>
      <c r="G48" s="211"/>
      <c r="H48" s="211"/>
      <c r="I48" s="211"/>
      <c r="J48" s="211"/>
      <c r="K48" s="211"/>
      <c r="L48" s="137"/>
      <c r="M48" s="138"/>
      <c r="N48" s="212"/>
      <c r="O48"/>
      <c r="P48"/>
      <c r="Q48"/>
      <c r="R48"/>
      <c r="S48"/>
      <c r="T48"/>
      <c r="U48"/>
      <c r="V48"/>
      <c r="W48"/>
      <c r="X48"/>
      <c r="Y48"/>
      <c r="Z48" s="344"/>
      <c r="AA48" s="339"/>
      <c r="AB48" s="339"/>
      <c r="AC48" s="339"/>
      <c r="AD48" s="330"/>
      <c r="AE48" s="213"/>
      <c r="AF48" s="213"/>
      <c r="AG48" s="213"/>
      <c r="AH48" s="213"/>
      <c r="AI48" s="213"/>
      <c r="AJ48" s="213"/>
      <c r="AK48" s="213"/>
      <c r="AL48" s="213"/>
      <c r="AM48" s="213"/>
      <c r="AN48" s="213"/>
      <c r="AO48" s="213"/>
      <c r="AP48" s="213"/>
      <c r="AQ48" s="213"/>
      <c r="AR48" s="213"/>
      <c r="AS48" s="213"/>
      <c r="AT48" s="213"/>
      <c r="AU48" s="213"/>
      <c r="AV48" s="213"/>
      <c r="AW48" s="213"/>
      <c r="AX48" s="213"/>
      <c r="AY48" s="213"/>
      <c r="AZ48" s="213"/>
      <c r="BA48" s="213"/>
      <c r="BB48" s="213"/>
      <c r="BC48" s="213"/>
      <c r="BD48" s="213"/>
      <c r="BE48" s="213"/>
      <c r="BF48" s="213"/>
      <c r="BG48" s="213"/>
      <c r="BH48" s="213"/>
      <c r="BI48" s="213"/>
      <c r="BJ48" s="213"/>
      <c r="BK48" s="213"/>
      <c r="BL48" s="213"/>
      <c r="BM48" s="213"/>
      <c r="BN48" s="213"/>
      <c r="BO48" s="213"/>
      <c r="BP48" s="213"/>
      <c r="BQ48" s="213"/>
      <c r="BR48" s="213"/>
      <c r="BS48" s="213"/>
      <c r="BT48" s="213"/>
      <c r="BU48" s="213"/>
      <c r="BV48" s="213"/>
      <c r="BW48" s="213"/>
      <c r="BX48" s="213"/>
      <c r="BY48" s="213"/>
      <c r="BZ48" s="213"/>
      <c r="CA48" s="213"/>
      <c r="CB48" s="213"/>
      <c r="CC48" s="213"/>
      <c r="CD48" s="213"/>
      <c r="CE48" s="213"/>
      <c r="CF48" s="213"/>
      <c r="CG48" s="213"/>
      <c r="CH48" s="213"/>
      <c r="CI48" s="213"/>
      <c r="CJ48" s="213"/>
      <c r="CK48" s="213"/>
      <c r="CL48" s="213"/>
      <c r="CM48" s="213"/>
      <c r="CN48" s="213"/>
      <c r="CO48" s="213"/>
      <c r="CP48" s="213"/>
    </row>
    <row r="49" spans="1:94" s="53" customFormat="1" ht="6" customHeight="1" x14ac:dyDescent="0.25">
      <c r="A49" s="63"/>
      <c r="B49" s="64"/>
      <c r="C49" s="65"/>
      <c r="D49" s="66"/>
      <c r="E49" s="67"/>
      <c r="F49" s="68"/>
      <c r="G49" s="64"/>
      <c r="H49" s="64"/>
      <c r="I49" s="64"/>
      <c r="J49" s="64"/>
      <c r="K49" s="64"/>
      <c r="L49" s="69"/>
      <c r="M49" s="69"/>
      <c r="N49" s="70"/>
      <c r="O49"/>
      <c r="P49"/>
      <c r="Q49"/>
      <c r="R49"/>
      <c r="S49"/>
      <c r="T49"/>
      <c r="U49"/>
      <c r="V49"/>
      <c r="W49"/>
      <c r="X49"/>
      <c r="Y49"/>
      <c r="Z49" s="344"/>
      <c r="AA49" s="363"/>
      <c r="AB49" s="363"/>
      <c r="AC49" s="363"/>
      <c r="AD49" s="110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1"/>
      <c r="AV49" s="41"/>
      <c r="AW49" s="41"/>
      <c r="AX49" s="41"/>
      <c r="AY49" s="41"/>
      <c r="AZ49" s="41"/>
      <c r="BA49" s="41"/>
      <c r="BB49" s="41"/>
      <c r="BC49" s="41"/>
      <c r="BD49" s="41"/>
      <c r="BE49" s="41"/>
      <c r="BF49" s="41"/>
      <c r="BG49" s="41"/>
      <c r="BH49" s="41"/>
      <c r="BI49" s="41"/>
      <c r="BJ49" s="41"/>
      <c r="BK49" s="41"/>
      <c r="BL49" s="41"/>
      <c r="BM49" s="41"/>
      <c r="BN49" s="41"/>
      <c r="BO49" s="41"/>
      <c r="BP49" s="41"/>
      <c r="BQ49" s="41"/>
      <c r="BR49" s="41"/>
      <c r="BS49" s="41"/>
      <c r="BT49" s="41"/>
      <c r="BU49" s="41"/>
      <c r="BV49" s="41"/>
      <c r="BW49" s="41"/>
      <c r="BX49" s="41"/>
      <c r="BY49" s="41"/>
      <c r="BZ49" s="41"/>
      <c r="CA49" s="41"/>
      <c r="CB49" s="41"/>
      <c r="CC49" s="41"/>
      <c r="CD49" s="41"/>
      <c r="CE49" s="41"/>
      <c r="CF49" s="41"/>
      <c r="CG49" s="41"/>
      <c r="CH49" s="41"/>
      <c r="CI49" s="41"/>
      <c r="CJ49" s="41"/>
      <c r="CK49" s="41"/>
      <c r="CL49" s="41"/>
      <c r="CM49" s="41"/>
      <c r="CN49" s="41"/>
      <c r="CO49" s="41"/>
      <c r="CP49" s="41"/>
    </row>
    <row r="50" spans="1:94" s="53" customFormat="1" ht="24.75" customHeight="1" x14ac:dyDescent="0.25">
      <c r="A50" s="257" t="s">
        <v>42</v>
      </c>
      <c r="B50" s="71"/>
      <c r="C50" s="439"/>
      <c r="D50" s="440"/>
      <c r="E50" s="72" t="s">
        <v>43</v>
      </c>
      <c r="F50" s="73" t="s">
        <v>24</v>
      </c>
      <c r="G50" s="72" t="str">
        <f>"FY "&amp;M4-2001&amp;" Salary"</f>
        <v>FY 22 Salary</v>
      </c>
      <c r="H50" s="72" t="str">
        <f>"FY "&amp;M4-2001&amp;" Health Ben"</f>
        <v>FY 22 Health Ben</v>
      </c>
      <c r="I50" s="72" t="str">
        <f>"FY "&amp;M4-2001&amp;" Var Ben"</f>
        <v>FY 22 Var Ben</v>
      </c>
      <c r="J50" s="72" t="str">
        <f>"FY "&amp;M4-1&amp;" Total"</f>
        <v>FY 2022 Total</v>
      </c>
      <c r="K50" s="307" t="str">
        <f>"FY "&amp;FiscalYear&amp;" SALARY CHG"</f>
        <v>FY 2023 SALARY CHG</v>
      </c>
      <c r="L50" s="74" t="str">
        <f>"FY "&amp;M4-2000&amp;" Chg Health Bens"</f>
        <v>FY 23 Chg Health Bens</v>
      </c>
      <c r="M50" s="74" t="str">
        <f>"FY "&amp;M4-2000&amp;" Chg Var Bens"</f>
        <v>FY 23 Chg Var Bens</v>
      </c>
      <c r="N50" s="74" t="s">
        <v>44</v>
      </c>
      <c r="O50"/>
      <c r="P50"/>
      <c r="Q50"/>
      <c r="R50"/>
      <c r="S50"/>
      <c r="T50"/>
      <c r="U50"/>
      <c r="V50"/>
      <c r="W50"/>
      <c r="X50"/>
      <c r="Y50"/>
      <c r="Z50" s="344"/>
      <c r="AA50" s="363"/>
      <c r="AB50" s="363"/>
      <c r="AC50" s="363"/>
      <c r="AD50" s="110"/>
      <c r="AE50" s="41"/>
      <c r="AF50" s="41"/>
      <c r="AG50" s="41"/>
      <c r="AH50" s="41"/>
      <c r="AI50" s="41"/>
      <c r="AJ50" s="41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U50" s="41"/>
      <c r="AV50" s="41"/>
      <c r="AW50" s="41"/>
      <c r="AX50" s="41"/>
      <c r="AY50" s="41"/>
      <c r="AZ50" s="41"/>
      <c r="BA50" s="41"/>
      <c r="BB50" s="41"/>
      <c r="BC50" s="41"/>
      <c r="BD50" s="41"/>
      <c r="BE50" s="41"/>
      <c r="BF50" s="41"/>
      <c r="BG50" s="41"/>
      <c r="BH50" s="41"/>
      <c r="BI50" s="41"/>
      <c r="BJ50" s="41"/>
      <c r="BK50" s="41"/>
      <c r="BL50" s="41"/>
      <c r="BM50" s="41"/>
      <c r="BN50" s="41"/>
      <c r="BO50" s="41"/>
      <c r="BP50" s="41"/>
      <c r="BQ50" s="41"/>
      <c r="BR50" s="41"/>
      <c r="BS50" s="41"/>
      <c r="BT50" s="41"/>
      <c r="BU50" s="41"/>
      <c r="BV50" s="41"/>
      <c r="BW50" s="41"/>
      <c r="BX50" s="41"/>
      <c r="BY50" s="41"/>
      <c r="BZ50" s="41"/>
      <c r="CA50" s="41"/>
      <c r="CB50" s="41"/>
      <c r="CC50" s="41"/>
      <c r="CD50" s="41"/>
      <c r="CE50" s="41"/>
      <c r="CF50" s="41"/>
      <c r="CG50" s="41"/>
      <c r="CH50" s="41"/>
      <c r="CI50" s="41"/>
      <c r="CJ50" s="41"/>
      <c r="CK50" s="41"/>
      <c r="CL50" s="41"/>
      <c r="CM50" s="41"/>
      <c r="CN50" s="41"/>
      <c r="CO50" s="41"/>
      <c r="CP50" s="41"/>
    </row>
    <row r="51" spans="1:94" s="53" customFormat="1" ht="15.75" customHeight="1" x14ac:dyDescent="0.25">
      <c r="A51" s="75">
        <v>3</v>
      </c>
      <c r="B51" s="76" t="s">
        <v>45</v>
      </c>
      <c r="C51" s="54" t="str">
        <f>"FY "&amp;M4-1</f>
        <v>FY 2022</v>
      </c>
      <c r="D51" s="77" t="s">
        <v>31</v>
      </c>
      <c r="E51" s="78">
        <f>OrigApprop</f>
        <v>3835800</v>
      </c>
      <c r="F51" s="272">
        <f>AppropFTP</f>
        <v>62.85</v>
      </c>
      <c r="G51" s="274">
        <f>IF(E51=0,0,(G41/$J$41)*$E$51)</f>
        <v>2685323.4442998637</v>
      </c>
      <c r="H51" s="274">
        <f>IF(E51=0,0,(H41/$J$41)*$E$51)</f>
        <v>640437.95836187154</v>
      </c>
      <c r="I51" s="275">
        <f>IF(E51=0,0,(I41/$J$41)*$E$51)</f>
        <v>510038.59733826504</v>
      </c>
      <c r="J51" s="90">
        <f>SUM(G51:I51)</f>
        <v>3835800</v>
      </c>
      <c r="K51" s="263"/>
      <c r="L51" s="61"/>
      <c r="M51" s="81"/>
      <c r="N51" s="81"/>
      <c r="O51"/>
      <c r="P51"/>
      <c r="Q51"/>
      <c r="R51"/>
      <c r="S51"/>
      <c r="T51"/>
      <c r="U51"/>
      <c r="V51"/>
      <c r="W51"/>
      <c r="X51"/>
      <c r="Y51"/>
      <c r="Z51" s="344"/>
      <c r="AA51" s="346"/>
      <c r="AB51" s="363"/>
      <c r="AC51" s="363"/>
      <c r="AD51" s="110"/>
      <c r="AE51" s="41"/>
      <c r="AF51" s="41"/>
      <c r="AG51" s="41"/>
      <c r="AH51" s="41"/>
      <c r="AI51" s="41"/>
      <c r="AJ51" s="41"/>
      <c r="AK51" s="41"/>
      <c r="AL51" s="41"/>
      <c r="AM51" s="41"/>
      <c r="AN51" s="41"/>
      <c r="AO51" s="41"/>
      <c r="AP51" s="41"/>
      <c r="AQ51" s="41"/>
      <c r="AR51" s="41"/>
      <c r="AS51" s="41"/>
      <c r="AT51" s="41"/>
      <c r="AU51" s="41"/>
      <c r="AV51" s="41"/>
      <c r="AW51" s="41"/>
      <c r="AX51" s="41"/>
      <c r="AY51" s="41"/>
      <c r="AZ51" s="41"/>
      <c r="BA51" s="41"/>
      <c r="BB51" s="41"/>
      <c r="BC51" s="41"/>
      <c r="BD51" s="41"/>
      <c r="BE51" s="41"/>
      <c r="BF51" s="41"/>
      <c r="BG51" s="41"/>
      <c r="BH51" s="41"/>
      <c r="BI51" s="41"/>
      <c r="BJ51" s="41"/>
      <c r="BK51" s="41"/>
      <c r="BL51" s="41"/>
      <c r="BM51" s="41"/>
      <c r="BN51" s="41"/>
      <c r="BO51" s="41"/>
      <c r="BP51" s="41"/>
      <c r="BQ51" s="41"/>
      <c r="BR51" s="41"/>
      <c r="BS51" s="41"/>
      <c r="BT51" s="41"/>
      <c r="BU51" s="41"/>
      <c r="BV51" s="41"/>
      <c r="BW51" s="41"/>
      <c r="BX51" s="41"/>
      <c r="BY51" s="41"/>
      <c r="BZ51" s="41"/>
      <c r="CA51" s="41"/>
      <c r="CB51" s="41"/>
      <c r="CC51" s="41"/>
      <c r="CD51" s="41"/>
      <c r="CE51" s="41"/>
      <c r="CF51" s="41"/>
      <c r="CG51" s="41"/>
      <c r="CH51" s="41"/>
      <c r="CI51" s="41"/>
      <c r="CJ51" s="41"/>
      <c r="CK51" s="41"/>
      <c r="CL51" s="41"/>
      <c r="CM51" s="41"/>
      <c r="CN51" s="41"/>
      <c r="CO51" s="41"/>
      <c r="CP51" s="41"/>
    </row>
    <row r="52" spans="1:94" s="53" customFormat="1" ht="15.75" customHeight="1" x14ac:dyDescent="0.25">
      <c r="A52" s="82"/>
      <c r="B52" s="83"/>
      <c r="C52" s="84"/>
      <c r="D52" s="132" t="s">
        <v>46</v>
      </c>
      <c r="E52" s="133"/>
      <c r="F52" s="55">
        <f>F51</f>
        <v>62.85</v>
      </c>
      <c r="G52" s="79">
        <f>ROUND(G51,-2)</f>
        <v>2685300</v>
      </c>
      <c r="H52" s="79">
        <f>ROUND(H51,-2)</f>
        <v>640400</v>
      </c>
      <c r="I52" s="266">
        <f>ROUND(I51,-2)</f>
        <v>510000</v>
      </c>
      <c r="J52" s="80">
        <f>ROUND(J51,-2)</f>
        <v>3835800</v>
      </c>
      <c r="K52" s="263"/>
      <c r="L52" s="61"/>
      <c r="M52" s="81"/>
      <c r="N52" s="81"/>
      <c r="O52"/>
      <c r="P52"/>
      <c r="Q52"/>
      <c r="R52"/>
      <c r="S52"/>
      <c r="T52"/>
      <c r="U52"/>
      <c r="V52"/>
      <c r="W52"/>
      <c r="X52"/>
      <c r="Y52"/>
      <c r="Z52" s="344"/>
      <c r="AA52" s="347"/>
      <c r="AB52" s="363"/>
      <c r="AC52" s="363"/>
      <c r="AD52" s="110"/>
      <c r="AE52" s="41"/>
      <c r="AF52" s="41"/>
      <c r="AG52" s="41"/>
      <c r="AH52" s="41"/>
      <c r="AI52" s="41"/>
      <c r="AJ52" s="41"/>
      <c r="AK52" s="41"/>
      <c r="AL52" s="41"/>
      <c r="AM52" s="41"/>
      <c r="AN52" s="41"/>
      <c r="AO52" s="41"/>
      <c r="AP52" s="41"/>
      <c r="AQ52" s="41"/>
      <c r="AR52" s="41"/>
      <c r="AS52" s="41"/>
      <c r="AT52" s="41"/>
      <c r="AU52" s="41"/>
      <c r="AV52" s="41"/>
      <c r="AW52" s="41"/>
      <c r="AX52" s="41"/>
      <c r="AY52" s="41"/>
      <c r="AZ52" s="41"/>
      <c r="BA52" s="41"/>
      <c r="BB52" s="41"/>
      <c r="BC52" s="41"/>
      <c r="BD52" s="41"/>
      <c r="BE52" s="41"/>
      <c r="BF52" s="41"/>
      <c r="BG52" s="41"/>
      <c r="BH52" s="41"/>
      <c r="BI52" s="41"/>
      <c r="BJ52" s="41"/>
      <c r="BK52" s="41"/>
      <c r="BL52" s="41"/>
      <c r="BM52" s="41"/>
      <c r="BN52" s="41"/>
      <c r="BO52" s="41"/>
      <c r="BP52" s="41"/>
      <c r="BQ52" s="41"/>
      <c r="BR52" s="41"/>
      <c r="BS52" s="41"/>
      <c r="BT52" s="41"/>
      <c r="BU52" s="41"/>
      <c r="BV52" s="41"/>
      <c r="BW52" s="41"/>
      <c r="BX52" s="41"/>
      <c r="BY52" s="41"/>
      <c r="BZ52" s="41"/>
      <c r="CA52" s="41"/>
      <c r="CB52" s="41"/>
      <c r="CC52" s="41"/>
      <c r="CD52" s="41"/>
      <c r="CE52" s="41"/>
      <c r="CF52" s="41"/>
      <c r="CG52" s="41"/>
      <c r="CH52" s="41"/>
      <c r="CI52" s="41"/>
      <c r="CJ52" s="41"/>
      <c r="CK52" s="41"/>
      <c r="CL52" s="41"/>
      <c r="CM52" s="41"/>
      <c r="CN52" s="41"/>
      <c r="CO52" s="41"/>
      <c r="CP52" s="41"/>
    </row>
    <row r="53" spans="1:94" s="53" customFormat="1" ht="15" x14ac:dyDescent="0.25">
      <c r="A53" s="85"/>
      <c r="B53" s="83"/>
      <c r="C53" s="441" t="s">
        <v>47</v>
      </c>
      <c r="D53" s="442"/>
      <c r="E53" s="271"/>
      <c r="F53" s="273"/>
      <c r="G53" s="62"/>
      <c r="H53" s="62"/>
      <c r="I53" s="62"/>
      <c r="J53" s="62"/>
      <c r="K53" s="62"/>
      <c r="L53" s="61"/>
      <c r="M53" s="86"/>
      <c r="N53" s="86"/>
      <c r="O53"/>
      <c r="P53"/>
      <c r="Q53"/>
      <c r="R53"/>
      <c r="S53"/>
      <c r="T53"/>
      <c r="U53"/>
      <c r="V53"/>
      <c r="W53"/>
      <c r="X53"/>
      <c r="Y53"/>
      <c r="Z53" s="344"/>
      <c r="AA53" s="363"/>
      <c r="AB53" s="363"/>
      <c r="AC53" s="363"/>
      <c r="AD53" s="110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U53" s="41"/>
      <c r="AV53" s="41"/>
      <c r="AW53" s="41"/>
      <c r="AX53" s="41"/>
      <c r="AY53" s="41"/>
      <c r="AZ53" s="41"/>
      <c r="BA53" s="41"/>
      <c r="BB53" s="41"/>
      <c r="BC53" s="41"/>
      <c r="BD53" s="41"/>
      <c r="BE53" s="41"/>
      <c r="BF53" s="41"/>
      <c r="BG53" s="41"/>
      <c r="BH53" s="41"/>
      <c r="BI53" s="41"/>
      <c r="BJ53" s="41"/>
      <c r="BK53" s="41"/>
      <c r="BL53" s="41"/>
      <c r="BM53" s="41"/>
      <c r="BN53" s="41"/>
      <c r="BO53" s="41"/>
      <c r="BP53" s="41"/>
      <c r="BQ53" s="41"/>
      <c r="BR53" s="41"/>
      <c r="BS53" s="41"/>
      <c r="BT53" s="41"/>
      <c r="BU53" s="41"/>
      <c r="BV53" s="41"/>
      <c r="BW53" s="41"/>
      <c r="BX53" s="41"/>
      <c r="BY53" s="41"/>
      <c r="BZ53" s="41"/>
      <c r="CA53" s="41"/>
      <c r="CB53" s="41"/>
      <c r="CC53" s="41"/>
      <c r="CD53" s="41"/>
      <c r="CE53" s="41"/>
      <c r="CF53" s="41"/>
      <c r="CG53" s="41"/>
      <c r="CH53" s="41"/>
      <c r="CI53" s="41"/>
      <c r="CJ53" s="41"/>
      <c r="CK53" s="41"/>
      <c r="CL53" s="41"/>
      <c r="CM53" s="41"/>
      <c r="CN53" s="41"/>
      <c r="CO53" s="41"/>
      <c r="CP53" s="41"/>
    </row>
    <row r="54" spans="1:94" s="53" customFormat="1" ht="15.75" customHeight="1" x14ac:dyDescent="0.25">
      <c r="A54" s="85">
        <v>4.1100000000000003</v>
      </c>
      <c r="B54" s="83"/>
      <c r="C54" s="408" t="s">
        <v>48</v>
      </c>
      <c r="D54" s="409"/>
      <c r="E54" s="59"/>
      <c r="F54" s="58">
        <v>0</v>
      </c>
      <c r="G54" s="88">
        <v>0</v>
      </c>
      <c r="H54" s="88">
        <v>0</v>
      </c>
      <c r="I54" s="265">
        <v>0</v>
      </c>
      <c r="J54" s="89">
        <f>SUM(G54:I54)</f>
        <v>0</v>
      </c>
      <c r="K54" s="62"/>
      <c r="L54" s="61"/>
      <c r="M54" s="86"/>
      <c r="N54" s="86"/>
      <c r="O54"/>
      <c r="P54"/>
      <c r="Q54"/>
      <c r="R54"/>
      <c r="S54"/>
      <c r="T54"/>
      <c r="U54"/>
      <c r="V54"/>
      <c r="W54"/>
      <c r="X54"/>
      <c r="Y54"/>
      <c r="Z54" s="344"/>
      <c r="AA54" s="363"/>
      <c r="AB54" s="363"/>
      <c r="AC54" s="363"/>
      <c r="AD54" s="110"/>
      <c r="AE54" s="41"/>
      <c r="AF54" s="41"/>
      <c r="AG54" s="41"/>
      <c r="AH54" s="41"/>
      <c r="AI54" s="41"/>
      <c r="AJ54" s="41"/>
      <c r="AK54" s="41"/>
      <c r="AL54" s="41"/>
      <c r="AM54" s="41"/>
      <c r="AN54" s="41"/>
      <c r="AO54" s="41"/>
      <c r="AP54" s="41"/>
      <c r="AQ54" s="41"/>
      <c r="AR54" s="41"/>
      <c r="AS54" s="41"/>
      <c r="AT54" s="41"/>
      <c r="AU54" s="41"/>
      <c r="AV54" s="41"/>
      <c r="AW54" s="41"/>
      <c r="AX54" s="41"/>
      <c r="AY54" s="41"/>
      <c r="AZ54" s="41"/>
      <c r="BA54" s="41"/>
      <c r="BB54" s="41"/>
      <c r="BC54" s="41"/>
      <c r="BD54" s="41"/>
      <c r="BE54" s="41"/>
      <c r="BF54" s="41"/>
      <c r="BG54" s="41"/>
      <c r="BH54" s="41"/>
      <c r="BI54" s="41"/>
      <c r="BJ54" s="41"/>
      <c r="BK54" s="41"/>
      <c r="BL54" s="41"/>
      <c r="BM54" s="41"/>
      <c r="BN54" s="41"/>
      <c r="BO54" s="41"/>
      <c r="BP54" s="41"/>
      <c r="BQ54" s="41"/>
      <c r="BR54" s="41"/>
      <c r="BS54" s="41"/>
      <c r="BT54" s="41"/>
      <c r="BU54" s="41"/>
      <c r="BV54" s="41"/>
      <c r="BW54" s="41"/>
      <c r="BX54" s="41"/>
      <c r="BY54" s="41"/>
      <c r="BZ54" s="41"/>
      <c r="CA54" s="41"/>
      <c r="CB54" s="41"/>
      <c r="CC54" s="41"/>
      <c r="CD54" s="41"/>
      <c r="CE54" s="41"/>
      <c r="CF54" s="41"/>
      <c r="CG54" s="41"/>
      <c r="CH54" s="41"/>
      <c r="CI54" s="41"/>
      <c r="CJ54" s="41"/>
      <c r="CK54" s="41"/>
      <c r="CL54" s="41"/>
      <c r="CM54" s="41"/>
      <c r="CN54" s="41"/>
      <c r="CO54" s="41"/>
      <c r="CP54" s="41"/>
    </row>
    <row r="55" spans="1:94" s="53" customFormat="1" ht="15.75" customHeight="1" x14ac:dyDescent="0.25">
      <c r="A55" s="85">
        <v>4.3099999999999996</v>
      </c>
      <c r="B55" s="83"/>
      <c r="C55" s="421" t="s">
        <v>49</v>
      </c>
      <c r="D55" s="422"/>
      <c r="E55" s="59"/>
      <c r="F55" s="277">
        <v>0</v>
      </c>
      <c r="G55" s="92">
        <v>0</v>
      </c>
      <c r="H55" s="92">
        <v>0</v>
      </c>
      <c r="I55" s="264">
        <v>0</v>
      </c>
      <c r="J55" s="287">
        <f>SUM(G55:I55)</f>
        <v>0</v>
      </c>
      <c r="K55" s="62"/>
      <c r="L55" s="88"/>
      <c r="M55" s="261"/>
      <c r="N55" s="89">
        <f>SUM(L55:M55)</f>
        <v>0</v>
      </c>
      <c r="O55"/>
      <c r="P55"/>
      <c r="Q55"/>
      <c r="R55"/>
      <c r="S55"/>
      <c r="T55"/>
      <c r="U55"/>
      <c r="V55"/>
      <c r="W55"/>
      <c r="X55"/>
      <c r="Y55"/>
      <c r="Z55" s="344"/>
      <c r="AA55" s="363"/>
      <c r="AB55" s="363"/>
      <c r="AC55" s="363"/>
      <c r="AD55" s="110"/>
      <c r="AE55" s="41"/>
      <c r="AF55" s="41"/>
      <c r="AG55" s="41"/>
      <c r="AH55" s="41"/>
      <c r="AI55" s="41"/>
      <c r="AJ55" s="41"/>
      <c r="AK55" s="41"/>
      <c r="AL55" s="41"/>
      <c r="AM55" s="41"/>
      <c r="AN55" s="41"/>
      <c r="AO55" s="41"/>
      <c r="AP55" s="41"/>
      <c r="AQ55" s="41"/>
      <c r="AR55" s="41"/>
      <c r="AS55" s="41"/>
      <c r="AT55" s="41"/>
      <c r="AU55" s="41"/>
      <c r="AV55" s="41"/>
      <c r="AW55" s="41"/>
      <c r="AX55" s="41"/>
      <c r="AY55" s="41"/>
      <c r="AZ55" s="41"/>
      <c r="BA55" s="41"/>
      <c r="BB55" s="41"/>
      <c r="BC55" s="41"/>
      <c r="BD55" s="41"/>
      <c r="BE55" s="41"/>
      <c r="BF55" s="41"/>
      <c r="BG55" s="41"/>
      <c r="BH55" s="41"/>
      <c r="BI55" s="41"/>
      <c r="BJ55" s="41"/>
      <c r="BK55" s="41"/>
      <c r="BL55" s="41"/>
      <c r="BM55" s="41"/>
      <c r="BN55" s="41"/>
      <c r="BO55" s="41"/>
      <c r="BP55" s="41"/>
      <c r="BQ55" s="41"/>
      <c r="BR55" s="41"/>
      <c r="BS55" s="41"/>
      <c r="BT55" s="41"/>
      <c r="BU55" s="41"/>
      <c r="BV55" s="41"/>
      <c r="BW55" s="41"/>
      <c r="BX55" s="41"/>
      <c r="BY55" s="41"/>
      <c r="BZ55" s="41"/>
      <c r="CA55" s="41"/>
      <c r="CB55" s="41"/>
      <c r="CC55" s="41"/>
      <c r="CD55" s="41"/>
      <c r="CE55" s="41"/>
      <c r="CF55" s="41"/>
      <c r="CG55" s="41"/>
      <c r="CH55" s="41"/>
      <c r="CI55" s="41"/>
      <c r="CJ55" s="41"/>
      <c r="CK55" s="41"/>
      <c r="CL55" s="41"/>
      <c r="CM55" s="41"/>
      <c r="CN55" s="41"/>
      <c r="CO55" s="41"/>
      <c r="CP55" s="41"/>
    </row>
    <row r="56" spans="1:94" s="53" customFormat="1" ht="15.75" customHeight="1" x14ac:dyDescent="0.25">
      <c r="A56" s="75">
        <v>5</v>
      </c>
      <c r="B56" s="76"/>
      <c r="C56" s="54" t="str">
        <f>"FY "&amp;M4-1</f>
        <v>FY 2022</v>
      </c>
      <c r="D56" s="131" t="s">
        <v>50</v>
      </c>
      <c r="E56" s="135"/>
      <c r="F56" s="55">
        <f>SUM(F52:F55)</f>
        <v>62.85</v>
      </c>
      <c r="G56" s="80">
        <f>SUM(G52:G55)</f>
        <v>2685300</v>
      </c>
      <c r="H56" s="80">
        <f>SUM(H52:H55)</f>
        <v>640400</v>
      </c>
      <c r="I56" s="260">
        <f>SUM(I52:I55)</f>
        <v>510000</v>
      </c>
      <c r="J56" s="80">
        <f>SUM(J52:J55)</f>
        <v>3835800</v>
      </c>
      <c r="K56" s="263"/>
      <c r="L56" s="61"/>
      <c r="M56" s="61"/>
      <c r="N56" s="61"/>
      <c r="O56"/>
      <c r="P56"/>
      <c r="Q56"/>
      <c r="R56"/>
      <c r="S56"/>
      <c r="T56"/>
      <c r="U56"/>
      <c r="V56"/>
      <c r="W56"/>
      <c r="X56"/>
      <c r="Y56"/>
      <c r="Z56" s="344"/>
      <c r="AA56" s="363"/>
      <c r="AB56" s="363"/>
      <c r="AC56" s="363"/>
      <c r="AD56" s="110"/>
      <c r="AE56" s="41"/>
      <c r="AF56" s="41"/>
      <c r="AG56" s="41"/>
      <c r="AH56" s="41"/>
      <c r="AI56" s="41"/>
      <c r="AJ56" s="41"/>
      <c r="AK56" s="41"/>
      <c r="AL56" s="41"/>
      <c r="AM56" s="41"/>
      <c r="AN56" s="41"/>
      <c r="AO56" s="41"/>
      <c r="AP56" s="41"/>
      <c r="AQ56" s="41"/>
      <c r="AR56" s="41"/>
      <c r="AS56" s="41"/>
      <c r="AT56" s="41"/>
      <c r="AU56" s="41"/>
      <c r="AV56" s="41"/>
      <c r="AW56" s="41"/>
      <c r="AX56" s="41"/>
      <c r="AY56" s="41"/>
      <c r="AZ56" s="41"/>
      <c r="BA56" s="41"/>
      <c r="BB56" s="41"/>
      <c r="BC56" s="41"/>
      <c r="BD56" s="41"/>
      <c r="BE56" s="41"/>
      <c r="BF56" s="41"/>
      <c r="BG56" s="41"/>
      <c r="BH56" s="41"/>
      <c r="BI56" s="41"/>
      <c r="BJ56" s="41"/>
      <c r="BK56" s="41"/>
      <c r="BL56" s="41"/>
      <c r="BM56" s="41"/>
      <c r="BN56" s="41"/>
      <c r="BO56" s="41"/>
      <c r="BP56" s="41"/>
      <c r="BQ56" s="41"/>
      <c r="BR56" s="41"/>
      <c r="BS56" s="41"/>
      <c r="BT56" s="41"/>
      <c r="BU56" s="41"/>
      <c r="BV56" s="41"/>
      <c r="BW56" s="41"/>
      <c r="BX56" s="41"/>
      <c r="BY56" s="41"/>
      <c r="BZ56" s="41"/>
      <c r="CA56" s="41"/>
      <c r="CB56" s="41"/>
      <c r="CC56" s="41"/>
      <c r="CD56" s="41"/>
      <c r="CE56" s="41"/>
      <c r="CF56" s="41"/>
      <c r="CG56" s="41"/>
      <c r="CH56" s="41"/>
      <c r="CI56" s="41"/>
      <c r="CJ56" s="41"/>
      <c r="CK56" s="41"/>
      <c r="CL56" s="41"/>
      <c r="CM56" s="41"/>
      <c r="CN56" s="41"/>
      <c r="CO56" s="41"/>
      <c r="CP56" s="41"/>
    </row>
    <row r="57" spans="1:94" s="53" customFormat="1" ht="15.75" customHeight="1" x14ac:dyDescent="0.25">
      <c r="A57" s="85"/>
      <c r="B57" s="83"/>
      <c r="C57" s="419" t="s">
        <v>51</v>
      </c>
      <c r="D57" s="423"/>
      <c r="E57" s="367"/>
      <c r="F57" s="273"/>
      <c r="G57" s="62"/>
      <c r="H57" s="62"/>
      <c r="I57" s="62"/>
      <c r="J57" s="62"/>
      <c r="K57" s="62"/>
      <c r="L57" s="61"/>
      <c r="M57" s="61"/>
      <c r="N57" s="61"/>
      <c r="O57"/>
      <c r="P57"/>
      <c r="Q57"/>
      <c r="R57"/>
      <c r="S57"/>
      <c r="T57"/>
      <c r="U57"/>
      <c r="V57"/>
      <c r="W57"/>
      <c r="X57"/>
      <c r="Y57"/>
      <c r="Z57" s="344"/>
      <c r="AA57" s="363"/>
      <c r="AB57" s="363"/>
      <c r="AC57" s="363"/>
      <c r="AD57" s="110"/>
      <c r="AE57" s="41"/>
      <c r="AF57" s="41"/>
      <c r="AG57" s="41"/>
      <c r="AH57" s="41"/>
      <c r="AI57" s="41"/>
      <c r="AJ57" s="41"/>
      <c r="AK57" s="41"/>
      <c r="AL57" s="41"/>
      <c r="AM57" s="41"/>
      <c r="AN57" s="41"/>
      <c r="AO57" s="41"/>
      <c r="AP57" s="41"/>
      <c r="AQ57" s="41"/>
      <c r="AR57" s="41"/>
      <c r="AS57" s="41"/>
      <c r="AT57" s="41"/>
      <c r="AU57" s="41"/>
      <c r="AV57" s="41"/>
      <c r="AW57" s="41"/>
      <c r="AX57" s="41"/>
      <c r="AY57" s="41"/>
      <c r="AZ57" s="41"/>
      <c r="BA57" s="41"/>
      <c r="BB57" s="41"/>
      <c r="BC57" s="41"/>
      <c r="BD57" s="41"/>
      <c r="BE57" s="41"/>
      <c r="BF57" s="41"/>
      <c r="BG57" s="41"/>
      <c r="BH57" s="41"/>
      <c r="BI57" s="41"/>
      <c r="BJ57" s="41"/>
      <c r="BK57" s="41"/>
      <c r="BL57" s="41"/>
      <c r="BM57" s="41"/>
      <c r="BN57" s="41"/>
      <c r="BO57" s="41"/>
      <c r="BP57" s="41"/>
      <c r="BQ57" s="41"/>
      <c r="BR57" s="41"/>
      <c r="BS57" s="41"/>
      <c r="BT57" s="41"/>
      <c r="BU57" s="41"/>
      <c r="BV57" s="41"/>
      <c r="BW57" s="41"/>
      <c r="BX57" s="41"/>
      <c r="BY57" s="41"/>
      <c r="BZ57" s="41"/>
      <c r="CA57" s="41"/>
      <c r="CB57" s="41"/>
      <c r="CC57" s="41"/>
      <c r="CD57" s="41"/>
      <c r="CE57" s="41"/>
      <c r="CF57" s="41"/>
      <c r="CG57" s="41"/>
      <c r="CH57" s="41"/>
      <c r="CI57" s="41"/>
      <c r="CJ57" s="41"/>
      <c r="CK57" s="41"/>
      <c r="CL57" s="41"/>
      <c r="CM57" s="41"/>
      <c r="CN57" s="41"/>
      <c r="CO57" s="41"/>
      <c r="CP57" s="41"/>
    </row>
    <row r="58" spans="1:94" s="53" customFormat="1" ht="15.75" customHeight="1" x14ac:dyDescent="0.25">
      <c r="A58" s="85">
        <v>6.31</v>
      </c>
      <c r="B58" s="83"/>
      <c r="C58" s="408" t="s">
        <v>52</v>
      </c>
      <c r="D58" s="409"/>
      <c r="E58" s="102"/>
      <c r="F58" s="58">
        <v>0</v>
      </c>
      <c r="G58" s="88">
        <v>0</v>
      </c>
      <c r="H58" s="88">
        <v>0</v>
      </c>
      <c r="I58" s="265">
        <v>0</v>
      </c>
      <c r="J58" s="89">
        <f>SUM(G58:I58)</f>
        <v>0</v>
      </c>
      <c r="K58" s="62"/>
      <c r="L58" s="88"/>
      <c r="M58" s="262"/>
      <c r="N58" s="89">
        <f>SUM(L58:M58)</f>
        <v>0</v>
      </c>
      <c r="O58"/>
      <c r="P58"/>
      <c r="Q58"/>
      <c r="R58"/>
      <c r="S58"/>
      <c r="T58"/>
      <c r="U58"/>
      <c r="V58"/>
      <c r="W58"/>
      <c r="X58"/>
      <c r="Y58"/>
      <c r="Z58" s="344"/>
      <c r="AA58" s="363"/>
      <c r="AB58" s="363"/>
      <c r="AC58" s="363"/>
      <c r="AD58" s="110"/>
      <c r="AE58" s="41"/>
      <c r="AF58" s="41"/>
      <c r="AG58" s="41"/>
      <c r="AH58" s="41"/>
      <c r="AI58" s="41"/>
      <c r="AJ58" s="41"/>
      <c r="AK58" s="41"/>
      <c r="AL58" s="41"/>
      <c r="AM58" s="41"/>
      <c r="AN58" s="41"/>
      <c r="AO58" s="41"/>
      <c r="AP58" s="41"/>
      <c r="AQ58" s="41"/>
      <c r="AR58" s="41"/>
      <c r="AS58" s="41"/>
      <c r="AT58" s="41"/>
      <c r="AU58" s="41"/>
      <c r="AV58" s="41"/>
      <c r="AW58" s="41"/>
      <c r="AX58" s="41"/>
      <c r="AY58" s="41"/>
      <c r="AZ58" s="41"/>
      <c r="BA58" s="41"/>
      <c r="BB58" s="41"/>
      <c r="BC58" s="41"/>
      <c r="BD58" s="41"/>
      <c r="BE58" s="41"/>
      <c r="BF58" s="41"/>
      <c r="BG58" s="41"/>
      <c r="BH58" s="41"/>
      <c r="BI58" s="41"/>
      <c r="BJ58" s="41"/>
      <c r="BK58" s="41"/>
      <c r="BL58" s="41"/>
      <c r="BM58" s="41"/>
      <c r="BN58" s="41"/>
      <c r="BO58" s="41"/>
      <c r="BP58" s="41"/>
      <c r="BQ58" s="41"/>
      <c r="BR58" s="41"/>
      <c r="BS58" s="41"/>
      <c r="BT58" s="41"/>
      <c r="BU58" s="41"/>
      <c r="BV58" s="41"/>
      <c r="BW58" s="41"/>
      <c r="BX58" s="41"/>
      <c r="BY58" s="41"/>
      <c r="BZ58" s="41"/>
      <c r="CA58" s="41"/>
      <c r="CB58" s="41"/>
      <c r="CC58" s="41"/>
      <c r="CD58" s="41"/>
      <c r="CE58" s="41"/>
      <c r="CF58" s="41"/>
      <c r="CG58" s="41"/>
      <c r="CH58" s="41"/>
      <c r="CI58" s="41"/>
      <c r="CJ58" s="41"/>
      <c r="CK58" s="41"/>
      <c r="CL58" s="41"/>
      <c r="CM58" s="41"/>
      <c r="CN58" s="41"/>
      <c r="CO58" s="41"/>
      <c r="CP58" s="41"/>
    </row>
    <row r="59" spans="1:94" s="53" customFormat="1" ht="15.75" customHeight="1" x14ac:dyDescent="0.25">
      <c r="A59" s="85">
        <v>6.51</v>
      </c>
      <c r="B59" s="83"/>
      <c r="C59" s="421" t="s">
        <v>66</v>
      </c>
      <c r="D59" s="422"/>
      <c r="E59" s="102"/>
      <c r="F59" s="58">
        <v>0</v>
      </c>
      <c r="G59" s="88">
        <v>0</v>
      </c>
      <c r="H59" s="92">
        <v>0</v>
      </c>
      <c r="I59" s="264">
        <v>0</v>
      </c>
      <c r="J59" s="267">
        <f>SUM(G59:I59)</f>
        <v>0</v>
      </c>
      <c r="K59" s="62"/>
      <c r="L59" s="88"/>
      <c r="M59" s="261"/>
      <c r="N59" s="89">
        <f>SUM(L59:M59)</f>
        <v>0</v>
      </c>
      <c r="O59"/>
      <c r="P59"/>
      <c r="Q59"/>
      <c r="R59"/>
      <c r="S59"/>
      <c r="T59"/>
      <c r="U59"/>
      <c r="V59"/>
      <c r="W59"/>
      <c r="X59"/>
      <c r="Y59"/>
      <c r="Z59" s="344"/>
      <c r="AA59" s="363"/>
      <c r="AB59" s="363"/>
      <c r="AC59" s="363"/>
      <c r="AD59" s="110"/>
      <c r="AE59" s="41"/>
      <c r="AF59" s="41"/>
      <c r="AG59" s="41"/>
      <c r="AH59" s="41"/>
      <c r="AI59" s="41"/>
      <c r="AJ59" s="41"/>
      <c r="AK59" s="41"/>
      <c r="AL59" s="41"/>
      <c r="AM59" s="41"/>
      <c r="AN59" s="41"/>
      <c r="AO59" s="41"/>
      <c r="AP59" s="41"/>
      <c r="AQ59" s="41"/>
      <c r="AR59" s="41"/>
      <c r="AS59" s="41"/>
      <c r="AT59" s="41"/>
      <c r="AU59" s="41"/>
      <c r="AV59" s="41"/>
      <c r="AW59" s="41"/>
      <c r="AX59" s="41"/>
      <c r="AY59" s="41"/>
      <c r="AZ59" s="41"/>
      <c r="BA59" s="41"/>
      <c r="BB59" s="41"/>
      <c r="BC59" s="41"/>
      <c r="BD59" s="41"/>
      <c r="BE59" s="41"/>
      <c r="BF59" s="41"/>
      <c r="BG59" s="41"/>
      <c r="BH59" s="41"/>
      <c r="BI59" s="41"/>
      <c r="BJ59" s="41"/>
      <c r="BK59" s="41"/>
      <c r="BL59" s="41"/>
      <c r="BM59" s="41"/>
      <c r="BN59" s="41"/>
      <c r="BO59" s="41"/>
      <c r="BP59" s="41"/>
      <c r="BQ59" s="41"/>
      <c r="BR59" s="41"/>
      <c r="BS59" s="41"/>
      <c r="BT59" s="41"/>
      <c r="BU59" s="41"/>
      <c r="BV59" s="41"/>
      <c r="BW59" s="41"/>
      <c r="BX59" s="41"/>
      <c r="BY59" s="41"/>
      <c r="BZ59" s="41"/>
      <c r="CA59" s="41"/>
      <c r="CB59" s="41"/>
      <c r="CC59" s="41"/>
      <c r="CD59" s="41"/>
      <c r="CE59" s="41"/>
      <c r="CF59" s="41"/>
      <c r="CG59" s="41"/>
      <c r="CH59" s="41"/>
      <c r="CI59" s="41"/>
      <c r="CJ59" s="41"/>
      <c r="CK59" s="41"/>
      <c r="CL59" s="41"/>
      <c r="CM59" s="41"/>
      <c r="CN59" s="41"/>
      <c r="CO59" s="41"/>
      <c r="CP59" s="41"/>
    </row>
    <row r="60" spans="1:94" s="53" customFormat="1" ht="15.75" customHeight="1" x14ac:dyDescent="0.25">
      <c r="A60" s="75">
        <v>7</v>
      </c>
      <c r="B60" s="76"/>
      <c r="C60" s="54" t="str">
        <f>"FY "&amp;M4-1</f>
        <v>FY 2022</v>
      </c>
      <c r="D60" s="131" t="s">
        <v>53</v>
      </c>
      <c r="E60" s="135"/>
      <c r="F60" s="55">
        <f>SUM(F56:F59)</f>
        <v>62.85</v>
      </c>
      <c r="G60" s="80">
        <f>SUM(G56:G59)</f>
        <v>2685300</v>
      </c>
      <c r="H60" s="80">
        <f>SUM(H56:H59)</f>
        <v>640400</v>
      </c>
      <c r="I60" s="260">
        <f>SUM(I56:I59)</f>
        <v>510000</v>
      </c>
      <c r="J60" s="80">
        <f>SUM(J56:J59)</f>
        <v>3835800</v>
      </c>
      <c r="K60" s="263"/>
      <c r="L60" s="61"/>
      <c r="M60" s="61"/>
      <c r="N60" s="60"/>
      <c r="O60"/>
      <c r="P60"/>
      <c r="Q60"/>
      <c r="R60"/>
      <c r="S60"/>
      <c r="T60"/>
      <c r="U60"/>
      <c r="V60"/>
      <c r="W60"/>
      <c r="X60"/>
      <c r="Y60"/>
      <c r="Z60" s="344"/>
      <c r="AA60" s="363"/>
      <c r="AB60" s="363"/>
      <c r="AC60" s="363"/>
      <c r="AD60" s="110"/>
      <c r="AE60" s="41"/>
      <c r="AF60" s="41"/>
      <c r="AG60" s="41"/>
      <c r="AH60" s="41"/>
      <c r="AI60" s="41"/>
      <c r="AJ60" s="41"/>
      <c r="AK60" s="41"/>
      <c r="AL60" s="41"/>
      <c r="AM60" s="41"/>
      <c r="AN60" s="41"/>
      <c r="AO60" s="41"/>
      <c r="AP60" s="41"/>
      <c r="AQ60" s="41"/>
      <c r="AR60" s="41"/>
      <c r="AS60" s="41"/>
      <c r="AT60" s="41"/>
      <c r="AU60" s="41"/>
      <c r="AV60" s="41"/>
      <c r="AW60" s="41"/>
      <c r="AX60" s="41"/>
      <c r="AY60" s="41"/>
      <c r="AZ60" s="41"/>
      <c r="BA60" s="41"/>
      <c r="BB60" s="41"/>
      <c r="BC60" s="41"/>
      <c r="BD60" s="41"/>
      <c r="BE60" s="41"/>
      <c r="BF60" s="41"/>
      <c r="BG60" s="41"/>
      <c r="BH60" s="41"/>
      <c r="BI60" s="41"/>
      <c r="BJ60" s="41"/>
      <c r="BK60" s="41"/>
      <c r="BL60" s="41"/>
      <c r="BM60" s="41"/>
      <c r="BN60" s="41"/>
      <c r="BO60" s="41"/>
      <c r="BP60" s="41"/>
      <c r="BQ60" s="41"/>
      <c r="BR60" s="41"/>
      <c r="BS60" s="41"/>
      <c r="BT60" s="41"/>
      <c r="BU60" s="41"/>
      <c r="BV60" s="41"/>
      <c r="BW60" s="41"/>
      <c r="BX60" s="41"/>
      <c r="BY60" s="41"/>
      <c r="BZ60" s="41"/>
      <c r="CA60" s="41"/>
      <c r="CB60" s="41"/>
      <c r="CC60" s="41"/>
      <c r="CD60" s="41"/>
      <c r="CE60" s="41"/>
      <c r="CF60" s="41"/>
      <c r="CG60" s="41"/>
      <c r="CH60" s="41"/>
      <c r="CI60" s="41"/>
      <c r="CJ60" s="41"/>
      <c r="CK60" s="41"/>
      <c r="CL60" s="41"/>
      <c r="CM60" s="41"/>
      <c r="CN60" s="41"/>
      <c r="CO60" s="41"/>
      <c r="CP60" s="41"/>
    </row>
    <row r="61" spans="1:94" s="53" customFormat="1" ht="15.75" customHeight="1" x14ac:dyDescent="0.25">
      <c r="A61" s="85"/>
      <c r="B61" s="83"/>
      <c r="C61" s="419" t="s">
        <v>54</v>
      </c>
      <c r="D61" s="423"/>
      <c r="E61" s="367"/>
      <c r="F61" s="273"/>
      <c r="G61" s="62"/>
      <c r="H61" s="62"/>
      <c r="I61" s="62"/>
      <c r="J61" s="62"/>
      <c r="K61" s="62"/>
      <c r="L61" s="61"/>
      <c r="M61" s="61"/>
      <c r="N61" s="60"/>
      <c r="O61"/>
      <c r="P61"/>
      <c r="Q61"/>
      <c r="R61"/>
      <c r="S61"/>
      <c r="T61"/>
      <c r="U61"/>
      <c r="V61"/>
      <c r="W61"/>
      <c r="X61"/>
      <c r="Y61"/>
      <c r="Z61" s="344"/>
      <c r="AA61" s="363"/>
      <c r="AB61" s="363"/>
      <c r="AC61" s="363"/>
      <c r="AD61" s="110"/>
      <c r="AE61" s="41"/>
      <c r="AF61" s="41"/>
      <c r="AG61" s="41"/>
      <c r="AH61" s="41"/>
      <c r="AI61" s="41"/>
      <c r="AJ61" s="41"/>
      <c r="AK61" s="41"/>
      <c r="AL61" s="41"/>
      <c r="AM61" s="41"/>
      <c r="AN61" s="41"/>
      <c r="AO61" s="41"/>
      <c r="AP61" s="41"/>
      <c r="AQ61" s="41"/>
      <c r="AR61" s="41"/>
      <c r="AS61" s="41"/>
      <c r="AT61" s="41"/>
      <c r="AU61" s="41"/>
      <c r="AV61" s="41"/>
      <c r="AW61" s="41"/>
      <c r="AX61" s="41"/>
      <c r="AY61" s="41"/>
      <c r="AZ61" s="41"/>
      <c r="BA61" s="41"/>
      <c r="BB61" s="41"/>
      <c r="BC61" s="41"/>
      <c r="BD61" s="41"/>
      <c r="BE61" s="41"/>
      <c r="BF61" s="41"/>
      <c r="BG61" s="41"/>
      <c r="BH61" s="41"/>
      <c r="BI61" s="41"/>
      <c r="BJ61" s="41"/>
      <c r="BK61" s="41"/>
      <c r="BL61" s="41"/>
      <c r="BM61" s="41"/>
      <c r="BN61" s="41"/>
      <c r="BO61" s="41"/>
      <c r="BP61" s="41"/>
      <c r="BQ61" s="41"/>
      <c r="BR61" s="41"/>
      <c r="BS61" s="41"/>
      <c r="BT61" s="41"/>
      <c r="BU61" s="41"/>
      <c r="BV61" s="41"/>
      <c r="BW61" s="41"/>
      <c r="BX61" s="41"/>
      <c r="BY61" s="41"/>
      <c r="BZ61" s="41"/>
      <c r="CA61" s="41"/>
      <c r="CB61" s="41"/>
      <c r="CC61" s="41"/>
      <c r="CD61" s="41"/>
      <c r="CE61" s="41"/>
      <c r="CF61" s="41"/>
      <c r="CG61" s="41"/>
      <c r="CH61" s="41"/>
      <c r="CI61" s="41"/>
      <c r="CJ61" s="41"/>
      <c r="CK61" s="41"/>
      <c r="CL61" s="41"/>
      <c r="CM61" s="41"/>
      <c r="CN61" s="41"/>
      <c r="CO61" s="41"/>
      <c r="CP61" s="41"/>
    </row>
    <row r="62" spans="1:94" s="53" customFormat="1" ht="15.75" customHeight="1" x14ac:dyDescent="0.25">
      <c r="A62" s="85">
        <v>8.31</v>
      </c>
      <c r="B62" s="83"/>
      <c r="C62" s="408" t="s">
        <v>67</v>
      </c>
      <c r="D62" s="409"/>
      <c r="E62" s="102"/>
      <c r="F62" s="58">
        <v>0</v>
      </c>
      <c r="G62" s="88">
        <v>0</v>
      </c>
      <c r="H62" s="91">
        <v>0</v>
      </c>
      <c r="I62" s="276">
        <v>0</v>
      </c>
      <c r="J62" s="89">
        <f>SUM(G62:I62)</f>
        <v>0</v>
      </c>
      <c r="K62" s="62"/>
      <c r="L62" s="88"/>
      <c r="M62" s="261"/>
      <c r="N62" s="89">
        <f>SUM(L62:M62)</f>
        <v>0</v>
      </c>
      <c r="O62"/>
      <c r="P62"/>
      <c r="Q62"/>
      <c r="R62"/>
      <c r="S62"/>
      <c r="T62"/>
      <c r="U62"/>
      <c r="V62"/>
      <c r="W62"/>
      <c r="X62"/>
      <c r="Y62"/>
      <c r="Z62" s="344"/>
      <c r="AA62" s="363"/>
      <c r="AB62" s="363"/>
      <c r="AC62" s="363"/>
      <c r="AD62" s="110"/>
      <c r="AE62" s="41"/>
      <c r="AF62" s="41"/>
      <c r="AG62" s="41"/>
      <c r="AH62" s="41"/>
      <c r="AI62" s="41"/>
      <c r="AJ62" s="41"/>
      <c r="AK62" s="41"/>
      <c r="AL62" s="41"/>
      <c r="AM62" s="41"/>
      <c r="AN62" s="41"/>
      <c r="AO62" s="41"/>
      <c r="AP62" s="41"/>
      <c r="AQ62" s="41"/>
      <c r="AR62" s="41"/>
      <c r="AS62" s="41"/>
      <c r="AT62" s="41"/>
      <c r="AU62" s="41"/>
      <c r="AV62" s="41"/>
      <c r="AW62" s="41"/>
      <c r="AX62" s="41"/>
      <c r="AY62" s="41"/>
      <c r="AZ62" s="41"/>
      <c r="BA62" s="41"/>
      <c r="BB62" s="41"/>
      <c r="BC62" s="41"/>
      <c r="BD62" s="41"/>
      <c r="BE62" s="41"/>
      <c r="BF62" s="41"/>
      <c r="BG62" s="41"/>
      <c r="BH62" s="41"/>
      <c r="BI62" s="41"/>
      <c r="BJ62" s="41"/>
      <c r="BK62" s="41"/>
      <c r="BL62" s="41"/>
      <c r="BM62" s="41"/>
      <c r="BN62" s="41"/>
      <c r="BO62" s="41"/>
      <c r="BP62" s="41"/>
      <c r="BQ62" s="41"/>
      <c r="BR62" s="41"/>
      <c r="BS62" s="41"/>
      <c r="BT62" s="41"/>
      <c r="BU62" s="41"/>
      <c r="BV62" s="41"/>
      <c r="BW62" s="41"/>
      <c r="BX62" s="41"/>
      <c r="BY62" s="41"/>
      <c r="BZ62" s="41"/>
      <c r="CA62" s="41"/>
      <c r="CB62" s="41"/>
      <c r="CC62" s="41"/>
      <c r="CD62" s="41"/>
      <c r="CE62" s="41"/>
      <c r="CF62" s="41"/>
      <c r="CG62" s="41"/>
      <c r="CH62" s="41"/>
      <c r="CI62" s="41"/>
      <c r="CJ62" s="41"/>
      <c r="CK62" s="41"/>
      <c r="CL62" s="41"/>
      <c r="CM62" s="41"/>
      <c r="CN62" s="41"/>
      <c r="CO62" s="41"/>
      <c r="CP62" s="41"/>
    </row>
    <row r="63" spans="1:94" s="53" customFormat="1" ht="15.75" customHeight="1" x14ac:dyDescent="0.25">
      <c r="A63" s="85">
        <v>8.41</v>
      </c>
      <c r="B63" s="83"/>
      <c r="C63" s="408" t="s">
        <v>55</v>
      </c>
      <c r="D63" s="409"/>
      <c r="E63" s="102"/>
      <c r="F63" s="58">
        <v>0</v>
      </c>
      <c r="G63" s="89">
        <f>ROUND((OneTimePC_Total-H63)/(1+(PermVB+Retire1)),-2)</f>
        <v>0</v>
      </c>
      <c r="H63" s="89">
        <f>ROUND(IF(AND(F63&lt;0,OneTimePC_Total&lt;0),F63*Health,0),-2)</f>
        <v>0</v>
      </c>
      <c r="I63" s="310">
        <f>OneTimePC_Total-G63-H63</f>
        <v>0</v>
      </c>
      <c r="J63" s="89">
        <v>0</v>
      </c>
      <c r="K63" s="308"/>
      <c r="L63" s="88"/>
      <c r="M63" s="261"/>
      <c r="N63" s="89">
        <f>SUM(L63:M63)</f>
        <v>0</v>
      </c>
      <c r="O63"/>
      <c r="P63"/>
      <c r="Q63"/>
      <c r="R63"/>
      <c r="S63"/>
      <c r="T63"/>
      <c r="U63"/>
      <c r="V63"/>
      <c r="W63"/>
      <c r="X63"/>
      <c r="Y63"/>
      <c r="Z63" s="344"/>
      <c r="AA63" s="363"/>
      <c r="AB63" s="363"/>
      <c r="AC63" s="363"/>
      <c r="AD63" s="110"/>
      <c r="AE63" s="41"/>
      <c r="AF63" s="41"/>
      <c r="AG63" s="41"/>
      <c r="AH63" s="41"/>
      <c r="AI63" s="41"/>
      <c r="AJ63" s="41"/>
      <c r="AK63" s="41"/>
      <c r="AL63" s="41"/>
      <c r="AM63" s="41"/>
      <c r="AN63" s="41"/>
      <c r="AO63" s="41"/>
      <c r="AP63" s="41"/>
      <c r="AQ63" s="41"/>
      <c r="AR63" s="41"/>
      <c r="AS63" s="41"/>
      <c r="AT63" s="41"/>
      <c r="AU63" s="41"/>
      <c r="AV63" s="41"/>
      <c r="AW63" s="41"/>
      <c r="AX63" s="41"/>
      <c r="AY63" s="41"/>
      <c r="AZ63" s="41"/>
      <c r="BA63" s="41"/>
      <c r="BB63" s="41"/>
      <c r="BC63" s="41"/>
      <c r="BD63" s="41"/>
      <c r="BE63" s="41"/>
      <c r="BF63" s="41"/>
      <c r="BG63" s="41"/>
      <c r="BH63" s="41"/>
      <c r="BI63" s="41"/>
      <c r="BJ63" s="41"/>
      <c r="BK63" s="41"/>
      <c r="BL63" s="41"/>
      <c r="BM63" s="41"/>
      <c r="BN63" s="41"/>
      <c r="BO63" s="41"/>
      <c r="BP63" s="41"/>
      <c r="BQ63" s="41"/>
      <c r="BR63" s="41"/>
      <c r="BS63" s="41"/>
      <c r="BT63" s="41"/>
      <c r="BU63" s="41"/>
      <c r="BV63" s="41"/>
      <c r="BW63" s="41"/>
      <c r="BX63" s="41"/>
      <c r="BY63" s="41"/>
      <c r="BZ63" s="41"/>
      <c r="CA63" s="41"/>
      <c r="CB63" s="41"/>
      <c r="CC63" s="41"/>
      <c r="CD63" s="41"/>
      <c r="CE63" s="41"/>
      <c r="CF63" s="41"/>
      <c r="CG63" s="41"/>
      <c r="CH63" s="41"/>
      <c r="CI63" s="41"/>
      <c r="CJ63" s="41"/>
      <c r="CK63" s="41"/>
      <c r="CL63" s="41"/>
      <c r="CM63" s="41"/>
      <c r="CN63" s="41"/>
      <c r="CO63" s="41"/>
      <c r="CP63" s="41"/>
    </row>
    <row r="64" spans="1:94" s="53" customFormat="1" ht="15.75" customHeight="1" thickBot="1" x14ac:dyDescent="0.3">
      <c r="A64" s="93">
        <v>8.51</v>
      </c>
      <c r="B64" s="93"/>
      <c r="C64" s="413" t="s">
        <v>56</v>
      </c>
      <c r="D64" s="414"/>
      <c r="E64" s="134"/>
      <c r="F64" s="58">
        <v>0</v>
      </c>
      <c r="G64" s="88"/>
      <c r="H64" s="88">
        <v>0</v>
      </c>
      <c r="I64" s="265"/>
      <c r="J64" s="89">
        <f>SUM(G64:I64)</f>
        <v>0</v>
      </c>
      <c r="K64" s="62"/>
      <c r="L64" s="88"/>
      <c r="M64" s="261"/>
      <c r="N64" s="89">
        <f>SUM(L64:M64)</f>
        <v>0</v>
      </c>
      <c r="O64"/>
      <c r="P64"/>
      <c r="Q64"/>
      <c r="R64"/>
      <c r="S64"/>
      <c r="T64"/>
      <c r="U64"/>
      <c r="V64"/>
      <c r="W64"/>
      <c r="X64"/>
      <c r="Y64"/>
      <c r="Z64" s="344"/>
      <c r="AA64" s="363"/>
      <c r="AB64" s="363"/>
      <c r="AC64" s="363"/>
      <c r="AD64" s="110"/>
      <c r="AE64" s="41"/>
      <c r="AF64" s="41"/>
      <c r="AG64" s="41"/>
      <c r="AH64" s="41"/>
      <c r="AI64" s="41"/>
      <c r="AJ64" s="41"/>
      <c r="AK64" s="41"/>
      <c r="AL64" s="41"/>
      <c r="AM64" s="41"/>
      <c r="AN64" s="41"/>
      <c r="AO64" s="41"/>
      <c r="AP64" s="41"/>
      <c r="AQ64" s="41"/>
      <c r="AR64" s="41"/>
      <c r="AS64" s="41"/>
      <c r="AT64" s="41"/>
      <c r="AU64" s="41"/>
      <c r="AV64" s="41"/>
      <c r="AW64" s="41"/>
      <c r="AX64" s="41"/>
      <c r="AY64" s="41"/>
      <c r="AZ64" s="41"/>
      <c r="BA64" s="41"/>
      <c r="BB64" s="41"/>
      <c r="BC64" s="41"/>
      <c r="BD64" s="41"/>
      <c r="BE64" s="41"/>
      <c r="BF64" s="41"/>
      <c r="BG64" s="41"/>
      <c r="BH64" s="41"/>
      <c r="BI64" s="41"/>
      <c r="BJ64" s="41"/>
      <c r="BK64" s="41"/>
      <c r="BL64" s="41"/>
      <c r="BM64" s="41"/>
      <c r="BN64" s="41"/>
      <c r="BO64" s="41"/>
      <c r="BP64" s="41"/>
      <c r="BQ64" s="41"/>
      <c r="BR64" s="41"/>
      <c r="BS64" s="41"/>
      <c r="BT64" s="41"/>
      <c r="BU64" s="41"/>
      <c r="BV64" s="41"/>
      <c r="BW64" s="41"/>
      <c r="BX64" s="41"/>
      <c r="BY64" s="41"/>
      <c r="BZ64" s="41"/>
      <c r="CA64" s="41"/>
      <c r="CB64" s="41"/>
      <c r="CC64" s="41"/>
      <c r="CD64" s="41"/>
      <c r="CE64" s="41"/>
      <c r="CF64" s="41"/>
      <c r="CG64" s="41"/>
      <c r="CH64" s="41"/>
      <c r="CI64" s="41"/>
      <c r="CJ64" s="41"/>
      <c r="CK64" s="41"/>
      <c r="CL64" s="41"/>
      <c r="CM64" s="41"/>
      <c r="CN64" s="41"/>
      <c r="CO64" s="41"/>
      <c r="CP64" s="41"/>
    </row>
    <row r="65" spans="1:94" s="53" customFormat="1" ht="6" customHeight="1" thickTop="1" x14ac:dyDescent="0.25">
      <c r="A65" s="94"/>
      <c r="B65" s="95"/>
      <c r="C65" s="415"/>
      <c r="D65" s="416"/>
      <c r="E65" s="96"/>
      <c r="F65" s="97"/>
      <c r="G65" s="98"/>
      <c r="H65" s="98"/>
      <c r="I65" s="98"/>
      <c r="J65" s="98"/>
      <c r="K65" s="98"/>
      <c r="L65" s="98"/>
      <c r="M65" s="99"/>
      <c r="N65" s="95"/>
      <c r="O65"/>
      <c r="P65"/>
      <c r="Q65"/>
      <c r="R65"/>
      <c r="S65"/>
      <c r="T65"/>
      <c r="U65"/>
      <c r="V65"/>
      <c r="W65"/>
      <c r="X65"/>
      <c r="Y65"/>
      <c r="Z65" s="344"/>
      <c r="AA65" s="363"/>
      <c r="AB65" s="363"/>
      <c r="AC65" s="363"/>
      <c r="AD65" s="110"/>
      <c r="AE65" s="41"/>
      <c r="AF65" s="41"/>
      <c r="AG65" s="41"/>
      <c r="AH65" s="41"/>
      <c r="AI65" s="41"/>
      <c r="AJ65" s="41"/>
      <c r="AK65" s="41"/>
      <c r="AL65" s="41"/>
      <c r="AM65" s="41"/>
      <c r="AN65" s="41"/>
      <c r="AO65" s="41"/>
      <c r="AP65" s="41"/>
      <c r="AQ65" s="41"/>
      <c r="AR65" s="41"/>
      <c r="AS65" s="41"/>
      <c r="AT65" s="41"/>
      <c r="AU65" s="41"/>
      <c r="AV65" s="41"/>
      <c r="AW65" s="41"/>
      <c r="AX65" s="41"/>
      <c r="AY65" s="41"/>
      <c r="AZ65" s="41"/>
      <c r="BA65" s="41"/>
      <c r="BB65" s="41"/>
      <c r="BC65" s="41"/>
      <c r="BD65" s="41"/>
      <c r="BE65" s="41"/>
      <c r="BF65" s="41"/>
      <c r="BG65" s="41"/>
      <c r="BH65" s="41"/>
      <c r="BI65" s="41"/>
      <c r="BJ65" s="41"/>
      <c r="BK65" s="41"/>
      <c r="BL65" s="41"/>
      <c r="BM65" s="41"/>
      <c r="BN65" s="41"/>
      <c r="BO65" s="41"/>
      <c r="BP65" s="41"/>
      <c r="BQ65" s="41"/>
      <c r="BR65" s="41"/>
      <c r="BS65" s="41"/>
      <c r="BT65" s="41"/>
      <c r="BU65" s="41"/>
      <c r="BV65" s="41"/>
      <c r="BW65" s="41"/>
      <c r="BX65" s="41"/>
      <c r="BY65" s="41"/>
      <c r="BZ65" s="41"/>
      <c r="CA65" s="41"/>
      <c r="CB65" s="41"/>
      <c r="CC65" s="41"/>
      <c r="CD65" s="41"/>
      <c r="CE65" s="41"/>
      <c r="CF65" s="41"/>
      <c r="CG65" s="41"/>
      <c r="CH65" s="41"/>
      <c r="CI65" s="41"/>
      <c r="CJ65" s="41"/>
      <c r="CK65" s="41"/>
      <c r="CL65" s="41"/>
      <c r="CM65" s="41"/>
      <c r="CN65" s="41"/>
      <c r="CO65" s="41"/>
      <c r="CP65" s="41"/>
    </row>
    <row r="66" spans="1:94" s="107" customFormat="1" ht="15" x14ac:dyDescent="0.25">
      <c r="A66" s="100"/>
      <c r="B66" s="101"/>
      <c r="C66" s="417"/>
      <c r="D66" s="418"/>
      <c r="E66" s="102"/>
      <c r="F66" s="103" t="s">
        <v>24</v>
      </c>
      <c r="G66" s="104" t="str">
        <f>"FY "&amp;M4-2000&amp;" Salary"</f>
        <v>FY 23 Salary</v>
      </c>
      <c r="H66" s="104" t="str">
        <f>"FY"&amp;M4-2000&amp;" Health Ben"</f>
        <v>FY23 Health Ben</v>
      </c>
      <c r="I66" s="104" t="str">
        <f>"FY "&amp;M4-2000&amp;" Var Ben"</f>
        <v>FY 23 Var Ben</v>
      </c>
      <c r="J66" s="104" t="str">
        <f>"FY "&amp;M4&amp;" Total"</f>
        <v>FY 2023 Total</v>
      </c>
      <c r="K66" s="104"/>
      <c r="L66" s="105"/>
      <c r="M66" s="105"/>
      <c r="N66" s="101"/>
      <c r="O66"/>
      <c r="P66"/>
      <c r="Q66"/>
      <c r="R66"/>
      <c r="S66"/>
      <c r="T66"/>
      <c r="U66"/>
      <c r="V66"/>
      <c r="W66"/>
      <c r="X66"/>
      <c r="Y66"/>
      <c r="Z66" s="344"/>
      <c r="AA66" s="339"/>
      <c r="AB66" s="339"/>
      <c r="AC66" s="339"/>
      <c r="AD66" s="105"/>
      <c r="AE66" s="106"/>
      <c r="AF66" s="106"/>
      <c r="AG66" s="106"/>
      <c r="AH66" s="106"/>
      <c r="AI66" s="106"/>
      <c r="AJ66" s="106"/>
      <c r="AK66" s="106"/>
      <c r="AL66" s="106"/>
      <c r="AM66" s="106"/>
      <c r="AN66" s="106"/>
      <c r="AO66" s="106"/>
      <c r="AP66" s="106"/>
      <c r="AQ66" s="106"/>
      <c r="AR66" s="106"/>
      <c r="AS66" s="106"/>
      <c r="AT66" s="106"/>
      <c r="AU66" s="106"/>
      <c r="AV66" s="106"/>
      <c r="AW66" s="106"/>
      <c r="AX66" s="106"/>
      <c r="AY66" s="106"/>
      <c r="AZ66" s="106"/>
      <c r="BA66" s="106"/>
      <c r="BB66" s="106"/>
      <c r="BC66" s="106"/>
      <c r="BD66" s="106"/>
      <c r="BE66" s="106"/>
      <c r="BF66" s="106"/>
      <c r="BG66" s="106"/>
      <c r="BH66" s="106"/>
      <c r="BI66" s="106"/>
      <c r="BJ66" s="106"/>
      <c r="BK66" s="106"/>
      <c r="BL66" s="106"/>
      <c r="BM66" s="106"/>
      <c r="BN66" s="106"/>
      <c r="BO66" s="106"/>
      <c r="BP66" s="106"/>
      <c r="BQ66" s="106"/>
      <c r="BR66" s="106"/>
      <c r="BS66" s="106"/>
      <c r="BT66" s="106"/>
      <c r="BU66" s="106"/>
      <c r="BV66" s="106"/>
      <c r="BW66" s="106"/>
      <c r="BX66" s="106"/>
      <c r="BY66" s="106"/>
      <c r="BZ66" s="106"/>
      <c r="CA66" s="106"/>
      <c r="CB66" s="106"/>
      <c r="CC66" s="106"/>
      <c r="CD66" s="106"/>
      <c r="CE66" s="106"/>
      <c r="CF66" s="106"/>
      <c r="CG66" s="106"/>
      <c r="CH66" s="106"/>
      <c r="CI66" s="106"/>
      <c r="CJ66" s="106"/>
      <c r="CK66" s="106"/>
      <c r="CL66" s="106"/>
      <c r="CM66" s="106"/>
      <c r="CN66" s="106"/>
      <c r="CO66" s="106"/>
      <c r="CP66" s="106"/>
    </row>
    <row r="67" spans="1:94" s="53" customFormat="1" ht="15" x14ac:dyDescent="0.25">
      <c r="A67" s="82">
        <v>9</v>
      </c>
      <c r="B67" s="83"/>
      <c r="C67" s="84" t="str">
        <f>"FY "&amp;M4</f>
        <v>FY 2023</v>
      </c>
      <c r="D67" s="108" t="s">
        <v>57</v>
      </c>
      <c r="E67" s="109"/>
      <c r="F67" s="55">
        <f>SUM(F60:F64)</f>
        <v>62.85</v>
      </c>
      <c r="G67" s="80">
        <f>SUM(G60:G64)</f>
        <v>2685300</v>
      </c>
      <c r="H67" s="80">
        <f>SUM(H60:H64)</f>
        <v>640400</v>
      </c>
      <c r="I67" s="80">
        <f>SUM(I60:I64)</f>
        <v>510000</v>
      </c>
      <c r="J67" s="80">
        <f>SUM(J60:J64)</f>
        <v>3835800</v>
      </c>
      <c r="K67" s="263"/>
      <c r="L67" s="110"/>
      <c r="M67" s="110"/>
      <c r="N67" s="111"/>
      <c r="O67"/>
      <c r="P67"/>
      <c r="Q67"/>
      <c r="R67"/>
      <c r="S67"/>
      <c r="T67"/>
      <c r="U67"/>
      <c r="V67"/>
      <c r="W67"/>
      <c r="X67"/>
      <c r="Y67"/>
      <c r="Z67" s="344"/>
      <c r="AA67" s="363"/>
      <c r="AB67" s="363"/>
      <c r="AC67" s="363"/>
      <c r="AD67" s="110"/>
      <c r="AE67" s="41"/>
      <c r="AF67" s="41"/>
      <c r="AG67" s="41"/>
      <c r="AH67" s="41"/>
      <c r="AI67" s="41"/>
      <c r="AJ67" s="41"/>
      <c r="AK67" s="41"/>
      <c r="AL67" s="41"/>
      <c r="AM67" s="41"/>
      <c r="AN67" s="41"/>
      <c r="AO67" s="41"/>
      <c r="AP67" s="41"/>
      <c r="AQ67" s="41"/>
      <c r="AR67" s="41"/>
      <c r="AS67" s="41"/>
      <c r="AT67" s="41"/>
      <c r="AU67" s="41"/>
      <c r="AV67" s="41"/>
      <c r="AW67" s="41"/>
      <c r="AX67" s="41"/>
      <c r="AY67" s="41"/>
      <c r="AZ67" s="41"/>
      <c r="BA67" s="41"/>
      <c r="BB67" s="41"/>
      <c r="BC67" s="41"/>
      <c r="BD67" s="41"/>
      <c r="BE67" s="41"/>
      <c r="BF67" s="41"/>
      <c r="BG67" s="41"/>
      <c r="BH67" s="41"/>
      <c r="BI67" s="41"/>
      <c r="BJ67" s="41"/>
      <c r="BK67" s="41"/>
      <c r="BL67" s="41"/>
      <c r="BM67" s="41"/>
      <c r="BN67" s="41"/>
      <c r="BO67" s="41"/>
      <c r="BP67" s="41"/>
      <c r="BQ67" s="41"/>
      <c r="BR67" s="41"/>
      <c r="BS67" s="41"/>
      <c r="BT67" s="41"/>
      <c r="BU67" s="41"/>
      <c r="BV67" s="41"/>
      <c r="BW67" s="41"/>
      <c r="BX67" s="41"/>
      <c r="BY67" s="41"/>
      <c r="BZ67" s="41"/>
      <c r="CA67" s="41"/>
      <c r="CB67" s="41"/>
      <c r="CC67" s="41"/>
      <c r="CD67" s="41"/>
      <c r="CE67" s="41"/>
      <c r="CF67" s="41"/>
      <c r="CG67" s="41"/>
      <c r="CH67" s="41"/>
      <c r="CI67" s="41"/>
      <c r="CJ67" s="41"/>
      <c r="CK67" s="41"/>
      <c r="CL67" s="41"/>
      <c r="CM67" s="41"/>
      <c r="CN67" s="41"/>
      <c r="CO67" s="41"/>
      <c r="CP67" s="41"/>
    </row>
    <row r="68" spans="1:94" s="53" customFormat="1" ht="15.75" customHeight="1" x14ac:dyDescent="0.25">
      <c r="A68" s="85">
        <v>10.11</v>
      </c>
      <c r="B68" s="83"/>
      <c r="C68" s="419" t="s">
        <v>58</v>
      </c>
      <c r="D68" s="420"/>
      <c r="E68" s="112"/>
      <c r="F68" s="288"/>
      <c r="G68" s="287"/>
      <c r="H68" s="113">
        <f>IF(DUNine=0,0,ROUND(SUM(L41:L65),-2))</f>
        <v>0</v>
      </c>
      <c r="I68" s="113"/>
      <c r="J68" s="287">
        <f>SUM(G68:I68)</f>
        <v>0</v>
      </c>
      <c r="K68" s="291"/>
      <c r="L68" s="292"/>
      <c r="M68" s="292"/>
      <c r="N68" s="293"/>
      <c r="O68"/>
      <c r="P68"/>
      <c r="Q68"/>
      <c r="R68"/>
      <c r="S68"/>
      <c r="T68"/>
      <c r="U68"/>
      <c r="V68"/>
      <c r="W68"/>
      <c r="X68"/>
      <c r="Y68"/>
      <c r="Z68" s="344"/>
      <c r="AA68" s="363"/>
      <c r="AB68" s="363"/>
      <c r="AC68" s="363"/>
      <c r="AD68" s="110"/>
      <c r="AE68" s="41"/>
      <c r="AF68" s="41"/>
      <c r="AG68" s="41"/>
      <c r="AH68" s="41"/>
      <c r="AI68" s="41"/>
      <c r="AJ68" s="41"/>
      <c r="AK68" s="41"/>
      <c r="AL68" s="41"/>
      <c r="AM68" s="41"/>
      <c r="AN68" s="41"/>
      <c r="AO68" s="41"/>
      <c r="AP68" s="41"/>
      <c r="AQ68" s="41"/>
      <c r="AR68" s="41"/>
      <c r="AS68" s="41"/>
      <c r="AT68" s="41"/>
      <c r="AU68" s="41"/>
      <c r="AV68" s="41"/>
      <c r="AW68" s="41"/>
      <c r="AX68" s="41"/>
      <c r="AY68" s="41"/>
      <c r="AZ68" s="41"/>
      <c r="BA68" s="41"/>
      <c r="BB68" s="41"/>
      <c r="BC68" s="41"/>
      <c r="BD68" s="41"/>
      <c r="BE68" s="41"/>
      <c r="BF68" s="41"/>
      <c r="BG68" s="41"/>
      <c r="BH68" s="41"/>
      <c r="BI68" s="41"/>
      <c r="BJ68" s="41"/>
      <c r="BK68" s="41"/>
      <c r="BL68" s="41"/>
      <c r="BM68" s="41"/>
      <c r="BN68" s="41"/>
      <c r="BO68" s="41"/>
      <c r="BP68" s="41"/>
      <c r="BQ68" s="41"/>
      <c r="BR68" s="41"/>
      <c r="BS68" s="41"/>
      <c r="BT68" s="41"/>
      <c r="BU68" s="41"/>
      <c r="BV68" s="41"/>
      <c r="BW68" s="41"/>
      <c r="BX68" s="41"/>
      <c r="BY68" s="41"/>
      <c r="BZ68" s="41"/>
      <c r="CA68" s="41"/>
      <c r="CB68" s="41"/>
      <c r="CC68" s="41"/>
      <c r="CD68" s="41"/>
      <c r="CE68" s="41"/>
      <c r="CF68" s="41"/>
      <c r="CG68" s="41"/>
      <c r="CH68" s="41"/>
      <c r="CI68" s="41"/>
      <c r="CJ68" s="41"/>
      <c r="CK68" s="41"/>
      <c r="CL68" s="41"/>
      <c r="CM68" s="41"/>
      <c r="CN68" s="41"/>
      <c r="CO68" s="41"/>
      <c r="CP68" s="41"/>
    </row>
    <row r="69" spans="1:94" s="53" customFormat="1" ht="15" x14ac:dyDescent="0.25">
      <c r="A69" s="85">
        <v>10.119999999999999</v>
      </c>
      <c r="B69" s="83"/>
      <c r="C69" s="419" t="s">
        <v>59</v>
      </c>
      <c r="D69" s="420"/>
      <c r="E69" s="112"/>
      <c r="F69" s="288"/>
      <c r="G69" s="113"/>
      <c r="H69" s="113"/>
      <c r="I69" s="113">
        <f>IF(DUNine=0,0,ROUND(SUM(M41:M64),-2))</f>
        <v>-11800</v>
      </c>
      <c r="J69" s="287">
        <f>SUM(G69:I69)</f>
        <v>-11800</v>
      </c>
      <c r="K69" s="291"/>
      <c r="L69" s="292"/>
      <c r="M69" s="292"/>
      <c r="N69" s="293"/>
      <c r="O69"/>
      <c r="P69"/>
      <c r="Q69"/>
      <c r="R69"/>
      <c r="S69"/>
      <c r="T69"/>
      <c r="U69"/>
      <c r="V69"/>
      <c r="W69"/>
      <c r="X69"/>
      <c r="Y69"/>
      <c r="Z69" s="344"/>
      <c r="AA69" s="363"/>
      <c r="AB69" s="363"/>
      <c r="AC69" s="363"/>
      <c r="AD69" s="110"/>
      <c r="AE69" s="41"/>
      <c r="AF69" s="41"/>
      <c r="AG69" s="41"/>
      <c r="AH69" s="41"/>
      <c r="AI69" s="41"/>
      <c r="AJ69" s="41"/>
      <c r="AK69" s="41"/>
      <c r="AL69" s="41"/>
      <c r="AM69" s="41"/>
      <c r="AN69" s="41"/>
      <c r="AO69" s="41"/>
      <c r="AP69" s="41"/>
      <c r="AQ69" s="41"/>
      <c r="AR69" s="41"/>
      <c r="AS69" s="41"/>
      <c r="AT69" s="41"/>
      <c r="AU69" s="41"/>
      <c r="AV69" s="41"/>
      <c r="AW69" s="41"/>
      <c r="AX69" s="41"/>
      <c r="AY69" s="41"/>
      <c r="AZ69" s="41"/>
      <c r="BA69" s="41"/>
      <c r="BB69" s="41"/>
      <c r="BC69" s="41"/>
      <c r="BD69" s="41"/>
      <c r="BE69" s="41"/>
      <c r="BF69" s="41"/>
      <c r="BG69" s="41"/>
      <c r="BH69" s="41"/>
      <c r="BI69" s="41"/>
      <c r="BJ69" s="41"/>
      <c r="BK69" s="41"/>
      <c r="BL69" s="41"/>
      <c r="BM69" s="41"/>
      <c r="BN69" s="41"/>
      <c r="BO69" s="41"/>
      <c r="BP69" s="41"/>
      <c r="BQ69" s="41"/>
      <c r="BR69" s="41"/>
      <c r="BS69" s="41"/>
      <c r="BT69" s="41"/>
      <c r="BU69" s="41"/>
      <c r="BV69" s="41"/>
      <c r="BW69" s="41"/>
      <c r="BX69" s="41"/>
      <c r="BY69" s="41"/>
      <c r="BZ69" s="41"/>
      <c r="CA69" s="41"/>
      <c r="CB69" s="41"/>
      <c r="CC69" s="41"/>
      <c r="CD69" s="41"/>
      <c r="CE69" s="41"/>
      <c r="CF69" s="41"/>
      <c r="CG69" s="41"/>
      <c r="CH69" s="41"/>
      <c r="CI69" s="41"/>
      <c r="CJ69" s="41"/>
      <c r="CK69" s="41"/>
      <c r="CL69" s="41"/>
      <c r="CM69" s="41"/>
      <c r="CN69" s="41"/>
      <c r="CO69" s="41"/>
      <c r="CP69" s="41"/>
    </row>
    <row r="70" spans="1:94" s="53" customFormat="1" ht="15" x14ac:dyDescent="0.25">
      <c r="A70" s="85"/>
      <c r="B70" s="83"/>
      <c r="C70" s="406"/>
      <c r="D70" s="407"/>
      <c r="E70" s="236" t="s">
        <v>23</v>
      </c>
      <c r="F70" s="288"/>
      <c r="G70" s="113"/>
      <c r="H70" s="113"/>
      <c r="I70" s="113"/>
      <c r="J70" s="287">
        <f>SUM(G70:I70)</f>
        <v>0</v>
      </c>
      <c r="K70" s="291"/>
      <c r="L70" s="292"/>
      <c r="M70" s="294"/>
      <c r="N70" s="295"/>
      <c r="O70"/>
      <c r="P70"/>
      <c r="Q70"/>
      <c r="R70"/>
      <c r="S70"/>
      <c r="T70"/>
      <c r="U70"/>
      <c r="V70"/>
      <c r="W70"/>
      <c r="X70"/>
      <c r="Y70"/>
      <c r="Z70" s="344"/>
      <c r="AA70" s="363"/>
      <c r="AB70" s="363"/>
      <c r="AC70" s="363"/>
      <c r="AD70" s="110"/>
      <c r="AE70" s="41"/>
      <c r="AF70" s="41"/>
      <c r="AG70" s="41"/>
      <c r="AH70" s="41"/>
      <c r="AI70" s="41"/>
      <c r="AJ70" s="41"/>
      <c r="AK70" s="41"/>
      <c r="AL70" s="41"/>
      <c r="AM70" s="41"/>
      <c r="AN70" s="41"/>
      <c r="AO70" s="41"/>
      <c r="AP70" s="41"/>
      <c r="AQ70" s="41"/>
      <c r="AR70" s="41"/>
      <c r="AS70" s="41"/>
      <c r="AT70" s="41"/>
      <c r="AU70" s="41"/>
      <c r="AV70" s="41"/>
      <c r="AW70" s="41"/>
      <c r="AX70" s="41"/>
      <c r="AY70" s="41"/>
      <c r="AZ70" s="41"/>
      <c r="BA70" s="41"/>
      <c r="BB70" s="41"/>
      <c r="BC70" s="41"/>
      <c r="BD70" s="41"/>
      <c r="BE70" s="41"/>
      <c r="BF70" s="41"/>
      <c r="BG70" s="41"/>
      <c r="BH70" s="41"/>
      <c r="BI70" s="41"/>
      <c r="BJ70" s="41"/>
      <c r="BK70" s="41"/>
      <c r="BL70" s="41"/>
      <c r="BM70" s="41"/>
      <c r="BN70" s="41"/>
      <c r="BO70" s="41"/>
      <c r="BP70" s="41"/>
      <c r="BQ70" s="41"/>
      <c r="BR70" s="41"/>
      <c r="BS70" s="41"/>
      <c r="BT70" s="41"/>
      <c r="BU70" s="41"/>
      <c r="BV70" s="41"/>
      <c r="BW70" s="41"/>
      <c r="BX70" s="41"/>
      <c r="BY70" s="41"/>
      <c r="BZ70" s="41"/>
      <c r="CA70" s="41"/>
      <c r="CB70" s="41"/>
      <c r="CC70" s="41"/>
      <c r="CD70" s="41"/>
      <c r="CE70" s="41"/>
      <c r="CF70" s="41"/>
      <c r="CG70" s="41"/>
      <c r="CH70" s="41"/>
      <c r="CI70" s="41"/>
      <c r="CJ70" s="41"/>
      <c r="CK70" s="41"/>
      <c r="CL70" s="41"/>
      <c r="CM70" s="41"/>
      <c r="CN70" s="41"/>
      <c r="CO70" s="41"/>
      <c r="CP70" s="41"/>
    </row>
    <row r="71" spans="1:94" s="53" customFormat="1" ht="15.75" customHeight="1" x14ac:dyDescent="0.25">
      <c r="A71" s="85">
        <v>10.51</v>
      </c>
      <c r="B71" s="83"/>
      <c r="C71" s="408" t="s">
        <v>60</v>
      </c>
      <c r="D71" s="409"/>
      <c r="E71" s="237"/>
      <c r="F71" s="288"/>
      <c r="G71" s="92">
        <v>0</v>
      </c>
      <c r="H71" s="92">
        <v>0</v>
      </c>
      <c r="I71" s="287">
        <f>ROUND(IF(AND($G71&lt;&gt;0,$E71=1),$G71*PermVBBY+$G71*Retire1BY,IF(AND($G71&lt;&gt;0,$E71=2),$G71*GroupVBBY,IF(AND($G71&lt;&gt;0,$E71=3),$G71*ElectVBBY+$G71*Retire1BY,0))),-2)</f>
        <v>0</v>
      </c>
      <c r="J71" s="113">
        <f t="shared" ref="J71:J74" si="11">SUM(G71:I71)</f>
        <v>0</v>
      </c>
      <c r="K71" s="296"/>
      <c r="L71" s="297"/>
      <c r="M71" s="348" t="s">
        <v>112</v>
      </c>
      <c r="N71" s="356"/>
      <c r="O71" s="357"/>
      <c r="P71" s="357"/>
      <c r="Q71"/>
      <c r="R71"/>
      <c r="S71"/>
      <c r="T71"/>
      <c r="U71"/>
      <c r="V71"/>
      <c r="W71"/>
      <c r="X71"/>
      <c r="Y71"/>
      <c r="Z71" s="344"/>
      <c r="AA71" s="363"/>
      <c r="AB71" s="363"/>
      <c r="AC71" s="363"/>
      <c r="AD71" s="110"/>
      <c r="AE71" s="41"/>
      <c r="AF71" s="41"/>
      <c r="AG71" s="41"/>
      <c r="AH71" s="41"/>
      <c r="AI71" s="41"/>
      <c r="AJ71" s="41"/>
      <c r="AK71" s="41"/>
      <c r="AL71" s="41"/>
      <c r="AM71" s="41"/>
      <c r="AN71" s="41"/>
      <c r="AO71" s="41"/>
      <c r="AP71" s="41"/>
      <c r="AQ71" s="41"/>
      <c r="AR71" s="41"/>
      <c r="AS71" s="41"/>
      <c r="AT71" s="41"/>
      <c r="AU71" s="41"/>
      <c r="AV71" s="41"/>
      <c r="AW71" s="41"/>
      <c r="AX71" s="41"/>
      <c r="AY71" s="41"/>
      <c r="AZ71" s="41"/>
      <c r="BA71" s="41"/>
      <c r="BB71" s="41"/>
      <c r="BC71" s="41"/>
      <c r="BD71" s="41"/>
      <c r="BE71" s="41"/>
      <c r="BF71" s="41"/>
      <c r="BG71" s="41"/>
      <c r="BH71" s="41"/>
      <c r="BI71" s="41"/>
      <c r="BJ71" s="41"/>
      <c r="BK71" s="41"/>
      <c r="BL71" s="41"/>
      <c r="BM71" s="41"/>
      <c r="BN71" s="41"/>
      <c r="BO71" s="41"/>
      <c r="BP71" s="41"/>
      <c r="BQ71" s="41"/>
      <c r="BR71" s="41"/>
      <c r="BS71" s="41"/>
      <c r="BT71" s="41"/>
      <c r="BU71" s="41"/>
      <c r="BV71" s="41"/>
      <c r="BW71" s="41"/>
      <c r="BX71" s="41"/>
      <c r="BY71" s="41"/>
      <c r="BZ71" s="41"/>
      <c r="CA71" s="41"/>
      <c r="CB71" s="41"/>
      <c r="CC71" s="41"/>
      <c r="CD71" s="41"/>
      <c r="CE71" s="41"/>
      <c r="CF71" s="41"/>
      <c r="CG71" s="41"/>
      <c r="CH71" s="41"/>
      <c r="CI71" s="41"/>
      <c r="CJ71" s="41"/>
      <c r="CK71" s="41"/>
      <c r="CL71" s="41"/>
      <c r="CM71" s="41"/>
      <c r="CN71" s="41"/>
      <c r="CO71" s="41"/>
      <c r="CP71" s="41"/>
    </row>
    <row r="72" spans="1:94" s="53" customFormat="1" ht="15.75" customHeight="1" x14ac:dyDescent="0.25">
      <c r="A72" s="85">
        <v>10.61</v>
      </c>
      <c r="B72" s="83"/>
      <c r="C72" s="408" t="s">
        <v>101</v>
      </c>
      <c r="D72" s="410"/>
      <c r="E72" s="290">
        <f>CECPerm</f>
        <v>0.01</v>
      </c>
      <c r="F72" s="288"/>
      <c r="G72" s="355">
        <f>IF(DUNine=0,0,IF(DUNine&lt;0,0,ROUND(AdjPermSalary*CECPerm,-2)))</f>
        <v>24600</v>
      </c>
      <c r="H72" s="287"/>
      <c r="I72" s="287">
        <f>ROUND(($G72*PermVBBY+$G72*Retire1BY),-2)</f>
        <v>5100</v>
      </c>
      <c r="J72" s="113">
        <f>SUM(G72:I72)</f>
        <v>29700</v>
      </c>
      <c r="K72" s="296"/>
      <c r="L72" s="298"/>
      <c r="M72" s="349" t="e">
        <f>IF(DUNine=0,0,IF(((#REF!-G39-G40)*E72)&lt;0,0,ROUND(((#REF!-G39-G40)*E72),-2)))</f>
        <v>#REF!</v>
      </c>
      <c r="N72" s="358"/>
      <c r="O72" s="357" t="e">
        <f>IF(DUNine=0,0,IF(DUNine&lt;0,0,IF(SubCECBase&lt;RoundedAppropSalary,ROUND(AdjPermSalary*CECpermCalc,-2)+((SubCECBase-RoundedAppropSalary)*CECpermCalc),IF(SubCECBase&gt;RoundedAppropSalary,ROUND(AdjPermSalary*CECpermCalc,-2)+((SubCECBase-RoundedAppropSalary)*CECpermCalc),ROUND(AdjPermSalary*CECpermCalc,-2)))))</f>
        <v>#REF!</v>
      </c>
      <c r="P72" s="357"/>
      <c r="Q72"/>
      <c r="R72"/>
      <c r="S72"/>
      <c r="T72"/>
      <c r="U72"/>
      <c r="V72"/>
      <c r="W72"/>
      <c r="X72"/>
      <c r="Y72"/>
      <c r="Z72" s="344"/>
      <c r="AA72" s="363"/>
      <c r="AB72" s="363"/>
      <c r="AC72" s="363"/>
      <c r="AD72" s="110"/>
      <c r="AE72" s="41"/>
      <c r="AF72" s="41"/>
      <c r="AG72" s="41"/>
      <c r="AH72" s="41"/>
      <c r="AI72" s="41"/>
      <c r="AJ72" s="41"/>
      <c r="AK72" s="41"/>
      <c r="AL72" s="41"/>
      <c r="AM72" s="41"/>
      <c r="AN72" s="41"/>
      <c r="AO72" s="41"/>
      <c r="AP72" s="41"/>
      <c r="AQ72" s="41"/>
      <c r="AR72" s="41"/>
      <c r="AS72" s="41"/>
      <c r="AT72" s="41"/>
      <c r="AU72" s="41"/>
      <c r="AV72" s="41"/>
      <c r="AW72" s="41"/>
      <c r="AX72" s="41"/>
      <c r="AY72" s="41"/>
      <c r="AZ72" s="41"/>
      <c r="BA72" s="41"/>
      <c r="BB72" s="41"/>
      <c r="BC72" s="41"/>
      <c r="BD72" s="41"/>
      <c r="BE72" s="41"/>
      <c r="BF72" s="41"/>
      <c r="BG72" s="41"/>
      <c r="BH72" s="41"/>
      <c r="BI72" s="41"/>
      <c r="BJ72" s="41"/>
      <c r="BK72" s="41"/>
      <c r="BL72" s="41"/>
      <c r="BM72" s="41"/>
      <c r="BN72" s="41"/>
      <c r="BO72" s="41"/>
      <c r="BP72" s="41"/>
      <c r="BQ72" s="41"/>
      <c r="BR72" s="41"/>
      <c r="BS72" s="41"/>
      <c r="BT72" s="41"/>
      <c r="BU72" s="41"/>
      <c r="BV72" s="41"/>
      <c r="BW72" s="41"/>
      <c r="BX72" s="41"/>
      <c r="BY72" s="41"/>
      <c r="BZ72" s="41"/>
      <c r="CA72" s="41"/>
      <c r="CB72" s="41"/>
      <c r="CC72" s="41"/>
      <c r="CD72" s="41"/>
      <c r="CE72" s="41"/>
      <c r="CF72" s="41"/>
      <c r="CG72" s="41"/>
      <c r="CH72" s="41"/>
      <c r="CI72" s="41"/>
      <c r="CJ72" s="41"/>
      <c r="CK72" s="41"/>
      <c r="CL72" s="41"/>
      <c r="CM72" s="41"/>
      <c r="CN72" s="41"/>
      <c r="CO72" s="41"/>
      <c r="CP72" s="41"/>
    </row>
    <row r="73" spans="1:94" s="53" customFormat="1" ht="15.6" customHeight="1" x14ac:dyDescent="0.25">
      <c r="A73" s="85">
        <v>10.62</v>
      </c>
      <c r="B73" s="83"/>
      <c r="C73" s="408" t="s">
        <v>61</v>
      </c>
      <c r="D73" s="410"/>
      <c r="E73" s="289">
        <f>CECGroup</f>
        <v>0.01</v>
      </c>
      <c r="F73" s="288"/>
      <c r="G73" s="355">
        <f>IF(DUNine=0,0,IF(DUNine&lt;0,0,ROUND(AdjGroupSalary*CECGroup,-2)))</f>
        <v>5300</v>
      </c>
      <c r="H73" s="287"/>
      <c r="I73" s="287">
        <f>ROUND(($G73*GroupVBBY),-2)</f>
        <v>400</v>
      </c>
      <c r="J73" s="113">
        <f t="shared" si="11"/>
        <v>5700</v>
      </c>
      <c r="K73" s="301"/>
      <c r="L73" s="302"/>
      <c r="M73" s="359"/>
      <c r="N73" s="360"/>
      <c r="O73" s="357"/>
      <c r="P73" s="357"/>
      <c r="Q73"/>
      <c r="R73"/>
      <c r="S73"/>
      <c r="T73"/>
      <c r="U73"/>
      <c r="V73"/>
      <c r="W73"/>
      <c r="X73"/>
      <c r="Y73"/>
      <c r="Z73" s="344"/>
      <c r="AA73" s="363"/>
      <c r="AB73" s="363"/>
      <c r="AC73" s="363"/>
      <c r="AD73" s="110"/>
      <c r="AE73" s="41"/>
      <c r="AF73" s="41"/>
      <c r="AG73" s="41"/>
      <c r="AH73" s="41"/>
      <c r="AI73" s="41"/>
      <c r="AJ73" s="41"/>
      <c r="AK73" s="41"/>
      <c r="AL73" s="41"/>
      <c r="AM73" s="41"/>
      <c r="AN73" s="41"/>
      <c r="AO73" s="41"/>
      <c r="AP73" s="41"/>
      <c r="AQ73" s="41"/>
      <c r="AR73" s="41"/>
      <c r="AS73" s="41"/>
      <c r="AT73" s="41"/>
      <c r="AU73" s="41"/>
      <c r="AV73" s="41"/>
      <c r="AW73" s="41"/>
      <c r="AX73" s="41"/>
      <c r="AY73" s="41"/>
      <c r="AZ73" s="41"/>
      <c r="BA73" s="41"/>
      <c r="BB73" s="41"/>
      <c r="BC73" s="41"/>
      <c r="BD73" s="41"/>
      <c r="BE73" s="41"/>
      <c r="BF73" s="41"/>
      <c r="BG73" s="41"/>
      <c r="BH73" s="41"/>
      <c r="BI73" s="41"/>
      <c r="BJ73" s="41"/>
      <c r="BK73" s="41"/>
      <c r="BL73" s="41"/>
      <c r="BM73" s="41"/>
      <c r="BN73" s="41"/>
      <c r="BO73" s="41"/>
      <c r="BP73" s="41"/>
      <c r="BQ73" s="41"/>
      <c r="BR73" s="41"/>
      <c r="BS73" s="41"/>
      <c r="BT73" s="41"/>
      <c r="BU73" s="41"/>
      <c r="BV73" s="41"/>
      <c r="BW73" s="41"/>
      <c r="BX73" s="41"/>
      <c r="BY73" s="41"/>
      <c r="BZ73" s="41"/>
      <c r="CA73" s="41"/>
      <c r="CB73" s="41"/>
      <c r="CC73" s="41"/>
      <c r="CD73" s="41"/>
      <c r="CE73" s="41"/>
      <c r="CF73" s="41"/>
      <c r="CG73" s="41"/>
      <c r="CH73" s="41"/>
      <c r="CI73" s="41"/>
      <c r="CJ73" s="41"/>
      <c r="CK73" s="41"/>
      <c r="CL73" s="41"/>
      <c r="CM73" s="41"/>
      <c r="CN73" s="41"/>
      <c r="CO73" s="41"/>
      <c r="CP73" s="41"/>
    </row>
    <row r="74" spans="1:94" s="53" customFormat="1" ht="15.6" customHeight="1" x14ac:dyDescent="0.25">
      <c r="A74" s="85">
        <v>10.63</v>
      </c>
      <c r="B74" s="83"/>
      <c r="C74" s="366" t="s">
        <v>62</v>
      </c>
      <c r="D74" s="368"/>
      <c r="E74" s="112"/>
      <c r="F74" s="288"/>
      <c r="G74" s="92">
        <v>0</v>
      </c>
      <c r="H74" s="287"/>
      <c r="I74" s="287">
        <f>ROUND(($G74*ElectVBBY+$G74*Retire1BY),-2)</f>
        <v>0</v>
      </c>
      <c r="J74" s="113">
        <f t="shared" si="11"/>
        <v>0</v>
      </c>
      <c r="K74" s="301"/>
      <c r="L74" s="302"/>
      <c r="M74" s="303"/>
      <c r="N74" s="304"/>
      <c r="O74"/>
      <c r="P74"/>
      <c r="Q74"/>
      <c r="R74"/>
      <c r="S74"/>
      <c r="T74"/>
      <c r="U74"/>
      <c r="V74"/>
      <c r="W74"/>
      <c r="X74"/>
      <c r="Y74"/>
      <c r="Z74" s="344"/>
      <c r="AA74" s="363"/>
      <c r="AB74" s="363"/>
      <c r="AC74" s="363"/>
      <c r="AD74" s="110"/>
      <c r="AE74" s="41"/>
      <c r="AF74" s="41"/>
      <c r="AG74" s="41"/>
      <c r="AH74" s="41"/>
      <c r="AI74" s="41"/>
      <c r="AJ74" s="41"/>
      <c r="AK74" s="41"/>
      <c r="AL74" s="41"/>
      <c r="AM74" s="41"/>
      <c r="AN74" s="41"/>
      <c r="AO74" s="41"/>
      <c r="AP74" s="41"/>
      <c r="AQ74" s="41"/>
      <c r="AR74" s="41"/>
      <c r="AS74" s="41"/>
      <c r="AT74" s="41"/>
      <c r="AU74" s="41"/>
      <c r="AV74" s="41"/>
      <c r="AW74" s="41"/>
      <c r="AX74" s="41"/>
      <c r="AY74" s="41"/>
      <c r="AZ74" s="41"/>
      <c r="BA74" s="41"/>
      <c r="BB74" s="41"/>
      <c r="BC74" s="41"/>
      <c r="BD74" s="41"/>
      <c r="BE74" s="41"/>
      <c r="BF74" s="41"/>
      <c r="BG74" s="41"/>
      <c r="BH74" s="41"/>
      <c r="BI74" s="41"/>
      <c r="BJ74" s="41"/>
      <c r="BK74" s="41"/>
      <c r="BL74" s="41"/>
      <c r="BM74" s="41"/>
      <c r="BN74" s="41"/>
      <c r="BO74" s="41"/>
      <c r="BP74" s="41"/>
      <c r="BQ74" s="41"/>
      <c r="BR74" s="41"/>
      <c r="BS74" s="41"/>
      <c r="BT74" s="41"/>
      <c r="BU74" s="41"/>
      <c r="BV74" s="41"/>
      <c r="BW74" s="41"/>
      <c r="BX74" s="41"/>
      <c r="BY74" s="41"/>
      <c r="BZ74" s="41"/>
      <c r="CA74" s="41"/>
      <c r="CB74" s="41"/>
      <c r="CC74" s="41"/>
      <c r="CD74" s="41"/>
      <c r="CE74" s="41"/>
      <c r="CF74" s="41"/>
      <c r="CG74" s="41"/>
      <c r="CH74" s="41"/>
      <c r="CI74" s="41"/>
      <c r="CJ74" s="41"/>
      <c r="CK74" s="41"/>
      <c r="CL74" s="41"/>
      <c r="CM74" s="41"/>
      <c r="CN74" s="41"/>
      <c r="CO74" s="41"/>
      <c r="CP74" s="41"/>
    </row>
    <row r="75" spans="1:94" s="53" customFormat="1" ht="15.75" customHeight="1" x14ac:dyDescent="0.25">
      <c r="A75" s="75">
        <v>11</v>
      </c>
      <c r="B75" s="76"/>
      <c r="C75" s="54" t="str">
        <f>"FY "&amp;M4</f>
        <v>FY 2023</v>
      </c>
      <c r="D75" s="77" t="s">
        <v>63</v>
      </c>
      <c r="E75" s="112"/>
      <c r="F75" s="55">
        <f>SUM(F67:F74)</f>
        <v>62.85</v>
      </c>
      <c r="G75" s="80">
        <f>SUM(G67:G74)</f>
        <v>2715200</v>
      </c>
      <c r="H75" s="80">
        <f>SUM(H67:H74)</f>
        <v>640400</v>
      </c>
      <c r="I75" s="80">
        <f>SUM(I67:I74)</f>
        <v>503700</v>
      </c>
      <c r="J75" s="80">
        <f>SUM(J67:K74)</f>
        <v>3859400</v>
      </c>
      <c r="K75" s="296"/>
      <c r="L75" s="299"/>
      <c r="M75" s="299"/>
      <c r="N75" s="300"/>
      <c r="O75"/>
      <c r="P75"/>
      <c r="Q75"/>
      <c r="R75"/>
      <c r="S75"/>
      <c r="T75"/>
      <c r="U75"/>
      <c r="V75"/>
      <c r="W75"/>
      <c r="X75"/>
      <c r="Y75"/>
      <c r="Z75" s="344"/>
      <c r="AA75" s="363"/>
      <c r="AB75" s="363"/>
      <c r="AC75" s="363"/>
      <c r="AD75" s="110"/>
      <c r="AE75" s="41"/>
      <c r="AF75" s="41"/>
      <c r="AG75" s="41"/>
      <c r="AH75" s="41"/>
      <c r="AI75" s="41"/>
      <c r="AJ75" s="41"/>
      <c r="AK75" s="41"/>
      <c r="AL75" s="41"/>
      <c r="AM75" s="41"/>
      <c r="AN75" s="41"/>
      <c r="AO75" s="41"/>
      <c r="AP75" s="41"/>
      <c r="AQ75" s="41"/>
      <c r="AR75" s="41"/>
      <c r="AS75" s="41"/>
      <c r="AT75" s="41"/>
      <c r="AU75" s="41"/>
      <c r="AV75" s="41"/>
      <c r="AW75" s="41"/>
      <c r="AX75" s="41"/>
      <c r="AY75" s="41"/>
      <c r="AZ75" s="41"/>
      <c r="BA75" s="41"/>
      <c r="BB75" s="41"/>
      <c r="BC75" s="41"/>
      <c r="BD75" s="41"/>
      <c r="BE75" s="41"/>
      <c r="BF75" s="41"/>
      <c r="BG75" s="41"/>
      <c r="BH75" s="41"/>
      <c r="BI75" s="41"/>
      <c r="BJ75" s="41"/>
      <c r="BK75" s="41"/>
      <c r="BL75" s="41"/>
      <c r="BM75" s="41"/>
      <c r="BN75" s="41"/>
      <c r="BO75" s="41"/>
      <c r="BP75" s="41"/>
      <c r="BQ75" s="41"/>
      <c r="BR75" s="41"/>
      <c r="BS75" s="41"/>
      <c r="BT75" s="41"/>
      <c r="BU75" s="41"/>
      <c r="BV75" s="41"/>
      <c r="BW75" s="41"/>
      <c r="BX75" s="41"/>
      <c r="BY75" s="41"/>
      <c r="BZ75" s="41"/>
      <c r="CA75" s="41"/>
      <c r="CB75" s="41"/>
      <c r="CC75" s="41"/>
      <c r="CD75" s="41"/>
      <c r="CE75" s="41"/>
      <c r="CF75" s="41"/>
      <c r="CG75" s="41"/>
      <c r="CH75" s="41"/>
      <c r="CI75" s="41"/>
      <c r="CJ75" s="41"/>
      <c r="CK75" s="41"/>
      <c r="CL75" s="41"/>
      <c r="CM75" s="41"/>
      <c r="CN75" s="41"/>
      <c r="CO75" s="41"/>
      <c r="CP75" s="41"/>
    </row>
    <row r="76" spans="1:94" s="53" customFormat="1" ht="28.5" customHeight="1" x14ac:dyDescent="0.25">
      <c r="A76" s="85"/>
      <c r="B76" s="83"/>
      <c r="C76" s="411" t="s">
        <v>64</v>
      </c>
      <c r="D76" s="412"/>
      <c r="E76" s="59"/>
      <c r="F76" s="59"/>
      <c r="G76" s="61"/>
      <c r="H76" s="61"/>
      <c r="I76" s="61"/>
      <c r="J76" s="61"/>
      <c r="K76" s="291"/>
      <c r="L76" s="292"/>
      <c r="M76" s="305"/>
      <c r="N76" s="293"/>
      <c r="O76"/>
      <c r="P76"/>
      <c r="Q76"/>
      <c r="R76"/>
      <c r="S76"/>
      <c r="T76"/>
      <c r="U76"/>
      <c r="V76"/>
      <c r="W76"/>
      <c r="X76"/>
      <c r="Y76"/>
      <c r="Z76" s="344"/>
      <c r="AA76" s="363"/>
      <c r="AB76" s="363"/>
      <c r="AC76" s="363"/>
      <c r="AD76" s="110"/>
      <c r="AE76" s="41"/>
      <c r="AF76" s="41"/>
      <c r="AG76" s="41"/>
      <c r="AH76" s="41"/>
      <c r="AI76" s="41"/>
      <c r="AJ76" s="41"/>
      <c r="AK76" s="41"/>
      <c r="AL76" s="41"/>
      <c r="AM76" s="41"/>
      <c r="AN76" s="41"/>
      <c r="AO76" s="41"/>
      <c r="AP76" s="41"/>
      <c r="AQ76" s="41"/>
      <c r="AR76" s="41"/>
      <c r="AS76" s="41"/>
      <c r="AT76" s="41"/>
      <c r="AU76" s="41"/>
      <c r="AV76" s="41"/>
      <c r="AW76" s="41"/>
      <c r="AX76" s="41"/>
      <c r="AY76" s="41"/>
      <c r="AZ76" s="41"/>
      <c r="BA76" s="41"/>
      <c r="BB76" s="41"/>
      <c r="BC76" s="41"/>
      <c r="BD76" s="41"/>
      <c r="BE76" s="41"/>
      <c r="BF76" s="41"/>
      <c r="BG76" s="41"/>
      <c r="BH76" s="41"/>
      <c r="BI76" s="41"/>
      <c r="BJ76" s="41"/>
      <c r="BK76" s="41"/>
      <c r="BL76" s="41"/>
      <c r="BM76" s="41"/>
      <c r="BN76" s="41"/>
      <c r="BO76" s="41"/>
      <c r="BP76" s="41"/>
      <c r="BQ76" s="41"/>
      <c r="BR76" s="41"/>
      <c r="BS76" s="41"/>
      <c r="BT76" s="41"/>
      <c r="BU76" s="41"/>
      <c r="BV76" s="41"/>
      <c r="BW76" s="41"/>
      <c r="BX76" s="41"/>
      <c r="BY76" s="41"/>
      <c r="BZ76" s="41"/>
      <c r="CA76" s="41"/>
      <c r="CB76" s="41"/>
      <c r="CC76" s="41"/>
      <c r="CD76" s="41"/>
      <c r="CE76" s="41"/>
      <c r="CF76" s="41"/>
      <c r="CG76" s="41"/>
      <c r="CH76" s="41"/>
      <c r="CI76" s="41"/>
      <c r="CJ76" s="41"/>
      <c r="CK76" s="41"/>
      <c r="CL76" s="41"/>
      <c r="CM76" s="41"/>
      <c r="CN76" s="41"/>
      <c r="CO76" s="41"/>
      <c r="CP76" s="41"/>
    </row>
    <row r="77" spans="1:94" s="53" customFormat="1" ht="15" x14ac:dyDescent="0.25">
      <c r="A77" s="116">
        <v>12.01</v>
      </c>
      <c r="B77" s="57"/>
      <c r="C77" s="404"/>
      <c r="D77" s="405"/>
      <c r="E77" s="87"/>
      <c r="F77" s="58"/>
      <c r="G77" s="88"/>
      <c r="H77" s="88"/>
      <c r="I77" s="88"/>
      <c r="J77" s="80">
        <f>ROUND(SUM(G77:I77),-2)</f>
        <v>0</v>
      </c>
      <c r="K77" s="296"/>
      <c r="L77" s="292"/>
      <c r="M77" s="292"/>
      <c r="N77" s="293"/>
      <c r="O77"/>
      <c r="P77"/>
      <c r="Q77"/>
      <c r="R77"/>
      <c r="S77"/>
      <c r="T77"/>
      <c r="U77"/>
      <c r="V77"/>
      <c r="W77"/>
      <c r="X77"/>
      <c r="Y77"/>
      <c r="Z77" s="344"/>
      <c r="AA77" s="363"/>
      <c r="AB77" s="363"/>
      <c r="AC77" s="363"/>
      <c r="AD77" s="110"/>
      <c r="AE77" s="41"/>
      <c r="AF77" s="41"/>
      <c r="AG77" s="41"/>
      <c r="AH77" s="41"/>
      <c r="AI77" s="41"/>
      <c r="AJ77" s="41"/>
      <c r="AK77" s="41"/>
      <c r="AL77" s="41"/>
      <c r="AM77" s="41"/>
      <c r="AN77" s="41"/>
      <c r="AO77" s="41"/>
      <c r="AP77" s="41"/>
      <c r="AQ77" s="41"/>
      <c r="AR77" s="41"/>
      <c r="AS77" s="41"/>
      <c r="AT77" s="41"/>
      <c r="AU77" s="41"/>
      <c r="AV77" s="41"/>
      <c r="AW77" s="41"/>
      <c r="AX77" s="41"/>
      <c r="AY77" s="41"/>
      <c r="AZ77" s="41"/>
      <c r="BA77" s="41"/>
      <c r="BB77" s="41"/>
      <c r="BC77" s="41"/>
      <c r="BD77" s="41"/>
      <c r="BE77" s="41"/>
      <c r="BF77" s="41"/>
      <c r="BG77" s="41"/>
      <c r="BH77" s="41"/>
      <c r="BI77" s="41"/>
      <c r="BJ77" s="41"/>
      <c r="BK77" s="41"/>
      <c r="BL77" s="41"/>
      <c r="BM77" s="41"/>
      <c r="BN77" s="41"/>
      <c r="BO77" s="41"/>
      <c r="BP77" s="41"/>
      <c r="BQ77" s="41"/>
      <c r="BR77" s="41"/>
      <c r="BS77" s="41"/>
      <c r="BT77" s="41"/>
      <c r="BU77" s="41"/>
      <c r="BV77" s="41"/>
      <c r="BW77" s="41"/>
      <c r="BX77" s="41"/>
      <c r="BY77" s="41"/>
      <c r="BZ77" s="41"/>
      <c r="CA77" s="41"/>
      <c r="CB77" s="41"/>
      <c r="CC77" s="41"/>
      <c r="CD77" s="41"/>
      <c r="CE77" s="41"/>
      <c r="CF77" s="41"/>
      <c r="CG77" s="41"/>
      <c r="CH77" s="41"/>
      <c r="CI77" s="41"/>
      <c r="CJ77" s="41"/>
      <c r="CK77" s="41"/>
      <c r="CL77" s="41"/>
      <c r="CM77" s="41"/>
      <c r="CN77" s="41"/>
      <c r="CO77" s="41"/>
      <c r="CP77" s="41"/>
    </row>
    <row r="78" spans="1:94" s="53" customFormat="1" ht="15" x14ac:dyDescent="0.25">
      <c r="A78" s="116">
        <v>12.02</v>
      </c>
      <c r="B78" s="57"/>
      <c r="C78" s="404"/>
      <c r="D78" s="405"/>
      <c r="E78" s="87"/>
      <c r="F78" s="58"/>
      <c r="G78" s="88"/>
      <c r="H78" s="88"/>
      <c r="I78" s="88"/>
      <c r="J78" s="80">
        <f>ROUND(SUM(G78:I78),-2)</f>
        <v>0</v>
      </c>
      <c r="K78" s="296"/>
      <c r="L78" s="292"/>
      <c r="M78" s="292"/>
      <c r="N78" s="293"/>
      <c r="O78"/>
      <c r="P78"/>
      <c r="Q78"/>
      <c r="R78"/>
      <c r="S78"/>
      <c r="T78"/>
      <c r="U78"/>
      <c r="V78"/>
      <c r="W78"/>
      <c r="X78"/>
      <c r="Y78"/>
      <c r="Z78" s="344"/>
      <c r="AA78" s="363"/>
      <c r="AB78" s="363"/>
      <c r="AC78" s="363"/>
      <c r="AD78" s="110"/>
      <c r="AE78" s="41"/>
      <c r="AF78" s="41"/>
      <c r="AG78" s="41"/>
      <c r="AH78" s="41"/>
      <c r="AI78" s="41"/>
      <c r="AJ78" s="41"/>
      <c r="AK78" s="41"/>
      <c r="AL78" s="41"/>
      <c r="AM78" s="41"/>
      <c r="AN78" s="41"/>
      <c r="AO78" s="41"/>
      <c r="AP78" s="41"/>
      <c r="AQ78" s="41"/>
      <c r="AR78" s="41"/>
      <c r="AS78" s="41"/>
      <c r="AT78" s="41"/>
      <c r="AU78" s="41"/>
      <c r="AV78" s="41"/>
      <c r="AW78" s="41"/>
      <c r="AX78" s="41"/>
      <c r="AY78" s="41"/>
      <c r="AZ78" s="41"/>
      <c r="BA78" s="41"/>
      <c r="BB78" s="41"/>
      <c r="BC78" s="41"/>
      <c r="BD78" s="41"/>
      <c r="BE78" s="41"/>
      <c r="BF78" s="41"/>
      <c r="BG78" s="41"/>
      <c r="BH78" s="41"/>
      <c r="BI78" s="41"/>
      <c r="BJ78" s="41"/>
      <c r="BK78" s="41"/>
      <c r="BL78" s="41"/>
      <c r="BM78" s="41"/>
      <c r="BN78" s="41"/>
      <c r="BO78" s="41"/>
      <c r="BP78" s="41"/>
      <c r="BQ78" s="41"/>
      <c r="BR78" s="41"/>
      <c r="BS78" s="41"/>
      <c r="BT78" s="41"/>
      <c r="BU78" s="41"/>
      <c r="BV78" s="41"/>
      <c r="BW78" s="41"/>
      <c r="BX78" s="41"/>
      <c r="BY78" s="41"/>
      <c r="BZ78" s="41"/>
      <c r="CA78" s="41"/>
      <c r="CB78" s="41"/>
      <c r="CC78" s="41"/>
      <c r="CD78" s="41"/>
      <c r="CE78" s="41"/>
      <c r="CF78" s="41"/>
      <c r="CG78" s="41"/>
      <c r="CH78" s="41"/>
      <c r="CI78" s="41"/>
      <c r="CJ78" s="41"/>
      <c r="CK78" s="41"/>
      <c r="CL78" s="41"/>
      <c r="CM78" s="41"/>
      <c r="CN78" s="41"/>
      <c r="CO78" s="41"/>
      <c r="CP78" s="41"/>
    </row>
    <row r="79" spans="1:94" s="53" customFormat="1" ht="15" x14ac:dyDescent="0.25">
      <c r="A79" s="116">
        <v>12.03</v>
      </c>
      <c r="B79" s="57" t="s">
        <v>45</v>
      </c>
      <c r="C79" s="404"/>
      <c r="D79" s="405"/>
      <c r="E79" s="87"/>
      <c r="F79" s="58"/>
      <c r="G79" s="88"/>
      <c r="H79" s="88"/>
      <c r="I79" s="88"/>
      <c r="J79" s="80">
        <f>ROUND(SUM(G79:I79),-2)</f>
        <v>0</v>
      </c>
      <c r="K79" s="296"/>
      <c r="L79" s="292"/>
      <c r="M79" s="292"/>
      <c r="N79" s="293"/>
      <c r="O79"/>
      <c r="P79"/>
      <c r="Q79"/>
      <c r="R79"/>
      <c r="S79"/>
      <c r="T79"/>
      <c r="U79"/>
      <c r="V79"/>
      <c r="W79"/>
      <c r="X79"/>
      <c r="Y79"/>
      <c r="Z79" s="344"/>
      <c r="AA79" s="363"/>
      <c r="AB79" s="363"/>
      <c r="AC79" s="363"/>
      <c r="AD79" s="110"/>
      <c r="AE79" s="41"/>
      <c r="AF79" s="41"/>
      <c r="AG79" s="41"/>
      <c r="AH79" s="41"/>
      <c r="AI79" s="41"/>
      <c r="AJ79" s="41"/>
      <c r="AK79" s="41"/>
      <c r="AL79" s="41"/>
      <c r="AM79" s="41"/>
      <c r="AN79" s="41"/>
      <c r="AO79" s="41"/>
      <c r="AP79" s="41"/>
      <c r="AQ79" s="41"/>
      <c r="AR79" s="41"/>
      <c r="AS79" s="41"/>
      <c r="AT79" s="41"/>
      <c r="AU79" s="41"/>
      <c r="AV79" s="41"/>
      <c r="AW79" s="41"/>
      <c r="AX79" s="41"/>
      <c r="AY79" s="41"/>
      <c r="AZ79" s="41"/>
      <c r="BA79" s="41"/>
      <c r="BB79" s="41"/>
      <c r="BC79" s="41"/>
      <c r="BD79" s="41"/>
      <c r="BE79" s="41"/>
      <c r="BF79" s="41"/>
      <c r="BG79" s="41"/>
      <c r="BH79" s="41"/>
      <c r="BI79" s="41"/>
      <c r="BJ79" s="41"/>
      <c r="BK79" s="41"/>
      <c r="BL79" s="41"/>
      <c r="BM79" s="41"/>
      <c r="BN79" s="41"/>
      <c r="BO79" s="41"/>
      <c r="BP79" s="41"/>
      <c r="BQ79" s="41"/>
      <c r="BR79" s="41"/>
      <c r="BS79" s="41"/>
      <c r="BT79" s="41"/>
      <c r="BU79" s="41"/>
      <c r="BV79" s="41"/>
      <c r="BW79" s="41"/>
      <c r="BX79" s="41"/>
      <c r="BY79" s="41"/>
      <c r="BZ79" s="41"/>
      <c r="CA79" s="41"/>
      <c r="CB79" s="41"/>
      <c r="CC79" s="41"/>
      <c r="CD79" s="41"/>
      <c r="CE79" s="41"/>
      <c r="CF79" s="41"/>
      <c r="CG79" s="41"/>
      <c r="CH79" s="41"/>
      <c r="CI79" s="41"/>
      <c r="CJ79" s="41"/>
      <c r="CK79" s="41"/>
      <c r="CL79" s="41"/>
      <c r="CM79" s="41"/>
      <c r="CN79" s="41"/>
      <c r="CO79" s="41"/>
      <c r="CP79" s="41"/>
    </row>
    <row r="80" spans="1:94" s="53" customFormat="1" ht="15.75" customHeight="1" x14ac:dyDescent="0.25">
      <c r="A80" s="117">
        <v>13</v>
      </c>
      <c r="B80" s="118"/>
      <c r="C80" s="119" t="str">
        <f>"FY "&amp;M4</f>
        <v>FY 2023</v>
      </c>
      <c r="D80" s="120" t="s">
        <v>65</v>
      </c>
      <c r="E80" s="121"/>
      <c r="F80" s="55">
        <f>SUM(F75:F79)</f>
        <v>62.85</v>
      </c>
      <c r="G80" s="80">
        <f>SUM(G75:G79)</f>
        <v>2715200</v>
      </c>
      <c r="H80" s="80">
        <f>SUM(H75:H79)</f>
        <v>640400</v>
      </c>
      <c r="I80" s="80">
        <f>SUM(I75:I79)</f>
        <v>503700</v>
      </c>
      <c r="J80" s="80">
        <f>SUM(J75:J79)</f>
        <v>3859400</v>
      </c>
      <c r="K80" s="270"/>
      <c r="L80" s="122"/>
      <c r="M80" s="122"/>
      <c r="N80" s="123"/>
      <c r="O80"/>
      <c r="P80"/>
      <c r="Q80"/>
      <c r="R80"/>
      <c r="S80"/>
      <c r="T80"/>
      <c r="U80"/>
      <c r="V80"/>
      <c r="W80"/>
      <c r="X80"/>
      <c r="Y80"/>
      <c r="Z80" s="344"/>
      <c r="AA80" s="363"/>
      <c r="AB80" s="363"/>
      <c r="AC80" s="363"/>
      <c r="AD80" s="110"/>
      <c r="AE80" s="41"/>
      <c r="AF80" s="41"/>
      <c r="AG80" s="41"/>
      <c r="AH80" s="41"/>
      <c r="AI80" s="41"/>
      <c r="AJ80" s="41"/>
      <c r="AK80" s="41"/>
      <c r="AL80" s="41"/>
      <c r="AM80" s="41"/>
      <c r="AN80" s="41"/>
      <c r="AO80" s="41"/>
      <c r="AP80" s="41"/>
      <c r="AQ80" s="41"/>
      <c r="AR80" s="41"/>
      <c r="AS80" s="41"/>
      <c r="AT80" s="41"/>
      <c r="AU80" s="41"/>
      <c r="AV80" s="41"/>
      <c r="AW80" s="41"/>
      <c r="AX80" s="41"/>
      <c r="AY80" s="41"/>
      <c r="AZ80" s="41"/>
      <c r="BA80" s="41"/>
      <c r="BB80" s="41"/>
      <c r="BC80" s="41"/>
      <c r="BD80" s="41"/>
      <c r="BE80" s="41"/>
      <c r="BF80" s="41"/>
      <c r="BG80" s="41"/>
      <c r="BH80" s="41"/>
      <c r="BI80" s="41"/>
      <c r="BJ80" s="41"/>
      <c r="BK80" s="41"/>
      <c r="BL80" s="41"/>
      <c r="BM80" s="41"/>
      <c r="BN80" s="41"/>
      <c r="BO80" s="41"/>
      <c r="BP80" s="41"/>
      <c r="BQ80" s="41"/>
      <c r="BR80" s="41"/>
      <c r="BS80" s="41"/>
      <c r="BT80" s="41"/>
      <c r="BU80" s="41"/>
      <c r="BV80" s="41"/>
      <c r="BW80" s="41"/>
      <c r="BX80" s="41"/>
      <c r="BY80" s="41"/>
      <c r="BZ80" s="41"/>
      <c r="CA80" s="41"/>
      <c r="CB80" s="41"/>
      <c r="CC80" s="41"/>
      <c r="CD80" s="41"/>
      <c r="CE80" s="41"/>
      <c r="CF80" s="41"/>
      <c r="CG80" s="41"/>
      <c r="CH80" s="41"/>
      <c r="CI80" s="41"/>
      <c r="CJ80" s="41"/>
      <c r="CK80" s="41"/>
      <c r="CL80" s="41"/>
      <c r="CM80" s="41"/>
      <c r="CN80" s="41"/>
      <c r="CO80" s="41"/>
      <c r="CP80" s="41"/>
    </row>
  </sheetData>
  <mergeCells count="51">
    <mergeCell ref="C13:D13"/>
    <mergeCell ref="M1:N1"/>
    <mergeCell ref="M2:N2"/>
    <mergeCell ref="M3:N3"/>
    <mergeCell ref="M4:N4"/>
    <mergeCell ref="I5:L5"/>
    <mergeCell ref="C8:D8"/>
    <mergeCell ref="AA8:AC8"/>
    <mergeCell ref="C9:D9"/>
    <mergeCell ref="C10:D10"/>
    <mergeCell ref="C11:D11"/>
    <mergeCell ref="C12:D12"/>
    <mergeCell ref="K43:N43"/>
    <mergeCell ref="AA43:AC43"/>
    <mergeCell ref="K44:N44"/>
    <mergeCell ref="C16:D16"/>
    <mergeCell ref="C17:D17"/>
    <mergeCell ref="C18:D18"/>
    <mergeCell ref="C37:D37"/>
    <mergeCell ref="AA37:AC37"/>
    <mergeCell ref="C38:D38"/>
    <mergeCell ref="C54:D54"/>
    <mergeCell ref="C39:D39"/>
    <mergeCell ref="C41:D41"/>
    <mergeCell ref="C42:D42"/>
    <mergeCell ref="C43:D44"/>
    <mergeCell ref="K45:N45"/>
    <mergeCell ref="E46:J47"/>
    <mergeCell ref="K46:N47"/>
    <mergeCell ref="C50:D50"/>
    <mergeCell ref="C53:D53"/>
    <mergeCell ref="C69:D69"/>
    <mergeCell ref="C55:D55"/>
    <mergeCell ref="C57:D57"/>
    <mergeCell ref="C58:D58"/>
    <mergeCell ref="C59:D59"/>
    <mergeCell ref="C61:D61"/>
    <mergeCell ref="C62:D62"/>
    <mergeCell ref="C63:D63"/>
    <mergeCell ref="C64:D64"/>
    <mergeCell ref="C65:D65"/>
    <mergeCell ref="C66:D66"/>
    <mergeCell ref="C68:D68"/>
    <mergeCell ref="C78:D78"/>
    <mergeCell ref="C79:D79"/>
    <mergeCell ref="C70:D70"/>
    <mergeCell ref="C71:D71"/>
    <mergeCell ref="C72:D72"/>
    <mergeCell ref="C73:D73"/>
    <mergeCell ref="C76:D76"/>
    <mergeCell ref="C77:D77"/>
  </mergeCells>
  <conditionalFormatting sqref="K44">
    <cfRule type="expression" dxfId="58" priority="5">
      <formula>$J$44&lt;0</formula>
    </cfRule>
  </conditionalFormatting>
  <conditionalFormatting sqref="K43">
    <cfRule type="expression" dxfId="57" priority="4">
      <formula>$J$43&lt;0</formula>
    </cfRule>
  </conditionalFormatting>
  <conditionalFormatting sqref="L16">
    <cfRule type="expression" dxfId="56" priority="3">
      <formula>$J$16&lt;0</formula>
    </cfRule>
  </conditionalFormatting>
  <conditionalFormatting sqref="K45">
    <cfRule type="expression" dxfId="55" priority="2">
      <formula>$J$44&lt;0</formula>
    </cfRule>
  </conditionalFormatting>
  <conditionalFormatting sqref="K43:N45">
    <cfRule type="containsText" dxfId="54" priority="1" operator="containsText" text="underfunding">
      <formula>NOT(ISERROR(SEARCH("underfunding",K43)))</formula>
    </cfRule>
  </conditionalFormatting>
  <printOptions horizontalCentered="1"/>
  <pageMargins left="0.5" right="0.5" top="0.65" bottom="0.65" header="0.26" footer="0.31"/>
  <pageSetup scale="63" fitToHeight="2" orientation="landscape" r:id="rId1"/>
  <headerFooter>
    <oddHeader>&amp;L&amp;"Helv,Bold"FORM B6:  WAGE &amp;&amp; SALARY RECONCILIATION</oddHeader>
    <oddFooter>&amp;LPrinted: &amp;D, &amp;T&amp;RPage &amp;P of &amp;N</oddFooter>
  </headerFooter>
  <rowBreaks count="1" manualBreakCount="1">
    <brk id="64" max="12" man="1"/>
  </rowBreaks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D63941EF-447E-4D05-A349-844E8EC7C420}">
          <x14:formula1>
            <xm:f>Benefits!$A$20:$A$26</xm:f>
          </x14:formula1>
          <xm:sqref>C20:C30 C32:C36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19</vt:i4>
      </vt:variant>
      <vt:variant>
        <vt:lpstr>Named Ranges</vt:lpstr>
      </vt:variant>
      <vt:variant>
        <vt:i4>2005</vt:i4>
      </vt:variant>
    </vt:vector>
  </HeadingPairs>
  <TitlesOfParts>
    <vt:vector size="2024" baseType="lpstr">
      <vt:lpstr>TAAA|0001-00</vt:lpstr>
      <vt:lpstr>TAAA|0338-01</vt:lpstr>
      <vt:lpstr>TAAA|0338-02</vt:lpstr>
      <vt:lpstr>TAAI|0276-00</vt:lpstr>
      <vt:lpstr>TAAB|0001-00</vt:lpstr>
      <vt:lpstr>TAAB|0338-01</vt:lpstr>
      <vt:lpstr>TAAB|0338-02</vt:lpstr>
      <vt:lpstr>TAAF|0276-00</vt:lpstr>
      <vt:lpstr>TAAC|0001-00</vt:lpstr>
      <vt:lpstr>TAAC|0338-01</vt:lpstr>
      <vt:lpstr>TAAC|0338-02</vt:lpstr>
      <vt:lpstr>TAAD|0001-00</vt:lpstr>
      <vt:lpstr>TACA|0001-00</vt:lpstr>
      <vt:lpstr>TACA|0338-02</vt:lpstr>
      <vt:lpstr>Data</vt:lpstr>
      <vt:lpstr>Benefits</vt:lpstr>
      <vt:lpstr>B6</vt:lpstr>
      <vt:lpstr>Summary</vt:lpstr>
      <vt:lpstr>FundSummary</vt:lpstr>
      <vt:lpstr>'TAAA|0001-00'!AdjGroupHlth</vt:lpstr>
      <vt:lpstr>'TAAA|0338-01'!AdjGroupHlth</vt:lpstr>
      <vt:lpstr>'TAAA|0338-02'!AdjGroupHlth</vt:lpstr>
      <vt:lpstr>'TAAB|0001-00'!AdjGroupHlth</vt:lpstr>
      <vt:lpstr>'TAAB|0338-01'!AdjGroupHlth</vt:lpstr>
      <vt:lpstr>'TAAB|0338-02'!AdjGroupHlth</vt:lpstr>
      <vt:lpstr>'TAAC|0001-00'!AdjGroupHlth</vt:lpstr>
      <vt:lpstr>'TAAC|0338-01'!AdjGroupHlth</vt:lpstr>
      <vt:lpstr>'TAAC|0338-02'!AdjGroupHlth</vt:lpstr>
      <vt:lpstr>'TAAD|0001-00'!AdjGroupHlth</vt:lpstr>
      <vt:lpstr>'TAAF|0276-00'!AdjGroupHlth</vt:lpstr>
      <vt:lpstr>'TAAI|0276-00'!AdjGroupHlth</vt:lpstr>
      <vt:lpstr>'TACA|0001-00'!AdjGroupHlth</vt:lpstr>
      <vt:lpstr>'TACA|0338-02'!AdjGroupHlth</vt:lpstr>
      <vt:lpstr>AdjGroupHlth</vt:lpstr>
      <vt:lpstr>'TAAA|0001-00'!AdjGroupSalary</vt:lpstr>
      <vt:lpstr>'TAAA|0338-01'!AdjGroupSalary</vt:lpstr>
      <vt:lpstr>'TAAA|0338-02'!AdjGroupSalary</vt:lpstr>
      <vt:lpstr>'TAAB|0001-00'!AdjGroupSalary</vt:lpstr>
      <vt:lpstr>'TAAB|0338-01'!AdjGroupSalary</vt:lpstr>
      <vt:lpstr>'TAAB|0338-02'!AdjGroupSalary</vt:lpstr>
      <vt:lpstr>'TAAC|0001-00'!AdjGroupSalary</vt:lpstr>
      <vt:lpstr>'TAAC|0338-01'!AdjGroupSalary</vt:lpstr>
      <vt:lpstr>'TAAC|0338-02'!AdjGroupSalary</vt:lpstr>
      <vt:lpstr>'TAAD|0001-00'!AdjGroupSalary</vt:lpstr>
      <vt:lpstr>'TAAF|0276-00'!AdjGroupSalary</vt:lpstr>
      <vt:lpstr>'TAAI|0276-00'!AdjGroupSalary</vt:lpstr>
      <vt:lpstr>'TACA|0001-00'!AdjGroupSalary</vt:lpstr>
      <vt:lpstr>'TACA|0338-02'!AdjGroupSalary</vt:lpstr>
      <vt:lpstr>AdjGroupSalary</vt:lpstr>
      <vt:lpstr>'TAAA|0001-00'!AdjGroupVB</vt:lpstr>
      <vt:lpstr>'TAAA|0338-01'!AdjGroupVB</vt:lpstr>
      <vt:lpstr>'TAAA|0338-02'!AdjGroupVB</vt:lpstr>
      <vt:lpstr>'TAAB|0001-00'!AdjGroupVB</vt:lpstr>
      <vt:lpstr>'TAAB|0338-01'!AdjGroupVB</vt:lpstr>
      <vt:lpstr>'TAAB|0338-02'!AdjGroupVB</vt:lpstr>
      <vt:lpstr>'TAAC|0001-00'!AdjGroupVB</vt:lpstr>
      <vt:lpstr>'TAAC|0338-01'!AdjGroupVB</vt:lpstr>
      <vt:lpstr>'TAAC|0338-02'!AdjGroupVB</vt:lpstr>
      <vt:lpstr>'TAAD|0001-00'!AdjGroupVB</vt:lpstr>
      <vt:lpstr>'TAAF|0276-00'!AdjGroupVB</vt:lpstr>
      <vt:lpstr>'TAAI|0276-00'!AdjGroupVB</vt:lpstr>
      <vt:lpstr>'TACA|0001-00'!AdjGroupVB</vt:lpstr>
      <vt:lpstr>'TACA|0338-02'!AdjGroupVB</vt:lpstr>
      <vt:lpstr>AdjGroupVB</vt:lpstr>
      <vt:lpstr>'TAAA|0001-00'!AdjGroupVBBY</vt:lpstr>
      <vt:lpstr>'TAAA|0338-01'!AdjGroupVBBY</vt:lpstr>
      <vt:lpstr>'TAAA|0338-02'!AdjGroupVBBY</vt:lpstr>
      <vt:lpstr>'TAAB|0001-00'!AdjGroupVBBY</vt:lpstr>
      <vt:lpstr>'TAAB|0338-01'!AdjGroupVBBY</vt:lpstr>
      <vt:lpstr>'TAAB|0338-02'!AdjGroupVBBY</vt:lpstr>
      <vt:lpstr>'TAAC|0001-00'!AdjGroupVBBY</vt:lpstr>
      <vt:lpstr>'TAAC|0338-01'!AdjGroupVBBY</vt:lpstr>
      <vt:lpstr>'TAAC|0338-02'!AdjGroupVBBY</vt:lpstr>
      <vt:lpstr>'TAAD|0001-00'!AdjGroupVBBY</vt:lpstr>
      <vt:lpstr>'TAAF|0276-00'!AdjGroupVBBY</vt:lpstr>
      <vt:lpstr>'TAAI|0276-00'!AdjGroupVBBY</vt:lpstr>
      <vt:lpstr>'TACA|0001-00'!AdjGroupVBBY</vt:lpstr>
      <vt:lpstr>'TACA|0338-02'!AdjGroupVBBY</vt:lpstr>
      <vt:lpstr>AdjGroupVBBY</vt:lpstr>
      <vt:lpstr>'TAAA|0001-00'!AdjPermHlth</vt:lpstr>
      <vt:lpstr>'TAAA|0338-01'!AdjPermHlth</vt:lpstr>
      <vt:lpstr>'TAAA|0338-02'!AdjPermHlth</vt:lpstr>
      <vt:lpstr>'TAAB|0001-00'!AdjPermHlth</vt:lpstr>
      <vt:lpstr>'TAAB|0338-01'!AdjPermHlth</vt:lpstr>
      <vt:lpstr>'TAAB|0338-02'!AdjPermHlth</vt:lpstr>
      <vt:lpstr>'TAAC|0001-00'!AdjPermHlth</vt:lpstr>
      <vt:lpstr>'TAAC|0338-01'!AdjPermHlth</vt:lpstr>
      <vt:lpstr>'TAAC|0338-02'!AdjPermHlth</vt:lpstr>
      <vt:lpstr>'TAAD|0001-00'!AdjPermHlth</vt:lpstr>
      <vt:lpstr>'TAAF|0276-00'!AdjPermHlth</vt:lpstr>
      <vt:lpstr>'TAAI|0276-00'!AdjPermHlth</vt:lpstr>
      <vt:lpstr>'TACA|0001-00'!AdjPermHlth</vt:lpstr>
      <vt:lpstr>'TACA|0338-02'!AdjPermHlth</vt:lpstr>
      <vt:lpstr>AdjPermHlth</vt:lpstr>
      <vt:lpstr>'TAAA|0001-00'!AdjPermHlthBY</vt:lpstr>
      <vt:lpstr>'TAAA|0338-01'!AdjPermHlthBY</vt:lpstr>
      <vt:lpstr>'TAAA|0338-02'!AdjPermHlthBY</vt:lpstr>
      <vt:lpstr>'TAAB|0001-00'!AdjPermHlthBY</vt:lpstr>
      <vt:lpstr>'TAAB|0338-01'!AdjPermHlthBY</vt:lpstr>
      <vt:lpstr>'TAAB|0338-02'!AdjPermHlthBY</vt:lpstr>
      <vt:lpstr>'TAAC|0001-00'!AdjPermHlthBY</vt:lpstr>
      <vt:lpstr>'TAAC|0338-01'!AdjPermHlthBY</vt:lpstr>
      <vt:lpstr>'TAAC|0338-02'!AdjPermHlthBY</vt:lpstr>
      <vt:lpstr>'TAAD|0001-00'!AdjPermHlthBY</vt:lpstr>
      <vt:lpstr>'TAAF|0276-00'!AdjPermHlthBY</vt:lpstr>
      <vt:lpstr>'TAAI|0276-00'!AdjPermHlthBY</vt:lpstr>
      <vt:lpstr>'TACA|0001-00'!AdjPermHlthBY</vt:lpstr>
      <vt:lpstr>'TACA|0338-02'!AdjPermHlthBY</vt:lpstr>
      <vt:lpstr>AdjPermHlthBY</vt:lpstr>
      <vt:lpstr>'TAAA|0001-00'!AdjPermSalary</vt:lpstr>
      <vt:lpstr>'TAAA|0338-01'!AdjPermSalary</vt:lpstr>
      <vt:lpstr>'TAAA|0338-02'!AdjPermSalary</vt:lpstr>
      <vt:lpstr>'TAAB|0001-00'!AdjPermSalary</vt:lpstr>
      <vt:lpstr>'TAAB|0338-01'!AdjPermSalary</vt:lpstr>
      <vt:lpstr>'TAAB|0338-02'!AdjPermSalary</vt:lpstr>
      <vt:lpstr>'TAAC|0001-00'!AdjPermSalary</vt:lpstr>
      <vt:lpstr>'TAAC|0338-01'!AdjPermSalary</vt:lpstr>
      <vt:lpstr>'TAAC|0338-02'!AdjPermSalary</vt:lpstr>
      <vt:lpstr>'TAAD|0001-00'!AdjPermSalary</vt:lpstr>
      <vt:lpstr>'TAAF|0276-00'!AdjPermSalary</vt:lpstr>
      <vt:lpstr>'TAAI|0276-00'!AdjPermSalary</vt:lpstr>
      <vt:lpstr>'TACA|0001-00'!AdjPermSalary</vt:lpstr>
      <vt:lpstr>'TACA|0338-02'!AdjPermSalary</vt:lpstr>
      <vt:lpstr>AdjPermSalary</vt:lpstr>
      <vt:lpstr>'TAAA|0001-00'!AdjPermVB</vt:lpstr>
      <vt:lpstr>'TAAA|0338-01'!AdjPermVB</vt:lpstr>
      <vt:lpstr>'TAAA|0338-02'!AdjPermVB</vt:lpstr>
      <vt:lpstr>'TAAB|0001-00'!AdjPermVB</vt:lpstr>
      <vt:lpstr>'TAAB|0338-01'!AdjPermVB</vt:lpstr>
      <vt:lpstr>'TAAB|0338-02'!AdjPermVB</vt:lpstr>
      <vt:lpstr>'TAAC|0001-00'!AdjPermVB</vt:lpstr>
      <vt:lpstr>'TAAC|0338-01'!AdjPermVB</vt:lpstr>
      <vt:lpstr>'TAAC|0338-02'!AdjPermVB</vt:lpstr>
      <vt:lpstr>'TAAD|0001-00'!AdjPermVB</vt:lpstr>
      <vt:lpstr>'TAAF|0276-00'!AdjPermVB</vt:lpstr>
      <vt:lpstr>'TAAI|0276-00'!AdjPermVB</vt:lpstr>
      <vt:lpstr>'TACA|0001-00'!AdjPermVB</vt:lpstr>
      <vt:lpstr>'TACA|0338-02'!AdjPermVB</vt:lpstr>
      <vt:lpstr>AdjPermVB</vt:lpstr>
      <vt:lpstr>'TAAA|0001-00'!AdjPermVBBY</vt:lpstr>
      <vt:lpstr>'TAAA|0338-01'!AdjPermVBBY</vt:lpstr>
      <vt:lpstr>'TAAA|0338-02'!AdjPermVBBY</vt:lpstr>
      <vt:lpstr>'TAAB|0001-00'!AdjPermVBBY</vt:lpstr>
      <vt:lpstr>'TAAB|0338-01'!AdjPermVBBY</vt:lpstr>
      <vt:lpstr>'TAAB|0338-02'!AdjPermVBBY</vt:lpstr>
      <vt:lpstr>'TAAC|0001-00'!AdjPermVBBY</vt:lpstr>
      <vt:lpstr>'TAAC|0338-01'!AdjPermVBBY</vt:lpstr>
      <vt:lpstr>'TAAC|0338-02'!AdjPermVBBY</vt:lpstr>
      <vt:lpstr>'TAAD|0001-00'!AdjPermVBBY</vt:lpstr>
      <vt:lpstr>'TAAF|0276-00'!AdjPermVBBY</vt:lpstr>
      <vt:lpstr>'TAAI|0276-00'!AdjPermVBBY</vt:lpstr>
      <vt:lpstr>'TACA|0001-00'!AdjPermVBBY</vt:lpstr>
      <vt:lpstr>'TACA|0338-02'!AdjPermVBBY</vt:lpstr>
      <vt:lpstr>AdjPermVBBY</vt:lpstr>
      <vt:lpstr>'TAAA|0001-00'!AdjustedTotal</vt:lpstr>
      <vt:lpstr>'TAAA|0338-01'!AdjustedTotal</vt:lpstr>
      <vt:lpstr>'TAAA|0338-02'!AdjustedTotal</vt:lpstr>
      <vt:lpstr>'TAAB|0001-00'!AdjustedTotal</vt:lpstr>
      <vt:lpstr>'TAAB|0338-01'!AdjustedTotal</vt:lpstr>
      <vt:lpstr>'TAAB|0338-02'!AdjustedTotal</vt:lpstr>
      <vt:lpstr>'TAAC|0001-00'!AdjustedTotal</vt:lpstr>
      <vt:lpstr>'TAAC|0338-01'!AdjustedTotal</vt:lpstr>
      <vt:lpstr>'TAAC|0338-02'!AdjustedTotal</vt:lpstr>
      <vt:lpstr>'TAAD|0001-00'!AdjustedTotal</vt:lpstr>
      <vt:lpstr>'TAAF|0276-00'!AdjustedTotal</vt:lpstr>
      <vt:lpstr>'TAAI|0276-00'!AdjustedTotal</vt:lpstr>
      <vt:lpstr>'TACA|0001-00'!AdjustedTotal</vt:lpstr>
      <vt:lpstr>'TACA|0338-02'!AdjustedTotal</vt:lpstr>
      <vt:lpstr>AdjustedTotal</vt:lpstr>
      <vt:lpstr>'TAAA|0001-00'!AgencyNum</vt:lpstr>
      <vt:lpstr>'TAAA|0338-01'!AgencyNum</vt:lpstr>
      <vt:lpstr>'TAAA|0338-02'!AgencyNum</vt:lpstr>
      <vt:lpstr>'TAAB|0001-00'!AgencyNum</vt:lpstr>
      <vt:lpstr>'TAAB|0338-01'!AgencyNum</vt:lpstr>
      <vt:lpstr>'TAAB|0338-02'!AgencyNum</vt:lpstr>
      <vt:lpstr>'TAAC|0001-00'!AgencyNum</vt:lpstr>
      <vt:lpstr>'TAAC|0338-01'!AgencyNum</vt:lpstr>
      <vt:lpstr>'TAAC|0338-02'!AgencyNum</vt:lpstr>
      <vt:lpstr>'TAAD|0001-00'!AgencyNum</vt:lpstr>
      <vt:lpstr>'TAAF|0276-00'!AgencyNum</vt:lpstr>
      <vt:lpstr>'TAAI|0276-00'!AgencyNum</vt:lpstr>
      <vt:lpstr>'TACA|0001-00'!AgencyNum</vt:lpstr>
      <vt:lpstr>'TACA|0338-02'!AgencyNum</vt:lpstr>
      <vt:lpstr>AgencyNum</vt:lpstr>
      <vt:lpstr>'TAAA|0001-00'!AppropFTP</vt:lpstr>
      <vt:lpstr>'TAAA|0338-01'!AppropFTP</vt:lpstr>
      <vt:lpstr>'TAAA|0338-02'!AppropFTP</vt:lpstr>
      <vt:lpstr>'TAAB|0001-00'!AppropFTP</vt:lpstr>
      <vt:lpstr>'TAAB|0338-01'!AppropFTP</vt:lpstr>
      <vt:lpstr>'TAAB|0338-02'!AppropFTP</vt:lpstr>
      <vt:lpstr>'TAAC|0001-00'!AppropFTP</vt:lpstr>
      <vt:lpstr>'TAAC|0338-01'!AppropFTP</vt:lpstr>
      <vt:lpstr>'TAAC|0338-02'!AppropFTP</vt:lpstr>
      <vt:lpstr>'TAAD|0001-00'!AppropFTP</vt:lpstr>
      <vt:lpstr>'TAAF|0276-00'!AppropFTP</vt:lpstr>
      <vt:lpstr>'TAAI|0276-00'!AppropFTP</vt:lpstr>
      <vt:lpstr>'TACA|0001-00'!AppropFTP</vt:lpstr>
      <vt:lpstr>'TACA|0338-02'!AppropFTP</vt:lpstr>
      <vt:lpstr>AppropFTP</vt:lpstr>
      <vt:lpstr>'TAAA|0001-00'!AppropTotal</vt:lpstr>
      <vt:lpstr>'TAAA|0338-01'!AppropTotal</vt:lpstr>
      <vt:lpstr>'TAAA|0338-02'!AppropTotal</vt:lpstr>
      <vt:lpstr>'TAAB|0001-00'!AppropTotal</vt:lpstr>
      <vt:lpstr>'TAAB|0338-01'!AppropTotal</vt:lpstr>
      <vt:lpstr>'TAAB|0338-02'!AppropTotal</vt:lpstr>
      <vt:lpstr>'TAAC|0001-00'!AppropTotal</vt:lpstr>
      <vt:lpstr>'TAAC|0338-01'!AppropTotal</vt:lpstr>
      <vt:lpstr>'TAAC|0338-02'!AppropTotal</vt:lpstr>
      <vt:lpstr>'TAAD|0001-00'!AppropTotal</vt:lpstr>
      <vt:lpstr>'TAAF|0276-00'!AppropTotal</vt:lpstr>
      <vt:lpstr>'TAAI|0276-00'!AppropTotal</vt:lpstr>
      <vt:lpstr>'TACA|0001-00'!AppropTotal</vt:lpstr>
      <vt:lpstr>'TACA|0338-02'!AppropTotal</vt:lpstr>
      <vt:lpstr>AppropTotal</vt:lpstr>
      <vt:lpstr>'TAAA|0001-00'!AtZHealth</vt:lpstr>
      <vt:lpstr>'TAAA|0338-01'!AtZHealth</vt:lpstr>
      <vt:lpstr>'TAAA|0338-02'!AtZHealth</vt:lpstr>
      <vt:lpstr>'TAAB|0001-00'!AtZHealth</vt:lpstr>
      <vt:lpstr>'TAAB|0338-01'!AtZHealth</vt:lpstr>
      <vt:lpstr>'TAAB|0338-02'!AtZHealth</vt:lpstr>
      <vt:lpstr>'TAAC|0001-00'!AtZHealth</vt:lpstr>
      <vt:lpstr>'TAAC|0338-01'!AtZHealth</vt:lpstr>
      <vt:lpstr>'TAAC|0338-02'!AtZHealth</vt:lpstr>
      <vt:lpstr>'TAAD|0001-00'!AtZHealth</vt:lpstr>
      <vt:lpstr>'TAAF|0276-00'!AtZHealth</vt:lpstr>
      <vt:lpstr>'TAAI|0276-00'!AtZHealth</vt:lpstr>
      <vt:lpstr>'TACA|0001-00'!AtZHealth</vt:lpstr>
      <vt:lpstr>'TACA|0338-02'!AtZHealth</vt:lpstr>
      <vt:lpstr>AtZHealth</vt:lpstr>
      <vt:lpstr>'TAAA|0001-00'!AtZSalary</vt:lpstr>
      <vt:lpstr>'TAAA|0338-01'!AtZSalary</vt:lpstr>
      <vt:lpstr>'TAAA|0338-02'!AtZSalary</vt:lpstr>
      <vt:lpstr>'TAAB|0001-00'!AtZSalary</vt:lpstr>
      <vt:lpstr>'TAAB|0338-01'!AtZSalary</vt:lpstr>
      <vt:lpstr>'TAAB|0338-02'!AtZSalary</vt:lpstr>
      <vt:lpstr>'TAAC|0001-00'!AtZSalary</vt:lpstr>
      <vt:lpstr>'TAAC|0338-01'!AtZSalary</vt:lpstr>
      <vt:lpstr>'TAAC|0338-02'!AtZSalary</vt:lpstr>
      <vt:lpstr>'TAAD|0001-00'!AtZSalary</vt:lpstr>
      <vt:lpstr>'TAAF|0276-00'!AtZSalary</vt:lpstr>
      <vt:lpstr>'TAAI|0276-00'!AtZSalary</vt:lpstr>
      <vt:lpstr>'TACA|0001-00'!AtZSalary</vt:lpstr>
      <vt:lpstr>'TACA|0338-02'!AtZSalary</vt:lpstr>
      <vt:lpstr>AtZSalary</vt:lpstr>
      <vt:lpstr>'TAAA|0001-00'!AtZTotal</vt:lpstr>
      <vt:lpstr>'TAAA|0338-01'!AtZTotal</vt:lpstr>
      <vt:lpstr>'TAAA|0338-02'!AtZTotal</vt:lpstr>
      <vt:lpstr>'TAAB|0001-00'!AtZTotal</vt:lpstr>
      <vt:lpstr>'TAAB|0338-01'!AtZTotal</vt:lpstr>
      <vt:lpstr>'TAAB|0338-02'!AtZTotal</vt:lpstr>
      <vt:lpstr>'TAAC|0001-00'!AtZTotal</vt:lpstr>
      <vt:lpstr>'TAAC|0338-01'!AtZTotal</vt:lpstr>
      <vt:lpstr>'TAAC|0338-02'!AtZTotal</vt:lpstr>
      <vt:lpstr>'TAAD|0001-00'!AtZTotal</vt:lpstr>
      <vt:lpstr>'TAAF|0276-00'!AtZTotal</vt:lpstr>
      <vt:lpstr>'TAAI|0276-00'!AtZTotal</vt:lpstr>
      <vt:lpstr>'TACA|0001-00'!AtZTotal</vt:lpstr>
      <vt:lpstr>'TACA|0338-02'!AtZTotal</vt:lpstr>
      <vt:lpstr>AtZTotal</vt:lpstr>
      <vt:lpstr>'TAAA|0001-00'!AtZVarBen</vt:lpstr>
      <vt:lpstr>'TAAA|0338-01'!AtZVarBen</vt:lpstr>
      <vt:lpstr>'TAAA|0338-02'!AtZVarBen</vt:lpstr>
      <vt:lpstr>'TAAB|0001-00'!AtZVarBen</vt:lpstr>
      <vt:lpstr>'TAAB|0338-01'!AtZVarBen</vt:lpstr>
      <vt:lpstr>'TAAB|0338-02'!AtZVarBen</vt:lpstr>
      <vt:lpstr>'TAAC|0001-00'!AtZVarBen</vt:lpstr>
      <vt:lpstr>'TAAC|0338-01'!AtZVarBen</vt:lpstr>
      <vt:lpstr>'TAAC|0338-02'!AtZVarBen</vt:lpstr>
      <vt:lpstr>'TAAD|0001-00'!AtZVarBen</vt:lpstr>
      <vt:lpstr>'TAAF|0276-00'!AtZVarBen</vt:lpstr>
      <vt:lpstr>'TAAI|0276-00'!AtZVarBen</vt:lpstr>
      <vt:lpstr>'TACA|0001-00'!AtZVarBen</vt:lpstr>
      <vt:lpstr>'TACA|0338-02'!AtZVarBen</vt:lpstr>
      <vt:lpstr>AtZVarBen</vt:lpstr>
      <vt:lpstr>'TAAA|0001-00'!BudgetUnit</vt:lpstr>
      <vt:lpstr>'TAAA|0338-01'!BudgetUnit</vt:lpstr>
      <vt:lpstr>'TAAA|0338-02'!BudgetUnit</vt:lpstr>
      <vt:lpstr>'TAAB|0001-00'!BudgetUnit</vt:lpstr>
      <vt:lpstr>'TAAB|0338-01'!BudgetUnit</vt:lpstr>
      <vt:lpstr>'TAAB|0338-02'!BudgetUnit</vt:lpstr>
      <vt:lpstr>'TAAC|0001-00'!BudgetUnit</vt:lpstr>
      <vt:lpstr>'TAAC|0338-01'!BudgetUnit</vt:lpstr>
      <vt:lpstr>'TAAC|0338-02'!BudgetUnit</vt:lpstr>
      <vt:lpstr>'TAAD|0001-00'!BudgetUnit</vt:lpstr>
      <vt:lpstr>'TAAF|0276-00'!BudgetUnit</vt:lpstr>
      <vt:lpstr>'TAAI|0276-00'!BudgetUnit</vt:lpstr>
      <vt:lpstr>'TACA|0001-00'!BudgetUnit</vt:lpstr>
      <vt:lpstr>'TACA|0338-02'!BudgetUnit</vt:lpstr>
      <vt:lpstr>BudgetUnit</vt:lpstr>
      <vt:lpstr>BudgetYear</vt:lpstr>
      <vt:lpstr>CECGroup</vt:lpstr>
      <vt:lpstr>'TAAA|0001-00'!CECOrigElectSalary</vt:lpstr>
      <vt:lpstr>'TAAA|0338-01'!CECOrigElectSalary</vt:lpstr>
      <vt:lpstr>'TAAA|0338-02'!CECOrigElectSalary</vt:lpstr>
      <vt:lpstr>'TAAB|0001-00'!CECOrigElectSalary</vt:lpstr>
      <vt:lpstr>'TAAB|0338-01'!CECOrigElectSalary</vt:lpstr>
      <vt:lpstr>'TAAB|0338-02'!CECOrigElectSalary</vt:lpstr>
      <vt:lpstr>'TAAC|0001-00'!CECOrigElectSalary</vt:lpstr>
      <vt:lpstr>'TAAC|0338-01'!CECOrigElectSalary</vt:lpstr>
      <vt:lpstr>'TAAC|0338-02'!CECOrigElectSalary</vt:lpstr>
      <vt:lpstr>'TAAD|0001-00'!CECOrigElectSalary</vt:lpstr>
      <vt:lpstr>'TAAF|0276-00'!CECOrigElectSalary</vt:lpstr>
      <vt:lpstr>'TAAI|0276-00'!CECOrigElectSalary</vt:lpstr>
      <vt:lpstr>'TACA|0001-00'!CECOrigElectSalary</vt:lpstr>
      <vt:lpstr>'TACA|0338-02'!CECOrigElectSalary</vt:lpstr>
      <vt:lpstr>CECOrigElectSalary</vt:lpstr>
      <vt:lpstr>'TAAA|0001-00'!CECOrigElectVB</vt:lpstr>
      <vt:lpstr>'TAAA|0338-01'!CECOrigElectVB</vt:lpstr>
      <vt:lpstr>'TAAA|0338-02'!CECOrigElectVB</vt:lpstr>
      <vt:lpstr>'TAAB|0001-00'!CECOrigElectVB</vt:lpstr>
      <vt:lpstr>'TAAB|0338-01'!CECOrigElectVB</vt:lpstr>
      <vt:lpstr>'TAAB|0338-02'!CECOrigElectVB</vt:lpstr>
      <vt:lpstr>'TAAC|0001-00'!CECOrigElectVB</vt:lpstr>
      <vt:lpstr>'TAAC|0338-01'!CECOrigElectVB</vt:lpstr>
      <vt:lpstr>'TAAC|0338-02'!CECOrigElectVB</vt:lpstr>
      <vt:lpstr>'TAAD|0001-00'!CECOrigElectVB</vt:lpstr>
      <vt:lpstr>'TAAF|0276-00'!CECOrigElectVB</vt:lpstr>
      <vt:lpstr>'TAAI|0276-00'!CECOrigElectVB</vt:lpstr>
      <vt:lpstr>'TACA|0001-00'!CECOrigElectVB</vt:lpstr>
      <vt:lpstr>'TACA|0338-02'!CECOrigElectVB</vt:lpstr>
      <vt:lpstr>CECOrigElectVB</vt:lpstr>
      <vt:lpstr>'TAAA|0001-00'!CECOrigGroupSalary</vt:lpstr>
      <vt:lpstr>'TAAA|0338-01'!CECOrigGroupSalary</vt:lpstr>
      <vt:lpstr>'TAAA|0338-02'!CECOrigGroupSalary</vt:lpstr>
      <vt:lpstr>'TAAB|0001-00'!CECOrigGroupSalary</vt:lpstr>
      <vt:lpstr>'TAAB|0338-01'!CECOrigGroupSalary</vt:lpstr>
      <vt:lpstr>'TAAB|0338-02'!CECOrigGroupSalary</vt:lpstr>
      <vt:lpstr>'TAAC|0001-00'!CECOrigGroupSalary</vt:lpstr>
      <vt:lpstr>'TAAC|0338-01'!CECOrigGroupSalary</vt:lpstr>
      <vt:lpstr>'TAAC|0338-02'!CECOrigGroupSalary</vt:lpstr>
      <vt:lpstr>'TAAD|0001-00'!CECOrigGroupSalary</vt:lpstr>
      <vt:lpstr>'TAAF|0276-00'!CECOrigGroupSalary</vt:lpstr>
      <vt:lpstr>'TAAI|0276-00'!CECOrigGroupSalary</vt:lpstr>
      <vt:lpstr>'TACA|0001-00'!CECOrigGroupSalary</vt:lpstr>
      <vt:lpstr>'TACA|0338-02'!CECOrigGroupSalary</vt:lpstr>
      <vt:lpstr>CECOrigGroupSalary</vt:lpstr>
      <vt:lpstr>'TAAA|0001-00'!CECOrigGroupVB</vt:lpstr>
      <vt:lpstr>'TAAA|0338-01'!CECOrigGroupVB</vt:lpstr>
      <vt:lpstr>'TAAA|0338-02'!CECOrigGroupVB</vt:lpstr>
      <vt:lpstr>'TAAB|0001-00'!CECOrigGroupVB</vt:lpstr>
      <vt:lpstr>'TAAB|0338-01'!CECOrigGroupVB</vt:lpstr>
      <vt:lpstr>'TAAB|0338-02'!CECOrigGroupVB</vt:lpstr>
      <vt:lpstr>'TAAC|0001-00'!CECOrigGroupVB</vt:lpstr>
      <vt:lpstr>'TAAC|0338-01'!CECOrigGroupVB</vt:lpstr>
      <vt:lpstr>'TAAC|0338-02'!CECOrigGroupVB</vt:lpstr>
      <vt:lpstr>'TAAD|0001-00'!CECOrigGroupVB</vt:lpstr>
      <vt:lpstr>'TAAF|0276-00'!CECOrigGroupVB</vt:lpstr>
      <vt:lpstr>'TAAI|0276-00'!CECOrigGroupVB</vt:lpstr>
      <vt:lpstr>'TACA|0001-00'!CECOrigGroupVB</vt:lpstr>
      <vt:lpstr>'TACA|0338-02'!CECOrigGroupVB</vt:lpstr>
      <vt:lpstr>CECOrigGroupVB</vt:lpstr>
      <vt:lpstr>'TAAA|0001-00'!CECOrigPermSalary</vt:lpstr>
      <vt:lpstr>'TAAA|0338-01'!CECOrigPermSalary</vt:lpstr>
      <vt:lpstr>'TAAA|0338-02'!CECOrigPermSalary</vt:lpstr>
      <vt:lpstr>'TAAB|0001-00'!CECOrigPermSalary</vt:lpstr>
      <vt:lpstr>'TAAB|0338-01'!CECOrigPermSalary</vt:lpstr>
      <vt:lpstr>'TAAB|0338-02'!CECOrigPermSalary</vt:lpstr>
      <vt:lpstr>'TAAC|0001-00'!CECOrigPermSalary</vt:lpstr>
      <vt:lpstr>'TAAC|0338-01'!CECOrigPermSalary</vt:lpstr>
      <vt:lpstr>'TAAC|0338-02'!CECOrigPermSalary</vt:lpstr>
      <vt:lpstr>'TAAD|0001-00'!CECOrigPermSalary</vt:lpstr>
      <vt:lpstr>'TAAF|0276-00'!CECOrigPermSalary</vt:lpstr>
      <vt:lpstr>'TAAI|0276-00'!CECOrigPermSalary</vt:lpstr>
      <vt:lpstr>'TACA|0001-00'!CECOrigPermSalary</vt:lpstr>
      <vt:lpstr>'TACA|0338-02'!CECOrigPermSalary</vt:lpstr>
      <vt:lpstr>CECOrigPermSalary</vt:lpstr>
      <vt:lpstr>'TAAA|0001-00'!CECOrigPermVB</vt:lpstr>
      <vt:lpstr>'TAAA|0338-01'!CECOrigPermVB</vt:lpstr>
      <vt:lpstr>'TAAA|0338-02'!CECOrigPermVB</vt:lpstr>
      <vt:lpstr>'TAAB|0001-00'!CECOrigPermVB</vt:lpstr>
      <vt:lpstr>'TAAB|0338-01'!CECOrigPermVB</vt:lpstr>
      <vt:lpstr>'TAAB|0338-02'!CECOrigPermVB</vt:lpstr>
      <vt:lpstr>'TAAC|0001-00'!CECOrigPermVB</vt:lpstr>
      <vt:lpstr>'TAAC|0338-01'!CECOrigPermVB</vt:lpstr>
      <vt:lpstr>'TAAC|0338-02'!CECOrigPermVB</vt:lpstr>
      <vt:lpstr>'TAAD|0001-00'!CECOrigPermVB</vt:lpstr>
      <vt:lpstr>'TAAF|0276-00'!CECOrigPermVB</vt:lpstr>
      <vt:lpstr>'TAAI|0276-00'!CECOrigPermVB</vt:lpstr>
      <vt:lpstr>'TACA|0001-00'!CECOrigPermVB</vt:lpstr>
      <vt:lpstr>'TACA|0338-02'!CECOrigPermVB</vt:lpstr>
      <vt:lpstr>CECOrigPermVB</vt:lpstr>
      <vt:lpstr>CECPerm</vt:lpstr>
      <vt:lpstr>'TAAA|0001-00'!CECpermCalc</vt:lpstr>
      <vt:lpstr>'TAAA|0338-01'!CECpermCalc</vt:lpstr>
      <vt:lpstr>'TAAA|0338-02'!CECpermCalc</vt:lpstr>
      <vt:lpstr>'TAAB|0001-00'!CECpermCalc</vt:lpstr>
      <vt:lpstr>'TAAB|0338-01'!CECpermCalc</vt:lpstr>
      <vt:lpstr>'TAAB|0338-02'!CECpermCalc</vt:lpstr>
      <vt:lpstr>'TAAC|0001-00'!CECpermCalc</vt:lpstr>
      <vt:lpstr>'TAAC|0338-01'!CECpermCalc</vt:lpstr>
      <vt:lpstr>'TAAC|0338-02'!CECpermCalc</vt:lpstr>
      <vt:lpstr>'TAAD|0001-00'!CECpermCalc</vt:lpstr>
      <vt:lpstr>'TAAF|0276-00'!CECpermCalc</vt:lpstr>
      <vt:lpstr>'TAAI|0276-00'!CECpermCalc</vt:lpstr>
      <vt:lpstr>'TACA|0001-00'!CECpermCalc</vt:lpstr>
      <vt:lpstr>'TACA|0338-02'!CECpermCalc</vt:lpstr>
      <vt:lpstr>CECpermCalc</vt:lpstr>
      <vt:lpstr>'TAAA|0001-00'!Department</vt:lpstr>
      <vt:lpstr>'TAAA|0338-01'!Department</vt:lpstr>
      <vt:lpstr>'TAAA|0338-02'!Department</vt:lpstr>
      <vt:lpstr>'TAAB|0001-00'!Department</vt:lpstr>
      <vt:lpstr>'TAAB|0338-01'!Department</vt:lpstr>
      <vt:lpstr>'TAAB|0338-02'!Department</vt:lpstr>
      <vt:lpstr>'TAAC|0001-00'!Department</vt:lpstr>
      <vt:lpstr>'TAAC|0338-01'!Department</vt:lpstr>
      <vt:lpstr>'TAAC|0338-02'!Department</vt:lpstr>
      <vt:lpstr>'TAAD|0001-00'!Department</vt:lpstr>
      <vt:lpstr>'TAAF|0276-00'!Department</vt:lpstr>
      <vt:lpstr>'TAAI|0276-00'!Department</vt:lpstr>
      <vt:lpstr>'TACA|0001-00'!Department</vt:lpstr>
      <vt:lpstr>'TACA|0338-02'!Department</vt:lpstr>
      <vt:lpstr>Department</vt:lpstr>
      <vt:lpstr>DHR</vt:lpstr>
      <vt:lpstr>DHRBY</vt:lpstr>
      <vt:lpstr>DHRCHG</vt:lpstr>
      <vt:lpstr>'TAAA|0001-00'!Division</vt:lpstr>
      <vt:lpstr>'TAAA|0338-01'!Division</vt:lpstr>
      <vt:lpstr>'TAAA|0338-02'!Division</vt:lpstr>
      <vt:lpstr>'TAAB|0001-00'!Division</vt:lpstr>
      <vt:lpstr>'TAAB|0338-01'!Division</vt:lpstr>
      <vt:lpstr>'TAAB|0338-02'!Division</vt:lpstr>
      <vt:lpstr>'TAAC|0001-00'!Division</vt:lpstr>
      <vt:lpstr>'TAAC|0338-01'!Division</vt:lpstr>
      <vt:lpstr>'TAAC|0338-02'!Division</vt:lpstr>
      <vt:lpstr>'TAAD|0001-00'!Division</vt:lpstr>
      <vt:lpstr>'TAAF|0276-00'!Division</vt:lpstr>
      <vt:lpstr>'TAAI|0276-00'!Division</vt:lpstr>
      <vt:lpstr>'TACA|0001-00'!Division</vt:lpstr>
      <vt:lpstr>'TACA|0338-02'!Division</vt:lpstr>
      <vt:lpstr>Division</vt:lpstr>
      <vt:lpstr>'TAAA|0001-00'!DUCECElect</vt:lpstr>
      <vt:lpstr>'TAAA|0338-01'!DUCECElect</vt:lpstr>
      <vt:lpstr>'TAAA|0338-02'!DUCECElect</vt:lpstr>
      <vt:lpstr>'TAAB|0001-00'!DUCECElect</vt:lpstr>
      <vt:lpstr>'TAAB|0338-01'!DUCECElect</vt:lpstr>
      <vt:lpstr>'TAAB|0338-02'!DUCECElect</vt:lpstr>
      <vt:lpstr>'TAAC|0001-00'!DUCECElect</vt:lpstr>
      <vt:lpstr>'TAAC|0338-01'!DUCECElect</vt:lpstr>
      <vt:lpstr>'TAAC|0338-02'!DUCECElect</vt:lpstr>
      <vt:lpstr>'TAAD|0001-00'!DUCECElect</vt:lpstr>
      <vt:lpstr>'TAAF|0276-00'!DUCECElect</vt:lpstr>
      <vt:lpstr>'TAAI|0276-00'!DUCECElect</vt:lpstr>
      <vt:lpstr>'TACA|0001-00'!DUCECElect</vt:lpstr>
      <vt:lpstr>'TACA|0338-02'!DUCECElect</vt:lpstr>
      <vt:lpstr>DUCECElect</vt:lpstr>
      <vt:lpstr>'TAAA|0001-00'!DUCECGroup</vt:lpstr>
      <vt:lpstr>'TAAA|0338-01'!DUCECGroup</vt:lpstr>
      <vt:lpstr>'TAAA|0338-02'!DUCECGroup</vt:lpstr>
      <vt:lpstr>'TAAB|0001-00'!DUCECGroup</vt:lpstr>
      <vt:lpstr>'TAAB|0338-01'!DUCECGroup</vt:lpstr>
      <vt:lpstr>'TAAB|0338-02'!DUCECGroup</vt:lpstr>
      <vt:lpstr>'TAAC|0001-00'!DUCECGroup</vt:lpstr>
      <vt:lpstr>'TAAC|0338-01'!DUCECGroup</vt:lpstr>
      <vt:lpstr>'TAAC|0338-02'!DUCECGroup</vt:lpstr>
      <vt:lpstr>'TAAD|0001-00'!DUCECGroup</vt:lpstr>
      <vt:lpstr>'TAAF|0276-00'!DUCECGroup</vt:lpstr>
      <vt:lpstr>'TAAI|0276-00'!DUCECGroup</vt:lpstr>
      <vt:lpstr>'TACA|0001-00'!DUCECGroup</vt:lpstr>
      <vt:lpstr>'TACA|0338-02'!DUCECGroup</vt:lpstr>
      <vt:lpstr>DUCECGroup</vt:lpstr>
      <vt:lpstr>'TAAA|0001-00'!DUCECPerm</vt:lpstr>
      <vt:lpstr>'TAAA|0338-01'!DUCECPerm</vt:lpstr>
      <vt:lpstr>'TAAA|0338-02'!DUCECPerm</vt:lpstr>
      <vt:lpstr>'TAAB|0001-00'!DUCECPerm</vt:lpstr>
      <vt:lpstr>'TAAB|0338-01'!DUCECPerm</vt:lpstr>
      <vt:lpstr>'TAAB|0338-02'!DUCECPerm</vt:lpstr>
      <vt:lpstr>'TAAC|0001-00'!DUCECPerm</vt:lpstr>
      <vt:lpstr>'TAAC|0338-01'!DUCECPerm</vt:lpstr>
      <vt:lpstr>'TAAC|0338-02'!DUCECPerm</vt:lpstr>
      <vt:lpstr>'TAAD|0001-00'!DUCECPerm</vt:lpstr>
      <vt:lpstr>'TAAF|0276-00'!DUCECPerm</vt:lpstr>
      <vt:lpstr>'TAAI|0276-00'!DUCECPerm</vt:lpstr>
      <vt:lpstr>'TACA|0001-00'!DUCECPerm</vt:lpstr>
      <vt:lpstr>'TACA|0338-02'!DUCECPerm</vt:lpstr>
      <vt:lpstr>DUCECPerm</vt:lpstr>
      <vt:lpstr>'TAAA|0001-00'!DUEleven</vt:lpstr>
      <vt:lpstr>'TAAA|0338-01'!DUEleven</vt:lpstr>
      <vt:lpstr>'TAAA|0338-02'!DUEleven</vt:lpstr>
      <vt:lpstr>'TAAB|0001-00'!DUEleven</vt:lpstr>
      <vt:lpstr>'TAAB|0338-01'!DUEleven</vt:lpstr>
      <vt:lpstr>'TAAB|0338-02'!DUEleven</vt:lpstr>
      <vt:lpstr>'TAAC|0001-00'!DUEleven</vt:lpstr>
      <vt:lpstr>'TAAC|0338-01'!DUEleven</vt:lpstr>
      <vt:lpstr>'TAAC|0338-02'!DUEleven</vt:lpstr>
      <vt:lpstr>'TAAD|0001-00'!DUEleven</vt:lpstr>
      <vt:lpstr>'TAAF|0276-00'!DUEleven</vt:lpstr>
      <vt:lpstr>'TAAI|0276-00'!DUEleven</vt:lpstr>
      <vt:lpstr>'TACA|0001-00'!DUEleven</vt:lpstr>
      <vt:lpstr>'TACA|0338-02'!DUEleven</vt:lpstr>
      <vt:lpstr>DUEleven</vt:lpstr>
      <vt:lpstr>'TAAA|0001-00'!DUHealthBen</vt:lpstr>
      <vt:lpstr>'TAAA|0338-01'!DUHealthBen</vt:lpstr>
      <vt:lpstr>'TAAA|0338-02'!DUHealthBen</vt:lpstr>
      <vt:lpstr>'TAAB|0001-00'!DUHealthBen</vt:lpstr>
      <vt:lpstr>'TAAB|0338-01'!DUHealthBen</vt:lpstr>
      <vt:lpstr>'TAAB|0338-02'!DUHealthBen</vt:lpstr>
      <vt:lpstr>'TAAC|0001-00'!DUHealthBen</vt:lpstr>
      <vt:lpstr>'TAAC|0338-01'!DUHealthBen</vt:lpstr>
      <vt:lpstr>'TAAC|0338-02'!DUHealthBen</vt:lpstr>
      <vt:lpstr>'TAAD|0001-00'!DUHealthBen</vt:lpstr>
      <vt:lpstr>'TAAF|0276-00'!DUHealthBen</vt:lpstr>
      <vt:lpstr>'TAAI|0276-00'!DUHealthBen</vt:lpstr>
      <vt:lpstr>'TACA|0001-00'!DUHealthBen</vt:lpstr>
      <vt:lpstr>'TACA|0338-02'!DUHealthBen</vt:lpstr>
      <vt:lpstr>DUHealthBen</vt:lpstr>
      <vt:lpstr>'TAAA|0001-00'!DUNine</vt:lpstr>
      <vt:lpstr>'TAAA|0338-01'!DUNine</vt:lpstr>
      <vt:lpstr>'TAAA|0338-02'!DUNine</vt:lpstr>
      <vt:lpstr>'TAAB|0001-00'!DUNine</vt:lpstr>
      <vt:lpstr>'TAAB|0338-01'!DUNine</vt:lpstr>
      <vt:lpstr>'TAAB|0338-02'!DUNine</vt:lpstr>
      <vt:lpstr>'TAAC|0001-00'!DUNine</vt:lpstr>
      <vt:lpstr>'TAAC|0338-01'!DUNine</vt:lpstr>
      <vt:lpstr>'TAAC|0338-02'!DUNine</vt:lpstr>
      <vt:lpstr>'TAAD|0001-00'!DUNine</vt:lpstr>
      <vt:lpstr>'TAAF|0276-00'!DUNine</vt:lpstr>
      <vt:lpstr>'TAAI|0276-00'!DUNine</vt:lpstr>
      <vt:lpstr>'TACA|0001-00'!DUNine</vt:lpstr>
      <vt:lpstr>'TACA|0338-02'!DUNine</vt:lpstr>
      <vt:lpstr>DUNine</vt:lpstr>
      <vt:lpstr>'TAAA|0001-00'!DUThirteen</vt:lpstr>
      <vt:lpstr>'TAAA|0338-01'!DUThirteen</vt:lpstr>
      <vt:lpstr>'TAAA|0338-02'!DUThirteen</vt:lpstr>
      <vt:lpstr>'TAAB|0001-00'!DUThirteen</vt:lpstr>
      <vt:lpstr>'TAAB|0338-01'!DUThirteen</vt:lpstr>
      <vt:lpstr>'TAAB|0338-02'!DUThirteen</vt:lpstr>
      <vt:lpstr>'TAAC|0001-00'!DUThirteen</vt:lpstr>
      <vt:lpstr>'TAAC|0338-01'!DUThirteen</vt:lpstr>
      <vt:lpstr>'TAAC|0338-02'!DUThirteen</vt:lpstr>
      <vt:lpstr>'TAAD|0001-00'!DUThirteen</vt:lpstr>
      <vt:lpstr>'TAAF|0276-00'!DUThirteen</vt:lpstr>
      <vt:lpstr>'TAAI|0276-00'!DUThirteen</vt:lpstr>
      <vt:lpstr>'TACA|0001-00'!DUThirteen</vt:lpstr>
      <vt:lpstr>'TACA|0338-02'!DUThirteen</vt:lpstr>
      <vt:lpstr>DUThirteen</vt:lpstr>
      <vt:lpstr>'TAAA|0001-00'!DUVariableBen</vt:lpstr>
      <vt:lpstr>'TAAA|0338-01'!DUVariableBen</vt:lpstr>
      <vt:lpstr>'TAAA|0338-02'!DUVariableBen</vt:lpstr>
      <vt:lpstr>'TAAB|0001-00'!DUVariableBen</vt:lpstr>
      <vt:lpstr>'TAAB|0338-01'!DUVariableBen</vt:lpstr>
      <vt:lpstr>'TAAB|0338-02'!DUVariableBen</vt:lpstr>
      <vt:lpstr>'TAAC|0001-00'!DUVariableBen</vt:lpstr>
      <vt:lpstr>'TAAC|0338-01'!DUVariableBen</vt:lpstr>
      <vt:lpstr>'TAAC|0338-02'!DUVariableBen</vt:lpstr>
      <vt:lpstr>'TAAD|0001-00'!DUVariableBen</vt:lpstr>
      <vt:lpstr>'TAAF|0276-00'!DUVariableBen</vt:lpstr>
      <vt:lpstr>'TAAI|0276-00'!DUVariableBen</vt:lpstr>
      <vt:lpstr>'TACA|0001-00'!DUVariableBen</vt:lpstr>
      <vt:lpstr>'TACA|0338-02'!DUVariableBen</vt:lpstr>
      <vt:lpstr>DUVariableBen</vt:lpstr>
      <vt:lpstr>'TAAA|0001-00'!Elect_chg_health</vt:lpstr>
      <vt:lpstr>'TAAA|0338-01'!Elect_chg_health</vt:lpstr>
      <vt:lpstr>'TAAA|0338-02'!Elect_chg_health</vt:lpstr>
      <vt:lpstr>'TAAB|0001-00'!Elect_chg_health</vt:lpstr>
      <vt:lpstr>'TAAB|0338-01'!Elect_chg_health</vt:lpstr>
      <vt:lpstr>'TAAB|0338-02'!Elect_chg_health</vt:lpstr>
      <vt:lpstr>'TAAC|0001-00'!Elect_chg_health</vt:lpstr>
      <vt:lpstr>'TAAC|0338-01'!Elect_chg_health</vt:lpstr>
      <vt:lpstr>'TAAC|0338-02'!Elect_chg_health</vt:lpstr>
      <vt:lpstr>'TAAD|0001-00'!Elect_chg_health</vt:lpstr>
      <vt:lpstr>'TAAF|0276-00'!Elect_chg_health</vt:lpstr>
      <vt:lpstr>'TAAI|0276-00'!Elect_chg_health</vt:lpstr>
      <vt:lpstr>'TACA|0001-00'!Elect_chg_health</vt:lpstr>
      <vt:lpstr>'TACA|0338-02'!Elect_chg_health</vt:lpstr>
      <vt:lpstr>Elect_chg_health</vt:lpstr>
      <vt:lpstr>'TAAA|0001-00'!Elect_chg_Var</vt:lpstr>
      <vt:lpstr>'TAAA|0338-01'!Elect_chg_Var</vt:lpstr>
      <vt:lpstr>'TAAA|0338-02'!Elect_chg_Var</vt:lpstr>
      <vt:lpstr>'TAAB|0001-00'!Elect_chg_Var</vt:lpstr>
      <vt:lpstr>'TAAB|0338-01'!Elect_chg_Var</vt:lpstr>
      <vt:lpstr>'TAAB|0338-02'!Elect_chg_Var</vt:lpstr>
      <vt:lpstr>'TAAC|0001-00'!Elect_chg_Var</vt:lpstr>
      <vt:lpstr>'TAAC|0338-01'!Elect_chg_Var</vt:lpstr>
      <vt:lpstr>'TAAC|0338-02'!Elect_chg_Var</vt:lpstr>
      <vt:lpstr>'TAAD|0001-00'!Elect_chg_Var</vt:lpstr>
      <vt:lpstr>'TAAF|0276-00'!Elect_chg_Var</vt:lpstr>
      <vt:lpstr>'TAAI|0276-00'!Elect_chg_Var</vt:lpstr>
      <vt:lpstr>'TACA|0001-00'!Elect_chg_Var</vt:lpstr>
      <vt:lpstr>'TACA|0338-02'!Elect_chg_Var</vt:lpstr>
      <vt:lpstr>Elect_chg_Var</vt:lpstr>
      <vt:lpstr>'TAAA|0001-00'!elect_FTP</vt:lpstr>
      <vt:lpstr>'TAAA|0338-01'!elect_FTP</vt:lpstr>
      <vt:lpstr>'TAAA|0338-02'!elect_FTP</vt:lpstr>
      <vt:lpstr>'TAAB|0001-00'!elect_FTP</vt:lpstr>
      <vt:lpstr>'TAAB|0338-01'!elect_FTP</vt:lpstr>
      <vt:lpstr>'TAAB|0338-02'!elect_FTP</vt:lpstr>
      <vt:lpstr>'TAAC|0001-00'!elect_FTP</vt:lpstr>
      <vt:lpstr>'TAAC|0338-01'!elect_FTP</vt:lpstr>
      <vt:lpstr>'TAAC|0338-02'!elect_FTP</vt:lpstr>
      <vt:lpstr>'TAAD|0001-00'!elect_FTP</vt:lpstr>
      <vt:lpstr>'TAAF|0276-00'!elect_FTP</vt:lpstr>
      <vt:lpstr>'TAAI|0276-00'!elect_FTP</vt:lpstr>
      <vt:lpstr>'TACA|0001-00'!elect_FTP</vt:lpstr>
      <vt:lpstr>'TACA|0338-02'!elect_FTP</vt:lpstr>
      <vt:lpstr>elect_FTP</vt:lpstr>
      <vt:lpstr>'TAAA|0001-00'!Elect_health</vt:lpstr>
      <vt:lpstr>'TAAA|0338-01'!Elect_health</vt:lpstr>
      <vt:lpstr>'TAAA|0338-02'!Elect_health</vt:lpstr>
      <vt:lpstr>'TAAB|0001-00'!Elect_health</vt:lpstr>
      <vt:lpstr>'TAAB|0338-01'!Elect_health</vt:lpstr>
      <vt:lpstr>'TAAB|0338-02'!Elect_health</vt:lpstr>
      <vt:lpstr>'TAAC|0001-00'!Elect_health</vt:lpstr>
      <vt:lpstr>'TAAC|0338-01'!Elect_health</vt:lpstr>
      <vt:lpstr>'TAAC|0338-02'!Elect_health</vt:lpstr>
      <vt:lpstr>'TAAD|0001-00'!Elect_health</vt:lpstr>
      <vt:lpstr>'TAAF|0276-00'!Elect_health</vt:lpstr>
      <vt:lpstr>'TAAI|0276-00'!Elect_health</vt:lpstr>
      <vt:lpstr>'TACA|0001-00'!Elect_health</vt:lpstr>
      <vt:lpstr>'TACA|0338-02'!Elect_health</vt:lpstr>
      <vt:lpstr>Elect_health</vt:lpstr>
      <vt:lpstr>'TAAA|0001-00'!Elect_name</vt:lpstr>
      <vt:lpstr>'TAAA|0338-01'!Elect_name</vt:lpstr>
      <vt:lpstr>'TAAA|0338-02'!Elect_name</vt:lpstr>
      <vt:lpstr>'TAAB|0001-00'!Elect_name</vt:lpstr>
      <vt:lpstr>'TAAB|0338-01'!Elect_name</vt:lpstr>
      <vt:lpstr>'TAAB|0338-02'!Elect_name</vt:lpstr>
      <vt:lpstr>'TAAC|0001-00'!Elect_name</vt:lpstr>
      <vt:lpstr>'TAAC|0338-01'!Elect_name</vt:lpstr>
      <vt:lpstr>'TAAC|0338-02'!Elect_name</vt:lpstr>
      <vt:lpstr>'TAAD|0001-00'!Elect_name</vt:lpstr>
      <vt:lpstr>'TAAF|0276-00'!Elect_name</vt:lpstr>
      <vt:lpstr>'TAAI|0276-00'!Elect_name</vt:lpstr>
      <vt:lpstr>'TACA|0001-00'!Elect_name</vt:lpstr>
      <vt:lpstr>'TACA|0338-02'!Elect_name</vt:lpstr>
      <vt:lpstr>Elect_name</vt:lpstr>
      <vt:lpstr>'TAAA|0001-00'!Elect_salary</vt:lpstr>
      <vt:lpstr>'TAAA|0338-01'!Elect_salary</vt:lpstr>
      <vt:lpstr>'TAAA|0338-02'!Elect_salary</vt:lpstr>
      <vt:lpstr>'TAAB|0001-00'!Elect_salary</vt:lpstr>
      <vt:lpstr>'TAAB|0338-01'!Elect_salary</vt:lpstr>
      <vt:lpstr>'TAAB|0338-02'!Elect_salary</vt:lpstr>
      <vt:lpstr>'TAAC|0001-00'!Elect_salary</vt:lpstr>
      <vt:lpstr>'TAAC|0338-01'!Elect_salary</vt:lpstr>
      <vt:lpstr>'TAAC|0338-02'!Elect_salary</vt:lpstr>
      <vt:lpstr>'TAAD|0001-00'!Elect_salary</vt:lpstr>
      <vt:lpstr>'TAAF|0276-00'!Elect_salary</vt:lpstr>
      <vt:lpstr>'TAAI|0276-00'!Elect_salary</vt:lpstr>
      <vt:lpstr>'TACA|0001-00'!Elect_salary</vt:lpstr>
      <vt:lpstr>'TACA|0338-02'!Elect_salary</vt:lpstr>
      <vt:lpstr>Elect_salary</vt:lpstr>
      <vt:lpstr>'TAAA|0001-00'!Elect_Var</vt:lpstr>
      <vt:lpstr>'TAAA|0338-01'!Elect_Var</vt:lpstr>
      <vt:lpstr>'TAAA|0338-02'!Elect_Var</vt:lpstr>
      <vt:lpstr>'TAAB|0001-00'!Elect_Var</vt:lpstr>
      <vt:lpstr>'TAAB|0338-01'!Elect_Var</vt:lpstr>
      <vt:lpstr>'TAAB|0338-02'!Elect_Var</vt:lpstr>
      <vt:lpstr>'TAAC|0001-00'!Elect_Var</vt:lpstr>
      <vt:lpstr>'TAAC|0338-01'!Elect_Var</vt:lpstr>
      <vt:lpstr>'TAAC|0338-02'!Elect_Var</vt:lpstr>
      <vt:lpstr>'TAAD|0001-00'!Elect_Var</vt:lpstr>
      <vt:lpstr>'TAAF|0276-00'!Elect_Var</vt:lpstr>
      <vt:lpstr>'TAAI|0276-00'!Elect_Var</vt:lpstr>
      <vt:lpstr>'TACA|0001-00'!Elect_Var</vt:lpstr>
      <vt:lpstr>'TACA|0338-02'!Elect_Var</vt:lpstr>
      <vt:lpstr>Elect_Var</vt:lpstr>
      <vt:lpstr>'TAAA|0001-00'!Elect_VarBen</vt:lpstr>
      <vt:lpstr>'TAAA|0338-01'!Elect_VarBen</vt:lpstr>
      <vt:lpstr>'TAAA|0338-02'!Elect_VarBen</vt:lpstr>
      <vt:lpstr>'TAAB|0001-00'!Elect_VarBen</vt:lpstr>
      <vt:lpstr>'TAAB|0338-01'!Elect_VarBen</vt:lpstr>
      <vt:lpstr>'TAAB|0338-02'!Elect_VarBen</vt:lpstr>
      <vt:lpstr>'TAAC|0001-00'!Elect_VarBen</vt:lpstr>
      <vt:lpstr>'TAAC|0338-01'!Elect_VarBen</vt:lpstr>
      <vt:lpstr>'TAAC|0338-02'!Elect_VarBen</vt:lpstr>
      <vt:lpstr>'TAAD|0001-00'!Elect_VarBen</vt:lpstr>
      <vt:lpstr>'TAAF|0276-00'!Elect_VarBen</vt:lpstr>
      <vt:lpstr>'TAAI|0276-00'!Elect_VarBen</vt:lpstr>
      <vt:lpstr>'TACA|0001-00'!Elect_VarBen</vt:lpstr>
      <vt:lpstr>'TACA|0338-02'!Elect_VarBen</vt:lpstr>
      <vt:lpstr>Elect_VarBen</vt:lpstr>
      <vt:lpstr>ElectVB</vt:lpstr>
      <vt:lpstr>ElectVBBY</vt:lpstr>
      <vt:lpstr>ElectVBCHG</vt:lpstr>
      <vt:lpstr>FillRate_Avg</vt:lpstr>
      <vt:lpstr>'TAAA|0001-00'!FiscalYear</vt:lpstr>
      <vt:lpstr>'TAAA|0338-01'!FiscalYear</vt:lpstr>
      <vt:lpstr>'TAAA|0338-02'!FiscalYear</vt:lpstr>
      <vt:lpstr>'TAAB|0001-00'!FiscalYear</vt:lpstr>
      <vt:lpstr>'TAAB|0338-01'!FiscalYear</vt:lpstr>
      <vt:lpstr>'TAAB|0338-02'!FiscalYear</vt:lpstr>
      <vt:lpstr>'TAAC|0001-00'!FiscalYear</vt:lpstr>
      <vt:lpstr>'TAAC|0338-01'!FiscalYear</vt:lpstr>
      <vt:lpstr>'TAAC|0338-02'!FiscalYear</vt:lpstr>
      <vt:lpstr>'TAAD|0001-00'!FiscalYear</vt:lpstr>
      <vt:lpstr>'TAAF|0276-00'!FiscalYear</vt:lpstr>
      <vt:lpstr>'TAAI|0276-00'!FiscalYear</vt:lpstr>
      <vt:lpstr>'TACA|0001-00'!FiscalYear</vt:lpstr>
      <vt:lpstr>'TACA|0338-02'!FiscalYear</vt:lpstr>
      <vt:lpstr>FiscalYear</vt:lpstr>
      <vt:lpstr>'TAAA|0001-00'!FundName</vt:lpstr>
      <vt:lpstr>'TAAA|0338-01'!FundName</vt:lpstr>
      <vt:lpstr>'TAAA|0338-02'!FundName</vt:lpstr>
      <vt:lpstr>'TAAB|0001-00'!FundName</vt:lpstr>
      <vt:lpstr>'TAAB|0338-01'!FundName</vt:lpstr>
      <vt:lpstr>'TAAB|0338-02'!FundName</vt:lpstr>
      <vt:lpstr>'TAAC|0001-00'!FundName</vt:lpstr>
      <vt:lpstr>'TAAC|0338-01'!FundName</vt:lpstr>
      <vt:lpstr>'TAAC|0338-02'!FundName</vt:lpstr>
      <vt:lpstr>'TAAD|0001-00'!FundName</vt:lpstr>
      <vt:lpstr>'TAAF|0276-00'!FundName</vt:lpstr>
      <vt:lpstr>'TAAI|0276-00'!FundName</vt:lpstr>
      <vt:lpstr>'TACA|0001-00'!FundName</vt:lpstr>
      <vt:lpstr>'TACA|0338-02'!FundName</vt:lpstr>
      <vt:lpstr>FundName</vt:lpstr>
      <vt:lpstr>'TAAA|0001-00'!FundNum</vt:lpstr>
      <vt:lpstr>'TAAA|0338-01'!FundNum</vt:lpstr>
      <vt:lpstr>'TAAA|0338-02'!FundNum</vt:lpstr>
      <vt:lpstr>'TAAB|0001-00'!FundNum</vt:lpstr>
      <vt:lpstr>'TAAB|0338-01'!FundNum</vt:lpstr>
      <vt:lpstr>'TAAB|0338-02'!FundNum</vt:lpstr>
      <vt:lpstr>'TAAC|0001-00'!FundNum</vt:lpstr>
      <vt:lpstr>'TAAC|0338-01'!FundNum</vt:lpstr>
      <vt:lpstr>'TAAC|0338-02'!FundNum</vt:lpstr>
      <vt:lpstr>'TAAD|0001-00'!FundNum</vt:lpstr>
      <vt:lpstr>'TAAF|0276-00'!FundNum</vt:lpstr>
      <vt:lpstr>'TAAI|0276-00'!FundNum</vt:lpstr>
      <vt:lpstr>'TACA|0001-00'!FundNum</vt:lpstr>
      <vt:lpstr>'TACA|0338-02'!FundNum</vt:lpstr>
      <vt:lpstr>FundNum</vt:lpstr>
      <vt:lpstr>'TAAA|0001-00'!FundNumber</vt:lpstr>
      <vt:lpstr>'TAAA|0338-01'!FundNumber</vt:lpstr>
      <vt:lpstr>'TAAA|0338-02'!FundNumber</vt:lpstr>
      <vt:lpstr>'TAAB|0001-00'!FundNumber</vt:lpstr>
      <vt:lpstr>'TAAB|0338-01'!FundNumber</vt:lpstr>
      <vt:lpstr>'TAAB|0338-02'!FundNumber</vt:lpstr>
      <vt:lpstr>'TAAC|0001-00'!FundNumber</vt:lpstr>
      <vt:lpstr>'TAAC|0338-01'!FundNumber</vt:lpstr>
      <vt:lpstr>'TAAC|0338-02'!FundNumber</vt:lpstr>
      <vt:lpstr>'TAAD|0001-00'!FundNumber</vt:lpstr>
      <vt:lpstr>'TAAF|0276-00'!FundNumber</vt:lpstr>
      <vt:lpstr>'TAAI|0276-00'!FundNumber</vt:lpstr>
      <vt:lpstr>'TACA|0001-00'!FundNumber</vt:lpstr>
      <vt:lpstr>'TACA|0338-02'!FundNumber</vt:lpstr>
      <vt:lpstr>FundNumber</vt:lpstr>
      <vt:lpstr>FundSummaryEst</vt:lpstr>
      <vt:lpstr>FundSummaryLastColumn</vt:lpstr>
      <vt:lpstr>FundSummaryPermActual</vt:lpstr>
      <vt:lpstr>FundSummaryPermBY</vt:lpstr>
      <vt:lpstr>FundSummaryPermCY</vt:lpstr>
      <vt:lpstr>FundSummaryProj</vt:lpstr>
      <vt:lpstr>FundSummaryStartData</vt:lpstr>
      <vt:lpstr>'TAAA|0001-00'!Group_name</vt:lpstr>
      <vt:lpstr>'TAAA|0338-01'!Group_name</vt:lpstr>
      <vt:lpstr>'TAAA|0338-02'!Group_name</vt:lpstr>
      <vt:lpstr>'TAAB|0001-00'!Group_name</vt:lpstr>
      <vt:lpstr>'TAAB|0338-01'!Group_name</vt:lpstr>
      <vt:lpstr>'TAAB|0338-02'!Group_name</vt:lpstr>
      <vt:lpstr>'TAAC|0001-00'!Group_name</vt:lpstr>
      <vt:lpstr>'TAAC|0338-01'!Group_name</vt:lpstr>
      <vt:lpstr>'TAAC|0338-02'!Group_name</vt:lpstr>
      <vt:lpstr>'TAAD|0001-00'!Group_name</vt:lpstr>
      <vt:lpstr>'TAAF|0276-00'!Group_name</vt:lpstr>
      <vt:lpstr>'TAAI|0276-00'!Group_name</vt:lpstr>
      <vt:lpstr>'TACA|0001-00'!Group_name</vt:lpstr>
      <vt:lpstr>'TACA|0338-02'!Group_name</vt:lpstr>
      <vt:lpstr>Group_name</vt:lpstr>
      <vt:lpstr>'TAAA|0001-00'!GroupFxdBen</vt:lpstr>
      <vt:lpstr>'TAAA|0338-01'!GroupFxdBen</vt:lpstr>
      <vt:lpstr>'TAAA|0338-02'!GroupFxdBen</vt:lpstr>
      <vt:lpstr>'TAAB|0001-00'!GroupFxdBen</vt:lpstr>
      <vt:lpstr>'TAAB|0338-01'!GroupFxdBen</vt:lpstr>
      <vt:lpstr>'TAAB|0338-02'!GroupFxdBen</vt:lpstr>
      <vt:lpstr>'TAAC|0001-00'!GroupFxdBen</vt:lpstr>
      <vt:lpstr>'TAAC|0338-01'!GroupFxdBen</vt:lpstr>
      <vt:lpstr>'TAAC|0338-02'!GroupFxdBen</vt:lpstr>
      <vt:lpstr>'TAAD|0001-00'!GroupFxdBen</vt:lpstr>
      <vt:lpstr>'TAAF|0276-00'!GroupFxdBen</vt:lpstr>
      <vt:lpstr>'TAAI|0276-00'!GroupFxdBen</vt:lpstr>
      <vt:lpstr>'TACA|0001-00'!GroupFxdBen</vt:lpstr>
      <vt:lpstr>'TACA|0338-02'!GroupFxdBen</vt:lpstr>
      <vt:lpstr>GroupFxdBen</vt:lpstr>
      <vt:lpstr>'TAAA|0001-00'!GroupSalary</vt:lpstr>
      <vt:lpstr>'TAAA|0338-01'!GroupSalary</vt:lpstr>
      <vt:lpstr>'TAAA|0338-02'!GroupSalary</vt:lpstr>
      <vt:lpstr>'TAAB|0001-00'!GroupSalary</vt:lpstr>
      <vt:lpstr>'TAAB|0338-01'!GroupSalary</vt:lpstr>
      <vt:lpstr>'TAAB|0338-02'!GroupSalary</vt:lpstr>
      <vt:lpstr>'TAAC|0001-00'!GroupSalary</vt:lpstr>
      <vt:lpstr>'TAAC|0338-01'!GroupSalary</vt:lpstr>
      <vt:lpstr>'TAAC|0338-02'!GroupSalary</vt:lpstr>
      <vt:lpstr>'TAAD|0001-00'!GroupSalary</vt:lpstr>
      <vt:lpstr>'TAAF|0276-00'!GroupSalary</vt:lpstr>
      <vt:lpstr>'TAAI|0276-00'!GroupSalary</vt:lpstr>
      <vt:lpstr>'TACA|0001-00'!GroupSalary</vt:lpstr>
      <vt:lpstr>'TACA|0338-02'!GroupSalary</vt:lpstr>
      <vt:lpstr>GroupSalary</vt:lpstr>
      <vt:lpstr>'TAAA|0001-00'!GroupVarBen</vt:lpstr>
      <vt:lpstr>'TAAA|0338-01'!GroupVarBen</vt:lpstr>
      <vt:lpstr>'TAAA|0338-02'!GroupVarBen</vt:lpstr>
      <vt:lpstr>'TAAB|0001-00'!GroupVarBen</vt:lpstr>
      <vt:lpstr>'TAAB|0338-01'!GroupVarBen</vt:lpstr>
      <vt:lpstr>'TAAB|0338-02'!GroupVarBen</vt:lpstr>
      <vt:lpstr>'TAAC|0001-00'!GroupVarBen</vt:lpstr>
      <vt:lpstr>'TAAC|0338-01'!GroupVarBen</vt:lpstr>
      <vt:lpstr>'TAAC|0338-02'!GroupVarBen</vt:lpstr>
      <vt:lpstr>'TAAD|0001-00'!GroupVarBen</vt:lpstr>
      <vt:lpstr>'TAAF|0276-00'!GroupVarBen</vt:lpstr>
      <vt:lpstr>'TAAI|0276-00'!GroupVarBen</vt:lpstr>
      <vt:lpstr>'TACA|0001-00'!GroupVarBen</vt:lpstr>
      <vt:lpstr>'TACA|0338-02'!GroupVarBen</vt:lpstr>
      <vt:lpstr>GroupVarBen</vt:lpstr>
      <vt:lpstr>GroupVB</vt:lpstr>
      <vt:lpstr>GroupVBBY</vt:lpstr>
      <vt:lpstr>GroupVBCHG</vt:lpstr>
      <vt:lpstr>Health</vt:lpstr>
      <vt:lpstr>HealthBY</vt:lpstr>
      <vt:lpstr>HealthCHG</vt:lpstr>
      <vt:lpstr>Life</vt:lpstr>
      <vt:lpstr>LifeBY</vt:lpstr>
      <vt:lpstr>LifeCHG</vt:lpstr>
      <vt:lpstr>'TAAA|0001-00'!LUMAFund</vt:lpstr>
      <vt:lpstr>'TAAA|0338-01'!LUMAFund</vt:lpstr>
      <vt:lpstr>'TAAA|0338-02'!LUMAFund</vt:lpstr>
      <vt:lpstr>'TAAB|0001-00'!LUMAFund</vt:lpstr>
      <vt:lpstr>'TAAB|0338-01'!LUMAFund</vt:lpstr>
      <vt:lpstr>'TAAB|0338-02'!LUMAFund</vt:lpstr>
      <vt:lpstr>'TAAC|0001-00'!LUMAFund</vt:lpstr>
      <vt:lpstr>'TAAC|0338-01'!LUMAFund</vt:lpstr>
      <vt:lpstr>'TAAC|0338-02'!LUMAFund</vt:lpstr>
      <vt:lpstr>'TAAD|0001-00'!LUMAFund</vt:lpstr>
      <vt:lpstr>'TAAF|0276-00'!LUMAFund</vt:lpstr>
      <vt:lpstr>'TAAI|0276-00'!LUMAFund</vt:lpstr>
      <vt:lpstr>'TACA|0001-00'!LUMAFund</vt:lpstr>
      <vt:lpstr>'TACA|0338-02'!LUMAFund</vt:lpstr>
      <vt:lpstr>LUMAFund</vt:lpstr>
      <vt:lpstr>MAXSSDI</vt:lpstr>
      <vt:lpstr>MAXSSDIBY</vt:lpstr>
      <vt:lpstr>'TAAA|0001-00'!NEW_AdjGroup</vt:lpstr>
      <vt:lpstr>'TAAA|0338-01'!NEW_AdjGroup</vt:lpstr>
      <vt:lpstr>'TAAA|0338-02'!NEW_AdjGroup</vt:lpstr>
      <vt:lpstr>'TAAB|0001-00'!NEW_AdjGroup</vt:lpstr>
      <vt:lpstr>'TAAB|0338-01'!NEW_AdjGroup</vt:lpstr>
      <vt:lpstr>'TAAB|0338-02'!NEW_AdjGroup</vt:lpstr>
      <vt:lpstr>'TAAC|0001-00'!NEW_AdjGroup</vt:lpstr>
      <vt:lpstr>'TAAC|0338-01'!NEW_AdjGroup</vt:lpstr>
      <vt:lpstr>'TAAC|0338-02'!NEW_AdjGroup</vt:lpstr>
      <vt:lpstr>'TAAD|0001-00'!NEW_AdjGroup</vt:lpstr>
      <vt:lpstr>'TAAF|0276-00'!NEW_AdjGroup</vt:lpstr>
      <vt:lpstr>'TAAI|0276-00'!NEW_AdjGroup</vt:lpstr>
      <vt:lpstr>'TACA|0001-00'!NEW_AdjGroup</vt:lpstr>
      <vt:lpstr>'TACA|0338-02'!NEW_AdjGroup</vt:lpstr>
      <vt:lpstr>NEW_AdjGroup</vt:lpstr>
      <vt:lpstr>'TAAA|0001-00'!NEW_AdjGroupSalary</vt:lpstr>
      <vt:lpstr>'TAAA|0338-01'!NEW_AdjGroupSalary</vt:lpstr>
      <vt:lpstr>'TAAA|0338-02'!NEW_AdjGroupSalary</vt:lpstr>
      <vt:lpstr>'TAAB|0001-00'!NEW_AdjGroupSalary</vt:lpstr>
      <vt:lpstr>'TAAB|0338-01'!NEW_AdjGroupSalary</vt:lpstr>
      <vt:lpstr>'TAAB|0338-02'!NEW_AdjGroupSalary</vt:lpstr>
      <vt:lpstr>'TAAC|0001-00'!NEW_AdjGroupSalary</vt:lpstr>
      <vt:lpstr>'TAAC|0338-01'!NEW_AdjGroupSalary</vt:lpstr>
      <vt:lpstr>'TAAC|0338-02'!NEW_AdjGroupSalary</vt:lpstr>
      <vt:lpstr>'TAAD|0001-00'!NEW_AdjGroupSalary</vt:lpstr>
      <vt:lpstr>'TAAF|0276-00'!NEW_AdjGroupSalary</vt:lpstr>
      <vt:lpstr>'TAAI|0276-00'!NEW_AdjGroupSalary</vt:lpstr>
      <vt:lpstr>'TACA|0001-00'!NEW_AdjGroupSalary</vt:lpstr>
      <vt:lpstr>'TACA|0338-02'!NEW_AdjGroupSalary</vt:lpstr>
      <vt:lpstr>NEW_AdjGroupSalary</vt:lpstr>
      <vt:lpstr>'TAAA|0001-00'!NEW_AdjGroupVB</vt:lpstr>
      <vt:lpstr>'TAAA|0338-01'!NEW_AdjGroupVB</vt:lpstr>
      <vt:lpstr>'TAAA|0338-02'!NEW_AdjGroupVB</vt:lpstr>
      <vt:lpstr>'TAAB|0001-00'!NEW_AdjGroupVB</vt:lpstr>
      <vt:lpstr>'TAAB|0338-01'!NEW_AdjGroupVB</vt:lpstr>
      <vt:lpstr>'TAAB|0338-02'!NEW_AdjGroupVB</vt:lpstr>
      <vt:lpstr>'TAAC|0001-00'!NEW_AdjGroupVB</vt:lpstr>
      <vt:lpstr>'TAAC|0338-01'!NEW_AdjGroupVB</vt:lpstr>
      <vt:lpstr>'TAAC|0338-02'!NEW_AdjGroupVB</vt:lpstr>
      <vt:lpstr>'TAAD|0001-00'!NEW_AdjGroupVB</vt:lpstr>
      <vt:lpstr>'TAAF|0276-00'!NEW_AdjGroupVB</vt:lpstr>
      <vt:lpstr>'TAAI|0276-00'!NEW_AdjGroupVB</vt:lpstr>
      <vt:lpstr>'TACA|0001-00'!NEW_AdjGroupVB</vt:lpstr>
      <vt:lpstr>'TACA|0338-02'!NEW_AdjGroupVB</vt:lpstr>
      <vt:lpstr>NEW_AdjGroupVB</vt:lpstr>
      <vt:lpstr>'TAAA|0001-00'!NEW_AdjONLYGroup</vt:lpstr>
      <vt:lpstr>'TAAA|0338-01'!NEW_AdjONLYGroup</vt:lpstr>
      <vt:lpstr>'TAAA|0338-02'!NEW_AdjONLYGroup</vt:lpstr>
      <vt:lpstr>'TAAB|0001-00'!NEW_AdjONLYGroup</vt:lpstr>
      <vt:lpstr>'TAAB|0338-01'!NEW_AdjONLYGroup</vt:lpstr>
      <vt:lpstr>'TAAB|0338-02'!NEW_AdjONLYGroup</vt:lpstr>
      <vt:lpstr>'TAAC|0001-00'!NEW_AdjONLYGroup</vt:lpstr>
      <vt:lpstr>'TAAC|0338-01'!NEW_AdjONLYGroup</vt:lpstr>
      <vt:lpstr>'TAAC|0338-02'!NEW_AdjONLYGroup</vt:lpstr>
      <vt:lpstr>'TAAD|0001-00'!NEW_AdjONLYGroup</vt:lpstr>
      <vt:lpstr>'TAAF|0276-00'!NEW_AdjONLYGroup</vt:lpstr>
      <vt:lpstr>'TAAI|0276-00'!NEW_AdjONLYGroup</vt:lpstr>
      <vt:lpstr>'TACA|0001-00'!NEW_AdjONLYGroup</vt:lpstr>
      <vt:lpstr>'TACA|0338-02'!NEW_AdjONLYGroup</vt:lpstr>
      <vt:lpstr>NEW_AdjONLYGroup</vt:lpstr>
      <vt:lpstr>'TAAA|0001-00'!NEW_AdjONLYGroupSalary</vt:lpstr>
      <vt:lpstr>'TAAA|0338-01'!NEW_AdjONLYGroupSalary</vt:lpstr>
      <vt:lpstr>'TAAA|0338-02'!NEW_AdjONLYGroupSalary</vt:lpstr>
      <vt:lpstr>'TAAB|0001-00'!NEW_AdjONLYGroupSalary</vt:lpstr>
      <vt:lpstr>'TAAB|0338-01'!NEW_AdjONLYGroupSalary</vt:lpstr>
      <vt:lpstr>'TAAB|0338-02'!NEW_AdjONLYGroupSalary</vt:lpstr>
      <vt:lpstr>'TAAC|0001-00'!NEW_AdjONLYGroupSalary</vt:lpstr>
      <vt:lpstr>'TAAC|0338-01'!NEW_AdjONLYGroupSalary</vt:lpstr>
      <vt:lpstr>'TAAC|0338-02'!NEW_AdjONLYGroupSalary</vt:lpstr>
      <vt:lpstr>'TAAD|0001-00'!NEW_AdjONLYGroupSalary</vt:lpstr>
      <vt:lpstr>'TAAF|0276-00'!NEW_AdjONLYGroupSalary</vt:lpstr>
      <vt:lpstr>'TAAI|0276-00'!NEW_AdjONLYGroupSalary</vt:lpstr>
      <vt:lpstr>'TACA|0001-00'!NEW_AdjONLYGroupSalary</vt:lpstr>
      <vt:lpstr>'TACA|0338-02'!NEW_AdjONLYGroupSalary</vt:lpstr>
      <vt:lpstr>NEW_AdjONLYGroupSalary</vt:lpstr>
      <vt:lpstr>'TAAA|0001-00'!NEW_AdjONLYGroupVB</vt:lpstr>
      <vt:lpstr>'TAAA|0338-01'!NEW_AdjONLYGroupVB</vt:lpstr>
      <vt:lpstr>'TAAA|0338-02'!NEW_AdjONLYGroupVB</vt:lpstr>
      <vt:lpstr>'TAAB|0001-00'!NEW_AdjONLYGroupVB</vt:lpstr>
      <vt:lpstr>'TAAB|0338-01'!NEW_AdjONLYGroupVB</vt:lpstr>
      <vt:lpstr>'TAAB|0338-02'!NEW_AdjONLYGroupVB</vt:lpstr>
      <vt:lpstr>'TAAC|0001-00'!NEW_AdjONLYGroupVB</vt:lpstr>
      <vt:lpstr>'TAAC|0338-01'!NEW_AdjONLYGroupVB</vt:lpstr>
      <vt:lpstr>'TAAC|0338-02'!NEW_AdjONLYGroupVB</vt:lpstr>
      <vt:lpstr>'TAAD|0001-00'!NEW_AdjONLYGroupVB</vt:lpstr>
      <vt:lpstr>'TAAF|0276-00'!NEW_AdjONLYGroupVB</vt:lpstr>
      <vt:lpstr>'TAAI|0276-00'!NEW_AdjONLYGroupVB</vt:lpstr>
      <vt:lpstr>'TACA|0001-00'!NEW_AdjONLYGroupVB</vt:lpstr>
      <vt:lpstr>'TACA|0338-02'!NEW_AdjONLYGroupVB</vt:lpstr>
      <vt:lpstr>NEW_AdjONLYGroupVB</vt:lpstr>
      <vt:lpstr>'TAAA|0001-00'!NEW_AdjONLYPerm</vt:lpstr>
      <vt:lpstr>'TAAA|0338-01'!NEW_AdjONLYPerm</vt:lpstr>
      <vt:lpstr>'TAAA|0338-02'!NEW_AdjONLYPerm</vt:lpstr>
      <vt:lpstr>'TAAB|0001-00'!NEW_AdjONLYPerm</vt:lpstr>
      <vt:lpstr>'TAAB|0338-01'!NEW_AdjONLYPerm</vt:lpstr>
      <vt:lpstr>'TAAB|0338-02'!NEW_AdjONLYPerm</vt:lpstr>
      <vt:lpstr>'TAAC|0001-00'!NEW_AdjONLYPerm</vt:lpstr>
      <vt:lpstr>'TAAC|0338-01'!NEW_AdjONLYPerm</vt:lpstr>
      <vt:lpstr>'TAAC|0338-02'!NEW_AdjONLYPerm</vt:lpstr>
      <vt:lpstr>'TAAD|0001-00'!NEW_AdjONLYPerm</vt:lpstr>
      <vt:lpstr>'TAAF|0276-00'!NEW_AdjONLYPerm</vt:lpstr>
      <vt:lpstr>'TAAI|0276-00'!NEW_AdjONLYPerm</vt:lpstr>
      <vt:lpstr>'TACA|0001-00'!NEW_AdjONLYPerm</vt:lpstr>
      <vt:lpstr>'TACA|0338-02'!NEW_AdjONLYPerm</vt:lpstr>
      <vt:lpstr>NEW_AdjONLYPerm</vt:lpstr>
      <vt:lpstr>'TAAA|0001-00'!NEW_AdjONLYPermSalary</vt:lpstr>
      <vt:lpstr>'TAAA|0338-01'!NEW_AdjONLYPermSalary</vt:lpstr>
      <vt:lpstr>'TAAA|0338-02'!NEW_AdjONLYPermSalary</vt:lpstr>
      <vt:lpstr>'TAAB|0001-00'!NEW_AdjONLYPermSalary</vt:lpstr>
      <vt:lpstr>'TAAB|0338-01'!NEW_AdjONLYPermSalary</vt:lpstr>
      <vt:lpstr>'TAAB|0338-02'!NEW_AdjONLYPermSalary</vt:lpstr>
      <vt:lpstr>'TAAC|0001-00'!NEW_AdjONLYPermSalary</vt:lpstr>
      <vt:lpstr>'TAAC|0338-01'!NEW_AdjONLYPermSalary</vt:lpstr>
      <vt:lpstr>'TAAC|0338-02'!NEW_AdjONLYPermSalary</vt:lpstr>
      <vt:lpstr>'TAAD|0001-00'!NEW_AdjONLYPermSalary</vt:lpstr>
      <vt:lpstr>'TAAF|0276-00'!NEW_AdjONLYPermSalary</vt:lpstr>
      <vt:lpstr>'TAAI|0276-00'!NEW_AdjONLYPermSalary</vt:lpstr>
      <vt:lpstr>'TACA|0001-00'!NEW_AdjONLYPermSalary</vt:lpstr>
      <vt:lpstr>'TACA|0338-02'!NEW_AdjONLYPermSalary</vt:lpstr>
      <vt:lpstr>NEW_AdjONLYPermSalary</vt:lpstr>
      <vt:lpstr>'TAAA|0001-00'!NEW_AdjONLYPermVB</vt:lpstr>
      <vt:lpstr>'TAAA|0338-01'!NEW_AdjONLYPermVB</vt:lpstr>
      <vt:lpstr>'TAAA|0338-02'!NEW_AdjONLYPermVB</vt:lpstr>
      <vt:lpstr>'TAAB|0001-00'!NEW_AdjONLYPermVB</vt:lpstr>
      <vt:lpstr>'TAAB|0338-01'!NEW_AdjONLYPermVB</vt:lpstr>
      <vt:lpstr>'TAAB|0338-02'!NEW_AdjONLYPermVB</vt:lpstr>
      <vt:lpstr>'TAAC|0001-00'!NEW_AdjONLYPermVB</vt:lpstr>
      <vt:lpstr>'TAAC|0338-01'!NEW_AdjONLYPermVB</vt:lpstr>
      <vt:lpstr>'TAAC|0338-02'!NEW_AdjONLYPermVB</vt:lpstr>
      <vt:lpstr>'TAAD|0001-00'!NEW_AdjONLYPermVB</vt:lpstr>
      <vt:lpstr>'TAAF|0276-00'!NEW_AdjONLYPermVB</vt:lpstr>
      <vt:lpstr>'TAAI|0276-00'!NEW_AdjONLYPermVB</vt:lpstr>
      <vt:lpstr>'TACA|0001-00'!NEW_AdjONLYPermVB</vt:lpstr>
      <vt:lpstr>'TACA|0338-02'!NEW_AdjONLYPermVB</vt:lpstr>
      <vt:lpstr>NEW_AdjONLYPermVB</vt:lpstr>
      <vt:lpstr>'TAAA|0001-00'!NEW_AdjPerm</vt:lpstr>
      <vt:lpstr>'TAAA|0338-01'!NEW_AdjPerm</vt:lpstr>
      <vt:lpstr>'TAAA|0338-02'!NEW_AdjPerm</vt:lpstr>
      <vt:lpstr>'TAAB|0001-00'!NEW_AdjPerm</vt:lpstr>
      <vt:lpstr>'TAAB|0338-01'!NEW_AdjPerm</vt:lpstr>
      <vt:lpstr>'TAAB|0338-02'!NEW_AdjPerm</vt:lpstr>
      <vt:lpstr>'TAAC|0001-00'!NEW_AdjPerm</vt:lpstr>
      <vt:lpstr>'TAAC|0338-01'!NEW_AdjPerm</vt:lpstr>
      <vt:lpstr>'TAAC|0338-02'!NEW_AdjPerm</vt:lpstr>
      <vt:lpstr>'TAAD|0001-00'!NEW_AdjPerm</vt:lpstr>
      <vt:lpstr>'TAAF|0276-00'!NEW_AdjPerm</vt:lpstr>
      <vt:lpstr>'TAAI|0276-00'!NEW_AdjPerm</vt:lpstr>
      <vt:lpstr>'TACA|0001-00'!NEW_AdjPerm</vt:lpstr>
      <vt:lpstr>'TACA|0338-02'!NEW_AdjPerm</vt:lpstr>
      <vt:lpstr>NEW_AdjPerm</vt:lpstr>
      <vt:lpstr>'TAAA|0001-00'!NEW_AdjPermSalary</vt:lpstr>
      <vt:lpstr>'TAAA|0338-01'!NEW_AdjPermSalary</vt:lpstr>
      <vt:lpstr>'TAAA|0338-02'!NEW_AdjPermSalary</vt:lpstr>
      <vt:lpstr>'TAAB|0001-00'!NEW_AdjPermSalary</vt:lpstr>
      <vt:lpstr>'TAAB|0338-01'!NEW_AdjPermSalary</vt:lpstr>
      <vt:lpstr>'TAAB|0338-02'!NEW_AdjPermSalary</vt:lpstr>
      <vt:lpstr>'TAAC|0001-00'!NEW_AdjPermSalary</vt:lpstr>
      <vt:lpstr>'TAAC|0338-01'!NEW_AdjPermSalary</vt:lpstr>
      <vt:lpstr>'TAAC|0338-02'!NEW_AdjPermSalary</vt:lpstr>
      <vt:lpstr>'TAAD|0001-00'!NEW_AdjPermSalary</vt:lpstr>
      <vt:lpstr>'TAAF|0276-00'!NEW_AdjPermSalary</vt:lpstr>
      <vt:lpstr>'TAAI|0276-00'!NEW_AdjPermSalary</vt:lpstr>
      <vt:lpstr>'TACA|0001-00'!NEW_AdjPermSalary</vt:lpstr>
      <vt:lpstr>'TACA|0338-02'!NEW_AdjPermSalary</vt:lpstr>
      <vt:lpstr>NEW_AdjPermSalary</vt:lpstr>
      <vt:lpstr>'TAAA|0001-00'!NEW_AdjPermVB</vt:lpstr>
      <vt:lpstr>'TAAA|0338-01'!NEW_AdjPermVB</vt:lpstr>
      <vt:lpstr>'TAAA|0338-02'!NEW_AdjPermVB</vt:lpstr>
      <vt:lpstr>'TAAB|0001-00'!NEW_AdjPermVB</vt:lpstr>
      <vt:lpstr>'TAAB|0338-01'!NEW_AdjPermVB</vt:lpstr>
      <vt:lpstr>'TAAB|0338-02'!NEW_AdjPermVB</vt:lpstr>
      <vt:lpstr>'TAAC|0001-00'!NEW_AdjPermVB</vt:lpstr>
      <vt:lpstr>'TAAC|0338-01'!NEW_AdjPermVB</vt:lpstr>
      <vt:lpstr>'TAAC|0338-02'!NEW_AdjPermVB</vt:lpstr>
      <vt:lpstr>'TAAD|0001-00'!NEW_AdjPermVB</vt:lpstr>
      <vt:lpstr>'TAAF|0276-00'!NEW_AdjPermVB</vt:lpstr>
      <vt:lpstr>'TAAI|0276-00'!NEW_AdjPermVB</vt:lpstr>
      <vt:lpstr>'TACA|0001-00'!NEW_AdjPermVB</vt:lpstr>
      <vt:lpstr>'TACA|0338-02'!NEW_AdjPermVB</vt:lpstr>
      <vt:lpstr>NEW_AdjPermVB</vt:lpstr>
      <vt:lpstr>'TAAA|0001-00'!NEW_GroupFilled</vt:lpstr>
      <vt:lpstr>'TAAA|0338-01'!NEW_GroupFilled</vt:lpstr>
      <vt:lpstr>'TAAA|0338-02'!NEW_GroupFilled</vt:lpstr>
      <vt:lpstr>'TAAB|0001-00'!NEW_GroupFilled</vt:lpstr>
      <vt:lpstr>'TAAB|0338-01'!NEW_GroupFilled</vt:lpstr>
      <vt:lpstr>'TAAB|0338-02'!NEW_GroupFilled</vt:lpstr>
      <vt:lpstr>'TAAC|0001-00'!NEW_GroupFilled</vt:lpstr>
      <vt:lpstr>'TAAC|0338-01'!NEW_GroupFilled</vt:lpstr>
      <vt:lpstr>'TAAC|0338-02'!NEW_GroupFilled</vt:lpstr>
      <vt:lpstr>'TAAD|0001-00'!NEW_GroupFilled</vt:lpstr>
      <vt:lpstr>'TAAF|0276-00'!NEW_GroupFilled</vt:lpstr>
      <vt:lpstr>'TAAI|0276-00'!NEW_GroupFilled</vt:lpstr>
      <vt:lpstr>'TACA|0001-00'!NEW_GroupFilled</vt:lpstr>
      <vt:lpstr>'TACA|0338-02'!NEW_GroupFilled</vt:lpstr>
      <vt:lpstr>NEW_GroupFilled</vt:lpstr>
      <vt:lpstr>'TAAA|0001-00'!NEW_GroupSalaryFilled</vt:lpstr>
      <vt:lpstr>'TAAA|0338-01'!NEW_GroupSalaryFilled</vt:lpstr>
      <vt:lpstr>'TAAA|0338-02'!NEW_GroupSalaryFilled</vt:lpstr>
      <vt:lpstr>'TAAB|0001-00'!NEW_GroupSalaryFilled</vt:lpstr>
      <vt:lpstr>'TAAB|0338-01'!NEW_GroupSalaryFilled</vt:lpstr>
      <vt:lpstr>'TAAB|0338-02'!NEW_GroupSalaryFilled</vt:lpstr>
      <vt:lpstr>'TAAC|0001-00'!NEW_GroupSalaryFilled</vt:lpstr>
      <vt:lpstr>'TAAC|0338-01'!NEW_GroupSalaryFilled</vt:lpstr>
      <vt:lpstr>'TAAC|0338-02'!NEW_GroupSalaryFilled</vt:lpstr>
      <vt:lpstr>'TAAD|0001-00'!NEW_GroupSalaryFilled</vt:lpstr>
      <vt:lpstr>'TAAF|0276-00'!NEW_GroupSalaryFilled</vt:lpstr>
      <vt:lpstr>'TAAI|0276-00'!NEW_GroupSalaryFilled</vt:lpstr>
      <vt:lpstr>'TACA|0001-00'!NEW_GroupSalaryFilled</vt:lpstr>
      <vt:lpstr>'TACA|0338-02'!NEW_GroupSalaryFilled</vt:lpstr>
      <vt:lpstr>NEW_GroupSalaryFilled</vt:lpstr>
      <vt:lpstr>'TAAA|0001-00'!NEW_GroupVBFilled</vt:lpstr>
      <vt:lpstr>'TAAA|0338-01'!NEW_GroupVBFilled</vt:lpstr>
      <vt:lpstr>'TAAA|0338-02'!NEW_GroupVBFilled</vt:lpstr>
      <vt:lpstr>'TAAB|0001-00'!NEW_GroupVBFilled</vt:lpstr>
      <vt:lpstr>'TAAB|0338-01'!NEW_GroupVBFilled</vt:lpstr>
      <vt:lpstr>'TAAB|0338-02'!NEW_GroupVBFilled</vt:lpstr>
      <vt:lpstr>'TAAC|0001-00'!NEW_GroupVBFilled</vt:lpstr>
      <vt:lpstr>'TAAC|0338-01'!NEW_GroupVBFilled</vt:lpstr>
      <vt:lpstr>'TAAC|0338-02'!NEW_GroupVBFilled</vt:lpstr>
      <vt:lpstr>'TAAD|0001-00'!NEW_GroupVBFilled</vt:lpstr>
      <vt:lpstr>'TAAF|0276-00'!NEW_GroupVBFilled</vt:lpstr>
      <vt:lpstr>'TAAI|0276-00'!NEW_GroupVBFilled</vt:lpstr>
      <vt:lpstr>'TACA|0001-00'!NEW_GroupVBFilled</vt:lpstr>
      <vt:lpstr>'TACA|0338-02'!NEW_GroupVBFilled</vt:lpstr>
      <vt:lpstr>NEW_GroupVBFilled</vt:lpstr>
      <vt:lpstr>'TAAA|0001-00'!NEW_PermFilled</vt:lpstr>
      <vt:lpstr>'TAAA|0338-01'!NEW_PermFilled</vt:lpstr>
      <vt:lpstr>'TAAA|0338-02'!NEW_PermFilled</vt:lpstr>
      <vt:lpstr>'TAAB|0001-00'!NEW_PermFilled</vt:lpstr>
      <vt:lpstr>'TAAB|0338-01'!NEW_PermFilled</vt:lpstr>
      <vt:lpstr>'TAAB|0338-02'!NEW_PermFilled</vt:lpstr>
      <vt:lpstr>'TAAC|0001-00'!NEW_PermFilled</vt:lpstr>
      <vt:lpstr>'TAAC|0338-01'!NEW_PermFilled</vt:lpstr>
      <vt:lpstr>'TAAC|0338-02'!NEW_PermFilled</vt:lpstr>
      <vt:lpstr>'TAAD|0001-00'!NEW_PermFilled</vt:lpstr>
      <vt:lpstr>'TAAF|0276-00'!NEW_PermFilled</vt:lpstr>
      <vt:lpstr>'TAAI|0276-00'!NEW_PermFilled</vt:lpstr>
      <vt:lpstr>'TACA|0001-00'!NEW_PermFilled</vt:lpstr>
      <vt:lpstr>'TACA|0338-02'!NEW_PermFilled</vt:lpstr>
      <vt:lpstr>NEW_PermFilled</vt:lpstr>
      <vt:lpstr>'TAAA|0001-00'!NEW_PermSalaryFilled</vt:lpstr>
      <vt:lpstr>'TAAA|0338-01'!NEW_PermSalaryFilled</vt:lpstr>
      <vt:lpstr>'TAAA|0338-02'!NEW_PermSalaryFilled</vt:lpstr>
      <vt:lpstr>'TAAB|0001-00'!NEW_PermSalaryFilled</vt:lpstr>
      <vt:lpstr>'TAAB|0338-01'!NEW_PermSalaryFilled</vt:lpstr>
      <vt:lpstr>'TAAB|0338-02'!NEW_PermSalaryFilled</vt:lpstr>
      <vt:lpstr>'TAAC|0001-00'!NEW_PermSalaryFilled</vt:lpstr>
      <vt:lpstr>'TAAC|0338-01'!NEW_PermSalaryFilled</vt:lpstr>
      <vt:lpstr>'TAAC|0338-02'!NEW_PermSalaryFilled</vt:lpstr>
      <vt:lpstr>'TAAD|0001-00'!NEW_PermSalaryFilled</vt:lpstr>
      <vt:lpstr>'TAAF|0276-00'!NEW_PermSalaryFilled</vt:lpstr>
      <vt:lpstr>'TAAI|0276-00'!NEW_PermSalaryFilled</vt:lpstr>
      <vt:lpstr>'TACA|0001-00'!NEW_PermSalaryFilled</vt:lpstr>
      <vt:lpstr>'TACA|0338-02'!NEW_PermSalaryFilled</vt:lpstr>
      <vt:lpstr>NEW_PermSalaryFilled</vt:lpstr>
      <vt:lpstr>'TAAA|0001-00'!NEW_PermVBFilled</vt:lpstr>
      <vt:lpstr>'TAAA|0338-01'!NEW_PermVBFilled</vt:lpstr>
      <vt:lpstr>'TAAA|0338-02'!NEW_PermVBFilled</vt:lpstr>
      <vt:lpstr>'TAAB|0001-00'!NEW_PermVBFilled</vt:lpstr>
      <vt:lpstr>'TAAB|0338-01'!NEW_PermVBFilled</vt:lpstr>
      <vt:lpstr>'TAAB|0338-02'!NEW_PermVBFilled</vt:lpstr>
      <vt:lpstr>'TAAC|0001-00'!NEW_PermVBFilled</vt:lpstr>
      <vt:lpstr>'TAAC|0338-01'!NEW_PermVBFilled</vt:lpstr>
      <vt:lpstr>'TAAC|0338-02'!NEW_PermVBFilled</vt:lpstr>
      <vt:lpstr>'TAAD|0001-00'!NEW_PermVBFilled</vt:lpstr>
      <vt:lpstr>'TAAF|0276-00'!NEW_PermVBFilled</vt:lpstr>
      <vt:lpstr>'TAAI|0276-00'!NEW_PermVBFilled</vt:lpstr>
      <vt:lpstr>'TACA|0001-00'!NEW_PermVBFilled</vt:lpstr>
      <vt:lpstr>'TACA|0338-02'!NEW_PermVBFilled</vt:lpstr>
      <vt:lpstr>NEW_PermVBFilled</vt:lpstr>
      <vt:lpstr>'TAAA|0001-00'!OneTimePC_Total</vt:lpstr>
      <vt:lpstr>'TAAA|0338-01'!OneTimePC_Total</vt:lpstr>
      <vt:lpstr>'TAAA|0338-02'!OneTimePC_Total</vt:lpstr>
      <vt:lpstr>'TAAB|0001-00'!OneTimePC_Total</vt:lpstr>
      <vt:lpstr>'TAAB|0338-01'!OneTimePC_Total</vt:lpstr>
      <vt:lpstr>'TAAB|0338-02'!OneTimePC_Total</vt:lpstr>
      <vt:lpstr>'TAAC|0001-00'!OneTimePC_Total</vt:lpstr>
      <vt:lpstr>'TAAC|0338-01'!OneTimePC_Total</vt:lpstr>
      <vt:lpstr>'TAAC|0338-02'!OneTimePC_Total</vt:lpstr>
      <vt:lpstr>'TAAD|0001-00'!OneTimePC_Total</vt:lpstr>
      <vt:lpstr>'TAAF|0276-00'!OneTimePC_Total</vt:lpstr>
      <vt:lpstr>'TAAI|0276-00'!OneTimePC_Total</vt:lpstr>
      <vt:lpstr>'TACA|0001-00'!OneTimePC_Total</vt:lpstr>
      <vt:lpstr>'TACA|0338-02'!OneTimePC_Total</vt:lpstr>
      <vt:lpstr>OneTimePC_Total</vt:lpstr>
      <vt:lpstr>'TAAA|0001-00'!OrigApprop</vt:lpstr>
      <vt:lpstr>'TAAA|0338-01'!OrigApprop</vt:lpstr>
      <vt:lpstr>'TAAA|0338-02'!OrigApprop</vt:lpstr>
      <vt:lpstr>'TAAB|0001-00'!OrigApprop</vt:lpstr>
      <vt:lpstr>'TAAB|0338-01'!OrigApprop</vt:lpstr>
      <vt:lpstr>'TAAB|0338-02'!OrigApprop</vt:lpstr>
      <vt:lpstr>'TAAC|0001-00'!OrigApprop</vt:lpstr>
      <vt:lpstr>'TAAC|0338-01'!OrigApprop</vt:lpstr>
      <vt:lpstr>'TAAC|0338-02'!OrigApprop</vt:lpstr>
      <vt:lpstr>'TAAD|0001-00'!OrigApprop</vt:lpstr>
      <vt:lpstr>'TAAF|0276-00'!OrigApprop</vt:lpstr>
      <vt:lpstr>'TAAI|0276-00'!OrigApprop</vt:lpstr>
      <vt:lpstr>'TACA|0001-00'!OrigApprop</vt:lpstr>
      <vt:lpstr>'TACA|0338-02'!OrigApprop</vt:lpstr>
      <vt:lpstr>OrigApprop</vt:lpstr>
      <vt:lpstr>'TAAA|0001-00'!perm_name</vt:lpstr>
      <vt:lpstr>'TAAA|0338-01'!perm_name</vt:lpstr>
      <vt:lpstr>'TAAA|0338-02'!perm_name</vt:lpstr>
      <vt:lpstr>'TAAB|0001-00'!perm_name</vt:lpstr>
      <vt:lpstr>'TAAB|0338-01'!perm_name</vt:lpstr>
      <vt:lpstr>'TAAB|0338-02'!perm_name</vt:lpstr>
      <vt:lpstr>'TAAC|0001-00'!perm_name</vt:lpstr>
      <vt:lpstr>'TAAC|0338-01'!perm_name</vt:lpstr>
      <vt:lpstr>'TAAC|0338-02'!perm_name</vt:lpstr>
      <vt:lpstr>'TAAD|0001-00'!perm_name</vt:lpstr>
      <vt:lpstr>'TAAF|0276-00'!perm_name</vt:lpstr>
      <vt:lpstr>'TAAI|0276-00'!perm_name</vt:lpstr>
      <vt:lpstr>'TACA|0001-00'!perm_name</vt:lpstr>
      <vt:lpstr>'TACA|0338-02'!perm_name</vt:lpstr>
      <vt:lpstr>perm_name</vt:lpstr>
      <vt:lpstr>'TAAA|0001-00'!PermFTP</vt:lpstr>
      <vt:lpstr>'TAAA|0338-01'!PermFTP</vt:lpstr>
      <vt:lpstr>'TAAA|0338-02'!PermFTP</vt:lpstr>
      <vt:lpstr>'TAAB|0001-00'!PermFTP</vt:lpstr>
      <vt:lpstr>'TAAB|0338-01'!PermFTP</vt:lpstr>
      <vt:lpstr>'TAAB|0338-02'!PermFTP</vt:lpstr>
      <vt:lpstr>'TAAC|0001-00'!PermFTP</vt:lpstr>
      <vt:lpstr>'TAAC|0338-01'!PermFTP</vt:lpstr>
      <vt:lpstr>'TAAC|0338-02'!PermFTP</vt:lpstr>
      <vt:lpstr>'TAAD|0001-00'!PermFTP</vt:lpstr>
      <vt:lpstr>'TAAF|0276-00'!PermFTP</vt:lpstr>
      <vt:lpstr>'TAAI|0276-00'!PermFTP</vt:lpstr>
      <vt:lpstr>'TACA|0001-00'!PermFTP</vt:lpstr>
      <vt:lpstr>'TACA|0338-02'!PermFTP</vt:lpstr>
      <vt:lpstr>PermFTP</vt:lpstr>
      <vt:lpstr>'TAAA|0001-00'!PermFxdBen</vt:lpstr>
      <vt:lpstr>'TAAA|0338-01'!PermFxdBen</vt:lpstr>
      <vt:lpstr>'TAAA|0338-02'!PermFxdBen</vt:lpstr>
      <vt:lpstr>'TAAB|0001-00'!PermFxdBen</vt:lpstr>
      <vt:lpstr>'TAAB|0338-01'!PermFxdBen</vt:lpstr>
      <vt:lpstr>'TAAB|0338-02'!PermFxdBen</vt:lpstr>
      <vt:lpstr>'TAAC|0001-00'!PermFxdBen</vt:lpstr>
      <vt:lpstr>'TAAC|0338-01'!PermFxdBen</vt:lpstr>
      <vt:lpstr>'TAAC|0338-02'!PermFxdBen</vt:lpstr>
      <vt:lpstr>'TAAD|0001-00'!PermFxdBen</vt:lpstr>
      <vt:lpstr>'TAAF|0276-00'!PermFxdBen</vt:lpstr>
      <vt:lpstr>'TAAI|0276-00'!PermFxdBen</vt:lpstr>
      <vt:lpstr>'TACA|0001-00'!PermFxdBen</vt:lpstr>
      <vt:lpstr>'TACA|0338-02'!PermFxdBen</vt:lpstr>
      <vt:lpstr>PermFxdBen</vt:lpstr>
      <vt:lpstr>'TAAA|0001-00'!PermFxdBenChg</vt:lpstr>
      <vt:lpstr>'TAAA|0338-01'!PermFxdBenChg</vt:lpstr>
      <vt:lpstr>'TAAA|0338-02'!PermFxdBenChg</vt:lpstr>
      <vt:lpstr>'TAAB|0001-00'!PermFxdBenChg</vt:lpstr>
      <vt:lpstr>'TAAB|0338-01'!PermFxdBenChg</vt:lpstr>
      <vt:lpstr>'TAAB|0338-02'!PermFxdBenChg</vt:lpstr>
      <vt:lpstr>'TAAC|0001-00'!PermFxdBenChg</vt:lpstr>
      <vt:lpstr>'TAAC|0338-01'!PermFxdBenChg</vt:lpstr>
      <vt:lpstr>'TAAC|0338-02'!PermFxdBenChg</vt:lpstr>
      <vt:lpstr>'TAAD|0001-00'!PermFxdBenChg</vt:lpstr>
      <vt:lpstr>'TAAF|0276-00'!PermFxdBenChg</vt:lpstr>
      <vt:lpstr>'TAAI|0276-00'!PermFxdBenChg</vt:lpstr>
      <vt:lpstr>'TACA|0001-00'!PermFxdBenChg</vt:lpstr>
      <vt:lpstr>'TACA|0338-02'!PermFxdBenChg</vt:lpstr>
      <vt:lpstr>PermFxdBenChg</vt:lpstr>
      <vt:lpstr>'TAAA|0001-00'!PermFxdChg</vt:lpstr>
      <vt:lpstr>'TAAA|0338-01'!PermFxdChg</vt:lpstr>
      <vt:lpstr>'TAAA|0338-02'!PermFxdChg</vt:lpstr>
      <vt:lpstr>'TAAB|0001-00'!PermFxdChg</vt:lpstr>
      <vt:lpstr>'TAAB|0338-01'!PermFxdChg</vt:lpstr>
      <vt:lpstr>'TAAB|0338-02'!PermFxdChg</vt:lpstr>
      <vt:lpstr>'TAAC|0001-00'!PermFxdChg</vt:lpstr>
      <vt:lpstr>'TAAC|0338-01'!PermFxdChg</vt:lpstr>
      <vt:lpstr>'TAAC|0338-02'!PermFxdChg</vt:lpstr>
      <vt:lpstr>'TAAD|0001-00'!PermFxdChg</vt:lpstr>
      <vt:lpstr>'TAAF|0276-00'!PermFxdChg</vt:lpstr>
      <vt:lpstr>'TAAI|0276-00'!PermFxdChg</vt:lpstr>
      <vt:lpstr>'TACA|0001-00'!PermFxdChg</vt:lpstr>
      <vt:lpstr>'TACA|0338-02'!PermFxdChg</vt:lpstr>
      <vt:lpstr>PermFxdChg</vt:lpstr>
      <vt:lpstr>'TAAA|0001-00'!PermSalary</vt:lpstr>
      <vt:lpstr>'TAAA|0338-01'!PermSalary</vt:lpstr>
      <vt:lpstr>'TAAA|0338-02'!PermSalary</vt:lpstr>
      <vt:lpstr>'TAAB|0001-00'!PermSalary</vt:lpstr>
      <vt:lpstr>'TAAB|0338-01'!PermSalary</vt:lpstr>
      <vt:lpstr>'TAAB|0338-02'!PermSalary</vt:lpstr>
      <vt:lpstr>'TAAC|0001-00'!PermSalary</vt:lpstr>
      <vt:lpstr>'TAAC|0338-01'!PermSalary</vt:lpstr>
      <vt:lpstr>'TAAC|0338-02'!PermSalary</vt:lpstr>
      <vt:lpstr>'TAAD|0001-00'!PermSalary</vt:lpstr>
      <vt:lpstr>'TAAF|0276-00'!PermSalary</vt:lpstr>
      <vt:lpstr>'TAAI|0276-00'!PermSalary</vt:lpstr>
      <vt:lpstr>'TACA|0001-00'!PermSalary</vt:lpstr>
      <vt:lpstr>'TACA|0338-02'!PermSalary</vt:lpstr>
      <vt:lpstr>PermSalary</vt:lpstr>
      <vt:lpstr>'TAAA|0001-00'!PermVarBen</vt:lpstr>
      <vt:lpstr>'TAAA|0338-01'!PermVarBen</vt:lpstr>
      <vt:lpstr>'TAAA|0338-02'!PermVarBen</vt:lpstr>
      <vt:lpstr>'TAAB|0001-00'!PermVarBen</vt:lpstr>
      <vt:lpstr>'TAAB|0338-01'!PermVarBen</vt:lpstr>
      <vt:lpstr>'TAAB|0338-02'!PermVarBen</vt:lpstr>
      <vt:lpstr>'TAAC|0001-00'!PermVarBen</vt:lpstr>
      <vt:lpstr>'TAAC|0338-01'!PermVarBen</vt:lpstr>
      <vt:lpstr>'TAAC|0338-02'!PermVarBen</vt:lpstr>
      <vt:lpstr>'TAAD|0001-00'!PermVarBen</vt:lpstr>
      <vt:lpstr>'TAAF|0276-00'!PermVarBen</vt:lpstr>
      <vt:lpstr>'TAAI|0276-00'!PermVarBen</vt:lpstr>
      <vt:lpstr>'TACA|0001-00'!PermVarBen</vt:lpstr>
      <vt:lpstr>'TACA|0338-02'!PermVarBen</vt:lpstr>
      <vt:lpstr>PermVarBen</vt:lpstr>
      <vt:lpstr>'TAAA|0001-00'!PermVarBenChg</vt:lpstr>
      <vt:lpstr>'TAAA|0338-01'!PermVarBenChg</vt:lpstr>
      <vt:lpstr>'TAAA|0338-02'!PermVarBenChg</vt:lpstr>
      <vt:lpstr>'TAAB|0001-00'!PermVarBenChg</vt:lpstr>
      <vt:lpstr>'TAAB|0338-01'!PermVarBenChg</vt:lpstr>
      <vt:lpstr>'TAAB|0338-02'!PermVarBenChg</vt:lpstr>
      <vt:lpstr>'TAAC|0001-00'!PermVarBenChg</vt:lpstr>
      <vt:lpstr>'TAAC|0338-01'!PermVarBenChg</vt:lpstr>
      <vt:lpstr>'TAAC|0338-02'!PermVarBenChg</vt:lpstr>
      <vt:lpstr>'TAAD|0001-00'!PermVarBenChg</vt:lpstr>
      <vt:lpstr>'TAAF|0276-00'!PermVarBenChg</vt:lpstr>
      <vt:lpstr>'TAAI|0276-00'!PermVarBenChg</vt:lpstr>
      <vt:lpstr>'TACA|0001-00'!PermVarBenChg</vt:lpstr>
      <vt:lpstr>'TACA|0338-02'!PermVarBenChg</vt:lpstr>
      <vt:lpstr>PermVarBenChg</vt:lpstr>
      <vt:lpstr>PermVB</vt:lpstr>
      <vt:lpstr>PermVBBY</vt:lpstr>
      <vt:lpstr>PermVBCHG</vt:lpstr>
      <vt:lpstr>'B6'!Print_Area</vt:lpstr>
      <vt:lpstr>Benefits!Print_Area</vt:lpstr>
      <vt:lpstr>'TAAA|0001-00'!Print_Area</vt:lpstr>
      <vt:lpstr>'TAAA|0338-01'!Print_Area</vt:lpstr>
      <vt:lpstr>'TAAA|0338-02'!Print_Area</vt:lpstr>
      <vt:lpstr>'TAAB|0001-00'!Print_Area</vt:lpstr>
      <vt:lpstr>'TAAB|0338-01'!Print_Area</vt:lpstr>
      <vt:lpstr>'TAAB|0338-02'!Print_Area</vt:lpstr>
      <vt:lpstr>'TAAC|0001-00'!Print_Area</vt:lpstr>
      <vt:lpstr>'TAAC|0338-01'!Print_Area</vt:lpstr>
      <vt:lpstr>'TAAC|0338-02'!Print_Area</vt:lpstr>
      <vt:lpstr>'TAAD|0001-00'!Print_Area</vt:lpstr>
      <vt:lpstr>'TAAF|0276-00'!Print_Area</vt:lpstr>
      <vt:lpstr>'TAAI|0276-00'!Print_Area</vt:lpstr>
      <vt:lpstr>'TACA|0001-00'!Print_Area</vt:lpstr>
      <vt:lpstr>'TACA|0338-02'!Print_Area</vt:lpstr>
      <vt:lpstr>'TAAA|0001-00'!Prog_Unadjusted_Total</vt:lpstr>
      <vt:lpstr>'TAAA|0338-01'!Prog_Unadjusted_Total</vt:lpstr>
      <vt:lpstr>'TAAA|0338-02'!Prog_Unadjusted_Total</vt:lpstr>
      <vt:lpstr>'TAAB|0001-00'!Prog_Unadjusted_Total</vt:lpstr>
      <vt:lpstr>'TAAB|0338-01'!Prog_Unadjusted_Total</vt:lpstr>
      <vt:lpstr>'TAAB|0338-02'!Prog_Unadjusted_Total</vt:lpstr>
      <vt:lpstr>'TAAC|0001-00'!Prog_Unadjusted_Total</vt:lpstr>
      <vt:lpstr>'TAAC|0338-01'!Prog_Unadjusted_Total</vt:lpstr>
      <vt:lpstr>'TAAC|0338-02'!Prog_Unadjusted_Total</vt:lpstr>
      <vt:lpstr>'TAAD|0001-00'!Prog_Unadjusted_Total</vt:lpstr>
      <vt:lpstr>'TAAF|0276-00'!Prog_Unadjusted_Total</vt:lpstr>
      <vt:lpstr>'TAAI|0276-00'!Prog_Unadjusted_Total</vt:lpstr>
      <vt:lpstr>'TACA|0001-00'!Prog_Unadjusted_Total</vt:lpstr>
      <vt:lpstr>'TACA|0338-02'!Prog_Unadjusted_Total</vt:lpstr>
      <vt:lpstr>Prog_Unadjusted_Total</vt:lpstr>
      <vt:lpstr>'TAAA|0001-00'!Program</vt:lpstr>
      <vt:lpstr>'TAAA|0338-01'!Program</vt:lpstr>
      <vt:lpstr>'TAAA|0338-02'!Program</vt:lpstr>
      <vt:lpstr>'TAAB|0001-00'!Program</vt:lpstr>
      <vt:lpstr>'TAAB|0338-01'!Program</vt:lpstr>
      <vt:lpstr>'TAAB|0338-02'!Program</vt:lpstr>
      <vt:lpstr>'TAAC|0001-00'!Program</vt:lpstr>
      <vt:lpstr>'TAAC|0338-01'!Program</vt:lpstr>
      <vt:lpstr>'TAAC|0338-02'!Program</vt:lpstr>
      <vt:lpstr>'TAAD|0001-00'!Program</vt:lpstr>
      <vt:lpstr>'TAAF|0276-00'!Program</vt:lpstr>
      <vt:lpstr>'TAAI|0276-00'!Program</vt:lpstr>
      <vt:lpstr>'TACA|0001-00'!Program</vt:lpstr>
      <vt:lpstr>'TACA|0338-02'!Program</vt:lpstr>
      <vt:lpstr>Program</vt:lpstr>
      <vt:lpstr>PTHealth</vt:lpstr>
      <vt:lpstr>PTHealthBY</vt:lpstr>
      <vt:lpstr>PTHealthChg</vt:lpstr>
      <vt:lpstr>Retire1</vt:lpstr>
      <vt:lpstr>Retire1BY</vt:lpstr>
      <vt:lpstr>Retire1CHG</vt:lpstr>
      <vt:lpstr>Retire2</vt:lpstr>
      <vt:lpstr>Retire2BY</vt:lpstr>
      <vt:lpstr>Retire2CHG</vt:lpstr>
      <vt:lpstr>Retire4</vt:lpstr>
      <vt:lpstr>Retire4BY</vt:lpstr>
      <vt:lpstr>Retire4CHG</vt:lpstr>
      <vt:lpstr>Retire5</vt:lpstr>
      <vt:lpstr>Retire5BY</vt:lpstr>
      <vt:lpstr>Retire5CHG</vt:lpstr>
      <vt:lpstr>Retire6</vt:lpstr>
      <vt:lpstr>Retire6BY</vt:lpstr>
      <vt:lpstr>Retire6CHG</vt:lpstr>
      <vt:lpstr>Retire7</vt:lpstr>
      <vt:lpstr>Retire7BY</vt:lpstr>
      <vt:lpstr>Retire7CHG</vt:lpstr>
      <vt:lpstr>Retire8</vt:lpstr>
      <vt:lpstr>Retire8BY</vt:lpstr>
      <vt:lpstr>Retire8CHG</vt:lpstr>
      <vt:lpstr>Retirement_Rates</vt:lpstr>
      <vt:lpstr>'TAAA|0001-00'!RoundedAppropSalary</vt:lpstr>
      <vt:lpstr>'TAAA|0338-01'!RoundedAppropSalary</vt:lpstr>
      <vt:lpstr>'TAAA|0338-02'!RoundedAppropSalary</vt:lpstr>
      <vt:lpstr>'TAAB|0001-00'!RoundedAppropSalary</vt:lpstr>
      <vt:lpstr>'TAAB|0338-01'!RoundedAppropSalary</vt:lpstr>
      <vt:lpstr>'TAAB|0338-02'!RoundedAppropSalary</vt:lpstr>
      <vt:lpstr>'TAAC|0001-00'!RoundedAppropSalary</vt:lpstr>
      <vt:lpstr>'TAAC|0338-01'!RoundedAppropSalary</vt:lpstr>
      <vt:lpstr>'TAAC|0338-02'!RoundedAppropSalary</vt:lpstr>
      <vt:lpstr>'TAAD|0001-00'!RoundedAppropSalary</vt:lpstr>
      <vt:lpstr>'TAAF|0276-00'!RoundedAppropSalary</vt:lpstr>
      <vt:lpstr>'TAAI|0276-00'!RoundedAppropSalary</vt:lpstr>
      <vt:lpstr>'TACA|0001-00'!RoundedAppropSalary</vt:lpstr>
      <vt:lpstr>'TACA|0338-02'!RoundedAppropSalary</vt:lpstr>
      <vt:lpstr>RoundedAppropSalary</vt:lpstr>
      <vt:lpstr>'TAAA|0001-00'!SalaryChg</vt:lpstr>
      <vt:lpstr>'TAAA|0338-01'!SalaryChg</vt:lpstr>
      <vt:lpstr>'TAAA|0338-02'!SalaryChg</vt:lpstr>
      <vt:lpstr>'TAAB|0001-00'!SalaryChg</vt:lpstr>
      <vt:lpstr>'TAAB|0338-01'!SalaryChg</vt:lpstr>
      <vt:lpstr>'TAAB|0338-02'!SalaryChg</vt:lpstr>
      <vt:lpstr>'TAAC|0001-00'!SalaryChg</vt:lpstr>
      <vt:lpstr>'TAAC|0338-01'!SalaryChg</vt:lpstr>
      <vt:lpstr>'TAAC|0338-02'!SalaryChg</vt:lpstr>
      <vt:lpstr>'TAAD|0001-00'!SalaryChg</vt:lpstr>
      <vt:lpstr>'TAAF|0276-00'!SalaryChg</vt:lpstr>
      <vt:lpstr>'TAAI|0276-00'!SalaryChg</vt:lpstr>
      <vt:lpstr>'TACA|0001-00'!SalaryChg</vt:lpstr>
      <vt:lpstr>'TACA|0338-02'!SalaryChg</vt:lpstr>
      <vt:lpstr>SalaryChg</vt:lpstr>
      <vt:lpstr>Sick</vt:lpstr>
      <vt:lpstr>SickBY</vt:lpstr>
      <vt:lpstr>SickCHG</vt:lpstr>
      <vt:lpstr>SSDI</vt:lpstr>
      <vt:lpstr>SSDIBY</vt:lpstr>
      <vt:lpstr>SSDICHG</vt:lpstr>
      <vt:lpstr>SSHI</vt:lpstr>
      <vt:lpstr>SSHIBY</vt:lpstr>
      <vt:lpstr>SSHICHG</vt:lpstr>
      <vt:lpstr>TAAA000100col_1_27TH_PP</vt:lpstr>
      <vt:lpstr>TAAA000100col_DHR</vt:lpstr>
      <vt:lpstr>TAAA000100col_DHR_BY</vt:lpstr>
      <vt:lpstr>TAAA000100col_DHR_CHG</vt:lpstr>
      <vt:lpstr>TAAA000100col_FTI_SALARY_ELECT</vt:lpstr>
      <vt:lpstr>TAAA000100col_FTI_SALARY_PERM</vt:lpstr>
      <vt:lpstr>TAAA000100col_FTI_SALARY_SSDI</vt:lpstr>
      <vt:lpstr>TAAA000100col_Group_Ben</vt:lpstr>
      <vt:lpstr>TAAA000100col_Group_Salary</vt:lpstr>
      <vt:lpstr>TAAA000100col_HEALTH_ELECT</vt:lpstr>
      <vt:lpstr>TAAA000100col_HEALTH_ELECT_BY</vt:lpstr>
      <vt:lpstr>TAAA000100col_HEALTH_ELECT_CHG</vt:lpstr>
      <vt:lpstr>TAAA000100col_HEALTH_PERM</vt:lpstr>
      <vt:lpstr>TAAA000100col_HEALTH_PERM_BY</vt:lpstr>
      <vt:lpstr>TAAA000100col_HEALTH_PERM_CHG</vt:lpstr>
      <vt:lpstr>TAAA000100col_INC_FTI</vt:lpstr>
      <vt:lpstr>TAAA000100col_LIFE_INS</vt:lpstr>
      <vt:lpstr>TAAA000100col_LIFE_INS_BY</vt:lpstr>
      <vt:lpstr>TAAA000100col_LIFE_INS_CHG</vt:lpstr>
      <vt:lpstr>TAAA000100col_RETIREMENT</vt:lpstr>
      <vt:lpstr>TAAA000100col_RETIREMENT_BY</vt:lpstr>
      <vt:lpstr>TAAA000100col_RETIREMENT_CHG</vt:lpstr>
      <vt:lpstr>TAAA000100col_ROWS_PER_PCN</vt:lpstr>
      <vt:lpstr>TAAA000100col_SICK</vt:lpstr>
      <vt:lpstr>TAAA000100col_SICK_BY</vt:lpstr>
      <vt:lpstr>TAAA000100col_SICK_CHG</vt:lpstr>
      <vt:lpstr>TAAA000100col_SSDI</vt:lpstr>
      <vt:lpstr>TAAA000100col_SSDI_BY</vt:lpstr>
      <vt:lpstr>TAAA000100col_SSDI_CHG</vt:lpstr>
      <vt:lpstr>TAAA000100col_SSHI</vt:lpstr>
      <vt:lpstr>TAAA000100col_SSHI_BY</vt:lpstr>
      <vt:lpstr>TAAA000100col_SSHI_CHGv</vt:lpstr>
      <vt:lpstr>TAAA000100col_TOT_VB_ELECT</vt:lpstr>
      <vt:lpstr>TAAA000100col_TOT_VB_ELECT_BY</vt:lpstr>
      <vt:lpstr>TAAA000100col_TOT_VB_ELECT_CHG</vt:lpstr>
      <vt:lpstr>TAAA000100col_TOT_VB_PERM</vt:lpstr>
      <vt:lpstr>TAAA000100col_TOT_VB_PERM_BY</vt:lpstr>
      <vt:lpstr>TAAA000100col_TOT_VB_PERM_CHG</vt:lpstr>
      <vt:lpstr>TAAA000100col_TOTAL_ELECT_PCN_FTI</vt:lpstr>
      <vt:lpstr>TAAA000100col_TOTAL_ELECT_PCN_FTI_ALT</vt:lpstr>
      <vt:lpstr>TAAA000100col_TOTAL_PERM_PCN_FTI</vt:lpstr>
      <vt:lpstr>TAAA000100col_UNEMP_INS</vt:lpstr>
      <vt:lpstr>TAAA000100col_UNEMP_INS_BY</vt:lpstr>
      <vt:lpstr>TAAA000100col_UNEMP_INS_CHG</vt:lpstr>
      <vt:lpstr>TAAA000100col_WORKERS_COMP</vt:lpstr>
      <vt:lpstr>TAAA000100col_WORKERS_COMP_BY</vt:lpstr>
      <vt:lpstr>TAAA000100col_WORKERS_COMP_CHG</vt:lpstr>
      <vt:lpstr>TAAA033801col_1_27TH_PP</vt:lpstr>
      <vt:lpstr>TAAA033801col_DHR</vt:lpstr>
      <vt:lpstr>TAAA033801col_DHR_BY</vt:lpstr>
      <vt:lpstr>TAAA033801col_DHR_CHG</vt:lpstr>
      <vt:lpstr>TAAA033801col_FTI_SALARY_ELECT</vt:lpstr>
      <vt:lpstr>TAAA033801col_FTI_SALARY_PERM</vt:lpstr>
      <vt:lpstr>TAAA033801col_FTI_SALARY_SSDI</vt:lpstr>
      <vt:lpstr>TAAA033801col_Group_Ben</vt:lpstr>
      <vt:lpstr>TAAA033801col_Group_Salary</vt:lpstr>
      <vt:lpstr>TAAA033801col_HEALTH_ELECT</vt:lpstr>
      <vt:lpstr>TAAA033801col_HEALTH_ELECT_BY</vt:lpstr>
      <vt:lpstr>TAAA033801col_HEALTH_ELECT_CHG</vt:lpstr>
      <vt:lpstr>TAAA033801col_HEALTH_PERM</vt:lpstr>
      <vt:lpstr>TAAA033801col_HEALTH_PERM_BY</vt:lpstr>
      <vt:lpstr>TAAA033801col_HEALTH_PERM_CHG</vt:lpstr>
      <vt:lpstr>TAAA033801col_INC_FTI</vt:lpstr>
      <vt:lpstr>TAAA033801col_LIFE_INS</vt:lpstr>
      <vt:lpstr>TAAA033801col_LIFE_INS_BY</vt:lpstr>
      <vt:lpstr>TAAA033801col_LIFE_INS_CHG</vt:lpstr>
      <vt:lpstr>TAAA033801col_RETIREMENT</vt:lpstr>
      <vt:lpstr>TAAA033801col_RETIREMENT_BY</vt:lpstr>
      <vt:lpstr>TAAA033801col_RETIREMENT_CHG</vt:lpstr>
      <vt:lpstr>TAAA033801col_ROWS_PER_PCN</vt:lpstr>
      <vt:lpstr>TAAA033801col_SICK</vt:lpstr>
      <vt:lpstr>TAAA033801col_SICK_BY</vt:lpstr>
      <vt:lpstr>TAAA033801col_SICK_CHG</vt:lpstr>
      <vt:lpstr>TAAA033801col_SSDI</vt:lpstr>
      <vt:lpstr>TAAA033801col_SSDI_BY</vt:lpstr>
      <vt:lpstr>TAAA033801col_SSDI_CHG</vt:lpstr>
      <vt:lpstr>TAAA033801col_SSHI</vt:lpstr>
      <vt:lpstr>TAAA033801col_SSHI_BY</vt:lpstr>
      <vt:lpstr>TAAA033801col_SSHI_CHGv</vt:lpstr>
      <vt:lpstr>TAAA033801col_TOT_VB_ELECT</vt:lpstr>
      <vt:lpstr>TAAA033801col_TOT_VB_ELECT_BY</vt:lpstr>
      <vt:lpstr>TAAA033801col_TOT_VB_ELECT_CHG</vt:lpstr>
      <vt:lpstr>TAAA033801col_TOT_VB_PERM</vt:lpstr>
      <vt:lpstr>TAAA033801col_TOT_VB_PERM_BY</vt:lpstr>
      <vt:lpstr>TAAA033801col_TOT_VB_PERM_CHG</vt:lpstr>
      <vt:lpstr>TAAA033801col_TOTAL_ELECT_PCN_FTI</vt:lpstr>
      <vt:lpstr>TAAA033801col_TOTAL_ELECT_PCN_FTI_ALT</vt:lpstr>
      <vt:lpstr>TAAA033801col_TOTAL_PERM_PCN_FTI</vt:lpstr>
      <vt:lpstr>TAAA033801col_UNEMP_INS</vt:lpstr>
      <vt:lpstr>TAAA033801col_UNEMP_INS_BY</vt:lpstr>
      <vt:lpstr>TAAA033801col_UNEMP_INS_CHG</vt:lpstr>
      <vt:lpstr>TAAA033801col_WORKERS_COMP</vt:lpstr>
      <vt:lpstr>TAAA033801col_WORKERS_COMP_BY</vt:lpstr>
      <vt:lpstr>TAAA033801col_WORKERS_COMP_CHG</vt:lpstr>
      <vt:lpstr>TAAA033802col_1_27TH_PP</vt:lpstr>
      <vt:lpstr>TAAA033802col_DHR</vt:lpstr>
      <vt:lpstr>TAAA033802col_DHR_BY</vt:lpstr>
      <vt:lpstr>TAAA033802col_DHR_CHG</vt:lpstr>
      <vt:lpstr>TAAA033802col_FTI_SALARY_ELECT</vt:lpstr>
      <vt:lpstr>TAAA033802col_FTI_SALARY_PERM</vt:lpstr>
      <vt:lpstr>TAAA033802col_FTI_SALARY_SSDI</vt:lpstr>
      <vt:lpstr>TAAA033802col_Group_Ben</vt:lpstr>
      <vt:lpstr>TAAA033802col_Group_Salary</vt:lpstr>
      <vt:lpstr>TAAA033802col_HEALTH_ELECT</vt:lpstr>
      <vt:lpstr>TAAA033802col_HEALTH_ELECT_BY</vt:lpstr>
      <vt:lpstr>TAAA033802col_HEALTH_ELECT_CHG</vt:lpstr>
      <vt:lpstr>TAAA033802col_HEALTH_PERM</vt:lpstr>
      <vt:lpstr>TAAA033802col_HEALTH_PERM_BY</vt:lpstr>
      <vt:lpstr>TAAA033802col_HEALTH_PERM_CHG</vt:lpstr>
      <vt:lpstr>TAAA033802col_INC_FTI</vt:lpstr>
      <vt:lpstr>TAAA033802col_LIFE_INS</vt:lpstr>
      <vt:lpstr>TAAA033802col_LIFE_INS_BY</vt:lpstr>
      <vt:lpstr>TAAA033802col_LIFE_INS_CHG</vt:lpstr>
      <vt:lpstr>TAAA033802col_RETIREMENT</vt:lpstr>
      <vt:lpstr>TAAA033802col_RETIREMENT_BY</vt:lpstr>
      <vt:lpstr>TAAA033802col_RETIREMENT_CHG</vt:lpstr>
      <vt:lpstr>TAAA033802col_ROWS_PER_PCN</vt:lpstr>
      <vt:lpstr>TAAA033802col_SICK</vt:lpstr>
      <vt:lpstr>TAAA033802col_SICK_BY</vt:lpstr>
      <vt:lpstr>TAAA033802col_SICK_CHG</vt:lpstr>
      <vt:lpstr>TAAA033802col_SSDI</vt:lpstr>
      <vt:lpstr>TAAA033802col_SSDI_BY</vt:lpstr>
      <vt:lpstr>TAAA033802col_SSDI_CHG</vt:lpstr>
      <vt:lpstr>TAAA033802col_SSHI</vt:lpstr>
      <vt:lpstr>TAAA033802col_SSHI_BY</vt:lpstr>
      <vt:lpstr>TAAA033802col_SSHI_CHGv</vt:lpstr>
      <vt:lpstr>TAAA033802col_TOT_VB_ELECT</vt:lpstr>
      <vt:lpstr>TAAA033802col_TOT_VB_ELECT_BY</vt:lpstr>
      <vt:lpstr>TAAA033802col_TOT_VB_ELECT_CHG</vt:lpstr>
      <vt:lpstr>TAAA033802col_TOT_VB_PERM</vt:lpstr>
      <vt:lpstr>TAAA033802col_TOT_VB_PERM_BY</vt:lpstr>
      <vt:lpstr>TAAA033802col_TOT_VB_PERM_CHG</vt:lpstr>
      <vt:lpstr>TAAA033802col_TOTAL_ELECT_PCN_FTI</vt:lpstr>
      <vt:lpstr>TAAA033802col_TOTAL_ELECT_PCN_FTI_ALT</vt:lpstr>
      <vt:lpstr>TAAA033802col_TOTAL_PERM_PCN_FTI</vt:lpstr>
      <vt:lpstr>TAAA033802col_UNEMP_INS</vt:lpstr>
      <vt:lpstr>TAAA033802col_UNEMP_INS_BY</vt:lpstr>
      <vt:lpstr>TAAA033802col_UNEMP_INS_CHG</vt:lpstr>
      <vt:lpstr>TAAA033802col_WORKERS_COMP</vt:lpstr>
      <vt:lpstr>TAAA033802col_WORKERS_COMP_BY</vt:lpstr>
      <vt:lpstr>TAAA033802col_WORKERS_COMP_CHG</vt:lpstr>
      <vt:lpstr>TAAB000100col_1_27TH_PP</vt:lpstr>
      <vt:lpstr>TAAB000100col_DHR</vt:lpstr>
      <vt:lpstr>TAAB000100col_DHR_BY</vt:lpstr>
      <vt:lpstr>TAAB000100col_DHR_CHG</vt:lpstr>
      <vt:lpstr>TAAB000100col_FTI_SALARY_ELECT</vt:lpstr>
      <vt:lpstr>TAAB000100col_FTI_SALARY_PERM</vt:lpstr>
      <vt:lpstr>TAAB000100col_FTI_SALARY_SSDI</vt:lpstr>
      <vt:lpstr>TAAB000100col_Group_Ben</vt:lpstr>
      <vt:lpstr>TAAB000100col_Group_Salary</vt:lpstr>
      <vt:lpstr>TAAB000100col_HEALTH_ELECT</vt:lpstr>
      <vt:lpstr>TAAB000100col_HEALTH_ELECT_BY</vt:lpstr>
      <vt:lpstr>TAAB000100col_HEALTH_ELECT_CHG</vt:lpstr>
      <vt:lpstr>TAAB000100col_HEALTH_PERM</vt:lpstr>
      <vt:lpstr>TAAB000100col_HEALTH_PERM_BY</vt:lpstr>
      <vt:lpstr>TAAB000100col_HEALTH_PERM_CHG</vt:lpstr>
      <vt:lpstr>TAAB000100col_INC_FTI</vt:lpstr>
      <vt:lpstr>TAAB000100col_LIFE_INS</vt:lpstr>
      <vt:lpstr>TAAB000100col_LIFE_INS_BY</vt:lpstr>
      <vt:lpstr>TAAB000100col_LIFE_INS_CHG</vt:lpstr>
      <vt:lpstr>TAAB000100col_RETIREMENT</vt:lpstr>
      <vt:lpstr>TAAB000100col_RETIREMENT_BY</vt:lpstr>
      <vt:lpstr>TAAB000100col_RETIREMENT_CHG</vt:lpstr>
      <vt:lpstr>TAAB000100col_ROWS_PER_PCN</vt:lpstr>
      <vt:lpstr>TAAB000100col_SICK</vt:lpstr>
      <vt:lpstr>TAAB000100col_SICK_BY</vt:lpstr>
      <vt:lpstr>TAAB000100col_SICK_CHG</vt:lpstr>
      <vt:lpstr>TAAB000100col_SSDI</vt:lpstr>
      <vt:lpstr>TAAB000100col_SSDI_BY</vt:lpstr>
      <vt:lpstr>TAAB000100col_SSDI_CHG</vt:lpstr>
      <vt:lpstr>TAAB000100col_SSHI</vt:lpstr>
      <vt:lpstr>TAAB000100col_SSHI_BY</vt:lpstr>
      <vt:lpstr>TAAB000100col_SSHI_CHGv</vt:lpstr>
      <vt:lpstr>TAAB000100col_TOT_VB_ELECT</vt:lpstr>
      <vt:lpstr>TAAB000100col_TOT_VB_ELECT_BY</vt:lpstr>
      <vt:lpstr>TAAB000100col_TOT_VB_ELECT_CHG</vt:lpstr>
      <vt:lpstr>TAAB000100col_TOT_VB_PERM</vt:lpstr>
      <vt:lpstr>TAAB000100col_TOT_VB_PERM_BY</vt:lpstr>
      <vt:lpstr>TAAB000100col_TOT_VB_PERM_CHG</vt:lpstr>
      <vt:lpstr>TAAB000100col_TOTAL_ELECT_PCN_FTI</vt:lpstr>
      <vt:lpstr>TAAB000100col_TOTAL_ELECT_PCN_FTI_ALT</vt:lpstr>
      <vt:lpstr>TAAB000100col_TOTAL_PERM_PCN_FTI</vt:lpstr>
      <vt:lpstr>TAAB000100col_UNEMP_INS</vt:lpstr>
      <vt:lpstr>TAAB000100col_UNEMP_INS_BY</vt:lpstr>
      <vt:lpstr>TAAB000100col_UNEMP_INS_CHG</vt:lpstr>
      <vt:lpstr>TAAB000100col_WORKERS_COMP</vt:lpstr>
      <vt:lpstr>TAAB000100col_WORKERS_COMP_BY</vt:lpstr>
      <vt:lpstr>TAAB000100col_WORKERS_COMP_CHG</vt:lpstr>
      <vt:lpstr>TAAB033801col_1_27TH_PP</vt:lpstr>
      <vt:lpstr>TAAB033801col_DHR</vt:lpstr>
      <vt:lpstr>TAAB033801col_DHR_BY</vt:lpstr>
      <vt:lpstr>TAAB033801col_DHR_CHG</vt:lpstr>
      <vt:lpstr>TAAB033801col_FTI_SALARY_ELECT</vt:lpstr>
      <vt:lpstr>TAAB033801col_FTI_SALARY_PERM</vt:lpstr>
      <vt:lpstr>TAAB033801col_FTI_SALARY_SSDI</vt:lpstr>
      <vt:lpstr>TAAB033801col_Group_Ben</vt:lpstr>
      <vt:lpstr>TAAB033801col_Group_Salary</vt:lpstr>
      <vt:lpstr>TAAB033801col_HEALTH_ELECT</vt:lpstr>
      <vt:lpstr>TAAB033801col_HEALTH_ELECT_BY</vt:lpstr>
      <vt:lpstr>TAAB033801col_HEALTH_ELECT_CHG</vt:lpstr>
      <vt:lpstr>TAAB033801col_HEALTH_PERM</vt:lpstr>
      <vt:lpstr>TAAB033801col_HEALTH_PERM_BY</vt:lpstr>
      <vt:lpstr>TAAB033801col_HEALTH_PERM_CHG</vt:lpstr>
      <vt:lpstr>TAAB033801col_INC_FTI</vt:lpstr>
      <vt:lpstr>TAAB033801col_LIFE_INS</vt:lpstr>
      <vt:lpstr>TAAB033801col_LIFE_INS_BY</vt:lpstr>
      <vt:lpstr>TAAB033801col_LIFE_INS_CHG</vt:lpstr>
      <vt:lpstr>TAAB033801col_RETIREMENT</vt:lpstr>
      <vt:lpstr>TAAB033801col_RETIREMENT_BY</vt:lpstr>
      <vt:lpstr>TAAB033801col_RETIREMENT_CHG</vt:lpstr>
      <vt:lpstr>TAAB033801col_ROWS_PER_PCN</vt:lpstr>
      <vt:lpstr>TAAB033801col_SICK</vt:lpstr>
      <vt:lpstr>TAAB033801col_SICK_BY</vt:lpstr>
      <vt:lpstr>TAAB033801col_SICK_CHG</vt:lpstr>
      <vt:lpstr>TAAB033801col_SSDI</vt:lpstr>
      <vt:lpstr>TAAB033801col_SSDI_BY</vt:lpstr>
      <vt:lpstr>TAAB033801col_SSDI_CHG</vt:lpstr>
      <vt:lpstr>TAAB033801col_SSHI</vt:lpstr>
      <vt:lpstr>TAAB033801col_SSHI_BY</vt:lpstr>
      <vt:lpstr>TAAB033801col_SSHI_CHGv</vt:lpstr>
      <vt:lpstr>TAAB033801col_TOT_VB_ELECT</vt:lpstr>
      <vt:lpstr>TAAB033801col_TOT_VB_ELECT_BY</vt:lpstr>
      <vt:lpstr>TAAB033801col_TOT_VB_ELECT_CHG</vt:lpstr>
      <vt:lpstr>TAAB033801col_TOT_VB_PERM</vt:lpstr>
      <vt:lpstr>TAAB033801col_TOT_VB_PERM_BY</vt:lpstr>
      <vt:lpstr>TAAB033801col_TOT_VB_PERM_CHG</vt:lpstr>
      <vt:lpstr>TAAB033801col_TOTAL_ELECT_PCN_FTI</vt:lpstr>
      <vt:lpstr>TAAB033801col_TOTAL_ELECT_PCN_FTI_ALT</vt:lpstr>
      <vt:lpstr>TAAB033801col_TOTAL_PERM_PCN_FTI</vt:lpstr>
      <vt:lpstr>TAAB033801col_UNEMP_INS</vt:lpstr>
      <vt:lpstr>TAAB033801col_UNEMP_INS_BY</vt:lpstr>
      <vt:lpstr>TAAB033801col_UNEMP_INS_CHG</vt:lpstr>
      <vt:lpstr>TAAB033801col_WORKERS_COMP</vt:lpstr>
      <vt:lpstr>TAAB033801col_WORKERS_COMP_BY</vt:lpstr>
      <vt:lpstr>TAAB033801col_WORKERS_COMP_CHG</vt:lpstr>
      <vt:lpstr>TAAB033802col_1_27TH_PP</vt:lpstr>
      <vt:lpstr>TAAB033802col_DHR</vt:lpstr>
      <vt:lpstr>TAAB033802col_DHR_BY</vt:lpstr>
      <vt:lpstr>TAAB033802col_DHR_CHG</vt:lpstr>
      <vt:lpstr>TAAB033802col_FTI_SALARY_ELECT</vt:lpstr>
      <vt:lpstr>TAAB033802col_FTI_SALARY_PERM</vt:lpstr>
      <vt:lpstr>TAAB033802col_FTI_SALARY_SSDI</vt:lpstr>
      <vt:lpstr>TAAB033802col_Group_Ben</vt:lpstr>
      <vt:lpstr>TAAB033802col_Group_Salary</vt:lpstr>
      <vt:lpstr>TAAB033802col_HEALTH_ELECT</vt:lpstr>
      <vt:lpstr>TAAB033802col_HEALTH_ELECT_BY</vt:lpstr>
      <vt:lpstr>TAAB033802col_HEALTH_ELECT_CHG</vt:lpstr>
      <vt:lpstr>TAAB033802col_HEALTH_PERM</vt:lpstr>
      <vt:lpstr>TAAB033802col_HEALTH_PERM_BY</vt:lpstr>
      <vt:lpstr>TAAB033802col_HEALTH_PERM_CHG</vt:lpstr>
      <vt:lpstr>TAAB033802col_INC_FTI</vt:lpstr>
      <vt:lpstr>TAAB033802col_LIFE_INS</vt:lpstr>
      <vt:lpstr>TAAB033802col_LIFE_INS_BY</vt:lpstr>
      <vt:lpstr>TAAB033802col_LIFE_INS_CHG</vt:lpstr>
      <vt:lpstr>TAAB033802col_RETIREMENT</vt:lpstr>
      <vt:lpstr>TAAB033802col_RETIREMENT_BY</vt:lpstr>
      <vt:lpstr>TAAB033802col_RETIREMENT_CHG</vt:lpstr>
      <vt:lpstr>TAAB033802col_ROWS_PER_PCN</vt:lpstr>
      <vt:lpstr>TAAB033802col_SICK</vt:lpstr>
      <vt:lpstr>TAAB033802col_SICK_BY</vt:lpstr>
      <vt:lpstr>TAAB033802col_SICK_CHG</vt:lpstr>
      <vt:lpstr>TAAB033802col_SSDI</vt:lpstr>
      <vt:lpstr>TAAB033802col_SSDI_BY</vt:lpstr>
      <vt:lpstr>TAAB033802col_SSDI_CHG</vt:lpstr>
      <vt:lpstr>TAAB033802col_SSHI</vt:lpstr>
      <vt:lpstr>TAAB033802col_SSHI_BY</vt:lpstr>
      <vt:lpstr>TAAB033802col_SSHI_CHGv</vt:lpstr>
      <vt:lpstr>TAAB033802col_TOT_VB_ELECT</vt:lpstr>
      <vt:lpstr>TAAB033802col_TOT_VB_ELECT_BY</vt:lpstr>
      <vt:lpstr>TAAB033802col_TOT_VB_ELECT_CHG</vt:lpstr>
      <vt:lpstr>TAAB033802col_TOT_VB_PERM</vt:lpstr>
      <vt:lpstr>TAAB033802col_TOT_VB_PERM_BY</vt:lpstr>
      <vt:lpstr>TAAB033802col_TOT_VB_PERM_CHG</vt:lpstr>
      <vt:lpstr>TAAB033802col_TOTAL_ELECT_PCN_FTI</vt:lpstr>
      <vt:lpstr>TAAB033802col_TOTAL_ELECT_PCN_FTI_ALT</vt:lpstr>
      <vt:lpstr>TAAB033802col_TOTAL_PERM_PCN_FTI</vt:lpstr>
      <vt:lpstr>TAAB033802col_UNEMP_INS</vt:lpstr>
      <vt:lpstr>TAAB033802col_UNEMP_INS_BY</vt:lpstr>
      <vt:lpstr>TAAB033802col_UNEMP_INS_CHG</vt:lpstr>
      <vt:lpstr>TAAB033802col_WORKERS_COMP</vt:lpstr>
      <vt:lpstr>TAAB033802col_WORKERS_COMP_BY</vt:lpstr>
      <vt:lpstr>TAAB033802col_WORKERS_COMP_CHG</vt:lpstr>
      <vt:lpstr>TAAC000100col_1_27TH_PP</vt:lpstr>
      <vt:lpstr>TAAC000100col_DHR</vt:lpstr>
      <vt:lpstr>TAAC000100col_DHR_BY</vt:lpstr>
      <vt:lpstr>TAAC000100col_DHR_CHG</vt:lpstr>
      <vt:lpstr>TAAC000100col_FTI_SALARY_ELECT</vt:lpstr>
      <vt:lpstr>TAAC000100col_FTI_SALARY_PERM</vt:lpstr>
      <vt:lpstr>TAAC000100col_FTI_SALARY_SSDI</vt:lpstr>
      <vt:lpstr>TAAC000100col_Group_Ben</vt:lpstr>
      <vt:lpstr>TAAC000100col_Group_Salary</vt:lpstr>
      <vt:lpstr>TAAC000100col_HEALTH_ELECT</vt:lpstr>
      <vt:lpstr>TAAC000100col_HEALTH_ELECT_BY</vt:lpstr>
      <vt:lpstr>TAAC000100col_HEALTH_ELECT_CHG</vt:lpstr>
      <vt:lpstr>TAAC000100col_HEALTH_PERM</vt:lpstr>
      <vt:lpstr>TAAC000100col_HEALTH_PERM_BY</vt:lpstr>
      <vt:lpstr>TAAC000100col_HEALTH_PERM_CHG</vt:lpstr>
      <vt:lpstr>TAAC000100col_INC_FTI</vt:lpstr>
      <vt:lpstr>TAAC000100col_LIFE_INS</vt:lpstr>
      <vt:lpstr>TAAC000100col_LIFE_INS_BY</vt:lpstr>
      <vt:lpstr>TAAC000100col_LIFE_INS_CHG</vt:lpstr>
      <vt:lpstr>TAAC000100col_RETIREMENT</vt:lpstr>
      <vt:lpstr>TAAC000100col_RETIREMENT_BY</vt:lpstr>
      <vt:lpstr>TAAC000100col_RETIREMENT_CHG</vt:lpstr>
      <vt:lpstr>TAAC000100col_ROWS_PER_PCN</vt:lpstr>
      <vt:lpstr>TAAC000100col_SICK</vt:lpstr>
      <vt:lpstr>TAAC000100col_SICK_BY</vt:lpstr>
      <vt:lpstr>TAAC000100col_SICK_CHG</vt:lpstr>
      <vt:lpstr>TAAC000100col_SSDI</vt:lpstr>
      <vt:lpstr>TAAC000100col_SSDI_BY</vt:lpstr>
      <vt:lpstr>TAAC000100col_SSDI_CHG</vt:lpstr>
      <vt:lpstr>TAAC000100col_SSHI</vt:lpstr>
      <vt:lpstr>TAAC000100col_SSHI_BY</vt:lpstr>
      <vt:lpstr>TAAC000100col_SSHI_CHGv</vt:lpstr>
      <vt:lpstr>TAAC000100col_TOT_VB_ELECT</vt:lpstr>
      <vt:lpstr>TAAC000100col_TOT_VB_ELECT_BY</vt:lpstr>
      <vt:lpstr>TAAC000100col_TOT_VB_ELECT_CHG</vt:lpstr>
      <vt:lpstr>TAAC000100col_TOT_VB_PERM</vt:lpstr>
      <vt:lpstr>TAAC000100col_TOT_VB_PERM_BY</vt:lpstr>
      <vt:lpstr>TAAC000100col_TOT_VB_PERM_CHG</vt:lpstr>
      <vt:lpstr>TAAC000100col_TOTAL_ELECT_PCN_FTI</vt:lpstr>
      <vt:lpstr>TAAC000100col_TOTAL_ELECT_PCN_FTI_ALT</vt:lpstr>
      <vt:lpstr>TAAC000100col_TOTAL_PERM_PCN_FTI</vt:lpstr>
      <vt:lpstr>TAAC000100col_UNEMP_INS</vt:lpstr>
      <vt:lpstr>TAAC000100col_UNEMP_INS_BY</vt:lpstr>
      <vt:lpstr>TAAC000100col_UNEMP_INS_CHG</vt:lpstr>
      <vt:lpstr>TAAC000100col_WORKERS_COMP</vt:lpstr>
      <vt:lpstr>TAAC000100col_WORKERS_COMP_BY</vt:lpstr>
      <vt:lpstr>TAAC000100col_WORKERS_COMP_CHG</vt:lpstr>
      <vt:lpstr>TAAC033801col_1_27TH_PP</vt:lpstr>
      <vt:lpstr>TAAC033801col_DHR</vt:lpstr>
      <vt:lpstr>TAAC033801col_DHR_BY</vt:lpstr>
      <vt:lpstr>TAAC033801col_DHR_CHG</vt:lpstr>
      <vt:lpstr>TAAC033801col_FTI_SALARY_ELECT</vt:lpstr>
      <vt:lpstr>TAAC033801col_FTI_SALARY_PERM</vt:lpstr>
      <vt:lpstr>TAAC033801col_FTI_SALARY_SSDI</vt:lpstr>
      <vt:lpstr>TAAC033801col_Group_Ben</vt:lpstr>
      <vt:lpstr>TAAC033801col_Group_Salary</vt:lpstr>
      <vt:lpstr>TAAC033801col_HEALTH_ELECT</vt:lpstr>
      <vt:lpstr>TAAC033801col_HEALTH_ELECT_BY</vt:lpstr>
      <vt:lpstr>TAAC033801col_HEALTH_ELECT_CHG</vt:lpstr>
      <vt:lpstr>TAAC033801col_HEALTH_PERM</vt:lpstr>
      <vt:lpstr>TAAC033801col_HEALTH_PERM_BY</vt:lpstr>
      <vt:lpstr>TAAC033801col_HEALTH_PERM_CHG</vt:lpstr>
      <vt:lpstr>TAAC033801col_INC_FTI</vt:lpstr>
      <vt:lpstr>TAAC033801col_LIFE_INS</vt:lpstr>
      <vt:lpstr>TAAC033801col_LIFE_INS_BY</vt:lpstr>
      <vt:lpstr>TAAC033801col_LIFE_INS_CHG</vt:lpstr>
      <vt:lpstr>TAAC033801col_RETIREMENT</vt:lpstr>
      <vt:lpstr>TAAC033801col_RETIREMENT_BY</vt:lpstr>
      <vt:lpstr>TAAC033801col_RETIREMENT_CHG</vt:lpstr>
      <vt:lpstr>TAAC033801col_ROWS_PER_PCN</vt:lpstr>
      <vt:lpstr>TAAC033801col_SICK</vt:lpstr>
      <vt:lpstr>TAAC033801col_SICK_BY</vt:lpstr>
      <vt:lpstr>TAAC033801col_SICK_CHG</vt:lpstr>
      <vt:lpstr>TAAC033801col_SSDI</vt:lpstr>
      <vt:lpstr>TAAC033801col_SSDI_BY</vt:lpstr>
      <vt:lpstr>TAAC033801col_SSDI_CHG</vt:lpstr>
      <vt:lpstr>TAAC033801col_SSHI</vt:lpstr>
      <vt:lpstr>TAAC033801col_SSHI_BY</vt:lpstr>
      <vt:lpstr>TAAC033801col_SSHI_CHGv</vt:lpstr>
      <vt:lpstr>TAAC033801col_TOT_VB_ELECT</vt:lpstr>
      <vt:lpstr>TAAC033801col_TOT_VB_ELECT_BY</vt:lpstr>
      <vt:lpstr>TAAC033801col_TOT_VB_ELECT_CHG</vt:lpstr>
      <vt:lpstr>TAAC033801col_TOT_VB_PERM</vt:lpstr>
      <vt:lpstr>TAAC033801col_TOT_VB_PERM_BY</vt:lpstr>
      <vt:lpstr>TAAC033801col_TOT_VB_PERM_CHG</vt:lpstr>
      <vt:lpstr>TAAC033801col_TOTAL_ELECT_PCN_FTI</vt:lpstr>
      <vt:lpstr>TAAC033801col_TOTAL_ELECT_PCN_FTI_ALT</vt:lpstr>
      <vt:lpstr>TAAC033801col_TOTAL_PERM_PCN_FTI</vt:lpstr>
      <vt:lpstr>TAAC033801col_UNEMP_INS</vt:lpstr>
      <vt:lpstr>TAAC033801col_UNEMP_INS_BY</vt:lpstr>
      <vt:lpstr>TAAC033801col_UNEMP_INS_CHG</vt:lpstr>
      <vt:lpstr>TAAC033801col_WORKERS_COMP</vt:lpstr>
      <vt:lpstr>TAAC033801col_WORKERS_COMP_BY</vt:lpstr>
      <vt:lpstr>TAAC033801col_WORKERS_COMP_CHG</vt:lpstr>
      <vt:lpstr>TAAC033802col_1_27TH_PP</vt:lpstr>
      <vt:lpstr>TAAC033802col_DHR</vt:lpstr>
      <vt:lpstr>TAAC033802col_DHR_BY</vt:lpstr>
      <vt:lpstr>TAAC033802col_DHR_CHG</vt:lpstr>
      <vt:lpstr>TAAC033802col_FTI_SALARY_ELECT</vt:lpstr>
      <vt:lpstr>TAAC033802col_FTI_SALARY_PERM</vt:lpstr>
      <vt:lpstr>TAAC033802col_FTI_SALARY_SSDI</vt:lpstr>
      <vt:lpstr>TAAC033802col_Group_Ben</vt:lpstr>
      <vt:lpstr>TAAC033802col_Group_Salary</vt:lpstr>
      <vt:lpstr>TAAC033802col_HEALTH_ELECT</vt:lpstr>
      <vt:lpstr>TAAC033802col_HEALTH_ELECT_BY</vt:lpstr>
      <vt:lpstr>TAAC033802col_HEALTH_ELECT_CHG</vt:lpstr>
      <vt:lpstr>TAAC033802col_HEALTH_PERM</vt:lpstr>
      <vt:lpstr>TAAC033802col_HEALTH_PERM_BY</vt:lpstr>
      <vt:lpstr>TAAC033802col_HEALTH_PERM_CHG</vt:lpstr>
      <vt:lpstr>TAAC033802col_INC_FTI</vt:lpstr>
      <vt:lpstr>TAAC033802col_LIFE_INS</vt:lpstr>
      <vt:lpstr>TAAC033802col_LIFE_INS_BY</vt:lpstr>
      <vt:lpstr>TAAC033802col_LIFE_INS_CHG</vt:lpstr>
      <vt:lpstr>TAAC033802col_RETIREMENT</vt:lpstr>
      <vt:lpstr>TAAC033802col_RETIREMENT_BY</vt:lpstr>
      <vt:lpstr>TAAC033802col_RETIREMENT_CHG</vt:lpstr>
      <vt:lpstr>TAAC033802col_ROWS_PER_PCN</vt:lpstr>
      <vt:lpstr>TAAC033802col_SICK</vt:lpstr>
      <vt:lpstr>TAAC033802col_SICK_BY</vt:lpstr>
      <vt:lpstr>TAAC033802col_SICK_CHG</vt:lpstr>
      <vt:lpstr>TAAC033802col_SSDI</vt:lpstr>
      <vt:lpstr>TAAC033802col_SSDI_BY</vt:lpstr>
      <vt:lpstr>TAAC033802col_SSDI_CHG</vt:lpstr>
      <vt:lpstr>TAAC033802col_SSHI</vt:lpstr>
      <vt:lpstr>TAAC033802col_SSHI_BY</vt:lpstr>
      <vt:lpstr>TAAC033802col_SSHI_CHGv</vt:lpstr>
      <vt:lpstr>TAAC033802col_TOT_VB_ELECT</vt:lpstr>
      <vt:lpstr>TAAC033802col_TOT_VB_ELECT_BY</vt:lpstr>
      <vt:lpstr>TAAC033802col_TOT_VB_ELECT_CHG</vt:lpstr>
      <vt:lpstr>TAAC033802col_TOT_VB_PERM</vt:lpstr>
      <vt:lpstr>TAAC033802col_TOT_VB_PERM_BY</vt:lpstr>
      <vt:lpstr>TAAC033802col_TOT_VB_PERM_CHG</vt:lpstr>
      <vt:lpstr>TAAC033802col_TOTAL_ELECT_PCN_FTI</vt:lpstr>
      <vt:lpstr>TAAC033802col_TOTAL_ELECT_PCN_FTI_ALT</vt:lpstr>
      <vt:lpstr>TAAC033802col_TOTAL_PERM_PCN_FTI</vt:lpstr>
      <vt:lpstr>TAAC033802col_UNEMP_INS</vt:lpstr>
      <vt:lpstr>TAAC033802col_UNEMP_INS_BY</vt:lpstr>
      <vt:lpstr>TAAC033802col_UNEMP_INS_CHG</vt:lpstr>
      <vt:lpstr>TAAC033802col_WORKERS_COMP</vt:lpstr>
      <vt:lpstr>TAAC033802col_WORKERS_COMP_BY</vt:lpstr>
      <vt:lpstr>TAAC033802col_WORKERS_COMP_CHG</vt:lpstr>
      <vt:lpstr>TAAD000100col_1_27TH_PP</vt:lpstr>
      <vt:lpstr>TAAD000100col_DHR</vt:lpstr>
      <vt:lpstr>TAAD000100col_DHR_BY</vt:lpstr>
      <vt:lpstr>TAAD000100col_DHR_CHG</vt:lpstr>
      <vt:lpstr>TAAD000100col_FTI_SALARY_ELECT</vt:lpstr>
      <vt:lpstr>TAAD000100col_FTI_SALARY_PERM</vt:lpstr>
      <vt:lpstr>TAAD000100col_FTI_SALARY_SSDI</vt:lpstr>
      <vt:lpstr>TAAD000100col_Group_Ben</vt:lpstr>
      <vt:lpstr>TAAD000100col_Group_Salary</vt:lpstr>
      <vt:lpstr>TAAD000100col_HEALTH_ELECT</vt:lpstr>
      <vt:lpstr>TAAD000100col_HEALTH_ELECT_BY</vt:lpstr>
      <vt:lpstr>TAAD000100col_HEALTH_ELECT_CHG</vt:lpstr>
      <vt:lpstr>TAAD000100col_HEALTH_PERM</vt:lpstr>
      <vt:lpstr>TAAD000100col_HEALTH_PERM_BY</vt:lpstr>
      <vt:lpstr>TAAD000100col_HEALTH_PERM_CHG</vt:lpstr>
      <vt:lpstr>TAAD000100col_INC_FTI</vt:lpstr>
      <vt:lpstr>TAAD000100col_LIFE_INS</vt:lpstr>
      <vt:lpstr>TAAD000100col_LIFE_INS_BY</vt:lpstr>
      <vt:lpstr>TAAD000100col_LIFE_INS_CHG</vt:lpstr>
      <vt:lpstr>TAAD000100col_RETIREMENT</vt:lpstr>
      <vt:lpstr>TAAD000100col_RETIREMENT_BY</vt:lpstr>
      <vt:lpstr>TAAD000100col_RETIREMENT_CHG</vt:lpstr>
      <vt:lpstr>TAAD000100col_ROWS_PER_PCN</vt:lpstr>
      <vt:lpstr>TAAD000100col_SICK</vt:lpstr>
      <vt:lpstr>TAAD000100col_SICK_BY</vt:lpstr>
      <vt:lpstr>TAAD000100col_SICK_CHG</vt:lpstr>
      <vt:lpstr>TAAD000100col_SSDI</vt:lpstr>
      <vt:lpstr>TAAD000100col_SSDI_BY</vt:lpstr>
      <vt:lpstr>TAAD000100col_SSDI_CHG</vt:lpstr>
      <vt:lpstr>TAAD000100col_SSHI</vt:lpstr>
      <vt:lpstr>TAAD000100col_SSHI_BY</vt:lpstr>
      <vt:lpstr>TAAD000100col_SSHI_CHGv</vt:lpstr>
      <vt:lpstr>TAAD000100col_TOT_VB_ELECT</vt:lpstr>
      <vt:lpstr>TAAD000100col_TOT_VB_ELECT_BY</vt:lpstr>
      <vt:lpstr>TAAD000100col_TOT_VB_ELECT_CHG</vt:lpstr>
      <vt:lpstr>TAAD000100col_TOT_VB_PERM</vt:lpstr>
      <vt:lpstr>TAAD000100col_TOT_VB_PERM_BY</vt:lpstr>
      <vt:lpstr>TAAD000100col_TOT_VB_PERM_CHG</vt:lpstr>
      <vt:lpstr>TAAD000100col_TOTAL_ELECT_PCN_FTI</vt:lpstr>
      <vt:lpstr>TAAD000100col_TOTAL_ELECT_PCN_FTI_ALT</vt:lpstr>
      <vt:lpstr>TAAD000100col_TOTAL_PERM_PCN_FTI</vt:lpstr>
      <vt:lpstr>TAAD000100col_UNEMP_INS</vt:lpstr>
      <vt:lpstr>TAAD000100col_UNEMP_INS_BY</vt:lpstr>
      <vt:lpstr>TAAD000100col_UNEMP_INS_CHG</vt:lpstr>
      <vt:lpstr>TAAD000100col_WORKERS_COMP</vt:lpstr>
      <vt:lpstr>TAAD000100col_WORKERS_COMP_BY</vt:lpstr>
      <vt:lpstr>TAAD000100col_WORKERS_COMP_CHG</vt:lpstr>
      <vt:lpstr>TAAF027600col_1_27TH_PP</vt:lpstr>
      <vt:lpstr>TAAF027600col_DHR</vt:lpstr>
      <vt:lpstr>TAAF027600col_DHR_BY</vt:lpstr>
      <vt:lpstr>TAAF027600col_DHR_CHG</vt:lpstr>
      <vt:lpstr>TAAF027600col_FTI_SALARY_ELECT</vt:lpstr>
      <vt:lpstr>TAAF027600col_FTI_SALARY_PERM</vt:lpstr>
      <vt:lpstr>TAAF027600col_FTI_SALARY_SSDI</vt:lpstr>
      <vt:lpstr>TAAF027600col_Group_Ben</vt:lpstr>
      <vt:lpstr>TAAF027600col_Group_Salary</vt:lpstr>
      <vt:lpstr>TAAF027600col_HEALTH_ELECT</vt:lpstr>
      <vt:lpstr>TAAF027600col_HEALTH_ELECT_BY</vt:lpstr>
      <vt:lpstr>TAAF027600col_HEALTH_ELECT_CHG</vt:lpstr>
      <vt:lpstr>TAAF027600col_HEALTH_PERM</vt:lpstr>
      <vt:lpstr>TAAF027600col_HEALTH_PERM_BY</vt:lpstr>
      <vt:lpstr>TAAF027600col_HEALTH_PERM_CHG</vt:lpstr>
      <vt:lpstr>TAAF027600col_INC_FTI</vt:lpstr>
      <vt:lpstr>TAAF027600col_LIFE_INS</vt:lpstr>
      <vt:lpstr>TAAF027600col_LIFE_INS_BY</vt:lpstr>
      <vt:lpstr>TAAF027600col_LIFE_INS_CHG</vt:lpstr>
      <vt:lpstr>TAAF027600col_RETIREMENT</vt:lpstr>
      <vt:lpstr>TAAF027600col_RETIREMENT_BY</vt:lpstr>
      <vt:lpstr>TAAF027600col_RETIREMENT_CHG</vt:lpstr>
      <vt:lpstr>TAAF027600col_ROWS_PER_PCN</vt:lpstr>
      <vt:lpstr>TAAF027600col_SICK</vt:lpstr>
      <vt:lpstr>TAAF027600col_SICK_BY</vt:lpstr>
      <vt:lpstr>TAAF027600col_SICK_CHG</vt:lpstr>
      <vt:lpstr>TAAF027600col_SSDI</vt:lpstr>
      <vt:lpstr>TAAF027600col_SSDI_BY</vt:lpstr>
      <vt:lpstr>TAAF027600col_SSDI_CHG</vt:lpstr>
      <vt:lpstr>TAAF027600col_SSHI</vt:lpstr>
      <vt:lpstr>TAAF027600col_SSHI_BY</vt:lpstr>
      <vt:lpstr>TAAF027600col_SSHI_CHGv</vt:lpstr>
      <vt:lpstr>TAAF027600col_TOT_VB_ELECT</vt:lpstr>
      <vt:lpstr>TAAF027600col_TOT_VB_ELECT_BY</vt:lpstr>
      <vt:lpstr>TAAF027600col_TOT_VB_ELECT_CHG</vt:lpstr>
      <vt:lpstr>TAAF027600col_TOT_VB_PERM</vt:lpstr>
      <vt:lpstr>TAAF027600col_TOT_VB_PERM_BY</vt:lpstr>
      <vt:lpstr>TAAF027600col_TOT_VB_PERM_CHG</vt:lpstr>
      <vt:lpstr>TAAF027600col_TOTAL_ELECT_PCN_FTI</vt:lpstr>
      <vt:lpstr>TAAF027600col_TOTAL_ELECT_PCN_FTI_ALT</vt:lpstr>
      <vt:lpstr>TAAF027600col_TOTAL_PERM_PCN_FTI</vt:lpstr>
      <vt:lpstr>TAAF027600col_UNEMP_INS</vt:lpstr>
      <vt:lpstr>TAAF027600col_UNEMP_INS_BY</vt:lpstr>
      <vt:lpstr>TAAF027600col_UNEMP_INS_CHG</vt:lpstr>
      <vt:lpstr>TAAF027600col_WORKERS_COMP</vt:lpstr>
      <vt:lpstr>TAAF027600col_WORKERS_COMP_BY</vt:lpstr>
      <vt:lpstr>TAAF027600col_WORKERS_COMP_CHG</vt:lpstr>
      <vt:lpstr>TAAI027600col_1_27TH_PP</vt:lpstr>
      <vt:lpstr>TAAI027600col_DHR</vt:lpstr>
      <vt:lpstr>TAAI027600col_DHR_BY</vt:lpstr>
      <vt:lpstr>TAAI027600col_DHR_CHG</vt:lpstr>
      <vt:lpstr>TAAI027600col_FTI_SALARY_ELECT</vt:lpstr>
      <vt:lpstr>TAAI027600col_FTI_SALARY_PERM</vt:lpstr>
      <vt:lpstr>TAAI027600col_FTI_SALARY_SSDI</vt:lpstr>
      <vt:lpstr>TAAI027600col_Group_Ben</vt:lpstr>
      <vt:lpstr>TAAI027600col_Group_Salary</vt:lpstr>
      <vt:lpstr>TAAI027600col_HEALTH_ELECT</vt:lpstr>
      <vt:lpstr>TAAI027600col_HEALTH_ELECT_BY</vt:lpstr>
      <vt:lpstr>TAAI027600col_HEALTH_ELECT_CHG</vt:lpstr>
      <vt:lpstr>TAAI027600col_HEALTH_PERM</vt:lpstr>
      <vt:lpstr>TAAI027600col_HEALTH_PERM_BY</vt:lpstr>
      <vt:lpstr>TAAI027600col_HEALTH_PERM_CHG</vt:lpstr>
      <vt:lpstr>TAAI027600col_INC_FTI</vt:lpstr>
      <vt:lpstr>TAAI027600col_LIFE_INS</vt:lpstr>
      <vt:lpstr>TAAI027600col_LIFE_INS_BY</vt:lpstr>
      <vt:lpstr>TAAI027600col_LIFE_INS_CHG</vt:lpstr>
      <vt:lpstr>TAAI027600col_RETIREMENT</vt:lpstr>
      <vt:lpstr>TAAI027600col_RETIREMENT_BY</vt:lpstr>
      <vt:lpstr>TAAI027600col_RETIREMENT_CHG</vt:lpstr>
      <vt:lpstr>TAAI027600col_ROWS_PER_PCN</vt:lpstr>
      <vt:lpstr>TAAI027600col_SICK</vt:lpstr>
      <vt:lpstr>TAAI027600col_SICK_BY</vt:lpstr>
      <vt:lpstr>TAAI027600col_SICK_CHG</vt:lpstr>
      <vt:lpstr>TAAI027600col_SSDI</vt:lpstr>
      <vt:lpstr>TAAI027600col_SSDI_BY</vt:lpstr>
      <vt:lpstr>TAAI027600col_SSDI_CHG</vt:lpstr>
      <vt:lpstr>TAAI027600col_SSHI</vt:lpstr>
      <vt:lpstr>TAAI027600col_SSHI_BY</vt:lpstr>
      <vt:lpstr>TAAI027600col_SSHI_CHGv</vt:lpstr>
      <vt:lpstr>TAAI027600col_TOT_VB_ELECT</vt:lpstr>
      <vt:lpstr>TAAI027600col_TOT_VB_ELECT_BY</vt:lpstr>
      <vt:lpstr>TAAI027600col_TOT_VB_ELECT_CHG</vt:lpstr>
      <vt:lpstr>TAAI027600col_TOT_VB_PERM</vt:lpstr>
      <vt:lpstr>TAAI027600col_TOT_VB_PERM_BY</vt:lpstr>
      <vt:lpstr>TAAI027600col_TOT_VB_PERM_CHG</vt:lpstr>
      <vt:lpstr>TAAI027600col_TOTAL_ELECT_PCN_FTI</vt:lpstr>
      <vt:lpstr>TAAI027600col_TOTAL_ELECT_PCN_FTI_ALT</vt:lpstr>
      <vt:lpstr>TAAI027600col_TOTAL_PERM_PCN_FTI</vt:lpstr>
      <vt:lpstr>TAAI027600col_UNEMP_INS</vt:lpstr>
      <vt:lpstr>TAAI027600col_UNEMP_INS_BY</vt:lpstr>
      <vt:lpstr>TAAI027600col_UNEMP_INS_CHG</vt:lpstr>
      <vt:lpstr>TAAI027600col_WORKERS_COMP</vt:lpstr>
      <vt:lpstr>TAAI027600col_WORKERS_COMP_BY</vt:lpstr>
      <vt:lpstr>TAAI027600col_WORKERS_COMP_CHG</vt:lpstr>
      <vt:lpstr>TACA000100col_1_27TH_PP</vt:lpstr>
      <vt:lpstr>TACA000100col_DHR</vt:lpstr>
      <vt:lpstr>TACA000100col_DHR_BY</vt:lpstr>
      <vt:lpstr>TACA000100col_DHR_CHG</vt:lpstr>
      <vt:lpstr>TACA000100col_FTI_SALARY_ELECT</vt:lpstr>
      <vt:lpstr>TACA000100col_FTI_SALARY_PERM</vt:lpstr>
      <vt:lpstr>TACA000100col_FTI_SALARY_SSDI</vt:lpstr>
      <vt:lpstr>TACA000100col_Group_Ben</vt:lpstr>
      <vt:lpstr>TACA000100col_Group_Salary</vt:lpstr>
      <vt:lpstr>TACA000100col_HEALTH_ELECT</vt:lpstr>
      <vt:lpstr>TACA000100col_HEALTH_ELECT_BY</vt:lpstr>
      <vt:lpstr>TACA000100col_HEALTH_ELECT_CHG</vt:lpstr>
      <vt:lpstr>TACA000100col_HEALTH_PERM</vt:lpstr>
      <vt:lpstr>TACA000100col_HEALTH_PERM_BY</vt:lpstr>
      <vt:lpstr>TACA000100col_HEALTH_PERM_CHG</vt:lpstr>
      <vt:lpstr>TACA000100col_INC_FTI</vt:lpstr>
      <vt:lpstr>TACA000100col_LIFE_INS</vt:lpstr>
      <vt:lpstr>TACA000100col_LIFE_INS_BY</vt:lpstr>
      <vt:lpstr>TACA000100col_LIFE_INS_CHG</vt:lpstr>
      <vt:lpstr>TACA000100col_RETIREMENT</vt:lpstr>
      <vt:lpstr>TACA000100col_RETIREMENT_BY</vt:lpstr>
      <vt:lpstr>TACA000100col_RETIREMENT_CHG</vt:lpstr>
      <vt:lpstr>TACA000100col_ROWS_PER_PCN</vt:lpstr>
      <vt:lpstr>TACA000100col_SICK</vt:lpstr>
      <vt:lpstr>TACA000100col_SICK_BY</vt:lpstr>
      <vt:lpstr>TACA000100col_SICK_CHG</vt:lpstr>
      <vt:lpstr>TACA000100col_SSDI</vt:lpstr>
      <vt:lpstr>TACA000100col_SSDI_BY</vt:lpstr>
      <vt:lpstr>TACA000100col_SSDI_CHG</vt:lpstr>
      <vt:lpstr>TACA000100col_SSHI</vt:lpstr>
      <vt:lpstr>TACA000100col_SSHI_BY</vt:lpstr>
      <vt:lpstr>TACA000100col_SSHI_CHGv</vt:lpstr>
      <vt:lpstr>TACA000100col_TOT_VB_ELECT</vt:lpstr>
      <vt:lpstr>TACA000100col_TOT_VB_ELECT_BY</vt:lpstr>
      <vt:lpstr>TACA000100col_TOT_VB_ELECT_CHG</vt:lpstr>
      <vt:lpstr>TACA000100col_TOT_VB_PERM</vt:lpstr>
      <vt:lpstr>TACA000100col_TOT_VB_PERM_BY</vt:lpstr>
      <vt:lpstr>TACA000100col_TOT_VB_PERM_CHG</vt:lpstr>
      <vt:lpstr>TACA000100col_TOTAL_ELECT_PCN_FTI</vt:lpstr>
      <vt:lpstr>TACA000100col_TOTAL_ELECT_PCN_FTI_ALT</vt:lpstr>
      <vt:lpstr>TACA000100col_TOTAL_PERM_PCN_FTI</vt:lpstr>
      <vt:lpstr>TACA000100col_UNEMP_INS</vt:lpstr>
      <vt:lpstr>TACA000100col_UNEMP_INS_BY</vt:lpstr>
      <vt:lpstr>TACA000100col_UNEMP_INS_CHG</vt:lpstr>
      <vt:lpstr>TACA000100col_WORKERS_COMP</vt:lpstr>
      <vt:lpstr>TACA000100col_WORKERS_COMP_BY</vt:lpstr>
      <vt:lpstr>TACA000100col_WORKERS_COMP_CHG</vt:lpstr>
      <vt:lpstr>TACA033802col_1_27TH_PP</vt:lpstr>
      <vt:lpstr>TACA033802col_DHR</vt:lpstr>
      <vt:lpstr>TACA033802col_DHR_BY</vt:lpstr>
      <vt:lpstr>TACA033802col_DHR_CHG</vt:lpstr>
      <vt:lpstr>TACA033802col_FTI_SALARY_ELECT</vt:lpstr>
      <vt:lpstr>TACA033802col_FTI_SALARY_PERM</vt:lpstr>
      <vt:lpstr>TACA033802col_FTI_SALARY_SSDI</vt:lpstr>
      <vt:lpstr>TACA033802col_Group_Ben</vt:lpstr>
      <vt:lpstr>TACA033802col_Group_Salary</vt:lpstr>
      <vt:lpstr>TACA033802col_HEALTH_ELECT</vt:lpstr>
      <vt:lpstr>TACA033802col_HEALTH_ELECT_BY</vt:lpstr>
      <vt:lpstr>TACA033802col_HEALTH_ELECT_CHG</vt:lpstr>
      <vt:lpstr>TACA033802col_HEALTH_PERM</vt:lpstr>
      <vt:lpstr>TACA033802col_HEALTH_PERM_BY</vt:lpstr>
      <vt:lpstr>TACA033802col_HEALTH_PERM_CHG</vt:lpstr>
      <vt:lpstr>TACA033802col_INC_FTI</vt:lpstr>
      <vt:lpstr>TACA033802col_LIFE_INS</vt:lpstr>
      <vt:lpstr>TACA033802col_LIFE_INS_BY</vt:lpstr>
      <vt:lpstr>TACA033802col_LIFE_INS_CHG</vt:lpstr>
      <vt:lpstr>TACA033802col_RETIREMENT</vt:lpstr>
      <vt:lpstr>TACA033802col_RETIREMENT_BY</vt:lpstr>
      <vt:lpstr>TACA033802col_RETIREMENT_CHG</vt:lpstr>
      <vt:lpstr>TACA033802col_ROWS_PER_PCN</vt:lpstr>
      <vt:lpstr>TACA033802col_SICK</vt:lpstr>
      <vt:lpstr>TACA033802col_SICK_BY</vt:lpstr>
      <vt:lpstr>TACA033802col_SICK_CHG</vt:lpstr>
      <vt:lpstr>TACA033802col_SSDI</vt:lpstr>
      <vt:lpstr>TACA033802col_SSDI_BY</vt:lpstr>
      <vt:lpstr>TACA033802col_SSDI_CHG</vt:lpstr>
      <vt:lpstr>TACA033802col_SSHI</vt:lpstr>
      <vt:lpstr>TACA033802col_SSHI_BY</vt:lpstr>
      <vt:lpstr>TACA033802col_SSHI_CHGv</vt:lpstr>
      <vt:lpstr>TACA033802col_TOT_VB_ELECT</vt:lpstr>
      <vt:lpstr>TACA033802col_TOT_VB_ELECT_BY</vt:lpstr>
      <vt:lpstr>TACA033802col_TOT_VB_ELECT_CHG</vt:lpstr>
      <vt:lpstr>TACA033802col_TOT_VB_PERM</vt:lpstr>
      <vt:lpstr>TACA033802col_TOT_VB_PERM_BY</vt:lpstr>
      <vt:lpstr>TACA033802col_TOT_VB_PERM_CHG</vt:lpstr>
      <vt:lpstr>TACA033802col_TOTAL_ELECT_PCN_FTI</vt:lpstr>
      <vt:lpstr>TACA033802col_TOTAL_ELECT_PCN_FTI_ALT</vt:lpstr>
      <vt:lpstr>TACA033802col_TOTAL_PERM_PCN_FTI</vt:lpstr>
      <vt:lpstr>TACA033802col_UNEMP_INS</vt:lpstr>
      <vt:lpstr>TACA033802col_UNEMP_INS_BY</vt:lpstr>
      <vt:lpstr>TACA033802col_UNEMP_INS_CHG</vt:lpstr>
      <vt:lpstr>TACA033802col_WORKERS_COMP</vt:lpstr>
      <vt:lpstr>TACA033802col_WORKERS_COMP_BY</vt:lpstr>
      <vt:lpstr>TACA033802col_WORKERS_COMP_CHG</vt:lpstr>
      <vt:lpstr>UI</vt:lpstr>
      <vt:lpstr>UIBY</vt:lpstr>
      <vt:lpstr>UICHG</vt:lpstr>
      <vt:lpstr>WC</vt:lpstr>
      <vt:lpstr>WCBY</vt:lpstr>
      <vt:lpstr>WCCHG</vt:lpstr>
    </vt:vector>
  </TitlesOfParts>
  <Company>HP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Agency 360 B6</dc:title>
  <dc:subject>B6</dc:subject>
  <dc:creator>Shane Winslow</dc:creator>
  <cp:lastModifiedBy>Jared Tatro</cp:lastModifiedBy>
  <cp:lastPrinted>2019-06-21T15:46:35Z</cp:lastPrinted>
  <dcterms:created xsi:type="dcterms:W3CDTF">2013-05-01T19:55:41Z</dcterms:created>
  <dcterms:modified xsi:type="dcterms:W3CDTF">2021-07-14T23:45:14Z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980daa53-e238-4358-81e3-d1b7452f1532</vt:lpwstr>
  </property>
</Properties>
</file>