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o-filesrv\BudgetandPolicyStaff\Projects\Budget Development\Agency B6 Folder_FY23\"/>
    </mc:Choice>
  </mc:AlternateContent>
  <xr:revisionPtr revIDLastSave="0" documentId="13_ncr:1_{2E33C7F5-F4D9-47B5-9B07-F1C4BA6BA22E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SGDA|0001-00" sheetId="12" r:id="rId1"/>
    <sheet name="Data" sheetId="5" r:id="rId2"/>
    <sheet name="Benefits" sheetId="7" r:id="rId3"/>
    <sheet name="B6" sheetId="9" r:id="rId4"/>
    <sheet name="Summary" sheetId="10" r:id="rId5"/>
    <sheet name="FundSummary" sheetId="11" r:id="rId6"/>
  </sheets>
  <definedNames>
    <definedName name="AdjGroupHlth" localSheetId="0">'SGDA|0001-00'!$H$39</definedName>
    <definedName name="AdjGroupHlth">'B6'!$H$39</definedName>
    <definedName name="AdjGroupSalary" localSheetId="0">'SGDA|0001-00'!$G$39</definedName>
    <definedName name="AdjGroupSalary">'B6'!$G$39</definedName>
    <definedName name="AdjGroupVB" localSheetId="0">'SGDA|0001-00'!$I$39</definedName>
    <definedName name="AdjGroupVB">'B6'!$I$39</definedName>
    <definedName name="AdjGroupVBBY" localSheetId="0">'SGDA|0001-00'!$M$39</definedName>
    <definedName name="AdjGroupVBBY">'B6'!$M$39</definedName>
    <definedName name="AdjPermHlth" localSheetId="0">'SGDA|0001-00'!$H$38</definedName>
    <definedName name="AdjPermHlth">'B6'!$H$38</definedName>
    <definedName name="AdjPermHlthBY" localSheetId="0">'SGDA|0001-00'!$L$38</definedName>
    <definedName name="AdjPermHlthBY">'B6'!$L$38</definedName>
    <definedName name="AdjPermSalary" localSheetId="0">'SGDA|0001-00'!$G$38</definedName>
    <definedName name="AdjPermSalary">'B6'!$G$38</definedName>
    <definedName name="AdjPermVB" localSheetId="0">'SGDA|0001-00'!$I$38</definedName>
    <definedName name="AdjPermVB">'B6'!$I$38</definedName>
    <definedName name="AdjPermVBBY" localSheetId="0">'SGDA|0001-00'!$M$38</definedName>
    <definedName name="AdjPermVBBY">'B6'!$M$38</definedName>
    <definedName name="AdjustedTotal" localSheetId="0">'SGDA|0001-00'!$J$16</definedName>
    <definedName name="AdjustedTotal">'B6'!$J$16</definedName>
    <definedName name="AgencyNum" localSheetId="0">'SGDA|0001-00'!$M$1</definedName>
    <definedName name="AgencyNum">'B6'!$M$1</definedName>
    <definedName name="AppropFTP" localSheetId="0">'SGDA|0001-00'!$F$15</definedName>
    <definedName name="AppropFTP">'B6'!$F$15</definedName>
    <definedName name="AppropTotal" localSheetId="0">'SGDA|0001-00'!$J$15</definedName>
    <definedName name="AppropTotal">'B6'!$J$15</definedName>
    <definedName name="AtZHealth" localSheetId="0">'SGDA|0001-00'!$H$45</definedName>
    <definedName name="AtZHealth">'B6'!$H$45</definedName>
    <definedName name="AtZSalary" localSheetId="0">'SGDA|0001-00'!$G$45</definedName>
    <definedName name="AtZSalary">'B6'!$G$45</definedName>
    <definedName name="AtZTotal" localSheetId="0">'SGDA|0001-00'!$J$45</definedName>
    <definedName name="AtZTotal">'B6'!$J$45</definedName>
    <definedName name="AtZVarBen" localSheetId="0">'SGDA|0001-00'!$I$45</definedName>
    <definedName name="AtZVarBen">'B6'!$I$45</definedName>
    <definedName name="BudgetUnit" localSheetId="0">'SGDA|0001-00'!$M$3</definedName>
    <definedName name="BudgetUnit">'B6'!$M$3</definedName>
    <definedName name="BudgetYear">Benefits!$D$4</definedName>
    <definedName name="CECGroup">Benefits!$C$39</definedName>
    <definedName name="CECOrigElectSalary" localSheetId="0">'SGDA|0001-00'!$G$74</definedName>
    <definedName name="CECOrigElectSalary">'B6'!$G$74</definedName>
    <definedName name="CECOrigElectVB" localSheetId="0">'SGDA|0001-00'!$I$74</definedName>
    <definedName name="CECOrigElectVB">'B6'!$I$74</definedName>
    <definedName name="CECOrigGroupSalary" localSheetId="0">'SGDA|0001-00'!$G$73</definedName>
    <definedName name="CECOrigGroupSalary">'B6'!$G$73</definedName>
    <definedName name="CECOrigGroupVB" localSheetId="0">'SGDA|0001-00'!$I$73</definedName>
    <definedName name="CECOrigGroupVB">'B6'!$I$73</definedName>
    <definedName name="CECOrigPermSalary" localSheetId="0">'SGDA|0001-00'!$G$72</definedName>
    <definedName name="CECOrigPermSalary">'B6'!$G$72</definedName>
    <definedName name="CECOrigPermVB" localSheetId="0">'SGDA|0001-00'!$I$72</definedName>
    <definedName name="CECOrigPermVB">'B6'!$I$72</definedName>
    <definedName name="CECPerm">Benefits!$C$38</definedName>
    <definedName name="CECpermCalc" localSheetId="0">'SGDA|0001-00'!$E$72</definedName>
    <definedName name="CECpermCalc">'B6'!$E$72</definedName>
    <definedName name="Department" localSheetId="0">'SGDA|0001-00'!$D$1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'SGDA|0001-00'!$D$2</definedName>
    <definedName name="Division">'B6'!$D$2</definedName>
    <definedName name="DUCECElect" localSheetId="0">'SGDA|0001-00'!$J$74</definedName>
    <definedName name="DUCECElect">'B6'!$J$74</definedName>
    <definedName name="DUCECGroup" localSheetId="0">'SGDA|0001-00'!$J$73</definedName>
    <definedName name="DUCECGroup">'B6'!$J$73</definedName>
    <definedName name="DUCECPerm" localSheetId="0">'SGDA|0001-00'!$J$72</definedName>
    <definedName name="DUCECPerm">'B6'!$J$72</definedName>
    <definedName name="DUEleven" localSheetId="0">'SGDA|0001-00'!$J$75</definedName>
    <definedName name="DUEleven">'B6'!$J$75</definedName>
    <definedName name="DUHealthBen" localSheetId="0">'SGDA|0001-00'!$J$68</definedName>
    <definedName name="DUHealthBen">'B6'!$J$68</definedName>
    <definedName name="DUNine" localSheetId="0">'SGDA|0001-00'!$J$67</definedName>
    <definedName name="DUNine">'B6'!$J$67</definedName>
    <definedName name="DUThirteen" localSheetId="0">'SGDA|0001-00'!$J$80</definedName>
    <definedName name="DUThirteen">'B6'!$J$80</definedName>
    <definedName name="DUVariableBen" localSheetId="0">'SGDA|0001-00'!$J$69</definedName>
    <definedName name="DUVariableBen">'B6'!$J$69</definedName>
    <definedName name="Elect_chg_health" localSheetId="0">'SGDA|0001-00'!$L$12</definedName>
    <definedName name="Elect_chg_health">'B6'!$L$12</definedName>
    <definedName name="Elect_chg_Var" localSheetId="0">'SGDA|0001-00'!$M$12</definedName>
    <definedName name="Elect_chg_Var">'B6'!$M$12</definedName>
    <definedName name="elect_FTP" localSheetId="0">'SGDA|0001-00'!$F$12</definedName>
    <definedName name="elect_FTP">'B6'!$F$12</definedName>
    <definedName name="Elect_health" localSheetId="0">'SGDA|0001-00'!$H$12</definedName>
    <definedName name="Elect_health">'B6'!$H$12</definedName>
    <definedName name="Elect_name" localSheetId="0">'SGDA|0001-00'!$C$12</definedName>
    <definedName name="Elect_name">'B6'!$C$12</definedName>
    <definedName name="Elect_salary" localSheetId="0">'SGDA|0001-00'!$G$12</definedName>
    <definedName name="Elect_salary">'B6'!$G$12</definedName>
    <definedName name="Elect_Var" localSheetId="0">'SGDA|0001-00'!$I$12</definedName>
    <definedName name="Elect_Var">'B6'!$I$12</definedName>
    <definedName name="Elect_VarBen" localSheetId="0">'SGDA|0001-00'!$I$12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'SGDA|0001-00'!#REF!</definedName>
    <definedName name="FillRateAvg_B6">'B6'!#REF!</definedName>
    <definedName name="FiscalYear" localSheetId="0">'SGDA|0001-00'!$M$4</definedName>
    <definedName name="FiscalYear">'B6'!$M$4</definedName>
    <definedName name="FundName" localSheetId="0">'SGDA|0001-00'!$I$5</definedName>
    <definedName name="FundName">'B6'!$I$5</definedName>
    <definedName name="FundNum" localSheetId="0">'SGDA|0001-00'!$N$5</definedName>
    <definedName name="FundNum">'B6'!$N$5</definedName>
    <definedName name="FundNumber" localSheetId="0">'SGDA|0001-00'!$N$5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'SGDA|0001-00'!$C$11</definedName>
    <definedName name="Group_name">'B6'!$C$11</definedName>
    <definedName name="GroupFxdBen" localSheetId="0">'SGDA|0001-00'!$H$11</definedName>
    <definedName name="GroupFxdBen">'B6'!$H$11</definedName>
    <definedName name="GroupSalary" localSheetId="0">'SGDA|0001-00'!$G$11</definedName>
    <definedName name="GroupSalary">'B6'!$G$11</definedName>
    <definedName name="GroupVarBen" localSheetId="0">'SGDA|0001-00'!$I$11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'SGDA|0001-00'!$M$2</definedName>
    <definedName name="LUMAFund">'B6'!$M$2</definedName>
    <definedName name="MAXSSDI">Benefits!$F$5</definedName>
    <definedName name="MAXSSDIBY">Benefits!$G$5</definedName>
    <definedName name="NEW_AdjGroup" localSheetId="0">'SGDA|0001-00'!$AC$39</definedName>
    <definedName name="NEW_AdjGroup">'B6'!$AC$39</definedName>
    <definedName name="NEW_AdjGroupSalary" localSheetId="0">'SGDA|0001-00'!$AA$39</definedName>
    <definedName name="NEW_AdjGroupSalary">'B6'!$AA$39</definedName>
    <definedName name="NEW_AdjGroupVB" localSheetId="0">'SGDA|0001-00'!$AB$39</definedName>
    <definedName name="NEW_AdjGroupVB">'B6'!$AB$39</definedName>
    <definedName name="NEW_AdjONLYGroup" localSheetId="0">'SGDA|0001-00'!$AC$45</definedName>
    <definedName name="NEW_AdjONLYGroup">'B6'!$AC$45</definedName>
    <definedName name="NEW_AdjONLYGroupSalary" localSheetId="0">'SGDA|0001-00'!$AA$45</definedName>
    <definedName name="NEW_AdjONLYGroupSalary">'B6'!$AA$45</definedName>
    <definedName name="NEW_AdjONLYGroupVB" localSheetId="0">'SGDA|0001-00'!$AB$45</definedName>
    <definedName name="NEW_AdjONLYGroupVB">'B6'!$AB$45</definedName>
    <definedName name="NEW_AdjONLYPerm" localSheetId="0">'SGDA|0001-00'!$AC$44</definedName>
    <definedName name="NEW_AdjONLYPerm">'B6'!$AC$44</definedName>
    <definedName name="NEW_AdjONLYPermSalary" localSheetId="0">'SGDA|0001-00'!$AA$44</definedName>
    <definedName name="NEW_AdjONLYPermSalary">'B6'!$AA$44</definedName>
    <definedName name="NEW_AdjONLYPermVB" localSheetId="0">'SGDA|0001-00'!$AB$44</definedName>
    <definedName name="NEW_AdjONLYPermVB">'B6'!$AB$44</definedName>
    <definedName name="NEW_AdjPerm" localSheetId="0">'SGDA|0001-00'!$AC$38</definedName>
    <definedName name="NEW_AdjPerm">'B6'!$AC$38</definedName>
    <definedName name="NEW_AdjPermSalary" localSheetId="0">'SGDA|0001-00'!$AA$38</definedName>
    <definedName name="NEW_AdjPermSalary">'B6'!$AA$38</definedName>
    <definedName name="NEW_AdjPermVB" localSheetId="0">'SGDA|0001-00'!$AB$38</definedName>
    <definedName name="NEW_AdjPermVB">'B6'!$AB$38</definedName>
    <definedName name="NEW_GroupFilled" localSheetId="0">'SGDA|0001-00'!$AC$11</definedName>
    <definedName name="NEW_GroupFilled">'B6'!$AC$11</definedName>
    <definedName name="NEW_GroupSalaryFilled" localSheetId="0">'SGDA|0001-00'!$AA$11</definedName>
    <definedName name="NEW_GroupSalaryFilled">'B6'!$AA$11</definedName>
    <definedName name="NEW_GroupVBFilled" localSheetId="0">'SGDA|0001-00'!$AB$11</definedName>
    <definedName name="NEW_GroupVBFilled">'B6'!$AB$11</definedName>
    <definedName name="NEW_PermFilled" localSheetId="0">'SGDA|0001-00'!$AC$10</definedName>
    <definedName name="NEW_PermFilled">'B6'!$AC$10</definedName>
    <definedName name="NEW_PermSalaryFilled" localSheetId="0">'SGDA|0001-00'!$AA$10</definedName>
    <definedName name="NEW_PermSalaryFilled">'B6'!$AA$10</definedName>
    <definedName name="NEW_PermVBFilled" localSheetId="0">'SGDA|0001-00'!$AB$10</definedName>
    <definedName name="NEW_PermVBFilled">'B6'!$AB$10</definedName>
    <definedName name="OneTimePC_Total" localSheetId="0">'SGDA|0001-00'!$J$63</definedName>
    <definedName name="OneTimePC_Total">'B6'!$J$63</definedName>
    <definedName name="OrigApprop" localSheetId="0">'SGDA|0001-00'!$E$15</definedName>
    <definedName name="OrigApprop">'B6'!$E$15</definedName>
    <definedName name="perm_name" localSheetId="0">'SGDA|0001-00'!$C$10</definedName>
    <definedName name="perm_name">'B6'!$C$10</definedName>
    <definedName name="PermFTP" localSheetId="0">'SGDA|0001-00'!$F$10</definedName>
    <definedName name="PermFTP">'B6'!$F$10</definedName>
    <definedName name="PermFxdBen" localSheetId="0">'SGDA|0001-00'!$H$10</definedName>
    <definedName name="PermFxdBen">'B6'!$H$10</definedName>
    <definedName name="PermFxdBenChg" localSheetId="0">'SGDA|0001-00'!$L$10</definedName>
    <definedName name="PermFxdBenChg">'B6'!$L$10</definedName>
    <definedName name="PermFxdChg" localSheetId="0">'SGDA|0001-00'!$L$10</definedName>
    <definedName name="PermFxdChg">'B6'!$L$10</definedName>
    <definedName name="PermSalary" localSheetId="0">'SGDA|0001-00'!$G$10</definedName>
    <definedName name="PermSalary">'B6'!$G$10</definedName>
    <definedName name="PermVarBen" localSheetId="0">'SGDA|0001-00'!$I$10</definedName>
    <definedName name="PermVarBen">'B6'!$I$10</definedName>
    <definedName name="PermVarBenChg" localSheetId="0">'SGDA|0001-00'!$M$10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3">'B6'!$A$1:$N$81</definedName>
    <definedName name="_xlnm.Print_Area" localSheetId="2">Benefits!$A$1:$G$36</definedName>
    <definedName name="_xlnm.Print_Area" localSheetId="0">'SGDA|0001-00'!$A$1:$N$81</definedName>
    <definedName name="Prog_Unadjusted_Total" localSheetId="0">'SGDA|0001-00'!$C$8:$N$16</definedName>
    <definedName name="Prog_Unadjusted_Total">'B6'!$C$8:$N$16</definedName>
    <definedName name="Program" localSheetId="0">'SGDA|0001-00'!$D$3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'SGDA|0001-00'!$G$52</definedName>
    <definedName name="RoundedAppropSalary">'B6'!$G$52</definedName>
    <definedName name="SalaryChg" localSheetId="0">'SGDA|0001-00'!$K$10</definedName>
    <definedName name="SalaryChg">'B6'!$K$10</definedName>
    <definedName name="SGDA000100col_1_27TH_PP">Data!$BA$33</definedName>
    <definedName name="SGDA000100col_DHR">Data!$BI$33</definedName>
    <definedName name="SGDA000100col_DHR_BY">Data!$BU$33</definedName>
    <definedName name="SGDA000100col_DHR_CHG">Data!$CG$33</definedName>
    <definedName name="SGDA000100col_FTI_SALARY_ELECT">Data!$AZ$33</definedName>
    <definedName name="SGDA000100col_FTI_SALARY_PERM">Data!$AY$33</definedName>
    <definedName name="SGDA000100col_FTI_SALARY_SSDI">Data!$AX$33</definedName>
    <definedName name="SGDA000100col_Group_Ben">Data!$CM$33</definedName>
    <definedName name="SGDA000100col_Group_Salary">Data!$CL$33</definedName>
    <definedName name="SGDA000100col_HEALTH_ELECT">Data!$BC$33</definedName>
    <definedName name="SGDA000100col_HEALTH_ELECT_BY">Data!$BO$33</definedName>
    <definedName name="SGDA000100col_HEALTH_ELECT_CHG">Data!$CA$33</definedName>
    <definedName name="SGDA000100col_HEALTH_PERM">Data!$BB$33</definedName>
    <definedName name="SGDA000100col_HEALTH_PERM_BY">Data!$BN$33</definedName>
    <definedName name="SGDA000100col_HEALTH_PERM_CHG">Data!$BZ$33</definedName>
    <definedName name="SGDA000100col_INC_FTI">Data!$AS$33</definedName>
    <definedName name="SGDA000100col_LIFE_INS">Data!$BG$33</definedName>
    <definedName name="SGDA000100col_LIFE_INS_BY">Data!$BS$33</definedName>
    <definedName name="SGDA000100col_LIFE_INS_CHG">Data!$CE$33</definedName>
    <definedName name="SGDA000100col_RETIREMENT">Data!$BF$33</definedName>
    <definedName name="SGDA000100col_RETIREMENT_BY">Data!$BR$33</definedName>
    <definedName name="SGDA000100col_RETIREMENT_CHG">Data!$CD$33</definedName>
    <definedName name="SGDA000100col_ROWS_PER_PCN">Data!$AW$33</definedName>
    <definedName name="SGDA000100col_SICK">Data!$BK$33</definedName>
    <definedName name="SGDA000100col_SICK_BY">Data!$BW$33</definedName>
    <definedName name="SGDA000100col_SICK_CHG">Data!$CI$33</definedName>
    <definedName name="SGDA000100col_SSDI">Data!$BD$33</definedName>
    <definedName name="SGDA000100col_SSDI_BY">Data!$BP$33</definedName>
    <definedName name="SGDA000100col_SSDI_CHG">Data!$CB$33</definedName>
    <definedName name="SGDA000100col_SSHI">Data!$BE$33</definedName>
    <definedName name="SGDA000100col_SSHI_BY">Data!$BQ$33</definedName>
    <definedName name="SGDA000100col_SSHI_CHGv">Data!$CC$33</definedName>
    <definedName name="SGDA000100col_TOT_VB_ELECT">Data!$BM$33</definedName>
    <definedName name="SGDA000100col_TOT_VB_ELECT_BY">Data!$BY$33</definedName>
    <definedName name="SGDA000100col_TOT_VB_ELECT_CHG">Data!$CK$33</definedName>
    <definedName name="SGDA000100col_TOT_VB_PERM">Data!$BL$33</definedName>
    <definedName name="SGDA000100col_TOT_VB_PERM_BY">Data!$BX$33</definedName>
    <definedName name="SGDA000100col_TOT_VB_PERM_CHG">Data!$CJ$33</definedName>
    <definedName name="SGDA000100col_TOTAL_ELECT_PCN_FTI">Data!$AT$33</definedName>
    <definedName name="SGDA000100col_TOTAL_ELECT_PCN_FTI_ALT">Data!$AV$33</definedName>
    <definedName name="SGDA000100col_TOTAL_PERM_PCN_FTI">Data!$AU$33</definedName>
    <definedName name="SGDA000100col_UNEMP_INS">Data!$BH$33</definedName>
    <definedName name="SGDA000100col_UNEMP_INS_BY">Data!$BT$33</definedName>
    <definedName name="SGDA000100col_UNEMP_INS_CHG">Data!$CF$33</definedName>
    <definedName name="SGDA000100col_WORKERS_COMP">Data!$BJ$33</definedName>
    <definedName name="SGDA000100col_WORKERS_COMP_BY">Data!$BV$33</definedName>
    <definedName name="SGDA000100col_WORKERS_COMP_CHG">Data!$CH$33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'SGDA|0001-00'!#REF!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K17" i="11"/>
  <c r="L17" i="11"/>
  <c r="AZ50" i="5"/>
  <c r="AY50" i="5"/>
  <c r="AW50" i="5"/>
  <c r="AV50" i="5"/>
  <c r="AU50" i="5"/>
  <c r="AT50" i="5"/>
  <c r="AS50" i="5"/>
  <c r="AZ44" i="5"/>
  <c r="AY44" i="5"/>
  <c r="AW44" i="5"/>
  <c r="AV44" i="5"/>
  <c r="AU44" i="5"/>
  <c r="AT44" i="5"/>
  <c r="AS44" i="5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J74" i="12"/>
  <c r="I74" i="12"/>
  <c r="E73" i="12"/>
  <c r="E72" i="12"/>
  <c r="J71" i="12"/>
  <c r="I71" i="12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N34" i="12" s="1"/>
  <c r="L34" i="12"/>
  <c r="J34" i="12"/>
  <c r="I34" i="12"/>
  <c r="H34" i="12"/>
  <c r="M33" i="12"/>
  <c r="N33" i="12" s="1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N29" i="12" s="1"/>
  <c r="L29" i="12"/>
  <c r="J29" i="12"/>
  <c r="I29" i="12"/>
  <c r="H29" i="12"/>
  <c r="M28" i="12"/>
  <c r="N28" i="12" s="1"/>
  <c r="L28" i="12"/>
  <c r="J28" i="12"/>
  <c r="I28" i="12"/>
  <c r="H28" i="12"/>
  <c r="M27" i="12"/>
  <c r="L27" i="12"/>
  <c r="N27" i="12" s="1"/>
  <c r="J27" i="12"/>
  <c r="I27" i="12"/>
  <c r="H27" i="12"/>
  <c r="M26" i="12"/>
  <c r="L26" i="12"/>
  <c r="J26" i="12"/>
  <c r="I26" i="12"/>
  <c r="H26" i="12"/>
  <c r="M25" i="12"/>
  <c r="N25" i="12" s="1"/>
  <c r="L25" i="12"/>
  <c r="J25" i="12"/>
  <c r="I25" i="12"/>
  <c r="H25" i="12"/>
  <c r="N24" i="12"/>
  <c r="M24" i="12"/>
  <c r="L24" i="12"/>
  <c r="J24" i="12"/>
  <c r="I24" i="12"/>
  <c r="H24" i="12"/>
  <c r="M23" i="12"/>
  <c r="L23" i="12"/>
  <c r="N23" i="12" s="1"/>
  <c r="J23" i="12"/>
  <c r="I23" i="12"/>
  <c r="H23" i="12"/>
  <c r="M22" i="12"/>
  <c r="L22" i="12"/>
  <c r="N22" i="12" s="1"/>
  <c r="J22" i="12"/>
  <c r="I22" i="12"/>
  <c r="H22" i="12"/>
  <c r="M21" i="12"/>
  <c r="N21" i="12" s="1"/>
  <c r="L21" i="12"/>
  <c r="J21" i="12"/>
  <c r="I21" i="12"/>
  <c r="H21" i="12"/>
  <c r="M20" i="12"/>
  <c r="N20" i="12" s="1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2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T4" i="5" s="1"/>
  <c r="AS5" i="5"/>
  <c r="AX5" i="5" s="1"/>
  <c r="AS6" i="5"/>
  <c r="AT6" i="5" s="1"/>
  <c r="AS7" i="5"/>
  <c r="AT7" i="5" s="1"/>
  <c r="AS8" i="5"/>
  <c r="AX8" i="5" s="1"/>
  <c r="AS9" i="5"/>
  <c r="AX9" i="5" s="1"/>
  <c r="AS10" i="5"/>
  <c r="AX10" i="5" s="1"/>
  <c r="AS11" i="5"/>
  <c r="AT11" i="5" s="1"/>
  <c r="AS12" i="5"/>
  <c r="AX12" i="5" s="1"/>
  <c r="AS13" i="5"/>
  <c r="AT13" i="5" s="1"/>
  <c r="AS14" i="5"/>
  <c r="AT14" i="5" s="1"/>
  <c r="AS15" i="5"/>
  <c r="AX15" i="5" s="1"/>
  <c r="AS16" i="5"/>
  <c r="AT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T22" i="5" s="1"/>
  <c r="BR22" i="5" s="1"/>
  <c r="AS23" i="5"/>
  <c r="AT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X29" i="5" s="1"/>
  <c r="AS2" i="5"/>
  <c r="AX2" i="5" s="1"/>
  <c r="N26" i="12" l="1"/>
  <c r="N30" i="12"/>
  <c r="N32" i="12"/>
  <c r="N35" i="12"/>
  <c r="AT41" i="5"/>
  <c r="AT42" i="5" s="1"/>
  <c r="AU41" i="5"/>
  <c r="AU42" i="5" s="1"/>
  <c r="AT10" i="5"/>
  <c r="BV10" i="5" s="1"/>
  <c r="AT28" i="5"/>
  <c r="AV28" i="5" s="1"/>
  <c r="BO28" i="5" s="1"/>
  <c r="AT18" i="5"/>
  <c r="BS18" i="5" s="1"/>
  <c r="AT12" i="5"/>
  <c r="BK12" i="5" s="1"/>
  <c r="CM32" i="5"/>
  <c r="CM33" i="5" s="1"/>
  <c r="G5" i="10" s="1"/>
  <c r="BG16" i="5"/>
  <c r="AV16" i="5"/>
  <c r="BO16" i="5" s="1"/>
  <c r="AT25" i="5"/>
  <c r="BT25" i="5" s="1"/>
  <c r="CL32" i="5"/>
  <c r="CL33" i="5" s="1"/>
  <c r="AT24" i="5"/>
  <c r="BE24" i="5" s="1"/>
  <c r="AT8" i="5"/>
  <c r="BI8" i="5" s="1"/>
  <c r="AT21" i="5"/>
  <c r="BM21" i="5" s="1"/>
  <c r="AX4" i="5"/>
  <c r="BD4" i="5" s="1"/>
  <c r="AT20" i="5"/>
  <c r="BE20" i="5" s="1"/>
  <c r="AX16" i="5"/>
  <c r="BD16" i="5" s="1"/>
  <c r="AT29" i="5"/>
  <c r="BK29" i="5" s="1"/>
  <c r="AT17" i="5"/>
  <c r="CJ17" i="5" s="1"/>
  <c r="AT26" i="5"/>
  <c r="CG26" i="5" s="1"/>
  <c r="N39" i="12"/>
  <c r="F52" i="12"/>
  <c r="F56" i="12" s="1"/>
  <c r="F60" i="12" s="1"/>
  <c r="CG11" i="5"/>
  <c r="CE11" i="5"/>
  <c r="CC11" i="5"/>
  <c r="CA11" i="5"/>
  <c r="BY11" i="5"/>
  <c r="CI11" i="5"/>
  <c r="CK11" i="5"/>
  <c r="BW11" i="5"/>
  <c r="BU11" i="5"/>
  <c r="BS11" i="5"/>
  <c r="BQ11" i="5"/>
  <c r="BM11" i="5"/>
  <c r="CF11" i="5"/>
  <c r="CD11" i="5"/>
  <c r="BV11" i="5"/>
  <c r="BT11" i="5"/>
  <c r="BR11" i="5"/>
  <c r="BK11" i="5"/>
  <c r="BI11" i="5"/>
  <c r="BG11" i="5"/>
  <c r="BE11" i="5"/>
  <c r="BA11" i="5"/>
  <c r="AY11" i="5"/>
  <c r="BH11" i="5"/>
  <c r="BF11" i="5"/>
  <c r="AU11" i="5"/>
  <c r="BN11" i="5" s="1"/>
  <c r="AZ11" i="5"/>
  <c r="AV11" i="5"/>
  <c r="BC11" i="5" s="1"/>
  <c r="BJ11" i="5"/>
  <c r="CF23" i="5"/>
  <c r="CD23" i="5"/>
  <c r="BV23" i="5"/>
  <c r="BT23" i="5"/>
  <c r="BR23" i="5"/>
  <c r="CG23" i="5"/>
  <c r="CE23" i="5"/>
  <c r="CC23" i="5"/>
  <c r="CA23" i="5"/>
  <c r="BY23" i="5"/>
  <c r="CI23" i="5"/>
  <c r="CK23" i="5"/>
  <c r="BW23" i="5"/>
  <c r="BU23" i="5"/>
  <c r="BS23" i="5"/>
  <c r="BQ23" i="5"/>
  <c r="BM23" i="5"/>
  <c r="BJ23" i="5"/>
  <c r="BH23" i="5"/>
  <c r="BF23" i="5"/>
  <c r="AZ23" i="5"/>
  <c r="BG23" i="5"/>
  <c r="BA23" i="5"/>
  <c r="BK23" i="5"/>
  <c r="BE23" i="5"/>
  <c r="AU23" i="5"/>
  <c r="BN23" i="5" s="1"/>
  <c r="AV23" i="5"/>
  <c r="BO23" i="5" s="1"/>
  <c r="AY23" i="5"/>
  <c r="BI23" i="5"/>
  <c r="CF7" i="5"/>
  <c r="CD7" i="5"/>
  <c r="BV7" i="5"/>
  <c r="BT7" i="5"/>
  <c r="BR7" i="5"/>
  <c r="CG7" i="5"/>
  <c r="CE7" i="5"/>
  <c r="CC7" i="5"/>
  <c r="CA7" i="5"/>
  <c r="BY7" i="5"/>
  <c r="CI7" i="5"/>
  <c r="CK7" i="5"/>
  <c r="BW7" i="5"/>
  <c r="BU7" i="5"/>
  <c r="BS7" i="5"/>
  <c r="BQ7" i="5"/>
  <c r="BM7" i="5"/>
  <c r="BJ7" i="5"/>
  <c r="BH7" i="5"/>
  <c r="BF7" i="5"/>
  <c r="AZ7" i="5"/>
  <c r="BA7" i="5"/>
  <c r="BK7" i="5"/>
  <c r="BE7" i="5"/>
  <c r="AY7" i="5"/>
  <c r="BI7" i="5"/>
  <c r="AU7" i="5"/>
  <c r="BN7" i="5" s="1"/>
  <c r="BG7" i="5"/>
  <c r="AV7" i="5"/>
  <c r="BO7" i="5" s="1"/>
  <c r="CG13" i="5"/>
  <c r="CE13" i="5"/>
  <c r="CC13" i="5"/>
  <c r="CA13" i="5"/>
  <c r="BY13" i="5"/>
  <c r="CI13" i="5"/>
  <c r="CK13" i="5"/>
  <c r="CH13" i="5"/>
  <c r="BX13" i="5"/>
  <c r="CJ13" i="5"/>
  <c r="CF13" i="5"/>
  <c r="CD13" i="5"/>
  <c r="BZ13" i="5"/>
  <c r="BL13" i="5"/>
  <c r="BV13" i="5"/>
  <c r="BR13" i="5"/>
  <c r="BM13" i="5"/>
  <c r="BW13" i="5"/>
  <c r="BT13" i="5"/>
  <c r="BI13" i="5"/>
  <c r="AU13" i="5"/>
  <c r="BN13" i="5" s="1"/>
  <c r="BS13" i="5"/>
  <c r="BH13" i="5"/>
  <c r="BU13" i="5"/>
  <c r="BQ13" i="5"/>
  <c r="BG13" i="5"/>
  <c r="BA13" i="5"/>
  <c r="AV13" i="5"/>
  <c r="BC13" i="5" s="1"/>
  <c r="BK13" i="5"/>
  <c r="BF13" i="5"/>
  <c r="BE13" i="5"/>
  <c r="AZ13" i="5"/>
  <c r="BJ13" i="5"/>
  <c r="AY13" i="5"/>
  <c r="BV4" i="5"/>
  <c r="BT4" i="5"/>
  <c r="BR4" i="5"/>
  <c r="CG4" i="5"/>
  <c r="CE4" i="5"/>
  <c r="CC4" i="5"/>
  <c r="CA4" i="5"/>
  <c r="BY4" i="5"/>
  <c r="CI4" i="5"/>
  <c r="CK4" i="5"/>
  <c r="BW4" i="5"/>
  <c r="BU4" i="5"/>
  <c r="BS4" i="5"/>
  <c r="BQ4" i="5"/>
  <c r="CF4" i="5"/>
  <c r="CD4" i="5"/>
  <c r="BM4" i="5"/>
  <c r="BE4" i="5"/>
  <c r="AZ4" i="5"/>
  <c r="BJ4" i="5"/>
  <c r="AY4" i="5"/>
  <c r="BI4" i="5"/>
  <c r="AV4" i="5"/>
  <c r="BO4" i="5" s="1"/>
  <c r="BH4" i="5"/>
  <c r="BG4" i="5"/>
  <c r="BA4" i="5"/>
  <c r="BK4" i="5"/>
  <c r="BF4" i="5"/>
  <c r="AU4" i="5"/>
  <c r="BB4" i="5" s="1"/>
  <c r="AT3" i="5"/>
  <c r="AT19" i="5"/>
  <c r="AX7" i="5"/>
  <c r="AT27" i="5"/>
  <c r="AT9" i="5"/>
  <c r="AU16" i="5"/>
  <c r="BB16" i="5" s="1"/>
  <c r="AZ16" i="5"/>
  <c r="BK16" i="5"/>
  <c r="BW22" i="5"/>
  <c r="AX11" i="5"/>
  <c r="AX23" i="5"/>
  <c r="BD23" i="5" s="1"/>
  <c r="BA16" i="5"/>
  <c r="BF16" i="5"/>
  <c r="BM16" i="5"/>
  <c r="BQ22" i="5"/>
  <c r="BR25" i="5"/>
  <c r="BS22" i="5"/>
  <c r="BU22" i="5"/>
  <c r="CF14" i="5"/>
  <c r="CD14" i="5"/>
  <c r="CG14" i="5"/>
  <c r="CE14" i="5"/>
  <c r="CC14" i="5"/>
  <c r="CA14" i="5"/>
  <c r="BY14" i="5"/>
  <c r="CI14" i="5"/>
  <c r="CK14" i="5"/>
  <c r="BW14" i="5"/>
  <c r="BJ14" i="5"/>
  <c r="BH14" i="5"/>
  <c r="BF14" i="5"/>
  <c r="AZ14" i="5"/>
  <c r="AU14" i="5"/>
  <c r="BN14" i="5" s="1"/>
  <c r="BV14" i="5"/>
  <c r="BR14" i="5"/>
  <c r="BK14" i="5"/>
  <c r="BI14" i="5"/>
  <c r="BG14" i="5"/>
  <c r="BE14" i="5"/>
  <c r="BA14" i="5"/>
  <c r="AY14" i="5"/>
  <c r="AV14" i="5"/>
  <c r="BC14" i="5" s="1"/>
  <c r="BT14" i="5"/>
  <c r="AZ25" i="5"/>
  <c r="BA28" i="5"/>
  <c r="BP28" i="5" s="1"/>
  <c r="BI21" i="5"/>
  <c r="BM14" i="5"/>
  <c r="BQ21" i="5"/>
  <c r="BU21" i="5"/>
  <c r="CF22" i="5"/>
  <c r="CD22" i="5"/>
  <c r="CG22" i="5"/>
  <c r="CE22" i="5"/>
  <c r="CC22" i="5"/>
  <c r="CA22" i="5"/>
  <c r="BY22" i="5"/>
  <c r="CI22" i="5"/>
  <c r="CK22" i="5"/>
  <c r="BM22" i="5"/>
  <c r="BJ22" i="5"/>
  <c r="BH22" i="5"/>
  <c r="BF22" i="5"/>
  <c r="AZ22" i="5"/>
  <c r="AU22" i="5"/>
  <c r="BB22" i="5" s="1"/>
  <c r="BT22" i="5"/>
  <c r="BK22" i="5"/>
  <c r="BI22" i="5"/>
  <c r="BG22" i="5"/>
  <c r="BE22" i="5"/>
  <c r="BA22" i="5"/>
  <c r="AY22" i="5"/>
  <c r="AV22" i="5"/>
  <c r="BC22" i="5" s="1"/>
  <c r="BV22" i="5"/>
  <c r="CG25" i="5"/>
  <c r="BS25" i="5"/>
  <c r="BU25" i="5"/>
  <c r="CK16" i="5"/>
  <c r="BW16" i="5"/>
  <c r="BU16" i="5"/>
  <c r="BS16" i="5"/>
  <c r="BQ16" i="5"/>
  <c r="CF16" i="5"/>
  <c r="CD16" i="5"/>
  <c r="BV16" i="5"/>
  <c r="BT16" i="5"/>
  <c r="BR16" i="5"/>
  <c r="CG16" i="5"/>
  <c r="CE16" i="5"/>
  <c r="CC16" i="5"/>
  <c r="CA16" i="5"/>
  <c r="BY16" i="5"/>
  <c r="CI16" i="5"/>
  <c r="AV12" i="5"/>
  <c r="BO12" i="5" s="1"/>
  <c r="BQ14" i="5"/>
  <c r="BU14" i="5"/>
  <c r="BV12" i="5"/>
  <c r="BR12" i="5"/>
  <c r="CC12" i="5"/>
  <c r="CI12" i="5"/>
  <c r="BQ12" i="5"/>
  <c r="CF6" i="5"/>
  <c r="CD6" i="5"/>
  <c r="CG6" i="5"/>
  <c r="CE6" i="5"/>
  <c r="CC6" i="5"/>
  <c r="CA6" i="5"/>
  <c r="BY6" i="5"/>
  <c r="CI6" i="5"/>
  <c r="CK6" i="5"/>
  <c r="BW6" i="5"/>
  <c r="BJ6" i="5"/>
  <c r="BH6" i="5"/>
  <c r="BF6" i="5"/>
  <c r="AZ6" i="5"/>
  <c r="AU6" i="5"/>
  <c r="BN6" i="5" s="1"/>
  <c r="BT6" i="5"/>
  <c r="BM6" i="5"/>
  <c r="BK6" i="5"/>
  <c r="BI6" i="5"/>
  <c r="BG6" i="5"/>
  <c r="BE6" i="5"/>
  <c r="BA6" i="5"/>
  <c r="AY6" i="5"/>
  <c r="AV6" i="5"/>
  <c r="BC6" i="5" s="1"/>
  <c r="BV6" i="5"/>
  <c r="BR6" i="5"/>
  <c r="AT15" i="5"/>
  <c r="AT5" i="5"/>
  <c r="AX13" i="5"/>
  <c r="BD13" i="5" s="1"/>
  <c r="AY21" i="5"/>
  <c r="BI20" i="5"/>
  <c r="AU21" i="5"/>
  <c r="BN21" i="5" s="1"/>
  <c r="AZ21" i="5"/>
  <c r="BH16" i="5"/>
  <c r="BS14" i="5"/>
  <c r="BI16" i="5"/>
  <c r="BK21" i="5"/>
  <c r="CC29" i="5"/>
  <c r="CK29" i="5"/>
  <c r="BV29" i="5"/>
  <c r="CK20" i="5"/>
  <c r="CF20" i="5"/>
  <c r="AY29" i="5"/>
  <c r="AY16" i="5"/>
  <c r="BI28" i="5"/>
  <c r="BK20" i="5"/>
  <c r="BQ6" i="5"/>
  <c r="BS6" i="5"/>
  <c r="BU6" i="5"/>
  <c r="CG21" i="5"/>
  <c r="CC21" i="5"/>
  <c r="BY21" i="5"/>
  <c r="CK21" i="5"/>
  <c r="CF21" i="5"/>
  <c r="BT21" i="5"/>
  <c r="BR21" i="5"/>
  <c r="BE16" i="5"/>
  <c r="BJ28" i="5"/>
  <c r="BJ16" i="5"/>
  <c r="CF26" i="5"/>
  <c r="CE18" i="5"/>
  <c r="CC18" i="5"/>
  <c r="CI18" i="5"/>
  <c r="CK10" i="5"/>
  <c r="AU18" i="5"/>
  <c r="BB18" i="5" s="1"/>
  <c r="AW32" i="5"/>
  <c r="AW33" i="5" s="1"/>
  <c r="AX6" i="5"/>
  <c r="AX14" i="5"/>
  <c r="BD14" i="5" s="1"/>
  <c r="AX22" i="5"/>
  <c r="BD22" i="5" s="1"/>
  <c r="AZ18" i="5"/>
  <c r="BH18" i="5"/>
  <c r="BQ18" i="5"/>
  <c r="BS26" i="5"/>
  <c r="AT2" i="5"/>
  <c r="AV18" i="5"/>
  <c r="BO18" i="5" s="1"/>
  <c r="AY26" i="5"/>
  <c r="BA26" i="5"/>
  <c r="BP26" i="5" s="1"/>
  <c r="BE10" i="5"/>
  <c r="BG26" i="5"/>
  <c r="BG18" i="5"/>
  <c r="BI10" i="5"/>
  <c r="C12" i="7"/>
  <c r="G63" i="12" s="1"/>
  <c r="I63" i="12" s="1"/>
  <c r="C13" i="7"/>
  <c r="C14" i="7"/>
  <c r="E51" i="9"/>
  <c r="BI18" i="5" l="1"/>
  <c r="BU18" i="5"/>
  <c r="CG18" i="5"/>
  <c r="CD21" i="5"/>
  <c r="BT12" i="5"/>
  <c r="CA25" i="5"/>
  <c r="AY12" i="5"/>
  <c r="AZ10" i="5"/>
  <c r="CD18" i="5"/>
  <c r="BG21" i="5"/>
  <c r="CA21" i="5"/>
  <c r="BA21" i="5"/>
  <c r="BP21" i="5" s="1"/>
  <c r="CE29" i="5"/>
  <c r="BF12" i="5"/>
  <c r="BS12" i="5"/>
  <c r="BA25" i="5"/>
  <c r="BP25" i="5" s="1"/>
  <c r="AS41" i="5"/>
  <c r="AS42" i="5" s="1"/>
  <c r="AY18" i="5"/>
  <c r="BF18" i="5"/>
  <c r="CD10" i="5"/>
  <c r="CI26" i="5"/>
  <c r="CG20" i="5"/>
  <c r="BJ20" i="5"/>
  <c r="BJ17" i="5"/>
  <c r="BR10" i="5"/>
  <c r="BF10" i="5"/>
  <c r="AU17" i="5"/>
  <c r="BB17" i="5" s="1"/>
  <c r="BG10" i="5"/>
  <c r="CI10" i="5"/>
  <c r="BH17" i="5"/>
  <c r="CC10" i="5"/>
  <c r="CG10" i="5"/>
  <c r="BU29" i="5"/>
  <c r="BM25" i="5"/>
  <c r="CC25" i="5"/>
  <c r="BK25" i="5"/>
  <c r="AU25" i="5"/>
  <c r="BN25" i="5" s="1"/>
  <c r="BF25" i="5"/>
  <c r="CI25" i="5"/>
  <c r="BJ25" i="5"/>
  <c r="BD25" i="5"/>
  <c r="CB25" i="5" s="1"/>
  <c r="BH25" i="5"/>
  <c r="CF29" i="5"/>
  <c r="CD17" i="5"/>
  <c r="BK17" i="5"/>
  <c r="CF12" i="5"/>
  <c r="BF26" i="5"/>
  <c r="BT20" i="5"/>
  <c r="BD20" i="5"/>
  <c r="BT17" i="5"/>
  <c r="BK10" i="5"/>
  <c r="AY10" i="5"/>
  <c r="BJ10" i="5"/>
  <c r="CE10" i="5"/>
  <c r="CK26" i="5"/>
  <c r="BE17" i="5"/>
  <c r="CG8" i="5"/>
  <c r="BI17" i="5"/>
  <c r="BW12" i="5"/>
  <c r="BE18" i="5"/>
  <c r="BS10" i="5"/>
  <c r="BD10" i="5"/>
  <c r="AU10" i="5"/>
  <c r="BN10" i="5" s="1"/>
  <c r="CF18" i="5"/>
  <c r="CC26" i="5"/>
  <c r="BV21" i="5"/>
  <c r="CE21" i="5"/>
  <c r="BH12" i="5"/>
  <c r="BY20" i="5"/>
  <c r="BM8" i="5"/>
  <c r="BH28" i="5"/>
  <c r="CK12" i="5"/>
  <c r="BJ8" i="5"/>
  <c r="BM12" i="5"/>
  <c r="CE12" i="5"/>
  <c r="AV8" i="5"/>
  <c r="BC8" i="5" s="1"/>
  <c r="BU17" i="5"/>
  <c r="CD25" i="5"/>
  <c r="BV25" i="5"/>
  <c r="BE25" i="5"/>
  <c r="CI29" i="5"/>
  <c r="BI29" i="5"/>
  <c r="BG25" i="5"/>
  <c r="CA29" i="5"/>
  <c r="AY17" i="5"/>
  <c r="BQ25" i="5"/>
  <c r="CF25" i="5"/>
  <c r="AY25" i="5"/>
  <c r="BU28" i="5"/>
  <c r="BT29" i="5"/>
  <c r="BH29" i="5"/>
  <c r="BM29" i="5"/>
  <c r="BY25" i="5"/>
  <c r="BE12" i="5"/>
  <c r="BS24" i="5"/>
  <c r="AV26" i="5"/>
  <c r="BO26" i="5" s="1"/>
  <c r="BH10" i="5"/>
  <c r="AZ26" i="5"/>
  <c r="CF10" i="5"/>
  <c r="CE26" i="5"/>
  <c r="CI20" i="5"/>
  <c r="BW21" i="5"/>
  <c r="CA8" i="5"/>
  <c r="BA17" i="5"/>
  <c r="BP17" i="5" s="1"/>
  <c r="CF8" i="5"/>
  <c r="BS8" i="5"/>
  <c r="CI24" i="5"/>
  <c r="AY28" i="5"/>
  <c r="CG24" i="5"/>
  <c r="BW17" i="5"/>
  <c r="BU24" i="5"/>
  <c r="CG28" i="5"/>
  <c r="BF24" i="5"/>
  <c r="BK28" i="5"/>
  <c r="BC16" i="5"/>
  <c r="BH24" i="5"/>
  <c r="BG17" i="5"/>
  <c r="BM17" i="5"/>
  <c r="BA24" i="5"/>
  <c r="BP24" i="5" s="1"/>
  <c r="BY8" i="5"/>
  <c r="BZ17" i="5"/>
  <c r="BD21" i="5"/>
  <c r="CB21" i="5" s="1"/>
  <c r="BK18" i="5"/>
  <c r="BA10" i="5"/>
  <c r="BP10" i="5" s="1"/>
  <c r="BW26" i="5"/>
  <c r="BH26" i="5"/>
  <c r="BW10" i="5"/>
  <c r="CK18" i="5"/>
  <c r="BY26" i="5"/>
  <c r="BA8" i="5"/>
  <c r="BP8" i="5" s="1"/>
  <c r="CE20" i="5"/>
  <c r="BD17" i="5"/>
  <c r="CD24" i="5"/>
  <c r="AZ24" i="5"/>
  <c r="BR8" i="5"/>
  <c r="AY24" i="5"/>
  <c r="CF28" i="5"/>
  <c r="BL17" i="5"/>
  <c r="BY28" i="5"/>
  <c r="AZ17" i="5"/>
  <c r="BC28" i="5"/>
  <c r="BV24" i="5"/>
  <c r="CC17" i="5"/>
  <c r="BP7" i="5"/>
  <c r="BX7" i="5" s="1"/>
  <c r="BR28" i="5"/>
  <c r="CH17" i="5"/>
  <c r="BW24" i="5"/>
  <c r="BP4" i="5"/>
  <c r="BX4" i="5" s="1"/>
  <c r="BK26" i="5"/>
  <c r="BE26" i="5"/>
  <c r="AV10" i="5"/>
  <c r="BC10" i="5" s="1"/>
  <c r="BJ18" i="5"/>
  <c r="BD26" i="5"/>
  <c r="CB26" i="5" s="1"/>
  <c r="AU26" i="5"/>
  <c r="BN26" i="5" s="1"/>
  <c r="CA10" i="5"/>
  <c r="BY18" i="5"/>
  <c r="CA26" i="5"/>
  <c r="BG8" i="5"/>
  <c r="BF20" i="5"/>
  <c r="BQ20" i="5"/>
  <c r="AZ8" i="5"/>
  <c r="CA24" i="5"/>
  <c r="BU8" i="5"/>
  <c r="BX17" i="5"/>
  <c r="BF17" i="5"/>
  <c r="CC28" i="5"/>
  <c r="BG24" i="5"/>
  <c r="CF24" i="5"/>
  <c r="AZ28" i="5"/>
  <c r="BY24" i="5"/>
  <c r="BI24" i="5"/>
  <c r="BN16" i="5"/>
  <c r="BZ16" i="5" s="1"/>
  <c r="CE24" i="5"/>
  <c r="CF17" i="5"/>
  <c r="BG29" i="5"/>
  <c r="BS29" i="5"/>
  <c r="BT18" i="5"/>
  <c r="BQ29" i="5"/>
  <c r="BE29" i="5"/>
  <c r="BS20" i="5"/>
  <c r="BR29" i="5"/>
  <c r="BN17" i="5"/>
  <c r="BD29" i="5"/>
  <c r="AV24" i="5"/>
  <c r="BO24" i="5" s="1"/>
  <c r="BR24" i="5"/>
  <c r="CA12" i="5"/>
  <c r="AU29" i="5"/>
  <c r="BB29" i="5" s="1"/>
  <c r="BT8" i="5"/>
  <c r="CA17" i="5"/>
  <c r="AZ12" i="5"/>
  <c r="BI12" i="5"/>
  <c r="CD28" i="5"/>
  <c r="AV17" i="5"/>
  <c r="BQ10" i="5"/>
  <c r="BJ12" i="5"/>
  <c r="BD12" i="5"/>
  <c r="CK28" i="5"/>
  <c r="BY10" i="5"/>
  <c r="AZ29" i="5"/>
  <c r="CI21" i="5"/>
  <c r="BF8" i="5"/>
  <c r="CD20" i="5"/>
  <c r="CC20" i="5"/>
  <c r="CD29" i="5"/>
  <c r="CG29" i="5"/>
  <c r="BF21" i="5"/>
  <c r="BR17" i="5"/>
  <c r="BE21" i="5"/>
  <c r="BM24" i="5"/>
  <c r="BT24" i="5"/>
  <c r="CK24" i="5"/>
  <c r="AV21" i="5"/>
  <c r="BO21" i="5" s="1"/>
  <c r="CD8" i="5"/>
  <c r="BQ17" i="5"/>
  <c r="CK17" i="5"/>
  <c r="BJ24" i="5"/>
  <c r="BD24" i="5"/>
  <c r="CA28" i="5"/>
  <c r="BT10" i="5"/>
  <c r="BW29" i="5"/>
  <c r="BJ29" i="5"/>
  <c r="BU20" i="5"/>
  <c r="BV20" i="5"/>
  <c r="BY29" i="5"/>
  <c r="AY20" i="5"/>
  <c r="CC24" i="5"/>
  <c r="BQ24" i="5"/>
  <c r="BJ21" i="5"/>
  <c r="AU8" i="5"/>
  <c r="BB8" i="5" s="1"/>
  <c r="CC8" i="5"/>
  <c r="BW8" i="5"/>
  <c r="CE17" i="5"/>
  <c r="BS21" i="5"/>
  <c r="BH20" i="5"/>
  <c r="BF29" i="5"/>
  <c r="BQ28" i="5"/>
  <c r="BT28" i="5"/>
  <c r="BU10" i="5"/>
  <c r="BM10" i="5"/>
  <c r="BO13" i="5"/>
  <c r="BB13" i="5"/>
  <c r="BH21" i="5"/>
  <c r="BM18" i="5"/>
  <c r="AV29" i="5"/>
  <c r="BW28" i="5"/>
  <c r="I11" i="12"/>
  <c r="I39" i="12" s="1"/>
  <c r="AB39" i="12" s="1"/>
  <c r="BG20" i="5"/>
  <c r="BA29" i="5"/>
  <c r="BP29" i="5" s="1"/>
  <c r="BR18" i="5"/>
  <c r="BI26" i="5"/>
  <c r="BA18" i="5"/>
  <c r="BP18" i="5" s="1"/>
  <c r="BJ26" i="5"/>
  <c r="BD18" i="5"/>
  <c r="BW18" i="5"/>
  <c r="CD26" i="5"/>
  <c r="BI25" i="5"/>
  <c r="BA20" i="5"/>
  <c r="BP20" i="5" s="1"/>
  <c r="BD28" i="5"/>
  <c r="CB28" i="5" s="1"/>
  <c r="CA20" i="5"/>
  <c r="BK8" i="5"/>
  <c r="BO6" i="5"/>
  <c r="BE8" i="5"/>
  <c r="AV25" i="5"/>
  <c r="AY8" i="5"/>
  <c r="BU12" i="5"/>
  <c r="CG12" i="5"/>
  <c r="BW25" i="5"/>
  <c r="CK25" i="5"/>
  <c r="CE8" i="5"/>
  <c r="BQ8" i="5"/>
  <c r="BS17" i="5"/>
  <c r="CG17" i="5"/>
  <c r="CI17" i="5"/>
  <c r="BF28" i="5"/>
  <c r="BP11" i="5"/>
  <c r="BX11" i="5" s="1"/>
  <c r="BS28" i="5"/>
  <c r="CE28" i="5"/>
  <c r="BP16" i="5"/>
  <c r="CB16" i="5" s="1"/>
  <c r="AV20" i="5"/>
  <c r="BC20" i="5" s="1"/>
  <c r="CA18" i="5"/>
  <c r="BM20" i="5"/>
  <c r="AU12" i="5"/>
  <c r="BN12" i="5" s="1"/>
  <c r="BW20" i="5"/>
  <c r="BR20" i="5"/>
  <c r="BG12" i="5"/>
  <c r="AZ20" i="5"/>
  <c r="BA12" i="5"/>
  <c r="BP12" i="5" s="1"/>
  <c r="BG28" i="5"/>
  <c r="AU20" i="5"/>
  <c r="BB20" i="5" s="1"/>
  <c r="CD12" i="5"/>
  <c r="BY12" i="5"/>
  <c r="BV17" i="5"/>
  <c r="BD8" i="5"/>
  <c r="CE25" i="5"/>
  <c r="CI8" i="5"/>
  <c r="BV8" i="5"/>
  <c r="CK8" i="5"/>
  <c r="BY17" i="5"/>
  <c r="BO14" i="5"/>
  <c r="BH8" i="5"/>
  <c r="BE28" i="5"/>
  <c r="BM28" i="5"/>
  <c r="CI28" i="5"/>
  <c r="BV28" i="5"/>
  <c r="BV18" i="5"/>
  <c r="AU28" i="5"/>
  <c r="BC12" i="5"/>
  <c r="BP6" i="5"/>
  <c r="BX6" i="5" s="1"/>
  <c r="BN22" i="5"/>
  <c r="BZ22" i="5" s="1"/>
  <c r="BK24" i="5"/>
  <c r="AU24" i="5"/>
  <c r="G11" i="12"/>
  <c r="E5" i="10"/>
  <c r="H5" i="10" s="1"/>
  <c r="BN18" i="5"/>
  <c r="BZ18" i="5" s="1"/>
  <c r="BP14" i="5"/>
  <c r="CB14" i="5" s="1"/>
  <c r="BB11" i="5"/>
  <c r="BZ11" i="5" s="1"/>
  <c r="BO22" i="5"/>
  <c r="BM26" i="5"/>
  <c r="BV26" i="5"/>
  <c r="BR26" i="5"/>
  <c r="BU26" i="5"/>
  <c r="BQ26" i="5"/>
  <c r="BT26" i="5"/>
  <c r="F67" i="12"/>
  <c r="BB21" i="5"/>
  <c r="BZ21" i="5" s="1"/>
  <c r="BL22" i="5"/>
  <c r="BB14" i="5"/>
  <c r="BZ14" i="5" s="1"/>
  <c r="BC4" i="5"/>
  <c r="BP13" i="5"/>
  <c r="CB13" i="5" s="1"/>
  <c r="BP23" i="5"/>
  <c r="CB23" i="5" s="1"/>
  <c r="BB6" i="5"/>
  <c r="BZ6" i="5" s="1"/>
  <c r="AX32" i="5"/>
  <c r="AX33" i="5" s="1"/>
  <c r="BN4" i="5"/>
  <c r="BZ4" i="5" s="1"/>
  <c r="BC7" i="5"/>
  <c r="BB7" i="5"/>
  <c r="BZ7" i="5" s="1"/>
  <c r="CF2" i="5"/>
  <c r="CD2" i="5"/>
  <c r="CG2" i="5"/>
  <c r="CE2" i="5"/>
  <c r="CC2" i="5"/>
  <c r="CA2" i="5"/>
  <c r="BY2" i="5"/>
  <c r="AT32" i="5"/>
  <c r="AT33" i="5" s="1"/>
  <c r="CI2" i="5"/>
  <c r="AS32" i="5"/>
  <c r="AS33" i="5" s="1"/>
  <c r="CK2" i="5"/>
  <c r="BJ2" i="5"/>
  <c r="BH2" i="5"/>
  <c r="BF2" i="5"/>
  <c r="BD2" i="5"/>
  <c r="AZ2" i="5"/>
  <c r="AV2" i="5"/>
  <c r="BC2" i="5" s="1"/>
  <c r="BV2" i="5"/>
  <c r="BR2" i="5"/>
  <c r="BK2" i="5"/>
  <c r="BI2" i="5"/>
  <c r="BG2" i="5"/>
  <c r="BE2" i="5"/>
  <c r="BA2" i="5"/>
  <c r="BP2" i="5" s="1"/>
  <c r="AY2" i="5"/>
  <c r="AU2" i="5"/>
  <c r="BT2" i="5"/>
  <c r="BS2" i="5"/>
  <c r="BW2" i="5"/>
  <c r="BU2" i="5"/>
  <c r="BQ2" i="5"/>
  <c r="BM2" i="5"/>
  <c r="BD6" i="5"/>
  <c r="BP22" i="5"/>
  <c r="CB22" i="5" s="1"/>
  <c r="BL14" i="5"/>
  <c r="CG19" i="5"/>
  <c r="CE19" i="5"/>
  <c r="CC19" i="5"/>
  <c r="CA19" i="5"/>
  <c r="BY19" i="5"/>
  <c r="CI19" i="5"/>
  <c r="CK19" i="5"/>
  <c r="BW19" i="5"/>
  <c r="BU19" i="5"/>
  <c r="BS19" i="5"/>
  <c r="BQ19" i="5"/>
  <c r="BM19" i="5"/>
  <c r="CF19" i="5"/>
  <c r="CD19" i="5"/>
  <c r="BV19" i="5"/>
  <c r="BT19" i="5"/>
  <c r="BR19" i="5"/>
  <c r="BK19" i="5"/>
  <c r="BI19" i="5"/>
  <c r="BG19" i="5"/>
  <c r="BE19" i="5"/>
  <c r="BA19" i="5"/>
  <c r="BP19" i="5" s="1"/>
  <c r="AY19" i="5"/>
  <c r="BF19" i="5"/>
  <c r="AZ19" i="5"/>
  <c r="BJ19" i="5"/>
  <c r="BD19" i="5"/>
  <c r="AU19" i="5"/>
  <c r="BB19" i="5" s="1"/>
  <c r="BH19" i="5"/>
  <c r="AV19" i="5"/>
  <c r="BO19" i="5" s="1"/>
  <c r="BD7" i="5"/>
  <c r="BB10" i="5"/>
  <c r="BZ10" i="5" s="1"/>
  <c r="BC18" i="5"/>
  <c r="CG5" i="5"/>
  <c r="CE5" i="5"/>
  <c r="CC5" i="5"/>
  <c r="CA5" i="5"/>
  <c r="BY5" i="5"/>
  <c r="CI5" i="5"/>
  <c r="CK5" i="5"/>
  <c r="CF5" i="5"/>
  <c r="CD5" i="5"/>
  <c r="BT5" i="5"/>
  <c r="BV5" i="5"/>
  <c r="BR5" i="5"/>
  <c r="BU5" i="5"/>
  <c r="BS5" i="5"/>
  <c r="BQ5" i="5"/>
  <c r="BK5" i="5"/>
  <c r="BF5" i="5"/>
  <c r="BM5" i="5"/>
  <c r="BE5" i="5"/>
  <c r="AZ5" i="5"/>
  <c r="BJ5" i="5"/>
  <c r="AY5" i="5"/>
  <c r="BI5" i="5"/>
  <c r="BD5" i="5"/>
  <c r="AV5" i="5"/>
  <c r="BC5" i="5" s="1"/>
  <c r="BW5" i="5"/>
  <c r="BH5" i="5"/>
  <c r="BG5" i="5"/>
  <c r="BA5" i="5"/>
  <c r="BP5" i="5" s="1"/>
  <c r="AU5" i="5"/>
  <c r="BB5" i="5" s="1"/>
  <c r="BL4" i="5"/>
  <c r="BC23" i="5"/>
  <c r="BL16" i="5"/>
  <c r="CJ15" i="5"/>
  <c r="CF15" i="5"/>
  <c r="CD15" i="5"/>
  <c r="BZ15" i="5"/>
  <c r="BV15" i="5"/>
  <c r="BT15" i="5"/>
  <c r="BR15" i="5"/>
  <c r="CG15" i="5"/>
  <c r="CE15" i="5"/>
  <c r="CC15" i="5"/>
  <c r="CA15" i="5"/>
  <c r="BY15" i="5"/>
  <c r="CI15" i="5"/>
  <c r="CK15" i="5"/>
  <c r="CH15" i="5"/>
  <c r="BX15" i="5"/>
  <c r="BW15" i="5"/>
  <c r="BU15" i="5"/>
  <c r="BS15" i="5"/>
  <c r="BQ15" i="5"/>
  <c r="BM15" i="5"/>
  <c r="BJ15" i="5"/>
  <c r="BH15" i="5"/>
  <c r="BF15" i="5"/>
  <c r="BD15" i="5"/>
  <c r="AZ15" i="5"/>
  <c r="AY15" i="5"/>
  <c r="BI15" i="5"/>
  <c r="AV15" i="5"/>
  <c r="BO15" i="5" s="1"/>
  <c r="BG15" i="5"/>
  <c r="BA15" i="5"/>
  <c r="BP15" i="5" s="1"/>
  <c r="BL15" i="5"/>
  <c r="BK15" i="5"/>
  <c r="BE15" i="5"/>
  <c r="AU15" i="5"/>
  <c r="BN15" i="5" s="1"/>
  <c r="CI9" i="5"/>
  <c r="CK9" i="5"/>
  <c r="CF9" i="5"/>
  <c r="CD9" i="5"/>
  <c r="CG9" i="5"/>
  <c r="CE9" i="5"/>
  <c r="CC9" i="5"/>
  <c r="CA9" i="5"/>
  <c r="BY9" i="5"/>
  <c r="BS9" i="5"/>
  <c r="BU9" i="5"/>
  <c r="BQ9" i="5"/>
  <c r="BR9" i="5"/>
  <c r="BG9" i="5"/>
  <c r="BV9" i="5"/>
  <c r="BT9" i="5"/>
  <c r="BF9" i="5"/>
  <c r="BA9" i="5"/>
  <c r="BP9" i="5" s="1"/>
  <c r="BM9" i="5"/>
  <c r="BK9" i="5"/>
  <c r="AZ9" i="5"/>
  <c r="BE9" i="5"/>
  <c r="AU9" i="5"/>
  <c r="BN9" i="5" s="1"/>
  <c r="BJ9" i="5"/>
  <c r="BW9" i="5"/>
  <c r="BD9" i="5"/>
  <c r="AY9" i="5"/>
  <c r="BI9" i="5"/>
  <c r="BH9" i="5"/>
  <c r="AV9" i="5"/>
  <c r="BO9" i="5" s="1"/>
  <c r="BL23" i="5"/>
  <c r="BD11" i="5"/>
  <c r="BL11" i="5" s="1"/>
  <c r="BO11" i="5"/>
  <c r="CG27" i="5"/>
  <c r="CE27" i="5"/>
  <c r="CC27" i="5"/>
  <c r="CA27" i="5"/>
  <c r="BY27" i="5"/>
  <c r="CI27" i="5"/>
  <c r="CK27" i="5"/>
  <c r="BW27" i="5"/>
  <c r="BU27" i="5"/>
  <c r="BS27" i="5"/>
  <c r="BQ27" i="5"/>
  <c r="BM27" i="5"/>
  <c r="CF27" i="5"/>
  <c r="CD27" i="5"/>
  <c r="BV27" i="5"/>
  <c r="BT27" i="5"/>
  <c r="BR27" i="5"/>
  <c r="BK27" i="5"/>
  <c r="BI27" i="5"/>
  <c r="BG27" i="5"/>
  <c r="BE27" i="5"/>
  <c r="BA27" i="5"/>
  <c r="BP27" i="5" s="1"/>
  <c r="AY27" i="5"/>
  <c r="BD27" i="5"/>
  <c r="AV27" i="5"/>
  <c r="BC27" i="5" s="1"/>
  <c r="BH27" i="5"/>
  <c r="BF27" i="5"/>
  <c r="AZ27" i="5"/>
  <c r="BJ27" i="5"/>
  <c r="AU27" i="5"/>
  <c r="BB27" i="5" s="1"/>
  <c r="BB23" i="5"/>
  <c r="BZ23" i="5" s="1"/>
  <c r="CG3" i="5"/>
  <c r="CE3" i="5"/>
  <c r="CC3" i="5"/>
  <c r="CA3" i="5"/>
  <c r="BY3" i="5"/>
  <c r="CI3" i="5"/>
  <c r="CK3" i="5"/>
  <c r="BW3" i="5"/>
  <c r="BU3" i="5"/>
  <c r="BS3" i="5"/>
  <c r="BQ3" i="5"/>
  <c r="BM3" i="5"/>
  <c r="CF3" i="5"/>
  <c r="CD3" i="5"/>
  <c r="BV3" i="5"/>
  <c r="BT3" i="5"/>
  <c r="BR3" i="5"/>
  <c r="BK3" i="5"/>
  <c r="BI3" i="5"/>
  <c r="BG3" i="5"/>
  <c r="BE3" i="5"/>
  <c r="BA3" i="5"/>
  <c r="BP3" i="5" s="1"/>
  <c r="AY3" i="5"/>
  <c r="BJ3" i="5"/>
  <c r="BD3" i="5"/>
  <c r="AU3" i="5"/>
  <c r="BB3" i="5" s="1"/>
  <c r="BH3" i="5"/>
  <c r="AV3" i="5"/>
  <c r="BC3" i="5" s="1"/>
  <c r="BF3" i="5"/>
  <c r="AZ3" i="5"/>
  <c r="D14" i="7"/>
  <c r="BL10" i="5" l="1"/>
  <c r="CB10" i="5"/>
  <c r="BX25" i="5"/>
  <c r="AY41" i="5"/>
  <c r="AY42" i="5" s="1"/>
  <c r="AV41" i="5"/>
  <c r="AV42" i="5" s="1"/>
  <c r="BB25" i="5"/>
  <c r="BZ25" i="5" s="1"/>
  <c r="CB7" i="5"/>
  <c r="BC26" i="5"/>
  <c r="CB20" i="5"/>
  <c r="BO10" i="5"/>
  <c r="BB26" i="5"/>
  <c r="BZ26" i="5" s="1"/>
  <c r="BL25" i="5"/>
  <c r="BO8" i="5"/>
  <c r="CB17" i="5"/>
  <c r="BN29" i="5"/>
  <c r="BZ29" i="5" s="1"/>
  <c r="CB4" i="5"/>
  <c r="CB6" i="5"/>
  <c r="BX21" i="5"/>
  <c r="BL12" i="5"/>
  <c r="BC21" i="5"/>
  <c r="BX28" i="5"/>
  <c r="BL28" i="5"/>
  <c r="BL18" i="5"/>
  <c r="CB12" i="5"/>
  <c r="BL26" i="5"/>
  <c r="BX10" i="5"/>
  <c r="CB24" i="5"/>
  <c r="CB8" i="5"/>
  <c r="BL20" i="5"/>
  <c r="BL21" i="5"/>
  <c r="BX8" i="5"/>
  <c r="CB29" i="5"/>
  <c r="CB18" i="5"/>
  <c r="BX24" i="5"/>
  <c r="BN8" i="5"/>
  <c r="BZ8" i="5" s="1"/>
  <c r="BL29" i="5"/>
  <c r="BX29" i="5"/>
  <c r="BC24" i="5"/>
  <c r="BX14" i="5"/>
  <c r="CB15" i="5"/>
  <c r="BO17" i="5"/>
  <c r="BC17" i="5"/>
  <c r="BX20" i="5"/>
  <c r="BL24" i="5"/>
  <c r="BX16" i="5"/>
  <c r="BX18" i="5"/>
  <c r="BX23" i="5"/>
  <c r="BB15" i="5"/>
  <c r="BL8" i="5"/>
  <c r="BN20" i="5"/>
  <c r="BZ20" i="5" s="1"/>
  <c r="BX12" i="5"/>
  <c r="BC15" i="5"/>
  <c r="BO29" i="5"/>
  <c r="BC29" i="5"/>
  <c r="BX26" i="5"/>
  <c r="BO25" i="5"/>
  <c r="BC25" i="5"/>
  <c r="BB12" i="5"/>
  <c r="BZ12" i="5" s="1"/>
  <c r="BN5" i="5"/>
  <c r="BZ5" i="5" s="1"/>
  <c r="BB28" i="5"/>
  <c r="BN28" i="5"/>
  <c r="BO20" i="5"/>
  <c r="BO5" i="5"/>
  <c r="F10" i="12"/>
  <c r="F38" i="12" s="1"/>
  <c r="D4" i="10"/>
  <c r="G39" i="12"/>
  <c r="AB11" i="12"/>
  <c r="AB45" i="12" s="1"/>
  <c r="AA11" i="12"/>
  <c r="J11" i="12"/>
  <c r="BN24" i="5"/>
  <c r="BB24" i="5"/>
  <c r="F12" i="12"/>
  <c r="D6" i="10"/>
  <c r="D7" i="10" s="1"/>
  <c r="D10" i="10" s="1"/>
  <c r="BN19" i="5"/>
  <c r="BZ19" i="5" s="1"/>
  <c r="BL6" i="5"/>
  <c r="CB9" i="5"/>
  <c r="F75" i="12"/>
  <c r="F80" i="12" s="1"/>
  <c r="CB27" i="5"/>
  <c r="BX27" i="5"/>
  <c r="CB2" i="5"/>
  <c r="BP32" i="5"/>
  <c r="BP33" i="5" s="1"/>
  <c r="CB5" i="5"/>
  <c r="BX5" i="5"/>
  <c r="BL3" i="5"/>
  <c r="BL27" i="5"/>
  <c r="BN27" i="5"/>
  <c r="BZ27" i="5" s="1"/>
  <c r="BB9" i="5"/>
  <c r="BZ9" i="5" s="1"/>
  <c r="BC19" i="5"/>
  <c r="AU32" i="5"/>
  <c r="AU33" i="5" s="1"/>
  <c r="BO2" i="5"/>
  <c r="BF32" i="5"/>
  <c r="BF33" i="5" s="1"/>
  <c r="CA32" i="5"/>
  <c r="CA33" i="5" s="1"/>
  <c r="BO27" i="5"/>
  <c r="BM32" i="5"/>
  <c r="BM33" i="5" s="1"/>
  <c r="AY32" i="5"/>
  <c r="AY33" i="5" s="1"/>
  <c r="BN2" i="5"/>
  <c r="BH32" i="5"/>
  <c r="BH33" i="5" s="1"/>
  <c r="CC32" i="5"/>
  <c r="CC33" i="5" s="1"/>
  <c r="BN3" i="5"/>
  <c r="BZ3" i="5" s="1"/>
  <c r="CB3" i="5"/>
  <c r="BX3" i="5"/>
  <c r="BX9" i="5"/>
  <c r="BL5" i="5"/>
  <c r="BL19" i="5"/>
  <c r="BX22" i="5"/>
  <c r="BR32" i="5"/>
  <c r="BR33" i="5" s="1"/>
  <c r="BJ32" i="5"/>
  <c r="BJ33" i="5" s="1"/>
  <c r="CE32" i="5"/>
  <c r="CE33" i="5" s="1"/>
  <c r="CB11" i="5"/>
  <c r="BO3" i="5"/>
  <c r="BA32" i="5"/>
  <c r="BA33" i="5" s="1"/>
  <c r="BL7" i="5"/>
  <c r="BQ32" i="5"/>
  <c r="BQ33" i="5" s="1"/>
  <c r="BV32" i="5"/>
  <c r="BV33" i="5" s="1"/>
  <c r="CK32" i="5"/>
  <c r="CK33" i="5" s="1"/>
  <c r="CG32" i="5"/>
  <c r="CG33" i="5" s="1"/>
  <c r="BX2" i="5"/>
  <c r="BU32" i="5"/>
  <c r="BU33" i="5" s="1"/>
  <c r="BE32" i="5"/>
  <c r="BE33" i="5" s="1"/>
  <c r="AV32" i="5"/>
  <c r="AV33" i="5" s="1"/>
  <c r="BC9" i="5"/>
  <c r="BW32" i="5"/>
  <c r="BW33" i="5" s="1"/>
  <c r="BG32" i="5"/>
  <c r="BG33" i="5" s="1"/>
  <c r="AZ32" i="5"/>
  <c r="AZ33" i="5" s="1"/>
  <c r="CI32" i="5"/>
  <c r="CI33" i="5" s="1"/>
  <c r="CD32" i="5"/>
  <c r="CD33" i="5" s="1"/>
  <c r="CB19" i="5"/>
  <c r="BX19" i="5"/>
  <c r="BS32" i="5"/>
  <c r="BS33" i="5" s="1"/>
  <c r="BL2" i="5"/>
  <c r="BI32" i="5"/>
  <c r="BI33" i="5" s="1"/>
  <c r="BB2" i="5"/>
  <c r="CF32" i="5"/>
  <c r="CF33" i="5" s="1"/>
  <c r="BL9" i="5"/>
  <c r="BT32" i="5"/>
  <c r="BT33" i="5" s="1"/>
  <c r="BK32" i="5"/>
  <c r="BK33" i="5" s="1"/>
  <c r="BD32" i="5"/>
  <c r="BD33" i="5" s="1"/>
  <c r="BY32" i="5"/>
  <c r="BY33" i="5" s="1"/>
  <c r="AB10" i="9"/>
  <c r="BA41" i="5" l="1"/>
  <c r="AX41" i="5"/>
  <c r="AZ41" i="5"/>
  <c r="AZ42" i="5" s="1"/>
  <c r="BB32" i="5"/>
  <c r="BB33" i="5" s="1"/>
  <c r="F4" i="10" s="1"/>
  <c r="AW41" i="5"/>
  <c r="AW42" i="5" s="1"/>
  <c r="BC32" i="5"/>
  <c r="BC33" i="5" s="1"/>
  <c r="F6" i="10" s="1"/>
  <c r="BZ28" i="5"/>
  <c r="K10" i="12"/>
  <c r="I4" i="10"/>
  <c r="G10" i="12"/>
  <c r="E4" i="10"/>
  <c r="BZ24" i="5"/>
  <c r="I12" i="12"/>
  <c r="I40" i="12" s="1"/>
  <c r="G6" i="10"/>
  <c r="G12" i="12"/>
  <c r="E6" i="10"/>
  <c r="L12" i="12"/>
  <c r="J6" i="10"/>
  <c r="M12" i="12"/>
  <c r="M40" i="12" s="1"/>
  <c r="K6" i="10"/>
  <c r="AA39" i="12"/>
  <c r="J39" i="12"/>
  <c r="F13" i="12"/>
  <c r="F16" i="12" s="1"/>
  <c r="F40" i="12"/>
  <c r="F41" i="12" s="1"/>
  <c r="BL32" i="5"/>
  <c r="BL33" i="5" s="1"/>
  <c r="BO32" i="5"/>
  <c r="BO33" i="5" s="1"/>
  <c r="BN32" i="5"/>
  <c r="BN33" i="5" s="1"/>
  <c r="BZ2" i="5"/>
  <c r="CB32" i="5"/>
  <c r="CB33" i="5" s="1"/>
  <c r="BX32" i="5"/>
  <c r="BX33" i="5" s="1"/>
  <c r="AA11" i="9"/>
  <c r="AC11" i="9"/>
  <c r="AA10" i="9"/>
  <c r="BA42" i="5" l="1"/>
  <c r="M8" i="11"/>
  <c r="AX42" i="5"/>
  <c r="J8" i="11"/>
  <c r="H10" i="12"/>
  <c r="H38" i="12" s="1"/>
  <c r="BZ32" i="5"/>
  <c r="BZ33" i="5" s="1"/>
  <c r="J4" i="10" s="1"/>
  <c r="H12" i="12"/>
  <c r="H40" i="12" s="1"/>
  <c r="L6" i="10"/>
  <c r="F43" i="12"/>
  <c r="F44" i="12"/>
  <c r="F45" i="12"/>
  <c r="G4" i="10"/>
  <c r="G7" i="10" s="1"/>
  <c r="I10" i="12"/>
  <c r="J10" i="12" s="1"/>
  <c r="F7" i="10"/>
  <c r="N12" i="12"/>
  <c r="L40" i="12"/>
  <c r="N40" i="12" s="1"/>
  <c r="E7" i="10"/>
  <c r="H6" i="10"/>
  <c r="AA10" i="12"/>
  <c r="G13" i="12"/>
  <c r="G38" i="12"/>
  <c r="G40" i="12"/>
  <c r="AA45" i="12"/>
  <c r="AC45" i="12" s="1"/>
  <c r="AC39" i="12"/>
  <c r="AC10" i="9"/>
  <c r="BA44" i="5" l="1"/>
  <c r="M9" i="11"/>
  <c r="J9" i="11"/>
  <c r="AX44" i="5"/>
  <c r="L10" i="12"/>
  <c r="H41" i="12"/>
  <c r="H13" i="12"/>
  <c r="J12" i="12"/>
  <c r="J40" i="12"/>
  <c r="H4" i="10"/>
  <c r="H7" i="10"/>
  <c r="F9" i="10" s="1"/>
  <c r="F10" i="10" s="1"/>
  <c r="J7" i="10"/>
  <c r="L13" i="12"/>
  <c r="L38" i="12"/>
  <c r="AA38" i="12"/>
  <c r="G41" i="12"/>
  <c r="I38" i="12"/>
  <c r="I13" i="12"/>
  <c r="E73" i="9"/>
  <c r="E72" i="9"/>
  <c r="M11" i="11" l="1"/>
  <c r="BA50" i="5"/>
  <c r="M17" i="11" s="1"/>
  <c r="J11" i="11"/>
  <c r="AX50" i="5"/>
  <c r="J17" i="11" s="1"/>
  <c r="J13" i="12"/>
  <c r="H15" i="12" s="1"/>
  <c r="H16" i="12" s="1"/>
  <c r="I41" i="12"/>
  <c r="J38" i="12"/>
  <c r="J41" i="12" s="1"/>
  <c r="H51" i="12" s="1"/>
  <c r="AA44" i="12"/>
  <c r="E9" i="10"/>
  <c r="L41" i="12"/>
  <c r="J79" i="9"/>
  <c r="J78" i="9"/>
  <c r="J77" i="9"/>
  <c r="I51" i="12" l="1"/>
  <c r="I52" i="12" s="1"/>
  <c r="I56" i="12" s="1"/>
  <c r="I60" i="12" s="1"/>
  <c r="G51" i="12"/>
  <c r="G43" i="12" s="1"/>
  <c r="G15" i="12"/>
  <c r="G16" i="12" s="1"/>
  <c r="E10" i="10"/>
  <c r="G9" i="10"/>
  <c r="G10" i="10" s="1"/>
  <c r="H43" i="12"/>
  <c r="H52" i="12"/>
  <c r="H56" i="12" s="1"/>
  <c r="H60" i="12" s="1"/>
  <c r="H63" i="9"/>
  <c r="G52" i="12" l="1"/>
  <c r="G56" i="12" s="1"/>
  <c r="G60" i="12" s="1"/>
  <c r="G67" i="12" s="1"/>
  <c r="I15" i="12"/>
  <c r="I16" i="12" s="1"/>
  <c r="J51" i="12"/>
  <c r="J52" i="12" s="1"/>
  <c r="J56" i="12" s="1"/>
  <c r="J60" i="12" s="1"/>
  <c r="J67" i="12" s="1"/>
  <c r="G72" i="12" s="1"/>
  <c r="I43" i="12"/>
  <c r="J43" i="12" s="1"/>
  <c r="I67" i="12"/>
  <c r="I44" i="12"/>
  <c r="H9" i="10"/>
  <c r="H10" i="10" s="1"/>
  <c r="H44" i="12"/>
  <c r="H67" i="12"/>
  <c r="K8" i="9"/>
  <c r="G44" i="12" l="1"/>
  <c r="J44" i="12" s="1"/>
  <c r="K44" i="12" s="1"/>
  <c r="K43" i="12"/>
  <c r="J15" i="12"/>
  <c r="J16" i="12" s="1"/>
  <c r="G73" i="12"/>
  <c r="I73" i="12" s="1"/>
  <c r="J73" i="12" s="1"/>
  <c r="M72" i="12"/>
  <c r="O72" i="12"/>
  <c r="H68" i="12"/>
  <c r="J68" i="12" s="1"/>
  <c r="I45" i="12"/>
  <c r="G45" i="12"/>
  <c r="H45" i="12"/>
  <c r="I35" i="9"/>
  <c r="G63" i="9"/>
  <c r="I63" i="9" s="1"/>
  <c r="J45" i="12" l="1"/>
  <c r="K46" i="12" s="1"/>
  <c r="G75" i="12"/>
  <c r="G80" i="12" s="1"/>
  <c r="J10" i="10"/>
  <c r="L16" i="12"/>
  <c r="H75" i="12"/>
  <c r="H80" i="12" s="1"/>
  <c r="K50" i="9"/>
  <c r="K45" i="12" l="1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s="1"/>
  <c r="J72" i="12" s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4" i="5" l="1"/>
  <c r="CJ4" i="5" s="1"/>
  <c r="CH12" i="5"/>
  <c r="CJ12" i="5" s="1"/>
  <c r="CH20" i="5"/>
  <c r="CJ20" i="5" s="1"/>
  <c r="CH28" i="5"/>
  <c r="CJ28" i="5" s="1"/>
  <c r="CH5" i="5"/>
  <c r="CJ5" i="5" s="1"/>
  <c r="CH21" i="5"/>
  <c r="CJ21" i="5" s="1"/>
  <c r="CH29" i="5"/>
  <c r="CJ29" i="5" s="1"/>
  <c r="CH10" i="5"/>
  <c r="CJ10" i="5" s="1"/>
  <c r="CH6" i="5"/>
  <c r="CJ6" i="5" s="1"/>
  <c r="CH14" i="5"/>
  <c r="CJ14" i="5" s="1"/>
  <c r="CH22" i="5"/>
  <c r="CJ22" i="5" s="1"/>
  <c r="CH2" i="5"/>
  <c r="CH7" i="5"/>
  <c r="CJ7" i="5" s="1"/>
  <c r="CH23" i="5"/>
  <c r="CJ23" i="5" s="1"/>
  <c r="CH8" i="5"/>
  <c r="CJ8" i="5" s="1"/>
  <c r="CH16" i="5"/>
  <c r="CJ16" i="5" s="1"/>
  <c r="CH24" i="5"/>
  <c r="CJ24" i="5" s="1"/>
  <c r="CH26" i="5"/>
  <c r="CJ26" i="5" s="1"/>
  <c r="CH9" i="5"/>
  <c r="CJ9" i="5" s="1"/>
  <c r="CH25" i="5"/>
  <c r="CJ25" i="5" s="1"/>
  <c r="CH18" i="5"/>
  <c r="CJ18" i="5" s="1"/>
  <c r="CH3" i="5"/>
  <c r="CJ3" i="5" s="1"/>
  <c r="CH11" i="5"/>
  <c r="CJ11" i="5" s="1"/>
  <c r="CH19" i="5"/>
  <c r="CJ19" i="5" s="1"/>
  <c r="CH27" i="5"/>
  <c r="CJ27" i="5" s="1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2" i="5" l="1"/>
  <c r="CJ32" i="5" s="1"/>
  <c r="CJ33" i="5" s="1"/>
  <c r="CH32" i="5"/>
  <c r="CH33" i="5" s="1"/>
  <c r="F80" i="9"/>
  <c r="F45" i="9"/>
  <c r="N22" i="9"/>
  <c r="N21" i="9"/>
  <c r="H51" i="9"/>
  <c r="I51" i="9"/>
  <c r="G51" i="9"/>
  <c r="G43" i="9" s="1"/>
  <c r="M10" i="12" l="1"/>
  <c r="K4" i="10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M13" i="12" l="1"/>
  <c r="M38" i="12"/>
  <c r="N10" i="12"/>
  <c r="N13" i="12" s="1"/>
  <c r="AB10" i="12"/>
  <c r="AC10" i="12" s="1"/>
  <c r="K7" i="10"/>
  <c r="L4" i="10"/>
  <c r="L7" i="10" s="1"/>
  <c r="H44" i="9"/>
  <c r="N41" i="9"/>
  <c r="N38" i="9"/>
  <c r="J43" i="9"/>
  <c r="K43" i="9" s="1"/>
  <c r="I44" i="9"/>
  <c r="I67" i="9"/>
  <c r="M41" i="12" l="1"/>
  <c r="AB38" i="12"/>
  <c r="N38" i="12"/>
  <c r="I45" i="9"/>
  <c r="J44" i="9"/>
  <c r="K44" i="9" s="1"/>
  <c r="AB44" i="12" l="1"/>
  <c r="AC44" i="12" s="1"/>
  <c r="AC38" i="12"/>
  <c r="N41" i="12"/>
  <c r="I69" i="12"/>
  <c r="J67" i="9"/>
  <c r="J69" i="12" l="1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BF1EB798-898A-4732-A59C-371D837E197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A0F2D0E-9039-403D-9FA0-4A7CE0475ACA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6FD0D170-758D-43B8-8707-AAB7CB1E998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BDE356F9-3E28-492C-9173-8CF05B1B382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5548265-EB75-4F52-8717-19CF2745F64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333B43AF-BD39-4757-8279-DAA06F7F9249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4023267-98FB-4F01-8763-31DC581FD56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9252AAAF-31E5-4F2C-8D56-9963CC26D3A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477AFE3-79BD-41EA-BB68-EDC4CAEECF9A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27BDED19-8D43-4355-8376-F6C66376149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<sst xmlns="http://schemas.openxmlformats.org/spreadsheetml/2006/main" count="1038" uniqueCount="389">
  <si>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</si>
  <si>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</si>
  <si>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</si>
  <si>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</si>
  <si>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</si>
  <si>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</si>
  <si>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</si>
  <si>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</si>
  <si>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</si>
  <si>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</si>
  <si>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</si>
  <si>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</si>
  <si>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</si>
  <si>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</si>
  <si>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</si>
  <si>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</si>
  <si>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</si>
  <si>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</si>
  <si>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</si>
  <si>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</si>
  <si>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</si>
  <si>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</si>
  <si>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</si>
  <si>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</si>
  <si>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</si>
  <si>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</si>
  <si>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</si>
  <si>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</si>
  <si>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</si>
  <si>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</si>
  <si>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</si>
  <si>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</si>
  <si>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</si>
  <si>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</si>
  <si>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</si>
  <si>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</si>
  <si>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</si>
  <si>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</si>
  <si>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</si>
  <si>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</si>
  <si>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</si>
  <si>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</si>
  <si>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</si>
  <si>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</si>
  <si>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</si>
  <si>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</si>
  <si>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</si>
  <si>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</si>
  <si>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</si>
  <si>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</si>
  <si>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</si>
  <si>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</si>
  <si>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</si>
  <si>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</si>
  <si>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</si>
  <si>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</si>
  <si>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</si>
  <si>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</si>
  <si>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</si>
  <si>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</si>
  <si>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</si>
  <si>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</si>
  <si>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</si>
  <si>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</si>
  <si>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</si>
  <si>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</si>
  <si>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</si>
  <si>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</si>
  <si>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</si>
  <si>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</si>
  <si>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</si>
  <si>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</si>
  <si>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</si>
  <si>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</si>
  <si>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</si>
  <si>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</si>
  <si>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</si>
  <si>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</si>
  <si>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</si>
  <si>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</si>
  <si>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</si>
  <si>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</si>
  <si>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</si>
  <si>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</si>
  <si>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</si>
  <si>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</si>
  <si>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</si>
  <si>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</si>
  <si>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</si>
  <si>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</si>
  <si>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</si>
  <si>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</si>
  <si>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</si>
  <si>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</si>
  <si>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</si>
  <si>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</si>
  <si>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</si>
  <si>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</si>
  <si>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</si>
  <si>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</si>
  <si>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</si>
  <si>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</si>
  <si>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</si>
  <si>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</si>
  <si>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</si>
  <si>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</si>
  <si>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</si>
  <si>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</si>
  <si>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</si>
  <si>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</si>
  <si>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</si>
  <si>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</si>
  <si>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</si>
  <si>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</si>
  <si>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</si>
  <si>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</si>
  <si>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</si>
  <si>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</si>
  <si>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</si>
  <si>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</si>
  <si>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</si>
  <si>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</si>
  <si>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</si>
  <si>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</si>
  <si>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</si>
  <si>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</si>
  <si>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</si>
  <si>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</si>
  <si>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</si>
  <si>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</si>
  <si>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</si>
  <si>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</si>
  <si>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</si>
  <si>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</si>
  <si>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</si>
  <si>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</si>
  <si>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</si>
  <si>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</si>
  <si>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</si>
  <si>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</si>
  <si>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</si>
  <si>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</si>
  <si>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</si>
  <si>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</si>
  <si>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</si>
  <si>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</si>
  <si>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</si>
  <si>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</si>
  <si>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</si>
  <si>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</si>
  <si>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</si>
  <si>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</si>
  <si>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</si>
  <si>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</si>
  <si>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</si>
  <si>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</si>
  <si>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</si>
  <si>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</si>
  <si>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</si>
  <si>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</si>
  <si>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</si>
  <si>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</si>
  <si>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443</t>
  </si>
  <si>
    <t>1011</t>
  </si>
  <si>
    <t xml:space="preserve">DEPUTY SAPD         </t>
  </si>
  <si>
    <t>0001</t>
  </si>
  <si>
    <t>00</t>
  </si>
  <si>
    <t>SGDA</t>
  </si>
  <si>
    <t>001</t>
  </si>
  <si>
    <t>20977</t>
  </si>
  <si>
    <t>F</t>
  </si>
  <si>
    <t>NR</t>
  </si>
  <si>
    <t>COOLEY, SALLY J.</t>
  </si>
  <si>
    <t>COOLEY</t>
  </si>
  <si>
    <t>SALLY</t>
  </si>
  <si>
    <t>JANE</t>
  </si>
  <si>
    <t>00000</t>
  </si>
  <si>
    <t>H</t>
  </si>
  <si>
    <t>FS</t>
  </si>
  <si>
    <t>E</t>
  </si>
  <si>
    <t>N</t>
  </si>
  <si>
    <t>Y</t>
  </si>
  <si>
    <t xml:space="preserve">    </t>
  </si>
  <si>
    <t>1010</t>
  </si>
  <si>
    <t>MCGREEVY, BEN P.</t>
  </si>
  <si>
    <t>MCGREEVY</t>
  </si>
  <si>
    <t>BEN</t>
  </si>
  <si>
    <t>PATRICK</t>
  </si>
  <si>
    <t>1009</t>
  </si>
  <si>
    <t>PINTLER, JASON C.</t>
  </si>
  <si>
    <t>PINTLER</t>
  </si>
  <si>
    <t>JASON</t>
  </si>
  <si>
    <t>C</t>
  </si>
  <si>
    <t>1008</t>
  </si>
  <si>
    <t xml:space="preserve">INVESTIGATOR        </t>
  </si>
  <si>
    <t>20978</t>
  </si>
  <si>
    <t>ESPERILLA, EPHRAIN M.</t>
  </si>
  <si>
    <t>ESPERILLA</t>
  </si>
  <si>
    <t>EPHRAIN</t>
  </si>
  <si>
    <t>MOISES</t>
  </si>
  <si>
    <t>1007</t>
  </si>
  <si>
    <t>OFFICE ADMINISTRATOR</t>
  </si>
  <si>
    <t>24401</t>
  </si>
  <si>
    <t>MURRAY, RACHEL A.</t>
  </si>
  <si>
    <t>MURRAY</t>
  </si>
  <si>
    <t>RACHEL</t>
  </si>
  <si>
    <t>A</t>
  </si>
  <si>
    <t>1006</t>
  </si>
  <si>
    <t>DICKSON, BRIAN R.</t>
  </si>
  <si>
    <t>DICKSON</t>
  </si>
  <si>
    <t>BRIAN</t>
  </si>
  <si>
    <t>RICHARD</t>
  </si>
  <si>
    <t>1005</t>
  </si>
  <si>
    <t>CURTIS, JUSTIN M.</t>
  </si>
  <si>
    <t>CURTIS</t>
  </si>
  <si>
    <t>JUSTIN</t>
  </si>
  <si>
    <t>M</t>
  </si>
  <si>
    <t>1004</t>
  </si>
  <si>
    <t>ALLRED, ELIZABETH A.</t>
  </si>
  <si>
    <t>ALLRED</t>
  </si>
  <si>
    <t>ELIZABETH</t>
  </si>
  <si>
    <t>1003</t>
  </si>
  <si>
    <t>COSTER, KIMBERLY A.</t>
  </si>
  <si>
    <t>COSTER</t>
  </si>
  <si>
    <t>KIMBERLY</t>
  </si>
  <si>
    <t>1002</t>
  </si>
  <si>
    <t xml:space="preserve">LEAD ATTORNEY, SAPD </t>
  </si>
  <si>
    <t>20975</t>
  </si>
  <si>
    <t>THOMSON, IAN H.</t>
  </si>
  <si>
    <t>THOMSON</t>
  </si>
  <si>
    <t>IAN</t>
  </si>
  <si>
    <t>1001</t>
  </si>
  <si>
    <t>CHIEF PUBLIC DEFENDE</t>
  </si>
  <si>
    <t>20970</t>
  </si>
  <si>
    <t>FREDERICKSEN, ERIC D.</t>
  </si>
  <si>
    <t>FREDERICKSEN</t>
  </si>
  <si>
    <t>ERIC</t>
  </si>
  <si>
    <t>D</t>
  </si>
  <si>
    <t>9993</t>
  </si>
  <si>
    <t xml:space="preserve">OFFICE CLERK        </t>
  </si>
  <si>
    <t>01116</t>
  </si>
  <si>
    <t>V</t>
  </si>
  <si>
    <t>NG</t>
  </si>
  <si>
    <t>1105</t>
  </si>
  <si>
    <t xml:space="preserve">ADMIN ASST 1        </t>
  </si>
  <si>
    <t>01235</t>
  </si>
  <si>
    <t>VOSBURGH, TEAL M.</t>
  </si>
  <si>
    <t>VOSBURGH</t>
  </si>
  <si>
    <t>TEAL</t>
  </si>
  <si>
    <t>MONTGOMERY</t>
  </si>
  <si>
    <t>9992</t>
  </si>
  <si>
    <t>1104</t>
  </si>
  <si>
    <t xml:space="preserve">CHIEF,EMO           </t>
  </si>
  <si>
    <t>20205</t>
  </si>
  <si>
    <t>SMITH, EVAN A.</t>
  </si>
  <si>
    <t>SMITH</t>
  </si>
  <si>
    <t>EVAN</t>
  </si>
  <si>
    <t>20974</t>
  </si>
  <si>
    <t>9991</t>
  </si>
  <si>
    <t>1103</t>
  </si>
  <si>
    <t xml:space="preserve">CEJA, MAGALI </t>
  </si>
  <si>
    <t>CEJA</t>
  </si>
  <si>
    <t>MAGALI</t>
  </si>
  <si>
    <t xml:space="preserve">              </t>
  </si>
  <si>
    <t>1102</t>
  </si>
  <si>
    <t>FOURTNER, KYLIE M.</t>
  </si>
  <si>
    <t>FOURTNER</t>
  </si>
  <si>
    <t>KYLIE</t>
  </si>
  <si>
    <t>MCALLISTER</t>
  </si>
  <si>
    <t>1101</t>
  </si>
  <si>
    <t xml:space="preserve">LEGAL SECRETARY     </t>
  </si>
  <si>
    <t>LARA, MARY A.</t>
  </si>
  <si>
    <t>LARA</t>
  </si>
  <si>
    <t>MARY</t>
  </si>
  <si>
    <t>ANN</t>
  </si>
  <si>
    <t>1020</t>
  </si>
  <si>
    <t>HEFFNER, KILEY A.</t>
  </si>
  <si>
    <t>HEFFNER</t>
  </si>
  <si>
    <t>KILEY</t>
  </si>
  <si>
    <t>1019</t>
  </si>
  <si>
    <t>WESTERFIELD, JACOB L.</t>
  </si>
  <si>
    <t>WESTERFIELD</t>
  </si>
  <si>
    <t>JACOB</t>
  </si>
  <si>
    <t>LOU</t>
  </si>
  <si>
    <t>1018</t>
  </si>
  <si>
    <t>SWINFORD, JENEVIEVE C.</t>
  </si>
  <si>
    <t>SWINFORD</t>
  </si>
  <si>
    <t>JENEVIEVE</t>
  </si>
  <si>
    <t>CLAIR</t>
  </si>
  <si>
    <t>1017</t>
  </si>
  <si>
    <t>CHALIFOUX, MICHELLE K.</t>
  </si>
  <si>
    <t>CHALIFOUX</t>
  </si>
  <si>
    <t>MICHELLE</t>
  </si>
  <si>
    <t>KAY</t>
  </si>
  <si>
    <t>1016</t>
  </si>
  <si>
    <t>ROMERO, SHANNON N.</t>
  </si>
  <si>
    <t>ROMERO</t>
  </si>
  <si>
    <t>SHANNON</t>
  </si>
  <si>
    <t>1015</t>
  </si>
  <si>
    <t>CHIEF OF APPELLATE U</t>
  </si>
  <si>
    <t>20976</t>
  </si>
  <si>
    <t>LEHTINEN, ERIK R.</t>
  </si>
  <si>
    <t>LEHTINEN</t>
  </si>
  <si>
    <t>ERIK</t>
  </si>
  <si>
    <t>R</t>
  </si>
  <si>
    <t>1014</t>
  </si>
  <si>
    <t>REYNOLDS, ANDREA J.</t>
  </si>
  <si>
    <t>REYNOLDS</t>
  </si>
  <si>
    <t>ANDREA</t>
  </si>
  <si>
    <t>JANIS</t>
  </si>
  <si>
    <t>1013</t>
  </si>
  <si>
    <t>JOYCE, EMILY M.</t>
  </si>
  <si>
    <t>JOYCE</t>
  </si>
  <si>
    <t>EMILY</t>
  </si>
  <si>
    <t>MARTHA</t>
  </si>
  <si>
    <t>1012</t>
  </si>
  <si>
    <t>MCCARTY, GARTH S.</t>
  </si>
  <si>
    <t>MCCARTY</t>
  </si>
  <si>
    <t>GARTH</t>
  </si>
  <si>
    <t>STAFFORD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</si>
  <si>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</si>
  <si>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</si>
  <si>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</si>
  <si>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</si>
  <si>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</si>
  <si>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</si>
  <si>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</si>
  <si>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</si>
  <si>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</si>
  <si>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</si>
  <si>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</si>
  <si>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</si>
  <si>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</si>
  <si>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</si>
  <si>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</si>
  <si>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</si>
  <si>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</si>
  <si>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</si>
  <si>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</si>
  <si>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</si>
  <si>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</si>
  <si>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</si>
  <si>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</si>
  <si>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</si>
  <si>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</si>
  <si>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</si>
  <si>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</si>
  <si>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</si>
  <si>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</si>
  <si>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</si>
  <si>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</si>
  <si>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</si>
  <si>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</si>
  <si>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</si>
  <si>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</si>
  <si>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</si>
  <si>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</si>
  <si>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</si>
  <si>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</si>
  <si>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</si>
  <si>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</si>
  <si>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</si>
  <si>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</si>
  <si>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</si>
  <si>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</si>
  <si>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</si>
  <si>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</si>
  <si>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</si>
  <si>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SGDA 0001-00</t>
  </si>
  <si>
    <t>SGDA 0001</t>
  </si>
  <si>
    <t>Self-Governing Agencies</t>
  </si>
  <si>
    <t>State Appellate Public Defender</t>
  </si>
  <si>
    <t>Office of the State Appellate Public Defender</t>
  </si>
  <si>
    <t>General</t>
  </si>
  <si>
    <t>0001-00</t>
  </si>
  <si>
    <t>10000</t>
  </si>
  <si>
    <t>Office of the State Appellate Public Defender, General   SGDA-0001-00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</si>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</sst>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3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6CD56-5BF8-48E0-8293-12DD7190EAE4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370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443</v>
      </c>
      <c r="N1" s="46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371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375</v>
      </c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372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373</v>
      </c>
      <c r="J5" s="471"/>
      <c r="K5" s="471"/>
      <c r="L5" s="470"/>
      <c r="M5" s="352" t="s">
        <v>115</v>
      </c>
      <c r="N5" s="32" t="s">
        <v>374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"&amp;'SGDA|0001-00'!FiscalYear-1&amp;" SALARY"</f>
        <v>FY 2022 SALARY</v>
      </c>
      <c r="H8" s="50" t="str">
        <f>"FY "&amp;'SGDA|0001-00'!FiscalYear-1&amp;" HEALTH BENEFITS"</f>
        <v>FY 2022 HEALTH BENEFITS</v>
      </c>
      <c r="I8" s="50" t="str">
        <f>"FY "&amp;'SGDA|0001-00'!FiscalYear-1&amp;" VAR BENEFITS"</f>
        <v>FY 2022 VAR BENEFITS</v>
      </c>
      <c r="J8" s="50" t="str">
        <f>"FY "&amp;'SGDA|0001-00'!FiscalYear-1&amp;" TOTAL"</f>
        <v>FY 2022 TOTAL</v>
      </c>
      <c r="K8" s="50" t="str">
        <f>"FY "&amp;'SGDA|0001-00'!FiscalYear&amp;" SALARY CHANGE"</f>
        <v>FY 2023 SALARY CHANGE</v>
      </c>
      <c r="L8" s="50" t="str">
        <f>"FY "&amp;'SGDA|0001-00'!FiscalYear&amp;" CHG HEALTH BENEFITS"</f>
        <v>FY 2023 CHG HEALTH BENEFITS</v>
      </c>
      <c r="M8" s="50" t="str">
        <f>"FY "&amp;'SGDA|0001-00'!FiscalYear&amp;"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f>[0]!SGDA000100col_INC_FTI</f>
        <v>25</v>
      </c>
      <c r="G10" s="218">
        <f>[0]!SGDA000100col_FTI_SALARY_PERM</f>
        <v>1907172.8000000003</v>
      </c>
      <c r="H10" s="218">
        <f>[0]!SGDA000100col_HEALTH_PERM</f>
        <v>291250</v>
      </c>
      <c r="I10" s="218">
        <f>[0]!SGDA000100col_TOT_VB_PERM</f>
        <v>398987.26212800003</v>
      </c>
      <c r="J10" s="219">
        <f>SUM(G10:I10)</f>
        <v>2597410.0621280004</v>
      </c>
      <c r="K10" s="219">
        <f>[0]!SGDA000100col_1_27TH_PP</f>
        <v>0</v>
      </c>
      <c r="L10" s="218">
        <f>[0]!SGDA000100col_HEALTH_PERM_CHG</f>
        <v>0</v>
      </c>
      <c r="M10" s="218">
        <f>[0]!SGDA000100col_TOT_VB_PERM_CHG</f>
        <v>-8379.2009600000001</v>
      </c>
      <c r="N10" s="218">
        <f>SUM(L10:M10)</f>
        <v>-8379.2009600000001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19100</v>
      </c>
      <c r="AB10" s="335">
        <f>ROUND(PermVarBen*CECPerm+(CECPerm*PermVarBenChg),-2)</f>
        <v>3900</v>
      </c>
      <c r="AC10" s="335">
        <f>SUM(AA10:AB10)</f>
        <v>23000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f>[0]!SGDA000100col_Group_Salary</f>
        <v>0</v>
      </c>
      <c r="H11" s="218">
        <v>0</v>
      </c>
      <c r="I11" s="218">
        <f>[0]!SGDA000100col_Group_Ben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f>[0]!SGDA000100col_TOTAL_ELECT_PCN_FTI</f>
        <v>0</v>
      </c>
      <c r="G12" s="218">
        <f>[0]!SGDA000100col_FTI_SALARY_ELECT</f>
        <v>0</v>
      </c>
      <c r="H12" s="218">
        <f>[0]!SGDA000100col_HEALTH_ELECT</f>
        <v>0</v>
      </c>
      <c r="I12" s="218">
        <f>[0]!SGDA000100col_TOT_VB_ELECT</f>
        <v>0</v>
      </c>
      <c r="J12" s="219">
        <f>SUM(G12:I12)</f>
        <v>0</v>
      </c>
      <c r="K12" s="268"/>
      <c r="L12" s="218">
        <f>[0]!SGDA000100col_HEALTH_ELECT_CHG</f>
        <v>0</v>
      </c>
      <c r="M12" s="218">
        <f>[0]!SGDA000100col_TOT_VB_ELECT_CHG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25</v>
      </c>
      <c r="G13" s="221">
        <f>SUM(G10:G12)</f>
        <v>1907172.8000000003</v>
      </c>
      <c r="H13" s="221">
        <f>SUM(H10:H12)</f>
        <v>291250</v>
      </c>
      <c r="I13" s="221">
        <f>SUM(I10:I12)</f>
        <v>398987.26212800003</v>
      </c>
      <c r="J13" s="219">
        <f>SUM(G13:I13)</f>
        <v>2597410.0621280004</v>
      </c>
      <c r="K13" s="268"/>
      <c r="L13" s="219">
        <f>SUM(L10:L12)</f>
        <v>0</v>
      </c>
      <c r="M13" s="219">
        <f>SUM(M10:M12)</f>
        <v>-8379.2009600000001</v>
      </c>
      <c r="N13" s="219">
        <f>SUM(N10:N12)</f>
        <v>-8379.2009600000001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"&amp;'SGDA|0001-00'!FiscalYear-1</f>
        <v>FY 2022</v>
      </c>
      <c r="D15" s="158" t="s">
        <v>31</v>
      </c>
      <c r="E15" s="355">
        <v>2651700</v>
      </c>
      <c r="F15" s="55">
        <v>25</v>
      </c>
      <c r="G15" s="223">
        <f>IF(OrigApprop=0,0,(G13/$J$13)*OrigApprop)</f>
        <v>1947035.6981741681</v>
      </c>
      <c r="H15" s="223">
        <f>IF(OrigApprop=0,0,(H13/$J$13)*OrigApprop)</f>
        <v>297337.58110079297</v>
      </c>
      <c r="I15" s="223">
        <f>IF(G15=0,0,(I13/$J$13)*OrigApprop)</f>
        <v>407326.72072503879</v>
      </c>
      <c r="J15" s="223">
        <f>SUM(G15:I15)</f>
        <v>2651700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0</v>
      </c>
      <c r="G16" s="162">
        <f>G15-G13</f>
        <v>39862.898174167844</v>
      </c>
      <c r="H16" s="162">
        <f>H15-H13</f>
        <v>6087.5811007929733</v>
      </c>
      <c r="I16" s="162">
        <f>I15-I13</f>
        <v>8339.4585970387561</v>
      </c>
      <c r="J16" s="162">
        <f>J15-J13</f>
        <v>54289.937871999573</v>
      </c>
      <c r="K16" s="269"/>
      <c r="L16" s="56" t="str">
        <f>IF('SGDA|0001-00'!OrigApprop=0,"ERROR! Enter Original Appropriation amount in DU 3.00!","Calculated "&amp;IF('SGDA|0001-00'!AdjustedTotal&gt;0,"overfunding ","underfunding ")&amp;"is "&amp;TEXT('SGDA|0001-00'!AdjustedTotal/'SGDA|0001-00'!AppropTotal,"#.0%;(#.0% );0% ;")&amp;" of Original Appropriation")</f>
        <v>Calculated overfunding is 2.0%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25</v>
      </c>
      <c r="G38" s="191">
        <f>SUMIF($E10:$E35,$E38,$G10:$G35)</f>
        <v>1907172.8000000003</v>
      </c>
      <c r="H38" s="192">
        <f>SUMIF($E10:$E35,$E38,$H10:$H35)</f>
        <v>291250</v>
      </c>
      <c r="I38" s="192">
        <f>SUMIF($E10:$E35,$E38,$I10:$I35)</f>
        <v>398987.26212800003</v>
      </c>
      <c r="J38" s="192">
        <f>SUM(G38:I38)</f>
        <v>2597410.0621280004</v>
      </c>
      <c r="K38" s="166"/>
      <c r="L38" s="191">
        <f>SUMIF($E10:$E35,$E38,$L10:$L35)</f>
        <v>0</v>
      </c>
      <c r="M38" s="192">
        <f>SUMIF($E10:$E35,$E38,$M10:$M35)</f>
        <v>-8379.2009600000001</v>
      </c>
      <c r="N38" s="192">
        <f>SUM(L38:M38)</f>
        <v>-8379.2009600000001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19100</v>
      </c>
      <c r="AB38" s="338">
        <f>ROUND((AdjPermVB*CECPerm+AdjPermVBBY*CECPerm),-2)</f>
        <v>3900</v>
      </c>
      <c r="AC38" s="338">
        <f>SUM(AA38:AB38)</f>
        <v>23000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25</v>
      </c>
      <c r="G41" s="195">
        <f>SUM($G$38:$G$40)</f>
        <v>1907172.8000000003</v>
      </c>
      <c r="H41" s="162">
        <f>SUM($H$38:$H$40)</f>
        <v>291250</v>
      </c>
      <c r="I41" s="162">
        <f>SUM($I$38:$I$40)</f>
        <v>398987.26212800003</v>
      </c>
      <c r="J41" s="162">
        <f>SUM($J$38:$J$40)</f>
        <v>2597410.0621280004</v>
      </c>
      <c r="K41" s="259"/>
      <c r="L41" s="195">
        <f>SUM($L$38:$L$40)</f>
        <v>0</v>
      </c>
      <c r="M41" s="162">
        <f>SUM($M$38:$M$40)</f>
        <v>-8379.2009600000001</v>
      </c>
      <c r="N41" s="162">
        <f>SUM(L41:M41)</f>
        <v>-8379.2009600000001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0</v>
      </c>
      <c r="G43" s="206">
        <f>ROUND(G51-G41,-2)</f>
        <v>39900</v>
      </c>
      <c r="H43" s="159">
        <f>ROUND(H51-H41,-2)</f>
        <v>6100</v>
      </c>
      <c r="I43" s="159">
        <f>ROUND(I51-I41,-2)</f>
        <v>8300</v>
      </c>
      <c r="J43" s="159">
        <f>SUM(G43:I43)</f>
        <v>54300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overfunding is 2.0%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0</v>
      </c>
      <c r="G44" s="206">
        <f>ROUND(G60-G41,-2)</f>
        <v>39800</v>
      </c>
      <c r="H44" s="159">
        <f>ROUND(H60-H41,-2)</f>
        <v>6100</v>
      </c>
      <c r="I44" s="159">
        <f>ROUND(I60-I41,-2)</f>
        <v>8300</v>
      </c>
      <c r="J44" s="159">
        <f>SUM(G44:I44)</f>
        <v>54200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overfunding is 2.0%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39800</v>
      </c>
      <c r="H45" s="206">
        <f>ROUND(H67-H41-H63,-2)</f>
        <v>6100</v>
      </c>
      <c r="I45" s="206">
        <f>ROUND(I67-I41-I63,-2)</f>
        <v>8300</v>
      </c>
      <c r="J45" s="159">
        <f>SUM(G45:I45)</f>
        <v>54200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2.0%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2651700</v>
      </c>
      <c r="F51" s="272">
        <f>AppropFTP</f>
        <v>25</v>
      </c>
      <c r="G51" s="274">
        <f>IF(E51=0,0,(G41/$J$41)*$E$51)</f>
        <v>1947035.6981741681</v>
      </c>
      <c r="H51" s="274">
        <f>IF(E51=0,0,(H41/$J$41)*$E$51)</f>
        <v>297337.58110079297</v>
      </c>
      <c r="I51" s="275">
        <f>IF(E51=0,0,(I41/$J$41)*$E$51)</f>
        <v>407326.72072503879</v>
      </c>
      <c r="J51" s="90">
        <f>SUM(G51:I51)</f>
        <v>2651700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25</v>
      </c>
      <c r="G52" s="79">
        <f>ROUND(G51,-2)</f>
        <v>1947000</v>
      </c>
      <c r="H52" s="79">
        <f>ROUND(H51,-2)</f>
        <v>297300</v>
      </c>
      <c r="I52" s="266">
        <f>ROUND(I51,-2)</f>
        <v>407300</v>
      </c>
      <c r="J52" s="80">
        <f>ROUND(J51,-2)</f>
        <v>2651700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25</v>
      </c>
      <c r="G56" s="80">
        <f>SUM(G52:G55)</f>
        <v>1947000</v>
      </c>
      <c r="H56" s="80">
        <f>SUM(H52:H55)</f>
        <v>297300</v>
      </c>
      <c r="I56" s="260">
        <f>SUM(I52:I55)</f>
        <v>407300</v>
      </c>
      <c r="J56" s="80">
        <f>SUM(J52:J55)</f>
        <v>2651700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25</v>
      </c>
      <c r="G60" s="80">
        <f>SUM(G56:G59)</f>
        <v>1947000</v>
      </c>
      <c r="H60" s="80">
        <f>SUM(H56:H59)</f>
        <v>297300</v>
      </c>
      <c r="I60" s="260">
        <f>SUM(I56:I59)</f>
        <v>407300</v>
      </c>
      <c r="J60" s="80">
        <f>SUM(J56:J59)</f>
        <v>2651700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25</v>
      </c>
      <c r="G67" s="80">
        <f>SUM(G60:G64)</f>
        <v>1947000</v>
      </c>
      <c r="H67" s="80">
        <f>SUM(H60:H64)</f>
        <v>297300</v>
      </c>
      <c r="I67" s="80">
        <f>SUM(I60:I64)</f>
        <v>407300</v>
      </c>
      <c r="J67" s="80">
        <f>SUM(J60:J64)</f>
        <v>2651700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-8400</v>
      </c>
      <c r="J69" s="287">
        <f>SUM(G69:I69)</f>
        <v>-8400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19100</v>
      </c>
      <c r="H72" s="287"/>
      <c r="I72" s="287">
        <f>ROUND(($G72*PermVBBY+$G72*Retire1BY),-2)</f>
        <v>4000</v>
      </c>
      <c r="J72" s="113">
        <f>SUM(G72:I72)</f>
        <v>23100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25</v>
      </c>
      <c r="G75" s="80">
        <f>SUM(G67:G74)</f>
        <v>1966100</v>
      </c>
      <c r="H75" s="80">
        <f>SUM(H67:H74)</f>
        <v>297300</v>
      </c>
      <c r="I75" s="80">
        <f>SUM(I67:I74)</f>
        <v>402900</v>
      </c>
      <c r="J75" s="80">
        <f>SUM(J67:K74)</f>
        <v>2666400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25</v>
      </c>
      <c r="G80" s="80">
        <f>SUM(G75:G79)</f>
        <v>1966100</v>
      </c>
      <c r="H80" s="80">
        <f>SUM(H75:H79)</f>
        <v>297300</v>
      </c>
      <c r="I80" s="80">
        <f>SUM(I75:I79)</f>
        <v>402900</v>
      </c>
      <c r="J80" s="80">
        <f>SUM(J75:J79)</f>
        <v>2666400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0" priority="5">
      <formula>$J$44&lt;0</formula>
    </cfRule>
  </conditionalFormatting>
  <conditionalFormatting sqref="K43">
    <cfRule type="expression" dxfId="9" priority="4">
      <formula>$J$43&lt;0</formula>
    </cfRule>
  </conditionalFormatting>
  <conditionalFormatting sqref="L16">
    <cfRule type="expression" dxfId="8" priority="3">
      <formula>$J$16&lt;0</formula>
    </cfRule>
  </conditionalFormatting>
  <conditionalFormatting sqref="K45">
    <cfRule type="expression" dxfId="7" priority="2">
      <formula>$J$44&lt;0</formula>
    </cfRule>
  </conditionalFormatting>
  <conditionalFormatting sqref="K43:N45">
    <cfRule type="containsText" dxfId="6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582068-D6C8-48D6-AD54-2C43B6482D7D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N50"/>
  <sheetViews>
    <sheetView workbookViewId="0">
      <pane xSplit="3" ySplit="1" topLeftCell="AM22" activePane="bottomRight" state="frozen"/>
      <selection pane="topRight" activeCell="D1" sqref="D1"/>
      <selection pane="bottomLeft" activeCell="A2" sqref="A2"/>
      <selection pane="bottomRight" activeCell="AS41" sqref="AS41:BA50"/>
    </sheetView>
  </sheetViews>
  <sheetFormatPr defaultRowHeight="15" x14ac:dyDescent="0.25"/>
  <cols>
    <col min="45" max="53" width="15.7109375" customWidth="1"/>
    <col min="54" max="54" width="11.7109375" bestFit="1" customWidth="1"/>
    <col min="55" max="55" width="9" bestFit="1" customWidth="1"/>
    <col min="56" max="56" width="11.7109375" bestFit="1" customWidth="1"/>
    <col min="57" max="57" width="10.5703125" bestFit="1" customWidth="1"/>
    <col min="58" max="58" width="11.7109375" bestFit="1" customWidth="1"/>
    <col min="59" max="59" width="10.5703125" bestFit="1" customWidth="1"/>
    <col min="60" max="60" width="9.42578125" bestFit="1" customWidth="1"/>
    <col min="61" max="61" width="9" bestFit="1" customWidth="1"/>
    <col min="62" max="62" width="9.42578125" bestFit="1" customWidth="1"/>
    <col min="63" max="63" width="9" bestFit="1" customWidth="1"/>
    <col min="64" max="64" width="11.7109375" bestFit="1" customWidth="1"/>
    <col min="65" max="65" width="9" bestFit="1" customWidth="1"/>
    <col min="66" max="66" width="11.7109375" bestFit="1" customWidth="1"/>
    <col min="67" max="67" width="9" bestFit="1" customWidth="1"/>
    <col min="68" max="68" width="11.7109375" bestFit="1" customWidth="1"/>
    <col min="69" max="69" width="10.5703125" bestFit="1" customWidth="1"/>
    <col min="70" max="70" width="11.7109375" bestFit="1" customWidth="1"/>
    <col min="71" max="71" width="10.5703125" bestFit="1" customWidth="1"/>
    <col min="72" max="73" width="9" bestFit="1" customWidth="1"/>
    <col min="74" max="74" width="9.42578125" bestFit="1" customWidth="1"/>
    <col min="75" max="75" width="9" bestFit="1" customWidth="1"/>
    <col min="76" max="76" width="11.7109375" bestFit="1" customWidth="1"/>
    <col min="77" max="83" width="9" bestFit="1" customWidth="1"/>
    <col min="84" max="84" width="10.140625" bestFit="1" customWidth="1"/>
    <col min="85" max="87" width="9" bestFit="1" customWidth="1"/>
    <col min="88" max="88" width="10.140625" bestFit="1" customWidth="1"/>
    <col min="89" max="91" width="9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5" t="s">
        <v>320</v>
      </c>
      <c r="AT1" s="385" t="s">
        <v>321</v>
      </c>
      <c r="AU1" s="385" t="s">
        <v>322</v>
      </c>
      <c r="AV1" s="385" t="s">
        <v>323</v>
      </c>
      <c r="AW1" s="385" t="s">
        <v>324</v>
      </c>
      <c r="AX1" s="385" t="s">
        <v>325</v>
      </c>
      <c r="AY1" s="385" t="s">
        <v>326</v>
      </c>
      <c r="AZ1" s="385" t="s">
        <v>327</v>
      </c>
      <c r="BA1" s="387" t="s">
        <v>328</v>
      </c>
      <c r="BB1" s="388" t="s">
        <v>329</v>
      </c>
      <c r="BC1" s="388" t="s">
        <v>330</v>
      </c>
      <c r="BD1" s="388" t="s">
        <v>331</v>
      </c>
      <c r="BE1" s="388" t="s">
        <v>332</v>
      </c>
      <c r="BF1" s="388" t="s">
        <v>333</v>
      </c>
      <c r="BG1" s="388" t="s">
        <v>334</v>
      </c>
      <c r="BH1" s="388" t="s">
        <v>335</v>
      </c>
      <c r="BI1" s="388" t="s">
        <v>336</v>
      </c>
      <c r="BJ1" s="388" t="s">
        <v>337</v>
      </c>
      <c r="BK1" s="388" t="s">
        <v>338</v>
      </c>
      <c r="BL1" s="389" t="s">
        <v>339</v>
      </c>
      <c r="BM1" s="389" t="s">
        <v>340</v>
      </c>
      <c r="BN1" s="388" t="s">
        <v>341</v>
      </c>
      <c r="BO1" s="388" t="s">
        <v>342</v>
      </c>
      <c r="BP1" s="388" t="s">
        <v>343</v>
      </c>
      <c r="BQ1" s="388" t="s">
        <v>344</v>
      </c>
      <c r="BR1" s="388" t="s">
        <v>345</v>
      </c>
      <c r="BS1" s="388" t="s">
        <v>346</v>
      </c>
      <c r="BT1" s="388" t="s">
        <v>347</v>
      </c>
      <c r="BU1" s="388" t="s">
        <v>348</v>
      </c>
      <c r="BV1" s="388" t="s">
        <v>349</v>
      </c>
      <c r="BW1" s="388" t="s">
        <v>350</v>
      </c>
      <c r="BX1" s="389" t="s">
        <v>351</v>
      </c>
      <c r="BY1" s="389" t="s">
        <v>352</v>
      </c>
      <c r="BZ1" s="388" t="s">
        <v>353</v>
      </c>
      <c r="CA1" s="388" t="s">
        <v>354</v>
      </c>
      <c r="CB1" s="388" t="s">
        <v>355</v>
      </c>
      <c r="CC1" s="388" t="s">
        <v>356</v>
      </c>
      <c r="CD1" s="388" t="s">
        <v>357</v>
      </c>
      <c r="CE1" s="388" t="s">
        <v>358</v>
      </c>
      <c r="CF1" s="388" t="s">
        <v>359</v>
      </c>
      <c r="CG1" s="388" t="s">
        <v>360</v>
      </c>
      <c r="CH1" s="388" t="s">
        <v>361</v>
      </c>
      <c r="CI1" s="388" t="s">
        <v>362</v>
      </c>
      <c r="CJ1" s="389" t="s">
        <v>363</v>
      </c>
      <c r="CK1" s="389" t="s">
        <v>364</v>
      </c>
      <c r="CL1" s="390" t="s">
        <v>365</v>
      </c>
      <c r="CM1" s="390" t="s">
        <v>366</v>
      </c>
      <c r="CN1" s="390" t="s">
        <v>367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166</v>
      </c>
      <c r="M2" s="376" t="s">
        <v>170</v>
      </c>
      <c r="N2" s="376" t="s">
        <v>171</v>
      </c>
      <c r="O2" s="379">
        <v>1</v>
      </c>
      <c r="P2" s="384">
        <v>1</v>
      </c>
      <c r="Q2" s="384">
        <v>1</v>
      </c>
      <c r="R2" s="380">
        <v>80</v>
      </c>
      <c r="S2" s="384">
        <v>1</v>
      </c>
      <c r="T2" s="380">
        <v>76585.600000000006</v>
      </c>
      <c r="U2" s="380">
        <v>0</v>
      </c>
      <c r="V2" s="380">
        <v>27026.58</v>
      </c>
      <c r="W2" s="380">
        <v>80184</v>
      </c>
      <c r="X2" s="380">
        <v>28449.31</v>
      </c>
      <c r="Y2" s="380">
        <v>80184</v>
      </c>
      <c r="Z2" s="380">
        <v>28072.45</v>
      </c>
      <c r="AA2" s="376" t="s">
        <v>172</v>
      </c>
      <c r="AB2" s="376" t="s">
        <v>173</v>
      </c>
      <c r="AC2" s="376" t="s">
        <v>174</v>
      </c>
      <c r="AD2" s="376" t="s">
        <v>175</v>
      </c>
      <c r="AE2" s="376" t="s">
        <v>169</v>
      </c>
      <c r="AF2" s="376" t="s">
        <v>176</v>
      </c>
      <c r="AG2" s="376" t="s">
        <v>177</v>
      </c>
      <c r="AH2" s="381">
        <v>38.549999999999997</v>
      </c>
      <c r="AI2" s="381">
        <v>18769.3</v>
      </c>
      <c r="AJ2" s="376" t="s">
        <v>178</v>
      </c>
      <c r="AK2" s="376" t="s">
        <v>179</v>
      </c>
      <c r="AL2" s="376" t="s">
        <v>180</v>
      </c>
      <c r="AM2" s="376" t="s">
        <v>181</v>
      </c>
      <c r="AN2" s="376" t="s">
        <v>68</v>
      </c>
      <c r="AO2" s="379">
        <v>80</v>
      </c>
      <c r="AP2" s="384">
        <v>1</v>
      </c>
      <c r="AQ2" s="384">
        <v>1</v>
      </c>
      <c r="AR2" s="382" t="s">
        <v>182</v>
      </c>
      <c r="AS2" s="386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6">
        <f>IF(AT2=0,"",IF(AND(AT2=1,M2="F",SUMIF(C2:C29,C2,AS2:AS29)&lt;=1),SUMIF(C2:C29,C2,AS2:AS29),IF(AND(AT2=1,M2="F",SUMIF(C2:C29,C2,AS2:AS29)&gt;1),1,"")))</f>
        <v>1</v>
      </c>
      <c r="AV2" s="386" t="str">
        <f>IF(AT2=0,"",IF(AND(AT2=3,M2="F",SUMIF(C2:C29,C2,AS2:AS29)&lt;=1),SUMIF(C2:C29,C2,AS2:AS29),IF(AND(AT2=3,M2="F",SUMIF(C2:C29,C2,AS2:AS29)&gt;1),1,"")))</f>
        <v/>
      </c>
      <c r="AW2" s="386">
        <f>SUMIF(C2:C29,C2,O2:O29)</f>
        <v>1</v>
      </c>
      <c r="AX2" s="386">
        <f>IF(AND(M2="F",AS2&lt;&gt;0),SUMIF(C2:C29,C2,W2:W29),0)</f>
        <v>80184</v>
      </c>
      <c r="AY2" s="386">
        <f>IF(AT2=1,W2,"")</f>
        <v>80184</v>
      </c>
      <c r="AZ2" s="386" t="str">
        <f>IF(AT2=3,W2,"")</f>
        <v/>
      </c>
      <c r="BA2" s="386">
        <f>IF(AT2=1,Y2-W2,0)</f>
        <v>0</v>
      </c>
      <c r="BB2" s="386">
        <f t="shared" ref="BB2:BB29" si="0">IF(AND(AT2=1,AK2="E",AU2&gt;=0.75,AW2=1),Health,IF(AND(AT2=1,AK2="E",AU2&gt;=0.75),Health*P2,IF(AND(AT2=1,AK2="E",AU2&gt;=0.5,AW2=1),PTHealth,IF(AND(AT2=1,AK2="E",AU2&gt;=0.5),PTHealth*P2,0))))</f>
        <v>11650</v>
      </c>
      <c r="BC2" s="386">
        <f t="shared" ref="BC2:BC29" si="1">IF(AND(AT2=3,AK2="E",AV2&gt;=0.75,AW2=1),Health,IF(AND(AT2=3,AK2="E",AV2&gt;=0.75),Health*P2,IF(AND(AT2=3,AK2="E",AV2&gt;=0.5,AW2=1),PTHealth,IF(AND(AT2=3,AK2="E",AV2&gt;=0.5),PTHealth*P2,0))))</f>
        <v>0</v>
      </c>
      <c r="BD2" s="386">
        <f t="shared" ref="BD2:BD29" si="2">IF(AND(AT2&lt;&gt;0,AX2&gt;=MAXSSDI),SSDI*MAXSSDI*P2,IF(AT2&lt;&gt;0,SSDI*W2,0))</f>
        <v>4971.4080000000004</v>
      </c>
      <c r="BE2" s="386">
        <f t="shared" ref="BE2:BE29" si="3">IF(AT2&lt;&gt;0,SSHI*W2,0)</f>
        <v>1162.6680000000001</v>
      </c>
      <c r="BF2" s="386">
        <f t="shared" ref="BF2:BF29" si="4">IF(AND(AT2&lt;&gt;0,AN2&lt;&gt;"NE"),VLOOKUP(AN2,Retirement_Rates,3,FALSE)*W2,0)</f>
        <v>9573.9696000000004</v>
      </c>
      <c r="BG2" s="386">
        <f t="shared" ref="BG2:BG29" si="5">IF(AND(AT2&lt;&gt;0,AJ2&lt;&gt;"PF"),Life*W2,0)</f>
        <v>578.12664000000007</v>
      </c>
      <c r="BH2" s="386">
        <f t="shared" ref="BH2:BH29" si="6">IF(AND(AT2&lt;&gt;0,AM2="Y"),UI*W2,0)</f>
        <v>392.90159999999997</v>
      </c>
      <c r="BI2" s="386">
        <f t="shared" ref="BI2:BI29" si="7">IF(AND(AT2&lt;&gt;0,N2&lt;&gt;"NR"),DHR*W2,0)</f>
        <v>0</v>
      </c>
      <c r="BJ2" s="386">
        <f t="shared" ref="BJ2:BJ29" si="8">IF(AT2&lt;&gt;0,WC*W2,0)</f>
        <v>120.276</v>
      </c>
      <c r="BK2" s="386">
        <f t="shared" ref="BK2:BK29" si="9">IF(OR(AND(AT2&lt;&gt;0,AJ2&lt;&gt;"PF",AN2&lt;&gt;"NE",AG2&lt;&gt;"A"),AND(AL2="E",OR(AT2=1,AT2=3))),Sick*W2,0)</f>
        <v>0</v>
      </c>
      <c r="BL2" s="386">
        <f>IF(AT2=1,SUM(BD2:BK2),0)</f>
        <v>16799.349840000003</v>
      </c>
      <c r="BM2" s="386">
        <f>IF(AT2=3,SUM(BD2:BK2),0)</f>
        <v>0</v>
      </c>
      <c r="BN2" s="386">
        <f t="shared" ref="BN2:BN29" si="10">IF(AND(AT2=1,AK2="E",AU2&gt;=0.75,AW2=1),HealthBY,IF(AND(AT2=1,AK2="E",AU2&gt;=0.75),HealthBY*P2,IF(AND(AT2=1,AK2="E",AU2&gt;=0.5,AW2=1),PTHealthBY,IF(AND(AT2=1,AK2="E",AU2&gt;=0.5),PTHealthBY*P2,0))))</f>
        <v>11650</v>
      </c>
      <c r="BO2" s="386">
        <f t="shared" ref="BO2:BO29" si="11">IF(AND(AT2=3,AK2="E",AV2&gt;=0.75,AW2=1),HealthBY,IF(AND(AT2=3,AK2="E",AV2&gt;=0.75),HealthBY*P2,IF(AND(AT2=3,AK2="E",AV2&gt;=0.5,AW2=1),PTHealthBY,IF(AND(AT2=3,AK2="E",AV2&gt;=0.5),PTHealthBY*P2,0))))</f>
        <v>0</v>
      </c>
      <c r="BP2" s="386">
        <f t="shared" ref="BP2:BP29" si="12">IF(AND(AT2&lt;&gt;0,(AX2+BA2)&gt;=MAXSSDIBY),SSDIBY*MAXSSDIBY*P2,IF(AT2&lt;&gt;0,SSDIBY*W2,0))</f>
        <v>4971.4080000000004</v>
      </c>
      <c r="BQ2" s="386">
        <f t="shared" ref="BQ2:BQ29" si="13">IF(AT2&lt;&gt;0,SSHIBY*W2,0)</f>
        <v>1162.6680000000001</v>
      </c>
      <c r="BR2" s="386">
        <f t="shared" ref="BR2:BR29" si="14">IF(AND(AT2&lt;&gt;0,AN2&lt;&gt;"NE"),VLOOKUP(AN2,Retirement_Rates,4,FALSE)*W2,0)</f>
        <v>9573.9696000000004</v>
      </c>
      <c r="BS2" s="386">
        <f t="shared" ref="BS2:BS29" si="15">IF(AND(AT2&lt;&gt;0,AJ2&lt;&gt;"PF"),LifeBY*W2,0)</f>
        <v>578.12664000000007</v>
      </c>
      <c r="BT2" s="386">
        <f t="shared" ref="BT2:BT29" si="16">IF(AND(AT2&lt;&gt;0,AM2="Y"),UIBY*W2,0)</f>
        <v>0</v>
      </c>
      <c r="BU2" s="386">
        <f t="shared" ref="BU2:BU29" si="17">IF(AND(AT2&lt;&gt;0,N2&lt;&gt;"NR"),DHRBY*W2,0)</f>
        <v>0</v>
      </c>
      <c r="BV2" s="386">
        <f t="shared" ref="BV2:BV29" si="18">IF(AT2&lt;&gt;0,WCBY*W2,0)</f>
        <v>136.31279999999998</v>
      </c>
      <c r="BW2" s="386">
        <f t="shared" ref="BW2:BW29" si="19">IF(OR(AND(AT2&lt;&gt;0,AJ2&lt;&gt;"PF",AN2&lt;&gt;"NE",AG2&lt;&gt;"A"),AND(AL2="E",OR(AT2=1,AT2=3))),SickBY*W2,0)</f>
        <v>0</v>
      </c>
      <c r="BX2" s="386">
        <f>IF(AT2=1,SUM(BP2:BW2),0)</f>
        <v>16422.485040000003</v>
      </c>
      <c r="BY2" s="386">
        <f>IF(AT2=3,SUM(BP2:BW2),0)</f>
        <v>0</v>
      </c>
      <c r="BZ2" s="386">
        <f>IF(AT2=1,BN2-BB2,0)</f>
        <v>0</v>
      </c>
      <c r="CA2" s="386">
        <f>IF(AT2=3,BO2-BC2,0)</f>
        <v>0</v>
      </c>
      <c r="CB2" s="386">
        <f>BP2-BD2</f>
        <v>0</v>
      </c>
      <c r="CC2" s="386">
        <f t="shared" ref="CC2:CC29" si="20">IF(AT2&lt;&gt;0,SSHICHG*Y2,0)</f>
        <v>0</v>
      </c>
      <c r="CD2" s="386">
        <f t="shared" ref="CD2:CD29" si="21">IF(AND(AT2&lt;&gt;0,AN2&lt;&gt;"NE"),VLOOKUP(AN2,Retirement_Rates,5,FALSE)*Y2,0)</f>
        <v>0</v>
      </c>
      <c r="CE2" s="386">
        <f t="shared" ref="CE2:CE29" si="22">IF(AND(AT2&lt;&gt;0,AJ2&lt;&gt;"PF"),LifeCHG*Y2,0)</f>
        <v>0</v>
      </c>
      <c r="CF2" s="386">
        <f t="shared" ref="CF2:CF29" si="23">IF(AND(AT2&lt;&gt;0,AM2="Y"),UICHG*Y2,0)</f>
        <v>-392.90159999999997</v>
      </c>
      <c r="CG2" s="386">
        <f t="shared" ref="CG2:CG29" si="24">IF(AND(AT2&lt;&gt;0,N2&lt;&gt;"NR"),DHRCHG*Y2,0)</f>
        <v>0</v>
      </c>
      <c r="CH2" s="386">
        <f t="shared" ref="CH2:CH29" si="25">IF(AT2&lt;&gt;0,WCCHG*Y2,0)</f>
        <v>16.036799999999989</v>
      </c>
      <c r="CI2" s="386">
        <f t="shared" ref="CI2:CI29" si="26">IF(OR(AND(AT2&lt;&gt;0,AJ2&lt;&gt;"PF",AN2&lt;&gt;"NE",AG2&lt;&gt;"A"),AND(AL2="E",OR(AT2=1,AT2=3))),SickCHG*Y2,0)</f>
        <v>0</v>
      </c>
      <c r="CJ2" s="386">
        <f>IF(AT2=1,SUM(CB2:CI2),0)</f>
        <v>-376.8648</v>
      </c>
      <c r="CK2" s="386" t="str">
        <f>IF(AT2=3,SUM(CB2:CI2),"")</f>
        <v/>
      </c>
      <c r="CL2" s="386" t="str">
        <f>IF(OR(N2="NG",AG2="D"),(T2+U2),"")</f>
        <v/>
      </c>
      <c r="CM2" s="386" t="str">
        <f>IF(OR(N2="NG",AG2="D"),V2,"")</f>
        <v/>
      </c>
      <c r="CN2" s="386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183</v>
      </c>
      <c r="D3" s="376" t="s">
        <v>164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169</v>
      </c>
      <c r="L3" s="376" t="s">
        <v>166</v>
      </c>
      <c r="M3" s="376" t="s">
        <v>170</v>
      </c>
      <c r="N3" s="376" t="s">
        <v>171</v>
      </c>
      <c r="O3" s="379">
        <v>1</v>
      </c>
      <c r="P3" s="384">
        <v>1</v>
      </c>
      <c r="Q3" s="384">
        <v>1</v>
      </c>
      <c r="R3" s="380">
        <v>80</v>
      </c>
      <c r="S3" s="384">
        <v>1</v>
      </c>
      <c r="T3" s="380">
        <v>76648.009999999995</v>
      </c>
      <c r="U3" s="380">
        <v>0</v>
      </c>
      <c r="V3" s="380">
        <v>27243.08</v>
      </c>
      <c r="W3" s="380">
        <v>79872</v>
      </c>
      <c r="X3" s="380">
        <v>28383.95</v>
      </c>
      <c r="Y3" s="380">
        <v>79872</v>
      </c>
      <c r="Z3" s="380">
        <v>28008.560000000001</v>
      </c>
      <c r="AA3" s="376" t="s">
        <v>184</v>
      </c>
      <c r="AB3" s="376" t="s">
        <v>185</v>
      </c>
      <c r="AC3" s="376" t="s">
        <v>186</v>
      </c>
      <c r="AD3" s="376" t="s">
        <v>187</v>
      </c>
      <c r="AE3" s="376" t="s">
        <v>169</v>
      </c>
      <c r="AF3" s="376" t="s">
        <v>176</v>
      </c>
      <c r="AG3" s="376" t="s">
        <v>177</v>
      </c>
      <c r="AH3" s="381">
        <v>38.4</v>
      </c>
      <c r="AI3" s="379">
        <v>18412</v>
      </c>
      <c r="AJ3" s="376" t="s">
        <v>178</v>
      </c>
      <c r="AK3" s="376" t="s">
        <v>179</v>
      </c>
      <c r="AL3" s="376" t="s">
        <v>180</v>
      </c>
      <c r="AM3" s="376" t="s">
        <v>181</v>
      </c>
      <c r="AN3" s="376" t="s">
        <v>68</v>
      </c>
      <c r="AO3" s="379">
        <v>80</v>
      </c>
      <c r="AP3" s="384">
        <v>1</v>
      </c>
      <c r="AQ3" s="384">
        <v>1</v>
      </c>
      <c r="AR3" s="382" t="s">
        <v>182</v>
      </c>
      <c r="AS3" s="386">
        <f t="shared" ref="AS3:AS29" si="27">IF(((AO3/80)*AP3*P3)&gt;1,AQ3,((AO3/80)*AP3*P3))</f>
        <v>1</v>
      </c>
      <c r="AT3">
        <f t="shared" ref="AT3:AT29" si="28">IF(AND(M3="F",N3&lt;&gt;"NG",AS3&lt;&gt;0,AND(AR3&lt;&gt;6,AR3&lt;&gt;36,AR3&lt;&gt;56),AG3&lt;&gt;"A",OR(AG3="H",AJ3="FS")),1,IF(AND(M3="F",N3&lt;&gt;"NG",AS3&lt;&gt;0,AG3="A"),3,0))</f>
        <v>1</v>
      </c>
      <c r="AU3" s="386">
        <f>IF(AT3=0,"",IF(AND(AT3=1,M3="F",SUMIF(C2:C29,C3,AS2:AS29)&lt;=1),SUMIF(C2:C29,C3,AS2:AS29),IF(AND(AT3=1,M3="F",SUMIF(C2:C29,C3,AS2:AS29)&gt;1),1,"")))</f>
        <v>1</v>
      </c>
      <c r="AV3" s="386" t="str">
        <f>IF(AT3=0,"",IF(AND(AT3=3,M3="F",SUMIF(C2:C29,C3,AS2:AS29)&lt;=1),SUMIF(C2:C29,C3,AS2:AS29),IF(AND(AT3=3,M3="F",SUMIF(C2:C29,C3,AS2:AS29)&gt;1),1,"")))</f>
        <v/>
      </c>
      <c r="AW3" s="386">
        <f>SUMIF(C2:C29,C3,O2:O29)</f>
        <v>1</v>
      </c>
      <c r="AX3" s="386">
        <f>IF(AND(M3="F",AS3&lt;&gt;0),SUMIF(C2:C29,C3,W2:W29),0)</f>
        <v>79872</v>
      </c>
      <c r="AY3" s="386">
        <f t="shared" ref="AY3:AY29" si="29">IF(AT3=1,W3,"")</f>
        <v>79872</v>
      </c>
      <c r="AZ3" s="386" t="str">
        <f t="shared" ref="AZ3:AZ29" si="30">IF(AT3=3,W3,"")</f>
        <v/>
      </c>
      <c r="BA3" s="386">
        <f t="shared" ref="BA3:BA29" si="31">IF(AT3=1,Y3-W3,0)</f>
        <v>0</v>
      </c>
      <c r="BB3" s="386">
        <f t="shared" si="0"/>
        <v>11650</v>
      </c>
      <c r="BC3" s="386">
        <f t="shared" si="1"/>
        <v>0</v>
      </c>
      <c r="BD3" s="386">
        <f t="shared" si="2"/>
        <v>4952.0640000000003</v>
      </c>
      <c r="BE3" s="386">
        <f t="shared" si="3"/>
        <v>1158.144</v>
      </c>
      <c r="BF3" s="386">
        <f t="shared" si="4"/>
        <v>9536.7168000000001</v>
      </c>
      <c r="BG3" s="386">
        <f t="shared" si="5"/>
        <v>575.87711999999999</v>
      </c>
      <c r="BH3" s="386">
        <f t="shared" si="6"/>
        <v>391.37279999999998</v>
      </c>
      <c r="BI3" s="386">
        <f t="shared" si="7"/>
        <v>0</v>
      </c>
      <c r="BJ3" s="386">
        <f t="shared" si="8"/>
        <v>119.80800000000001</v>
      </c>
      <c r="BK3" s="386">
        <f t="shared" si="9"/>
        <v>0</v>
      </c>
      <c r="BL3" s="386">
        <f t="shared" ref="BL3:BL29" si="32">IF(AT3=1,SUM(BD3:BK3),0)</f>
        <v>16733.98272</v>
      </c>
      <c r="BM3" s="386">
        <f t="shared" ref="BM3:BM29" si="33">IF(AT3=3,SUM(BD3:BK3),0)</f>
        <v>0</v>
      </c>
      <c r="BN3" s="386">
        <f t="shared" si="10"/>
        <v>11650</v>
      </c>
      <c r="BO3" s="386">
        <f t="shared" si="11"/>
        <v>0</v>
      </c>
      <c r="BP3" s="386">
        <f t="shared" si="12"/>
        <v>4952.0640000000003</v>
      </c>
      <c r="BQ3" s="386">
        <f t="shared" si="13"/>
        <v>1158.144</v>
      </c>
      <c r="BR3" s="386">
        <f t="shared" si="14"/>
        <v>9536.7168000000001</v>
      </c>
      <c r="BS3" s="386">
        <f t="shared" si="15"/>
        <v>575.87711999999999</v>
      </c>
      <c r="BT3" s="386">
        <f t="shared" si="16"/>
        <v>0</v>
      </c>
      <c r="BU3" s="386">
        <f t="shared" si="17"/>
        <v>0</v>
      </c>
      <c r="BV3" s="386">
        <f t="shared" si="18"/>
        <v>135.7824</v>
      </c>
      <c r="BW3" s="386">
        <f t="shared" si="19"/>
        <v>0</v>
      </c>
      <c r="BX3" s="386">
        <f t="shared" ref="BX3:BX29" si="34">IF(AT3=1,SUM(BP3:BW3),0)</f>
        <v>16358.58432</v>
      </c>
      <c r="BY3" s="386">
        <f t="shared" ref="BY3:BY29" si="35">IF(AT3=3,SUM(BP3:BW3),0)</f>
        <v>0</v>
      </c>
      <c r="BZ3" s="386">
        <f t="shared" ref="BZ3:BZ29" si="36">IF(AT3=1,BN3-BB3,0)</f>
        <v>0</v>
      </c>
      <c r="CA3" s="386">
        <f t="shared" ref="CA3:CA29" si="37">IF(AT3=3,BO3-BC3,0)</f>
        <v>0</v>
      </c>
      <c r="CB3" s="386">
        <f t="shared" ref="CB3:CB29" si="38">BP3-BD3</f>
        <v>0</v>
      </c>
      <c r="CC3" s="386">
        <f t="shared" si="20"/>
        <v>0</v>
      </c>
      <c r="CD3" s="386">
        <f t="shared" si="21"/>
        <v>0</v>
      </c>
      <c r="CE3" s="386">
        <f t="shared" si="22"/>
        <v>0</v>
      </c>
      <c r="CF3" s="386">
        <f t="shared" si="23"/>
        <v>-391.37279999999998</v>
      </c>
      <c r="CG3" s="386">
        <f t="shared" si="24"/>
        <v>0</v>
      </c>
      <c r="CH3" s="386">
        <f t="shared" si="25"/>
        <v>15.97439999999999</v>
      </c>
      <c r="CI3" s="386">
        <f t="shared" si="26"/>
        <v>0</v>
      </c>
      <c r="CJ3" s="386">
        <f t="shared" ref="CJ3:CJ29" si="39">IF(AT3=1,SUM(CB3:CI3),0)</f>
        <v>-375.39839999999998</v>
      </c>
      <c r="CK3" s="386" t="str">
        <f t="shared" ref="CK3:CK29" si="40">IF(AT3=3,SUM(CB3:CI3),"")</f>
        <v/>
      </c>
      <c r="CL3" s="386" t="str">
        <f t="shared" ref="CL3:CL29" si="41">IF(OR(N3="NG",AG3="D"),(T3+U3),"")</f>
        <v/>
      </c>
      <c r="CM3" s="386" t="str">
        <f t="shared" ref="CM3:CM29" si="42">IF(OR(N3="NG",AG3="D"),V3,"")</f>
        <v/>
      </c>
      <c r="CN3" s="386" t="str">
        <f t="shared" ref="CN3:CN29" si="43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188</v>
      </c>
      <c r="D4" s="376" t="s">
        <v>164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169</v>
      </c>
      <c r="L4" s="376" t="s">
        <v>166</v>
      </c>
      <c r="M4" s="376" t="s">
        <v>170</v>
      </c>
      <c r="N4" s="376" t="s">
        <v>171</v>
      </c>
      <c r="O4" s="379">
        <v>1</v>
      </c>
      <c r="P4" s="384">
        <v>1</v>
      </c>
      <c r="Q4" s="384">
        <v>1</v>
      </c>
      <c r="R4" s="380">
        <v>80</v>
      </c>
      <c r="S4" s="384">
        <v>1</v>
      </c>
      <c r="T4" s="380">
        <v>87464.02</v>
      </c>
      <c r="U4" s="380">
        <v>0</v>
      </c>
      <c r="V4" s="380">
        <v>29137.03</v>
      </c>
      <c r="W4" s="380">
        <v>91145.600000000006</v>
      </c>
      <c r="X4" s="380">
        <v>30745.88</v>
      </c>
      <c r="Y4" s="380">
        <v>91145.600000000006</v>
      </c>
      <c r="Z4" s="380">
        <v>30317.5</v>
      </c>
      <c r="AA4" s="376" t="s">
        <v>189</v>
      </c>
      <c r="AB4" s="376" t="s">
        <v>190</v>
      </c>
      <c r="AC4" s="376" t="s">
        <v>191</v>
      </c>
      <c r="AD4" s="376" t="s">
        <v>192</v>
      </c>
      <c r="AE4" s="376" t="s">
        <v>169</v>
      </c>
      <c r="AF4" s="376" t="s">
        <v>176</v>
      </c>
      <c r="AG4" s="376" t="s">
        <v>177</v>
      </c>
      <c r="AH4" s="381">
        <v>43.82</v>
      </c>
      <c r="AI4" s="381">
        <v>36278.5</v>
      </c>
      <c r="AJ4" s="376" t="s">
        <v>178</v>
      </c>
      <c r="AK4" s="376" t="s">
        <v>179</v>
      </c>
      <c r="AL4" s="376" t="s">
        <v>180</v>
      </c>
      <c r="AM4" s="376" t="s">
        <v>181</v>
      </c>
      <c r="AN4" s="376" t="s">
        <v>68</v>
      </c>
      <c r="AO4" s="379">
        <v>80</v>
      </c>
      <c r="AP4" s="384">
        <v>1</v>
      </c>
      <c r="AQ4" s="384">
        <v>1</v>
      </c>
      <c r="AR4" s="382" t="s">
        <v>182</v>
      </c>
      <c r="AS4" s="386">
        <f t="shared" si="27"/>
        <v>1</v>
      </c>
      <c r="AT4">
        <f t="shared" si="28"/>
        <v>1</v>
      </c>
      <c r="AU4" s="386">
        <f>IF(AT4=0,"",IF(AND(AT4=1,M4="F",SUMIF(C2:C29,C4,AS2:AS29)&lt;=1),SUMIF(C2:C29,C4,AS2:AS29),IF(AND(AT4=1,M4="F",SUMIF(C2:C29,C4,AS2:AS29)&gt;1),1,"")))</f>
        <v>1</v>
      </c>
      <c r="AV4" s="386" t="str">
        <f>IF(AT4=0,"",IF(AND(AT4=3,M4="F",SUMIF(C2:C29,C4,AS2:AS29)&lt;=1),SUMIF(C2:C29,C4,AS2:AS29),IF(AND(AT4=3,M4="F",SUMIF(C2:C29,C4,AS2:AS29)&gt;1),1,"")))</f>
        <v/>
      </c>
      <c r="AW4" s="386">
        <f>SUMIF(C2:C29,C4,O2:O29)</f>
        <v>1</v>
      </c>
      <c r="AX4" s="386">
        <f>IF(AND(M4="F",AS4&lt;&gt;0),SUMIF(C2:C29,C4,W2:W29),0)</f>
        <v>91145.600000000006</v>
      </c>
      <c r="AY4" s="386">
        <f t="shared" si="29"/>
        <v>91145.600000000006</v>
      </c>
      <c r="AZ4" s="386" t="str">
        <f t="shared" si="30"/>
        <v/>
      </c>
      <c r="BA4" s="386">
        <f t="shared" si="31"/>
        <v>0</v>
      </c>
      <c r="BB4" s="386">
        <f t="shared" si="0"/>
        <v>11650</v>
      </c>
      <c r="BC4" s="386">
        <f t="shared" si="1"/>
        <v>0</v>
      </c>
      <c r="BD4" s="386">
        <f t="shared" si="2"/>
        <v>5651.0272000000004</v>
      </c>
      <c r="BE4" s="386">
        <f t="shared" si="3"/>
        <v>1321.6112000000001</v>
      </c>
      <c r="BF4" s="386">
        <f t="shared" si="4"/>
        <v>10882.784640000002</v>
      </c>
      <c r="BG4" s="386">
        <f t="shared" si="5"/>
        <v>657.15977600000008</v>
      </c>
      <c r="BH4" s="386">
        <f t="shared" si="6"/>
        <v>446.61344000000003</v>
      </c>
      <c r="BI4" s="386">
        <f t="shared" si="7"/>
        <v>0</v>
      </c>
      <c r="BJ4" s="386">
        <f t="shared" si="8"/>
        <v>136.7184</v>
      </c>
      <c r="BK4" s="386">
        <f t="shared" si="9"/>
        <v>0</v>
      </c>
      <c r="BL4" s="386">
        <f t="shared" si="32"/>
        <v>19095.914656000004</v>
      </c>
      <c r="BM4" s="386">
        <f t="shared" si="33"/>
        <v>0</v>
      </c>
      <c r="BN4" s="386">
        <f t="shared" si="10"/>
        <v>11650</v>
      </c>
      <c r="BO4" s="386">
        <f t="shared" si="11"/>
        <v>0</v>
      </c>
      <c r="BP4" s="386">
        <f t="shared" si="12"/>
        <v>5651.0272000000004</v>
      </c>
      <c r="BQ4" s="386">
        <f t="shared" si="13"/>
        <v>1321.6112000000001</v>
      </c>
      <c r="BR4" s="386">
        <f t="shared" si="14"/>
        <v>10882.784640000002</v>
      </c>
      <c r="BS4" s="386">
        <f t="shared" si="15"/>
        <v>657.15977600000008</v>
      </c>
      <c r="BT4" s="386">
        <f t="shared" si="16"/>
        <v>0</v>
      </c>
      <c r="BU4" s="386">
        <f t="shared" si="17"/>
        <v>0</v>
      </c>
      <c r="BV4" s="386">
        <f t="shared" si="18"/>
        <v>154.94752</v>
      </c>
      <c r="BW4" s="386">
        <f t="shared" si="19"/>
        <v>0</v>
      </c>
      <c r="BX4" s="386">
        <f t="shared" si="34"/>
        <v>18667.530336000003</v>
      </c>
      <c r="BY4" s="386">
        <f t="shared" si="35"/>
        <v>0</v>
      </c>
      <c r="BZ4" s="386">
        <f t="shared" si="36"/>
        <v>0</v>
      </c>
      <c r="CA4" s="386">
        <f t="shared" si="37"/>
        <v>0</v>
      </c>
      <c r="CB4" s="386">
        <f t="shared" si="38"/>
        <v>0</v>
      </c>
      <c r="CC4" s="386">
        <f t="shared" si="20"/>
        <v>0</v>
      </c>
      <c r="CD4" s="386">
        <f t="shared" si="21"/>
        <v>0</v>
      </c>
      <c r="CE4" s="386">
        <f t="shared" si="22"/>
        <v>0</v>
      </c>
      <c r="CF4" s="386">
        <f t="shared" si="23"/>
        <v>-446.61344000000003</v>
      </c>
      <c r="CG4" s="386">
        <f t="shared" si="24"/>
        <v>0</v>
      </c>
      <c r="CH4" s="386">
        <f t="shared" si="25"/>
        <v>18.229119999999991</v>
      </c>
      <c r="CI4" s="386">
        <f t="shared" si="26"/>
        <v>0</v>
      </c>
      <c r="CJ4" s="386">
        <f t="shared" si="39"/>
        <v>-428.38432000000006</v>
      </c>
      <c r="CK4" s="386" t="str">
        <f t="shared" si="40"/>
        <v/>
      </c>
      <c r="CL4" s="386" t="str">
        <f t="shared" si="41"/>
        <v/>
      </c>
      <c r="CM4" s="386" t="str">
        <f t="shared" si="42"/>
        <v/>
      </c>
      <c r="CN4" s="386" t="str">
        <f t="shared" si="43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193</v>
      </c>
      <c r="D5" s="376" t="s">
        <v>194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195</v>
      </c>
      <c r="L5" s="376" t="s">
        <v>166</v>
      </c>
      <c r="M5" s="376" t="s">
        <v>170</v>
      </c>
      <c r="N5" s="376" t="s">
        <v>171</v>
      </c>
      <c r="O5" s="379">
        <v>1</v>
      </c>
      <c r="P5" s="384">
        <v>1</v>
      </c>
      <c r="Q5" s="384">
        <v>1</v>
      </c>
      <c r="R5" s="380">
        <v>80</v>
      </c>
      <c r="S5" s="384">
        <v>1</v>
      </c>
      <c r="T5" s="380">
        <v>53897.04</v>
      </c>
      <c r="U5" s="380">
        <v>0</v>
      </c>
      <c r="V5" s="380">
        <v>20423.02</v>
      </c>
      <c r="W5" s="380">
        <v>60320</v>
      </c>
      <c r="X5" s="380">
        <v>24287.62</v>
      </c>
      <c r="Y5" s="380">
        <v>60320</v>
      </c>
      <c r="Z5" s="380">
        <v>24004.12</v>
      </c>
      <c r="AA5" s="376" t="s">
        <v>196</v>
      </c>
      <c r="AB5" s="376" t="s">
        <v>197</v>
      </c>
      <c r="AC5" s="376" t="s">
        <v>198</v>
      </c>
      <c r="AD5" s="376" t="s">
        <v>199</v>
      </c>
      <c r="AE5" s="376" t="s">
        <v>195</v>
      </c>
      <c r="AF5" s="376" t="s">
        <v>176</v>
      </c>
      <c r="AG5" s="376" t="s">
        <v>177</v>
      </c>
      <c r="AH5" s="379">
        <v>29</v>
      </c>
      <c r="AI5" s="381">
        <v>3539.5</v>
      </c>
      <c r="AJ5" s="376" t="s">
        <v>178</v>
      </c>
      <c r="AK5" s="376" t="s">
        <v>179</v>
      </c>
      <c r="AL5" s="376" t="s">
        <v>180</v>
      </c>
      <c r="AM5" s="376" t="s">
        <v>181</v>
      </c>
      <c r="AN5" s="376" t="s">
        <v>68</v>
      </c>
      <c r="AO5" s="379">
        <v>80</v>
      </c>
      <c r="AP5" s="384">
        <v>1</v>
      </c>
      <c r="AQ5" s="384">
        <v>1</v>
      </c>
      <c r="AR5" s="382" t="s">
        <v>182</v>
      </c>
      <c r="AS5" s="386">
        <f t="shared" si="27"/>
        <v>1</v>
      </c>
      <c r="AT5">
        <f t="shared" si="28"/>
        <v>1</v>
      </c>
      <c r="AU5" s="386">
        <f>IF(AT5=0,"",IF(AND(AT5=1,M5="F",SUMIF(C2:C29,C5,AS2:AS29)&lt;=1),SUMIF(C2:C29,C5,AS2:AS29),IF(AND(AT5=1,M5="F",SUMIF(C2:C29,C5,AS2:AS29)&gt;1),1,"")))</f>
        <v>1</v>
      </c>
      <c r="AV5" s="386" t="str">
        <f>IF(AT5=0,"",IF(AND(AT5=3,M5="F",SUMIF(C2:C29,C5,AS2:AS29)&lt;=1),SUMIF(C2:C29,C5,AS2:AS29),IF(AND(AT5=3,M5="F",SUMIF(C2:C29,C5,AS2:AS29)&gt;1),1,"")))</f>
        <v/>
      </c>
      <c r="AW5" s="386">
        <f>SUMIF(C2:C29,C5,O2:O29)</f>
        <v>1</v>
      </c>
      <c r="AX5" s="386">
        <f>IF(AND(M5="F",AS5&lt;&gt;0),SUMIF(C2:C29,C5,W2:W29),0)</f>
        <v>60320</v>
      </c>
      <c r="AY5" s="386">
        <f t="shared" si="29"/>
        <v>60320</v>
      </c>
      <c r="AZ5" s="386" t="str">
        <f t="shared" si="30"/>
        <v/>
      </c>
      <c r="BA5" s="386">
        <f t="shared" si="31"/>
        <v>0</v>
      </c>
      <c r="BB5" s="386">
        <f t="shared" si="0"/>
        <v>11650</v>
      </c>
      <c r="BC5" s="386">
        <f t="shared" si="1"/>
        <v>0</v>
      </c>
      <c r="BD5" s="386">
        <f t="shared" si="2"/>
        <v>3739.84</v>
      </c>
      <c r="BE5" s="386">
        <f t="shared" si="3"/>
        <v>874.6400000000001</v>
      </c>
      <c r="BF5" s="386">
        <f t="shared" si="4"/>
        <v>7202.2080000000005</v>
      </c>
      <c r="BG5" s="386">
        <f t="shared" si="5"/>
        <v>434.90719999999999</v>
      </c>
      <c r="BH5" s="386">
        <f t="shared" si="6"/>
        <v>295.56799999999998</v>
      </c>
      <c r="BI5" s="386">
        <f t="shared" si="7"/>
        <v>0</v>
      </c>
      <c r="BJ5" s="386">
        <f t="shared" si="8"/>
        <v>90.48</v>
      </c>
      <c r="BK5" s="386">
        <f t="shared" si="9"/>
        <v>0</v>
      </c>
      <c r="BL5" s="386">
        <f t="shared" si="32"/>
        <v>12637.6432</v>
      </c>
      <c r="BM5" s="386">
        <f t="shared" si="33"/>
        <v>0</v>
      </c>
      <c r="BN5" s="386">
        <f t="shared" si="10"/>
        <v>11650</v>
      </c>
      <c r="BO5" s="386">
        <f t="shared" si="11"/>
        <v>0</v>
      </c>
      <c r="BP5" s="386">
        <f t="shared" si="12"/>
        <v>3739.84</v>
      </c>
      <c r="BQ5" s="386">
        <f t="shared" si="13"/>
        <v>874.6400000000001</v>
      </c>
      <c r="BR5" s="386">
        <f t="shared" si="14"/>
        <v>7202.2080000000005</v>
      </c>
      <c r="BS5" s="386">
        <f t="shared" si="15"/>
        <v>434.90719999999999</v>
      </c>
      <c r="BT5" s="386">
        <f t="shared" si="16"/>
        <v>0</v>
      </c>
      <c r="BU5" s="386">
        <f t="shared" si="17"/>
        <v>0</v>
      </c>
      <c r="BV5" s="386">
        <f t="shared" si="18"/>
        <v>102.544</v>
      </c>
      <c r="BW5" s="386">
        <f t="shared" si="19"/>
        <v>0</v>
      </c>
      <c r="BX5" s="386">
        <f t="shared" si="34"/>
        <v>12354.139200000001</v>
      </c>
      <c r="BY5" s="386">
        <f t="shared" si="35"/>
        <v>0</v>
      </c>
      <c r="BZ5" s="386">
        <f t="shared" si="36"/>
        <v>0</v>
      </c>
      <c r="CA5" s="386">
        <f t="shared" si="37"/>
        <v>0</v>
      </c>
      <c r="CB5" s="386">
        <f t="shared" si="38"/>
        <v>0</v>
      </c>
      <c r="CC5" s="386">
        <f t="shared" si="20"/>
        <v>0</v>
      </c>
      <c r="CD5" s="386">
        <f t="shared" si="21"/>
        <v>0</v>
      </c>
      <c r="CE5" s="386">
        <f t="shared" si="22"/>
        <v>0</v>
      </c>
      <c r="CF5" s="386">
        <f t="shared" si="23"/>
        <v>-295.56799999999998</v>
      </c>
      <c r="CG5" s="386">
        <f t="shared" si="24"/>
        <v>0</v>
      </c>
      <c r="CH5" s="386">
        <f t="shared" si="25"/>
        <v>12.063999999999993</v>
      </c>
      <c r="CI5" s="386">
        <f t="shared" si="26"/>
        <v>0</v>
      </c>
      <c r="CJ5" s="386">
        <f t="shared" si="39"/>
        <v>-283.50400000000002</v>
      </c>
      <c r="CK5" s="386" t="str">
        <f t="shared" si="40"/>
        <v/>
      </c>
      <c r="CL5" s="386" t="str">
        <f t="shared" si="41"/>
        <v/>
      </c>
      <c r="CM5" s="386" t="str">
        <f t="shared" si="42"/>
        <v/>
      </c>
      <c r="CN5" s="386" t="str">
        <f t="shared" si="43"/>
        <v>0001-00</v>
      </c>
    </row>
    <row r="6" spans="1:92" ht="15.75" thickBot="1" x14ac:dyDescent="0.3">
      <c r="A6" s="376" t="s">
        <v>161</v>
      </c>
      <c r="B6" s="376" t="s">
        <v>162</v>
      </c>
      <c r="C6" s="376" t="s">
        <v>200</v>
      </c>
      <c r="D6" s="376" t="s">
        <v>201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202</v>
      </c>
      <c r="L6" s="376" t="s">
        <v>166</v>
      </c>
      <c r="M6" s="376" t="s">
        <v>170</v>
      </c>
      <c r="N6" s="376" t="s">
        <v>171</v>
      </c>
      <c r="O6" s="379">
        <v>1</v>
      </c>
      <c r="P6" s="384">
        <v>1</v>
      </c>
      <c r="Q6" s="384">
        <v>1</v>
      </c>
      <c r="R6" s="380">
        <v>80</v>
      </c>
      <c r="S6" s="384">
        <v>1</v>
      </c>
      <c r="T6" s="380">
        <v>68203.320000000007</v>
      </c>
      <c r="U6" s="380">
        <v>0</v>
      </c>
      <c r="V6" s="380">
        <v>24984.82</v>
      </c>
      <c r="W6" s="380">
        <v>71926.399999999994</v>
      </c>
      <c r="X6" s="380">
        <v>26719.26</v>
      </c>
      <c r="Y6" s="380">
        <v>71926.399999999994</v>
      </c>
      <c r="Z6" s="380">
        <v>26381.22</v>
      </c>
      <c r="AA6" s="376" t="s">
        <v>203</v>
      </c>
      <c r="AB6" s="376" t="s">
        <v>204</v>
      </c>
      <c r="AC6" s="376" t="s">
        <v>205</v>
      </c>
      <c r="AD6" s="376" t="s">
        <v>206</v>
      </c>
      <c r="AE6" s="376" t="s">
        <v>202</v>
      </c>
      <c r="AF6" s="376" t="s">
        <v>176</v>
      </c>
      <c r="AG6" s="376" t="s">
        <v>177</v>
      </c>
      <c r="AH6" s="381">
        <v>34.58</v>
      </c>
      <c r="AI6" s="381">
        <v>17477.599999999999</v>
      </c>
      <c r="AJ6" s="376" t="s">
        <v>178</v>
      </c>
      <c r="AK6" s="376" t="s">
        <v>179</v>
      </c>
      <c r="AL6" s="376" t="s">
        <v>180</v>
      </c>
      <c r="AM6" s="376" t="s">
        <v>181</v>
      </c>
      <c r="AN6" s="376" t="s">
        <v>68</v>
      </c>
      <c r="AO6" s="379">
        <v>80</v>
      </c>
      <c r="AP6" s="384">
        <v>1</v>
      </c>
      <c r="AQ6" s="384">
        <v>1</v>
      </c>
      <c r="AR6" s="382" t="s">
        <v>182</v>
      </c>
      <c r="AS6" s="386">
        <f t="shared" si="27"/>
        <v>1</v>
      </c>
      <c r="AT6">
        <f t="shared" si="28"/>
        <v>1</v>
      </c>
      <c r="AU6" s="386">
        <f>IF(AT6=0,"",IF(AND(AT6=1,M6="F",SUMIF(C2:C29,C6,AS2:AS29)&lt;=1),SUMIF(C2:C29,C6,AS2:AS29),IF(AND(AT6=1,M6="F",SUMIF(C2:C29,C6,AS2:AS29)&gt;1),1,"")))</f>
        <v>1</v>
      </c>
      <c r="AV6" s="386" t="str">
        <f>IF(AT6=0,"",IF(AND(AT6=3,M6="F",SUMIF(C2:C29,C6,AS2:AS29)&lt;=1),SUMIF(C2:C29,C6,AS2:AS29),IF(AND(AT6=3,M6="F",SUMIF(C2:C29,C6,AS2:AS29)&gt;1),1,"")))</f>
        <v/>
      </c>
      <c r="AW6" s="386">
        <f>SUMIF(C2:C29,C6,O2:O29)</f>
        <v>1</v>
      </c>
      <c r="AX6" s="386">
        <f>IF(AND(M6="F",AS6&lt;&gt;0),SUMIF(C2:C29,C6,W2:W29),0)</f>
        <v>71926.399999999994</v>
      </c>
      <c r="AY6" s="386">
        <f t="shared" si="29"/>
        <v>71926.399999999994</v>
      </c>
      <c r="AZ6" s="386" t="str">
        <f t="shared" si="30"/>
        <v/>
      </c>
      <c r="BA6" s="386">
        <f t="shared" si="31"/>
        <v>0</v>
      </c>
      <c r="BB6" s="386">
        <f t="shared" si="0"/>
        <v>11650</v>
      </c>
      <c r="BC6" s="386">
        <f t="shared" si="1"/>
        <v>0</v>
      </c>
      <c r="BD6" s="386">
        <f t="shared" si="2"/>
        <v>4459.4367999999995</v>
      </c>
      <c r="BE6" s="386">
        <f t="shared" si="3"/>
        <v>1042.9328</v>
      </c>
      <c r="BF6" s="386">
        <f t="shared" si="4"/>
        <v>8588.0121600000002</v>
      </c>
      <c r="BG6" s="386">
        <f t="shared" si="5"/>
        <v>518.58934399999998</v>
      </c>
      <c r="BH6" s="386">
        <f t="shared" si="6"/>
        <v>352.43935999999997</v>
      </c>
      <c r="BI6" s="386">
        <f t="shared" si="7"/>
        <v>0</v>
      </c>
      <c r="BJ6" s="386">
        <f t="shared" si="8"/>
        <v>107.88959999999999</v>
      </c>
      <c r="BK6" s="386">
        <f t="shared" si="9"/>
        <v>0</v>
      </c>
      <c r="BL6" s="386">
        <f t="shared" si="32"/>
        <v>15069.300064000001</v>
      </c>
      <c r="BM6" s="386">
        <f t="shared" si="33"/>
        <v>0</v>
      </c>
      <c r="BN6" s="386">
        <f t="shared" si="10"/>
        <v>11650</v>
      </c>
      <c r="BO6" s="386">
        <f t="shared" si="11"/>
        <v>0</v>
      </c>
      <c r="BP6" s="386">
        <f t="shared" si="12"/>
        <v>4459.4367999999995</v>
      </c>
      <c r="BQ6" s="386">
        <f t="shared" si="13"/>
        <v>1042.9328</v>
      </c>
      <c r="BR6" s="386">
        <f t="shared" si="14"/>
        <v>8588.0121600000002</v>
      </c>
      <c r="BS6" s="386">
        <f t="shared" si="15"/>
        <v>518.58934399999998</v>
      </c>
      <c r="BT6" s="386">
        <f t="shared" si="16"/>
        <v>0</v>
      </c>
      <c r="BU6" s="386">
        <f t="shared" si="17"/>
        <v>0</v>
      </c>
      <c r="BV6" s="386">
        <f t="shared" si="18"/>
        <v>122.27487999999998</v>
      </c>
      <c r="BW6" s="386">
        <f t="shared" si="19"/>
        <v>0</v>
      </c>
      <c r="BX6" s="386">
        <f t="shared" si="34"/>
        <v>14731.245984000001</v>
      </c>
      <c r="BY6" s="386">
        <f t="shared" si="35"/>
        <v>0</v>
      </c>
      <c r="BZ6" s="386">
        <f t="shared" si="36"/>
        <v>0</v>
      </c>
      <c r="CA6" s="386">
        <f t="shared" si="37"/>
        <v>0</v>
      </c>
      <c r="CB6" s="386">
        <f t="shared" si="38"/>
        <v>0</v>
      </c>
      <c r="CC6" s="386">
        <f t="shared" si="20"/>
        <v>0</v>
      </c>
      <c r="CD6" s="386">
        <f t="shared" si="21"/>
        <v>0</v>
      </c>
      <c r="CE6" s="386">
        <f t="shared" si="22"/>
        <v>0</v>
      </c>
      <c r="CF6" s="386">
        <f t="shared" si="23"/>
        <v>-352.43935999999997</v>
      </c>
      <c r="CG6" s="386">
        <f t="shared" si="24"/>
        <v>0</v>
      </c>
      <c r="CH6" s="386">
        <f t="shared" si="25"/>
        <v>14.385279999999989</v>
      </c>
      <c r="CI6" s="386">
        <f t="shared" si="26"/>
        <v>0</v>
      </c>
      <c r="CJ6" s="386">
        <f t="shared" si="39"/>
        <v>-338.05408</v>
      </c>
      <c r="CK6" s="386" t="str">
        <f t="shared" si="40"/>
        <v/>
      </c>
      <c r="CL6" s="386" t="str">
        <f t="shared" si="41"/>
        <v/>
      </c>
      <c r="CM6" s="386" t="str">
        <f t="shared" si="42"/>
        <v/>
      </c>
      <c r="CN6" s="386" t="str">
        <f t="shared" si="43"/>
        <v>0001-00</v>
      </c>
    </row>
    <row r="7" spans="1:92" ht="15.75" thickBot="1" x14ac:dyDescent="0.3">
      <c r="A7" s="376" t="s">
        <v>161</v>
      </c>
      <c r="B7" s="376" t="s">
        <v>162</v>
      </c>
      <c r="C7" s="376" t="s">
        <v>207</v>
      </c>
      <c r="D7" s="376" t="s">
        <v>164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169</v>
      </c>
      <c r="L7" s="376" t="s">
        <v>166</v>
      </c>
      <c r="M7" s="376" t="s">
        <v>170</v>
      </c>
      <c r="N7" s="376" t="s">
        <v>171</v>
      </c>
      <c r="O7" s="379">
        <v>1</v>
      </c>
      <c r="P7" s="384">
        <v>1</v>
      </c>
      <c r="Q7" s="384">
        <v>1</v>
      </c>
      <c r="R7" s="380">
        <v>80</v>
      </c>
      <c r="S7" s="384">
        <v>1</v>
      </c>
      <c r="T7" s="380">
        <v>73819.240000000005</v>
      </c>
      <c r="U7" s="380">
        <v>0</v>
      </c>
      <c r="V7" s="380">
        <v>26616.44</v>
      </c>
      <c r="W7" s="380">
        <v>76419.199999999997</v>
      </c>
      <c r="X7" s="380">
        <v>27660.560000000001</v>
      </c>
      <c r="Y7" s="380">
        <v>76419.199999999997</v>
      </c>
      <c r="Z7" s="380">
        <v>27301.4</v>
      </c>
      <c r="AA7" s="376" t="s">
        <v>208</v>
      </c>
      <c r="AB7" s="376" t="s">
        <v>209</v>
      </c>
      <c r="AC7" s="376" t="s">
        <v>210</v>
      </c>
      <c r="AD7" s="376" t="s">
        <v>211</v>
      </c>
      <c r="AE7" s="376" t="s">
        <v>169</v>
      </c>
      <c r="AF7" s="376" t="s">
        <v>176</v>
      </c>
      <c r="AG7" s="376" t="s">
        <v>177</v>
      </c>
      <c r="AH7" s="381">
        <v>36.74</v>
      </c>
      <c r="AI7" s="381">
        <v>20254.400000000001</v>
      </c>
      <c r="AJ7" s="376" t="s">
        <v>178</v>
      </c>
      <c r="AK7" s="376" t="s">
        <v>179</v>
      </c>
      <c r="AL7" s="376" t="s">
        <v>180</v>
      </c>
      <c r="AM7" s="376" t="s">
        <v>181</v>
      </c>
      <c r="AN7" s="376" t="s">
        <v>68</v>
      </c>
      <c r="AO7" s="379">
        <v>80</v>
      </c>
      <c r="AP7" s="384">
        <v>1</v>
      </c>
      <c r="AQ7" s="384">
        <v>1</v>
      </c>
      <c r="AR7" s="382" t="s">
        <v>182</v>
      </c>
      <c r="AS7" s="386">
        <f t="shared" si="27"/>
        <v>1</v>
      </c>
      <c r="AT7">
        <f t="shared" si="28"/>
        <v>1</v>
      </c>
      <c r="AU7" s="386">
        <f>IF(AT7=0,"",IF(AND(AT7=1,M7="F",SUMIF(C2:C29,C7,AS2:AS29)&lt;=1),SUMIF(C2:C29,C7,AS2:AS29),IF(AND(AT7=1,M7="F",SUMIF(C2:C29,C7,AS2:AS29)&gt;1),1,"")))</f>
        <v>1</v>
      </c>
      <c r="AV7" s="386" t="str">
        <f>IF(AT7=0,"",IF(AND(AT7=3,M7="F",SUMIF(C2:C29,C7,AS2:AS29)&lt;=1),SUMIF(C2:C29,C7,AS2:AS29),IF(AND(AT7=3,M7="F",SUMIF(C2:C29,C7,AS2:AS29)&gt;1),1,"")))</f>
        <v/>
      </c>
      <c r="AW7" s="386">
        <f>SUMIF(C2:C29,C7,O2:O29)</f>
        <v>1</v>
      </c>
      <c r="AX7" s="386">
        <f>IF(AND(M7="F",AS7&lt;&gt;0),SUMIF(C2:C29,C7,W2:W29),0)</f>
        <v>76419.199999999997</v>
      </c>
      <c r="AY7" s="386">
        <f t="shared" si="29"/>
        <v>76419.199999999997</v>
      </c>
      <c r="AZ7" s="386" t="str">
        <f t="shared" si="30"/>
        <v/>
      </c>
      <c r="BA7" s="386">
        <f t="shared" si="31"/>
        <v>0</v>
      </c>
      <c r="BB7" s="386">
        <f t="shared" si="0"/>
        <v>11650</v>
      </c>
      <c r="BC7" s="386">
        <f t="shared" si="1"/>
        <v>0</v>
      </c>
      <c r="BD7" s="386">
        <f t="shared" si="2"/>
        <v>4737.9903999999997</v>
      </c>
      <c r="BE7" s="386">
        <f t="shared" si="3"/>
        <v>1108.0784000000001</v>
      </c>
      <c r="BF7" s="386">
        <f t="shared" si="4"/>
        <v>9124.4524799999999</v>
      </c>
      <c r="BG7" s="386">
        <f t="shared" si="5"/>
        <v>550.98243200000002</v>
      </c>
      <c r="BH7" s="386">
        <f t="shared" si="6"/>
        <v>374.45407999999998</v>
      </c>
      <c r="BI7" s="386">
        <f t="shared" si="7"/>
        <v>0</v>
      </c>
      <c r="BJ7" s="386">
        <f t="shared" si="8"/>
        <v>114.6288</v>
      </c>
      <c r="BK7" s="386">
        <f t="shared" si="9"/>
        <v>0</v>
      </c>
      <c r="BL7" s="386">
        <f t="shared" si="32"/>
        <v>16010.586592000001</v>
      </c>
      <c r="BM7" s="386">
        <f t="shared" si="33"/>
        <v>0</v>
      </c>
      <c r="BN7" s="386">
        <f t="shared" si="10"/>
        <v>11650</v>
      </c>
      <c r="BO7" s="386">
        <f t="shared" si="11"/>
        <v>0</v>
      </c>
      <c r="BP7" s="386">
        <f t="shared" si="12"/>
        <v>4737.9903999999997</v>
      </c>
      <c r="BQ7" s="386">
        <f t="shared" si="13"/>
        <v>1108.0784000000001</v>
      </c>
      <c r="BR7" s="386">
        <f t="shared" si="14"/>
        <v>9124.4524799999999</v>
      </c>
      <c r="BS7" s="386">
        <f t="shared" si="15"/>
        <v>550.98243200000002</v>
      </c>
      <c r="BT7" s="386">
        <f t="shared" si="16"/>
        <v>0</v>
      </c>
      <c r="BU7" s="386">
        <f t="shared" si="17"/>
        <v>0</v>
      </c>
      <c r="BV7" s="386">
        <f t="shared" si="18"/>
        <v>129.91263999999998</v>
      </c>
      <c r="BW7" s="386">
        <f t="shared" si="19"/>
        <v>0</v>
      </c>
      <c r="BX7" s="386">
        <f t="shared" si="34"/>
        <v>15651.416352000002</v>
      </c>
      <c r="BY7" s="386">
        <f t="shared" si="35"/>
        <v>0</v>
      </c>
      <c r="BZ7" s="386">
        <f t="shared" si="36"/>
        <v>0</v>
      </c>
      <c r="CA7" s="386">
        <f t="shared" si="37"/>
        <v>0</v>
      </c>
      <c r="CB7" s="386">
        <f t="shared" si="38"/>
        <v>0</v>
      </c>
      <c r="CC7" s="386">
        <f t="shared" si="20"/>
        <v>0</v>
      </c>
      <c r="CD7" s="386">
        <f t="shared" si="21"/>
        <v>0</v>
      </c>
      <c r="CE7" s="386">
        <f t="shared" si="22"/>
        <v>0</v>
      </c>
      <c r="CF7" s="386">
        <f t="shared" si="23"/>
        <v>-374.45407999999998</v>
      </c>
      <c r="CG7" s="386">
        <f t="shared" si="24"/>
        <v>0</v>
      </c>
      <c r="CH7" s="386">
        <f t="shared" si="25"/>
        <v>15.283839999999989</v>
      </c>
      <c r="CI7" s="386">
        <f t="shared" si="26"/>
        <v>0</v>
      </c>
      <c r="CJ7" s="386">
        <f t="shared" si="39"/>
        <v>-359.17023999999998</v>
      </c>
      <c r="CK7" s="386" t="str">
        <f t="shared" si="40"/>
        <v/>
      </c>
      <c r="CL7" s="386" t="str">
        <f t="shared" si="41"/>
        <v/>
      </c>
      <c r="CM7" s="386" t="str">
        <f t="shared" si="42"/>
        <v/>
      </c>
      <c r="CN7" s="386" t="str">
        <f t="shared" si="43"/>
        <v>0001-00</v>
      </c>
    </row>
    <row r="8" spans="1:92" ht="15.75" thickBot="1" x14ac:dyDescent="0.3">
      <c r="A8" s="376" t="s">
        <v>161</v>
      </c>
      <c r="B8" s="376" t="s">
        <v>162</v>
      </c>
      <c r="C8" s="376" t="s">
        <v>212</v>
      </c>
      <c r="D8" s="376" t="s">
        <v>164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169</v>
      </c>
      <c r="L8" s="376" t="s">
        <v>166</v>
      </c>
      <c r="M8" s="376" t="s">
        <v>170</v>
      </c>
      <c r="N8" s="376" t="s">
        <v>171</v>
      </c>
      <c r="O8" s="379">
        <v>1</v>
      </c>
      <c r="P8" s="384">
        <v>1</v>
      </c>
      <c r="Q8" s="384">
        <v>1</v>
      </c>
      <c r="R8" s="380">
        <v>80</v>
      </c>
      <c r="S8" s="384">
        <v>1</v>
      </c>
      <c r="T8" s="380">
        <v>87817.600000000006</v>
      </c>
      <c r="U8" s="380">
        <v>0</v>
      </c>
      <c r="V8" s="380">
        <v>29519.599999999999</v>
      </c>
      <c r="W8" s="380">
        <v>91499.199999999997</v>
      </c>
      <c r="X8" s="380">
        <v>30819.96</v>
      </c>
      <c r="Y8" s="380">
        <v>91499.199999999997</v>
      </c>
      <c r="Z8" s="380">
        <v>30389.919999999998</v>
      </c>
      <c r="AA8" s="376" t="s">
        <v>213</v>
      </c>
      <c r="AB8" s="376" t="s">
        <v>214</v>
      </c>
      <c r="AC8" s="376" t="s">
        <v>215</v>
      </c>
      <c r="AD8" s="376" t="s">
        <v>216</v>
      </c>
      <c r="AE8" s="376" t="s">
        <v>169</v>
      </c>
      <c r="AF8" s="376" t="s">
        <v>176</v>
      </c>
      <c r="AG8" s="376" t="s">
        <v>177</v>
      </c>
      <c r="AH8" s="381">
        <v>43.99</v>
      </c>
      <c r="AI8" s="381">
        <v>40248.6</v>
      </c>
      <c r="AJ8" s="376" t="s">
        <v>178</v>
      </c>
      <c r="AK8" s="376" t="s">
        <v>179</v>
      </c>
      <c r="AL8" s="376" t="s">
        <v>180</v>
      </c>
      <c r="AM8" s="376" t="s">
        <v>181</v>
      </c>
      <c r="AN8" s="376" t="s">
        <v>68</v>
      </c>
      <c r="AO8" s="379">
        <v>80</v>
      </c>
      <c r="AP8" s="384">
        <v>1</v>
      </c>
      <c r="AQ8" s="384">
        <v>1</v>
      </c>
      <c r="AR8" s="382" t="s">
        <v>182</v>
      </c>
      <c r="AS8" s="386">
        <f t="shared" si="27"/>
        <v>1</v>
      </c>
      <c r="AT8">
        <f t="shared" si="28"/>
        <v>1</v>
      </c>
      <c r="AU8" s="386">
        <f>IF(AT8=0,"",IF(AND(AT8=1,M8="F",SUMIF(C2:C29,C8,AS2:AS29)&lt;=1),SUMIF(C2:C29,C8,AS2:AS29),IF(AND(AT8=1,M8="F",SUMIF(C2:C29,C8,AS2:AS29)&gt;1),1,"")))</f>
        <v>1</v>
      </c>
      <c r="AV8" s="386" t="str">
        <f>IF(AT8=0,"",IF(AND(AT8=3,M8="F",SUMIF(C2:C29,C8,AS2:AS29)&lt;=1),SUMIF(C2:C29,C8,AS2:AS29),IF(AND(AT8=3,M8="F",SUMIF(C2:C29,C8,AS2:AS29)&gt;1),1,"")))</f>
        <v/>
      </c>
      <c r="AW8" s="386">
        <f>SUMIF(C2:C29,C8,O2:O29)</f>
        <v>1</v>
      </c>
      <c r="AX8" s="386">
        <f>IF(AND(M8="F",AS8&lt;&gt;0),SUMIF(C2:C29,C8,W2:W29),0)</f>
        <v>91499.199999999997</v>
      </c>
      <c r="AY8" s="386">
        <f t="shared" si="29"/>
        <v>91499.199999999997</v>
      </c>
      <c r="AZ8" s="386" t="str">
        <f t="shared" si="30"/>
        <v/>
      </c>
      <c r="BA8" s="386">
        <f t="shared" si="31"/>
        <v>0</v>
      </c>
      <c r="BB8" s="386">
        <f t="shared" si="0"/>
        <v>11650</v>
      </c>
      <c r="BC8" s="386">
        <f t="shared" si="1"/>
        <v>0</v>
      </c>
      <c r="BD8" s="386">
        <f t="shared" si="2"/>
        <v>5672.9503999999997</v>
      </c>
      <c r="BE8" s="386">
        <f t="shared" si="3"/>
        <v>1326.7384</v>
      </c>
      <c r="BF8" s="386">
        <f t="shared" si="4"/>
        <v>10925.00448</v>
      </c>
      <c r="BG8" s="386">
        <f t="shared" si="5"/>
        <v>659.70923200000004</v>
      </c>
      <c r="BH8" s="386">
        <f t="shared" si="6"/>
        <v>448.34607999999997</v>
      </c>
      <c r="BI8" s="386">
        <f t="shared" si="7"/>
        <v>0</v>
      </c>
      <c r="BJ8" s="386">
        <f t="shared" si="8"/>
        <v>137.24879999999999</v>
      </c>
      <c r="BK8" s="386">
        <f t="shared" si="9"/>
        <v>0</v>
      </c>
      <c r="BL8" s="386">
        <f t="shared" si="32"/>
        <v>19169.997392000001</v>
      </c>
      <c r="BM8" s="386">
        <f t="shared" si="33"/>
        <v>0</v>
      </c>
      <c r="BN8" s="386">
        <f t="shared" si="10"/>
        <v>11650</v>
      </c>
      <c r="BO8" s="386">
        <f t="shared" si="11"/>
        <v>0</v>
      </c>
      <c r="BP8" s="386">
        <f t="shared" si="12"/>
        <v>5672.9503999999997</v>
      </c>
      <c r="BQ8" s="386">
        <f t="shared" si="13"/>
        <v>1326.7384</v>
      </c>
      <c r="BR8" s="386">
        <f t="shared" si="14"/>
        <v>10925.00448</v>
      </c>
      <c r="BS8" s="386">
        <f t="shared" si="15"/>
        <v>659.70923200000004</v>
      </c>
      <c r="BT8" s="386">
        <f t="shared" si="16"/>
        <v>0</v>
      </c>
      <c r="BU8" s="386">
        <f t="shared" si="17"/>
        <v>0</v>
      </c>
      <c r="BV8" s="386">
        <f t="shared" si="18"/>
        <v>155.54863999999998</v>
      </c>
      <c r="BW8" s="386">
        <f t="shared" si="19"/>
        <v>0</v>
      </c>
      <c r="BX8" s="386">
        <f t="shared" si="34"/>
        <v>18739.951152000001</v>
      </c>
      <c r="BY8" s="386">
        <f t="shared" si="35"/>
        <v>0</v>
      </c>
      <c r="BZ8" s="386">
        <f t="shared" si="36"/>
        <v>0</v>
      </c>
      <c r="CA8" s="386">
        <f t="shared" si="37"/>
        <v>0</v>
      </c>
      <c r="CB8" s="386">
        <f t="shared" si="38"/>
        <v>0</v>
      </c>
      <c r="CC8" s="386">
        <f t="shared" si="20"/>
        <v>0</v>
      </c>
      <c r="CD8" s="386">
        <f t="shared" si="21"/>
        <v>0</v>
      </c>
      <c r="CE8" s="386">
        <f t="shared" si="22"/>
        <v>0</v>
      </c>
      <c r="CF8" s="386">
        <f t="shared" si="23"/>
        <v>-448.34607999999997</v>
      </c>
      <c r="CG8" s="386">
        <f t="shared" si="24"/>
        <v>0</v>
      </c>
      <c r="CH8" s="386">
        <f t="shared" si="25"/>
        <v>18.299839999999989</v>
      </c>
      <c r="CI8" s="386">
        <f t="shared" si="26"/>
        <v>0</v>
      </c>
      <c r="CJ8" s="386">
        <f t="shared" si="39"/>
        <v>-430.04624000000001</v>
      </c>
      <c r="CK8" s="386" t="str">
        <f t="shared" si="40"/>
        <v/>
      </c>
      <c r="CL8" s="386" t="str">
        <f t="shared" si="41"/>
        <v/>
      </c>
      <c r="CM8" s="386" t="str">
        <f t="shared" si="42"/>
        <v/>
      </c>
      <c r="CN8" s="386" t="str">
        <f t="shared" si="43"/>
        <v>0001-00</v>
      </c>
    </row>
    <row r="9" spans="1:92" ht="15.75" thickBot="1" x14ac:dyDescent="0.3">
      <c r="A9" s="376" t="s">
        <v>161</v>
      </c>
      <c r="B9" s="376" t="s">
        <v>162</v>
      </c>
      <c r="C9" s="376" t="s">
        <v>217</v>
      </c>
      <c r="D9" s="376" t="s">
        <v>164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169</v>
      </c>
      <c r="L9" s="376" t="s">
        <v>166</v>
      </c>
      <c r="M9" s="376" t="s">
        <v>170</v>
      </c>
      <c r="N9" s="376" t="s">
        <v>171</v>
      </c>
      <c r="O9" s="379">
        <v>1</v>
      </c>
      <c r="P9" s="384">
        <v>1</v>
      </c>
      <c r="Q9" s="384">
        <v>1</v>
      </c>
      <c r="R9" s="380">
        <v>80</v>
      </c>
      <c r="S9" s="384">
        <v>1</v>
      </c>
      <c r="T9" s="380">
        <v>79580.800000000003</v>
      </c>
      <c r="U9" s="380">
        <v>0</v>
      </c>
      <c r="V9" s="380">
        <v>27736.82</v>
      </c>
      <c r="W9" s="380">
        <v>82929.600000000006</v>
      </c>
      <c r="X9" s="380">
        <v>29024.55</v>
      </c>
      <c r="Y9" s="380">
        <v>82929.600000000006</v>
      </c>
      <c r="Z9" s="380">
        <v>28634.79</v>
      </c>
      <c r="AA9" s="376" t="s">
        <v>218</v>
      </c>
      <c r="AB9" s="376" t="s">
        <v>219</v>
      </c>
      <c r="AC9" s="376" t="s">
        <v>220</v>
      </c>
      <c r="AD9" s="376" t="s">
        <v>206</v>
      </c>
      <c r="AE9" s="376" t="s">
        <v>169</v>
      </c>
      <c r="AF9" s="376" t="s">
        <v>176</v>
      </c>
      <c r="AG9" s="376" t="s">
        <v>177</v>
      </c>
      <c r="AH9" s="381">
        <v>39.869999999999997</v>
      </c>
      <c r="AI9" s="381">
        <v>32984.1</v>
      </c>
      <c r="AJ9" s="376" t="s">
        <v>178</v>
      </c>
      <c r="AK9" s="376" t="s">
        <v>179</v>
      </c>
      <c r="AL9" s="376" t="s">
        <v>180</v>
      </c>
      <c r="AM9" s="376" t="s">
        <v>181</v>
      </c>
      <c r="AN9" s="376" t="s">
        <v>68</v>
      </c>
      <c r="AO9" s="379">
        <v>80</v>
      </c>
      <c r="AP9" s="384">
        <v>1</v>
      </c>
      <c r="AQ9" s="384">
        <v>1</v>
      </c>
      <c r="AR9" s="382" t="s">
        <v>182</v>
      </c>
      <c r="AS9" s="386">
        <f t="shared" si="27"/>
        <v>1</v>
      </c>
      <c r="AT9">
        <f t="shared" si="28"/>
        <v>1</v>
      </c>
      <c r="AU9" s="386">
        <f>IF(AT9=0,"",IF(AND(AT9=1,M9="F",SUMIF(C2:C29,C9,AS2:AS29)&lt;=1),SUMIF(C2:C29,C9,AS2:AS29),IF(AND(AT9=1,M9="F",SUMIF(C2:C29,C9,AS2:AS29)&gt;1),1,"")))</f>
        <v>1</v>
      </c>
      <c r="AV9" s="386" t="str">
        <f>IF(AT9=0,"",IF(AND(AT9=3,M9="F",SUMIF(C2:C29,C9,AS2:AS29)&lt;=1),SUMIF(C2:C29,C9,AS2:AS29),IF(AND(AT9=3,M9="F",SUMIF(C2:C29,C9,AS2:AS29)&gt;1),1,"")))</f>
        <v/>
      </c>
      <c r="AW9" s="386">
        <f>SUMIF(C2:C29,C9,O2:O29)</f>
        <v>1</v>
      </c>
      <c r="AX9" s="386">
        <f>IF(AND(M9="F",AS9&lt;&gt;0),SUMIF(C2:C29,C9,W2:W29),0)</f>
        <v>82929.600000000006</v>
      </c>
      <c r="AY9" s="386">
        <f t="shared" si="29"/>
        <v>82929.600000000006</v>
      </c>
      <c r="AZ9" s="386" t="str">
        <f t="shared" si="30"/>
        <v/>
      </c>
      <c r="BA9" s="386">
        <f t="shared" si="31"/>
        <v>0</v>
      </c>
      <c r="BB9" s="386">
        <f t="shared" si="0"/>
        <v>11650</v>
      </c>
      <c r="BC9" s="386">
        <f t="shared" si="1"/>
        <v>0</v>
      </c>
      <c r="BD9" s="386">
        <f t="shared" si="2"/>
        <v>5141.6352000000006</v>
      </c>
      <c r="BE9" s="386">
        <f t="shared" si="3"/>
        <v>1202.4792000000002</v>
      </c>
      <c r="BF9" s="386">
        <f t="shared" si="4"/>
        <v>9901.7942400000011</v>
      </c>
      <c r="BG9" s="386">
        <f t="shared" si="5"/>
        <v>597.92241600000011</v>
      </c>
      <c r="BH9" s="386">
        <f t="shared" si="6"/>
        <v>406.35504000000003</v>
      </c>
      <c r="BI9" s="386">
        <f t="shared" si="7"/>
        <v>0</v>
      </c>
      <c r="BJ9" s="386">
        <f t="shared" si="8"/>
        <v>124.3944</v>
      </c>
      <c r="BK9" s="386">
        <f t="shared" si="9"/>
        <v>0</v>
      </c>
      <c r="BL9" s="386">
        <f t="shared" si="32"/>
        <v>17374.580496000002</v>
      </c>
      <c r="BM9" s="386">
        <f t="shared" si="33"/>
        <v>0</v>
      </c>
      <c r="BN9" s="386">
        <f t="shared" si="10"/>
        <v>11650</v>
      </c>
      <c r="BO9" s="386">
        <f t="shared" si="11"/>
        <v>0</v>
      </c>
      <c r="BP9" s="386">
        <f t="shared" si="12"/>
        <v>5141.6352000000006</v>
      </c>
      <c r="BQ9" s="386">
        <f t="shared" si="13"/>
        <v>1202.4792000000002</v>
      </c>
      <c r="BR9" s="386">
        <f t="shared" si="14"/>
        <v>9901.7942400000011</v>
      </c>
      <c r="BS9" s="386">
        <f t="shared" si="15"/>
        <v>597.92241600000011</v>
      </c>
      <c r="BT9" s="386">
        <f t="shared" si="16"/>
        <v>0</v>
      </c>
      <c r="BU9" s="386">
        <f t="shared" si="17"/>
        <v>0</v>
      </c>
      <c r="BV9" s="386">
        <f t="shared" si="18"/>
        <v>140.98032000000001</v>
      </c>
      <c r="BW9" s="386">
        <f t="shared" si="19"/>
        <v>0</v>
      </c>
      <c r="BX9" s="386">
        <f t="shared" si="34"/>
        <v>16984.811376000001</v>
      </c>
      <c r="BY9" s="386">
        <f t="shared" si="35"/>
        <v>0</v>
      </c>
      <c r="BZ9" s="386">
        <f t="shared" si="36"/>
        <v>0</v>
      </c>
      <c r="CA9" s="386">
        <f t="shared" si="37"/>
        <v>0</v>
      </c>
      <c r="CB9" s="386">
        <f t="shared" si="38"/>
        <v>0</v>
      </c>
      <c r="CC9" s="386">
        <f t="shared" si="20"/>
        <v>0</v>
      </c>
      <c r="CD9" s="386">
        <f t="shared" si="21"/>
        <v>0</v>
      </c>
      <c r="CE9" s="386">
        <f t="shared" si="22"/>
        <v>0</v>
      </c>
      <c r="CF9" s="386">
        <f t="shared" si="23"/>
        <v>-406.35504000000003</v>
      </c>
      <c r="CG9" s="386">
        <f t="shared" si="24"/>
        <v>0</v>
      </c>
      <c r="CH9" s="386">
        <f t="shared" si="25"/>
        <v>16.585919999999991</v>
      </c>
      <c r="CI9" s="386">
        <f t="shared" si="26"/>
        <v>0</v>
      </c>
      <c r="CJ9" s="386">
        <f t="shared" si="39"/>
        <v>-389.76912000000004</v>
      </c>
      <c r="CK9" s="386" t="str">
        <f t="shared" si="40"/>
        <v/>
      </c>
      <c r="CL9" s="386" t="str">
        <f t="shared" si="41"/>
        <v/>
      </c>
      <c r="CM9" s="386" t="str">
        <f t="shared" si="42"/>
        <v/>
      </c>
      <c r="CN9" s="386" t="str">
        <f t="shared" si="43"/>
        <v>0001-00</v>
      </c>
    </row>
    <row r="10" spans="1:92" ht="15.75" thickBot="1" x14ac:dyDescent="0.3">
      <c r="A10" s="376" t="s">
        <v>161</v>
      </c>
      <c r="B10" s="376" t="s">
        <v>162</v>
      </c>
      <c r="C10" s="376" t="s">
        <v>221</v>
      </c>
      <c r="D10" s="376" t="s">
        <v>164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169</v>
      </c>
      <c r="L10" s="376" t="s">
        <v>166</v>
      </c>
      <c r="M10" s="376" t="s">
        <v>170</v>
      </c>
      <c r="N10" s="376" t="s">
        <v>171</v>
      </c>
      <c r="O10" s="379">
        <v>1</v>
      </c>
      <c r="P10" s="384">
        <v>1</v>
      </c>
      <c r="Q10" s="384">
        <v>1</v>
      </c>
      <c r="R10" s="380">
        <v>80</v>
      </c>
      <c r="S10" s="384">
        <v>1</v>
      </c>
      <c r="T10" s="380">
        <v>68598.399999999994</v>
      </c>
      <c r="U10" s="380">
        <v>0</v>
      </c>
      <c r="V10" s="380">
        <v>25277.96</v>
      </c>
      <c r="W10" s="380">
        <v>73257.600000000006</v>
      </c>
      <c r="X10" s="380">
        <v>26998.17</v>
      </c>
      <c r="Y10" s="380">
        <v>73257.600000000006</v>
      </c>
      <c r="Z10" s="380">
        <v>26653.86</v>
      </c>
      <c r="AA10" s="376" t="s">
        <v>222</v>
      </c>
      <c r="AB10" s="376" t="s">
        <v>223</v>
      </c>
      <c r="AC10" s="376" t="s">
        <v>224</v>
      </c>
      <c r="AD10" s="376" t="s">
        <v>206</v>
      </c>
      <c r="AE10" s="376" t="s">
        <v>169</v>
      </c>
      <c r="AF10" s="376" t="s">
        <v>176</v>
      </c>
      <c r="AG10" s="376" t="s">
        <v>177</v>
      </c>
      <c r="AH10" s="381">
        <v>35.22</v>
      </c>
      <c r="AI10" s="379">
        <v>26531</v>
      </c>
      <c r="AJ10" s="376" t="s">
        <v>178</v>
      </c>
      <c r="AK10" s="376" t="s">
        <v>179</v>
      </c>
      <c r="AL10" s="376" t="s">
        <v>180</v>
      </c>
      <c r="AM10" s="376" t="s">
        <v>181</v>
      </c>
      <c r="AN10" s="376" t="s">
        <v>68</v>
      </c>
      <c r="AO10" s="379">
        <v>80</v>
      </c>
      <c r="AP10" s="384">
        <v>1</v>
      </c>
      <c r="AQ10" s="384">
        <v>1</v>
      </c>
      <c r="AR10" s="382" t="s">
        <v>182</v>
      </c>
      <c r="AS10" s="386">
        <f t="shared" si="27"/>
        <v>1</v>
      </c>
      <c r="AT10">
        <f t="shared" si="28"/>
        <v>1</v>
      </c>
      <c r="AU10" s="386">
        <f>IF(AT10=0,"",IF(AND(AT10=1,M10="F",SUMIF(C2:C29,C10,AS2:AS29)&lt;=1),SUMIF(C2:C29,C10,AS2:AS29),IF(AND(AT10=1,M10="F",SUMIF(C2:C29,C10,AS2:AS29)&gt;1),1,"")))</f>
        <v>1</v>
      </c>
      <c r="AV10" s="386" t="str">
        <f>IF(AT10=0,"",IF(AND(AT10=3,M10="F",SUMIF(C2:C29,C10,AS2:AS29)&lt;=1),SUMIF(C2:C29,C10,AS2:AS29),IF(AND(AT10=3,M10="F",SUMIF(C2:C29,C10,AS2:AS29)&gt;1),1,"")))</f>
        <v/>
      </c>
      <c r="AW10" s="386">
        <f>SUMIF(C2:C29,C10,O2:O29)</f>
        <v>1</v>
      </c>
      <c r="AX10" s="386">
        <f>IF(AND(M10="F",AS10&lt;&gt;0),SUMIF(C2:C29,C10,W2:W29),0)</f>
        <v>73257.600000000006</v>
      </c>
      <c r="AY10" s="386">
        <f t="shared" si="29"/>
        <v>73257.600000000006</v>
      </c>
      <c r="AZ10" s="386" t="str">
        <f t="shared" si="30"/>
        <v/>
      </c>
      <c r="BA10" s="386">
        <f t="shared" si="31"/>
        <v>0</v>
      </c>
      <c r="BB10" s="386">
        <f t="shared" si="0"/>
        <v>11650</v>
      </c>
      <c r="BC10" s="386">
        <f t="shared" si="1"/>
        <v>0</v>
      </c>
      <c r="BD10" s="386">
        <f t="shared" si="2"/>
        <v>4541.9712</v>
      </c>
      <c r="BE10" s="386">
        <f t="shared" si="3"/>
        <v>1062.2352000000001</v>
      </c>
      <c r="BF10" s="386">
        <f t="shared" si="4"/>
        <v>8746.957440000002</v>
      </c>
      <c r="BG10" s="386">
        <f t="shared" si="5"/>
        <v>528.18729600000006</v>
      </c>
      <c r="BH10" s="386">
        <f t="shared" si="6"/>
        <v>358.96224000000001</v>
      </c>
      <c r="BI10" s="386">
        <f t="shared" si="7"/>
        <v>0</v>
      </c>
      <c r="BJ10" s="386">
        <f t="shared" si="8"/>
        <v>109.88640000000001</v>
      </c>
      <c r="BK10" s="386">
        <f t="shared" si="9"/>
        <v>0</v>
      </c>
      <c r="BL10" s="386">
        <f t="shared" si="32"/>
        <v>15348.199776000001</v>
      </c>
      <c r="BM10" s="386">
        <f t="shared" si="33"/>
        <v>0</v>
      </c>
      <c r="BN10" s="386">
        <f t="shared" si="10"/>
        <v>11650</v>
      </c>
      <c r="BO10" s="386">
        <f t="shared" si="11"/>
        <v>0</v>
      </c>
      <c r="BP10" s="386">
        <f t="shared" si="12"/>
        <v>4541.9712</v>
      </c>
      <c r="BQ10" s="386">
        <f t="shared" si="13"/>
        <v>1062.2352000000001</v>
      </c>
      <c r="BR10" s="386">
        <f t="shared" si="14"/>
        <v>8746.957440000002</v>
      </c>
      <c r="BS10" s="386">
        <f t="shared" si="15"/>
        <v>528.18729600000006</v>
      </c>
      <c r="BT10" s="386">
        <f t="shared" si="16"/>
        <v>0</v>
      </c>
      <c r="BU10" s="386">
        <f t="shared" si="17"/>
        <v>0</v>
      </c>
      <c r="BV10" s="386">
        <f t="shared" si="18"/>
        <v>124.53792</v>
      </c>
      <c r="BW10" s="386">
        <f t="shared" si="19"/>
        <v>0</v>
      </c>
      <c r="BX10" s="386">
        <f t="shared" si="34"/>
        <v>15003.889056000002</v>
      </c>
      <c r="BY10" s="386">
        <f t="shared" si="35"/>
        <v>0</v>
      </c>
      <c r="BZ10" s="386">
        <f t="shared" si="36"/>
        <v>0</v>
      </c>
      <c r="CA10" s="386">
        <f t="shared" si="37"/>
        <v>0</v>
      </c>
      <c r="CB10" s="386">
        <f t="shared" si="38"/>
        <v>0</v>
      </c>
      <c r="CC10" s="386">
        <f t="shared" si="20"/>
        <v>0</v>
      </c>
      <c r="CD10" s="386">
        <f t="shared" si="21"/>
        <v>0</v>
      </c>
      <c r="CE10" s="386">
        <f t="shared" si="22"/>
        <v>0</v>
      </c>
      <c r="CF10" s="386">
        <f t="shared" si="23"/>
        <v>-358.96224000000001</v>
      </c>
      <c r="CG10" s="386">
        <f t="shared" si="24"/>
        <v>0</v>
      </c>
      <c r="CH10" s="386">
        <f t="shared" si="25"/>
        <v>14.651519999999993</v>
      </c>
      <c r="CI10" s="386">
        <f t="shared" si="26"/>
        <v>0</v>
      </c>
      <c r="CJ10" s="386">
        <f t="shared" si="39"/>
        <v>-344.31072</v>
      </c>
      <c r="CK10" s="386" t="str">
        <f t="shared" si="40"/>
        <v/>
      </c>
      <c r="CL10" s="386" t="str">
        <f t="shared" si="41"/>
        <v/>
      </c>
      <c r="CM10" s="386" t="str">
        <f t="shared" si="42"/>
        <v/>
      </c>
      <c r="CN10" s="386" t="str">
        <f t="shared" si="43"/>
        <v>0001-00</v>
      </c>
    </row>
    <row r="11" spans="1:92" ht="15.75" thickBot="1" x14ac:dyDescent="0.3">
      <c r="A11" s="376" t="s">
        <v>161</v>
      </c>
      <c r="B11" s="376" t="s">
        <v>162</v>
      </c>
      <c r="C11" s="376" t="s">
        <v>225</v>
      </c>
      <c r="D11" s="376" t="s">
        <v>226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227</v>
      </c>
      <c r="L11" s="376" t="s">
        <v>166</v>
      </c>
      <c r="M11" s="376" t="s">
        <v>170</v>
      </c>
      <c r="N11" s="376" t="s">
        <v>171</v>
      </c>
      <c r="O11" s="379">
        <v>1</v>
      </c>
      <c r="P11" s="384">
        <v>1</v>
      </c>
      <c r="Q11" s="384">
        <v>1</v>
      </c>
      <c r="R11" s="380">
        <v>80</v>
      </c>
      <c r="S11" s="384">
        <v>1</v>
      </c>
      <c r="T11" s="380">
        <v>98633.600000000006</v>
      </c>
      <c r="U11" s="380">
        <v>0</v>
      </c>
      <c r="V11" s="380">
        <v>31653.82</v>
      </c>
      <c r="W11" s="380">
        <v>102772.8</v>
      </c>
      <c r="X11" s="380">
        <v>33181.9</v>
      </c>
      <c r="Y11" s="380">
        <v>102772.8</v>
      </c>
      <c r="Z11" s="380">
        <v>32698.880000000001</v>
      </c>
      <c r="AA11" s="376" t="s">
        <v>228</v>
      </c>
      <c r="AB11" s="376" t="s">
        <v>229</v>
      </c>
      <c r="AC11" s="376" t="s">
        <v>230</v>
      </c>
      <c r="AD11" s="376" t="s">
        <v>177</v>
      </c>
      <c r="AE11" s="376" t="s">
        <v>227</v>
      </c>
      <c r="AF11" s="376" t="s">
        <v>176</v>
      </c>
      <c r="AG11" s="376" t="s">
        <v>177</v>
      </c>
      <c r="AH11" s="381">
        <v>49.41</v>
      </c>
      <c r="AI11" s="379">
        <v>20336</v>
      </c>
      <c r="AJ11" s="376" t="s">
        <v>178</v>
      </c>
      <c r="AK11" s="376" t="s">
        <v>179</v>
      </c>
      <c r="AL11" s="376" t="s">
        <v>180</v>
      </c>
      <c r="AM11" s="376" t="s">
        <v>181</v>
      </c>
      <c r="AN11" s="376" t="s">
        <v>68</v>
      </c>
      <c r="AO11" s="379">
        <v>80</v>
      </c>
      <c r="AP11" s="384">
        <v>1</v>
      </c>
      <c r="AQ11" s="384">
        <v>1</v>
      </c>
      <c r="AR11" s="382" t="s">
        <v>182</v>
      </c>
      <c r="AS11" s="386">
        <f t="shared" si="27"/>
        <v>1</v>
      </c>
      <c r="AT11">
        <f t="shared" si="28"/>
        <v>1</v>
      </c>
      <c r="AU11" s="386">
        <f>IF(AT11=0,"",IF(AND(AT11=1,M11="F",SUMIF(C2:C29,C11,AS2:AS29)&lt;=1),SUMIF(C2:C29,C11,AS2:AS29),IF(AND(AT11=1,M11="F",SUMIF(C2:C29,C11,AS2:AS29)&gt;1),1,"")))</f>
        <v>1</v>
      </c>
      <c r="AV11" s="386" t="str">
        <f>IF(AT11=0,"",IF(AND(AT11=3,M11="F",SUMIF(C2:C29,C11,AS2:AS29)&lt;=1),SUMIF(C2:C29,C11,AS2:AS29),IF(AND(AT11=3,M11="F",SUMIF(C2:C29,C11,AS2:AS29)&gt;1),1,"")))</f>
        <v/>
      </c>
      <c r="AW11" s="386">
        <f>SUMIF(C2:C29,C11,O2:O29)</f>
        <v>1</v>
      </c>
      <c r="AX11" s="386">
        <f>IF(AND(M11="F",AS11&lt;&gt;0),SUMIF(C2:C29,C11,W2:W29),0)</f>
        <v>102772.8</v>
      </c>
      <c r="AY11" s="386">
        <f t="shared" si="29"/>
        <v>102772.8</v>
      </c>
      <c r="AZ11" s="386" t="str">
        <f t="shared" si="30"/>
        <v/>
      </c>
      <c r="BA11" s="386">
        <f t="shared" si="31"/>
        <v>0</v>
      </c>
      <c r="BB11" s="386">
        <f t="shared" si="0"/>
        <v>11650</v>
      </c>
      <c r="BC11" s="386">
        <f t="shared" si="1"/>
        <v>0</v>
      </c>
      <c r="BD11" s="386">
        <f t="shared" si="2"/>
        <v>6371.9135999999999</v>
      </c>
      <c r="BE11" s="386">
        <f t="shared" si="3"/>
        <v>1490.2056000000002</v>
      </c>
      <c r="BF11" s="386">
        <f t="shared" si="4"/>
        <v>12271.072320000001</v>
      </c>
      <c r="BG11" s="386">
        <f t="shared" si="5"/>
        <v>740.99188800000002</v>
      </c>
      <c r="BH11" s="386">
        <f t="shared" si="6"/>
        <v>503.58672000000001</v>
      </c>
      <c r="BI11" s="386">
        <f t="shared" si="7"/>
        <v>0</v>
      </c>
      <c r="BJ11" s="386">
        <f t="shared" si="8"/>
        <v>154.1592</v>
      </c>
      <c r="BK11" s="386">
        <f t="shared" si="9"/>
        <v>0</v>
      </c>
      <c r="BL11" s="386">
        <f t="shared" si="32"/>
        <v>21531.929327999998</v>
      </c>
      <c r="BM11" s="386">
        <f t="shared" si="33"/>
        <v>0</v>
      </c>
      <c r="BN11" s="386">
        <f t="shared" si="10"/>
        <v>11650</v>
      </c>
      <c r="BO11" s="386">
        <f t="shared" si="11"/>
        <v>0</v>
      </c>
      <c r="BP11" s="386">
        <f t="shared" si="12"/>
        <v>6371.9135999999999</v>
      </c>
      <c r="BQ11" s="386">
        <f t="shared" si="13"/>
        <v>1490.2056000000002</v>
      </c>
      <c r="BR11" s="386">
        <f t="shared" si="14"/>
        <v>12271.072320000001</v>
      </c>
      <c r="BS11" s="386">
        <f t="shared" si="15"/>
        <v>740.99188800000002</v>
      </c>
      <c r="BT11" s="386">
        <f t="shared" si="16"/>
        <v>0</v>
      </c>
      <c r="BU11" s="386">
        <f t="shared" si="17"/>
        <v>0</v>
      </c>
      <c r="BV11" s="386">
        <f t="shared" si="18"/>
        <v>174.71376000000001</v>
      </c>
      <c r="BW11" s="386">
        <f t="shared" si="19"/>
        <v>0</v>
      </c>
      <c r="BX11" s="386">
        <f t="shared" si="34"/>
        <v>21048.897168</v>
      </c>
      <c r="BY11" s="386">
        <f t="shared" si="35"/>
        <v>0</v>
      </c>
      <c r="BZ11" s="386">
        <f t="shared" si="36"/>
        <v>0</v>
      </c>
      <c r="CA11" s="386">
        <f t="shared" si="37"/>
        <v>0</v>
      </c>
      <c r="CB11" s="386">
        <f t="shared" si="38"/>
        <v>0</v>
      </c>
      <c r="CC11" s="386">
        <f t="shared" si="20"/>
        <v>0</v>
      </c>
      <c r="CD11" s="386">
        <f t="shared" si="21"/>
        <v>0</v>
      </c>
      <c r="CE11" s="386">
        <f t="shared" si="22"/>
        <v>0</v>
      </c>
      <c r="CF11" s="386">
        <f t="shared" si="23"/>
        <v>-503.58672000000001</v>
      </c>
      <c r="CG11" s="386">
        <f t="shared" si="24"/>
        <v>0</v>
      </c>
      <c r="CH11" s="386">
        <f t="shared" si="25"/>
        <v>20.554559999999988</v>
      </c>
      <c r="CI11" s="386">
        <f t="shared" si="26"/>
        <v>0</v>
      </c>
      <c r="CJ11" s="386">
        <f t="shared" si="39"/>
        <v>-483.03216000000003</v>
      </c>
      <c r="CK11" s="386" t="str">
        <f t="shared" si="40"/>
        <v/>
      </c>
      <c r="CL11" s="386" t="str">
        <f t="shared" si="41"/>
        <v/>
      </c>
      <c r="CM11" s="386" t="str">
        <f t="shared" si="42"/>
        <v/>
      </c>
      <c r="CN11" s="386" t="str">
        <f t="shared" si="43"/>
        <v>0001-00</v>
      </c>
    </row>
    <row r="12" spans="1:92" ht="15.75" thickBot="1" x14ac:dyDescent="0.3">
      <c r="A12" s="376" t="s">
        <v>161</v>
      </c>
      <c r="B12" s="376" t="s">
        <v>162</v>
      </c>
      <c r="C12" s="376" t="s">
        <v>231</v>
      </c>
      <c r="D12" s="376" t="s">
        <v>232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233</v>
      </c>
      <c r="L12" s="376" t="s">
        <v>166</v>
      </c>
      <c r="M12" s="376" t="s">
        <v>170</v>
      </c>
      <c r="N12" s="376" t="s">
        <v>171</v>
      </c>
      <c r="O12" s="379">
        <v>1</v>
      </c>
      <c r="P12" s="384">
        <v>1</v>
      </c>
      <c r="Q12" s="384">
        <v>1</v>
      </c>
      <c r="R12" s="380">
        <v>80</v>
      </c>
      <c r="S12" s="384">
        <v>1</v>
      </c>
      <c r="T12" s="380">
        <v>114691.2</v>
      </c>
      <c r="U12" s="380">
        <v>0</v>
      </c>
      <c r="V12" s="380">
        <v>34914.15</v>
      </c>
      <c r="W12" s="380">
        <v>119288</v>
      </c>
      <c r="X12" s="380">
        <v>36057.49</v>
      </c>
      <c r="Y12" s="380">
        <v>119288</v>
      </c>
      <c r="Z12" s="380">
        <v>36081.339999999997</v>
      </c>
      <c r="AA12" s="376" t="s">
        <v>234</v>
      </c>
      <c r="AB12" s="376" t="s">
        <v>235</v>
      </c>
      <c r="AC12" s="376" t="s">
        <v>236</v>
      </c>
      <c r="AD12" s="376" t="s">
        <v>237</v>
      </c>
      <c r="AE12" s="376" t="s">
        <v>233</v>
      </c>
      <c r="AF12" s="376" t="s">
        <v>176</v>
      </c>
      <c r="AG12" s="376" t="s">
        <v>177</v>
      </c>
      <c r="AH12" s="381">
        <v>57.35</v>
      </c>
      <c r="AI12" s="379">
        <v>34329</v>
      </c>
      <c r="AJ12" s="376" t="s">
        <v>178</v>
      </c>
      <c r="AK12" s="376" t="s">
        <v>179</v>
      </c>
      <c r="AL12" s="376" t="s">
        <v>180</v>
      </c>
      <c r="AM12" s="376" t="s">
        <v>180</v>
      </c>
      <c r="AN12" s="376" t="s">
        <v>68</v>
      </c>
      <c r="AO12" s="379">
        <v>80</v>
      </c>
      <c r="AP12" s="384">
        <v>1</v>
      </c>
      <c r="AQ12" s="384">
        <v>1</v>
      </c>
      <c r="AR12" s="382" t="s">
        <v>182</v>
      </c>
      <c r="AS12" s="386">
        <f t="shared" si="27"/>
        <v>1</v>
      </c>
      <c r="AT12">
        <f t="shared" si="28"/>
        <v>1</v>
      </c>
      <c r="AU12" s="386">
        <f>IF(AT12=0,"",IF(AND(AT12=1,M12="F",SUMIF(C2:C29,C12,AS2:AS29)&lt;=1),SUMIF(C2:C29,C12,AS2:AS29),IF(AND(AT12=1,M12="F",SUMIF(C2:C29,C12,AS2:AS29)&gt;1),1,"")))</f>
        <v>1</v>
      </c>
      <c r="AV12" s="386" t="str">
        <f>IF(AT12=0,"",IF(AND(AT12=3,M12="F",SUMIF(C2:C29,C12,AS2:AS29)&lt;=1),SUMIF(C2:C29,C12,AS2:AS29),IF(AND(AT12=3,M12="F",SUMIF(C2:C29,C12,AS2:AS29)&gt;1),1,"")))</f>
        <v/>
      </c>
      <c r="AW12" s="386">
        <f>SUMIF(C2:C29,C12,O2:O29)</f>
        <v>1</v>
      </c>
      <c r="AX12" s="386">
        <f>IF(AND(M12="F",AS12&lt;&gt;0),SUMIF(C2:C29,C12,W2:W29),0)</f>
        <v>119288</v>
      </c>
      <c r="AY12" s="386">
        <f t="shared" si="29"/>
        <v>119288</v>
      </c>
      <c r="AZ12" s="386" t="str">
        <f t="shared" si="30"/>
        <v/>
      </c>
      <c r="BA12" s="386">
        <f t="shared" si="31"/>
        <v>0</v>
      </c>
      <c r="BB12" s="386">
        <f t="shared" si="0"/>
        <v>11650</v>
      </c>
      <c r="BC12" s="386">
        <f t="shared" si="1"/>
        <v>0</v>
      </c>
      <c r="BD12" s="386">
        <f t="shared" si="2"/>
        <v>7395.8559999999998</v>
      </c>
      <c r="BE12" s="386">
        <f t="shared" si="3"/>
        <v>1729.6760000000002</v>
      </c>
      <c r="BF12" s="386">
        <f t="shared" si="4"/>
        <v>14242.987200000001</v>
      </c>
      <c r="BG12" s="386">
        <f t="shared" si="5"/>
        <v>860.06648000000007</v>
      </c>
      <c r="BH12" s="386">
        <f t="shared" si="6"/>
        <v>0</v>
      </c>
      <c r="BI12" s="386">
        <f t="shared" si="7"/>
        <v>0</v>
      </c>
      <c r="BJ12" s="386">
        <f t="shared" si="8"/>
        <v>178.93200000000002</v>
      </c>
      <c r="BK12" s="386">
        <f t="shared" si="9"/>
        <v>0</v>
      </c>
      <c r="BL12" s="386">
        <f t="shared" si="32"/>
        <v>24407.517680000004</v>
      </c>
      <c r="BM12" s="386">
        <f t="shared" si="33"/>
        <v>0</v>
      </c>
      <c r="BN12" s="386">
        <f t="shared" si="10"/>
        <v>11650</v>
      </c>
      <c r="BO12" s="386">
        <f t="shared" si="11"/>
        <v>0</v>
      </c>
      <c r="BP12" s="386">
        <f t="shared" si="12"/>
        <v>7395.8559999999998</v>
      </c>
      <c r="BQ12" s="386">
        <f t="shared" si="13"/>
        <v>1729.6760000000002</v>
      </c>
      <c r="BR12" s="386">
        <f t="shared" si="14"/>
        <v>14242.987200000001</v>
      </c>
      <c r="BS12" s="386">
        <f t="shared" si="15"/>
        <v>860.06648000000007</v>
      </c>
      <c r="BT12" s="386">
        <f t="shared" si="16"/>
        <v>0</v>
      </c>
      <c r="BU12" s="386">
        <f t="shared" si="17"/>
        <v>0</v>
      </c>
      <c r="BV12" s="386">
        <f t="shared" si="18"/>
        <v>202.78959999999998</v>
      </c>
      <c r="BW12" s="386">
        <f t="shared" si="19"/>
        <v>0</v>
      </c>
      <c r="BX12" s="386">
        <f t="shared" si="34"/>
        <v>24431.375280000004</v>
      </c>
      <c r="BY12" s="386">
        <f t="shared" si="35"/>
        <v>0</v>
      </c>
      <c r="BZ12" s="386">
        <f t="shared" si="36"/>
        <v>0</v>
      </c>
      <c r="CA12" s="386">
        <f t="shared" si="37"/>
        <v>0</v>
      </c>
      <c r="CB12" s="386">
        <f t="shared" si="38"/>
        <v>0</v>
      </c>
      <c r="CC12" s="386">
        <f t="shared" si="20"/>
        <v>0</v>
      </c>
      <c r="CD12" s="386">
        <f t="shared" si="21"/>
        <v>0</v>
      </c>
      <c r="CE12" s="386">
        <f t="shared" si="22"/>
        <v>0</v>
      </c>
      <c r="CF12" s="386">
        <f t="shared" si="23"/>
        <v>0</v>
      </c>
      <c r="CG12" s="386">
        <f t="shared" si="24"/>
        <v>0</v>
      </c>
      <c r="CH12" s="386">
        <f t="shared" si="25"/>
        <v>23.857599999999984</v>
      </c>
      <c r="CI12" s="386">
        <f t="shared" si="26"/>
        <v>0</v>
      </c>
      <c r="CJ12" s="386">
        <f t="shared" si="39"/>
        <v>23.857599999999984</v>
      </c>
      <c r="CK12" s="386" t="str">
        <f t="shared" si="40"/>
        <v/>
      </c>
      <c r="CL12" s="386" t="str">
        <f t="shared" si="41"/>
        <v/>
      </c>
      <c r="CM12" s="386" t="str">
        <f t="shared" si="42"/>
        <v/>
      </c>
      <c r="CN12" s="386" t="str">
        <f t="shared" si="43"/>
        <v>0001-00</v>
      </c>
    </row>
    <row r="13" spans="1:92" ht="15.75" thickBot="1" x14ac:dyDescent="0.3">
      <c r="A13" s="376" t="s">
        <v>161</v>
      </c>
      <c r="B13" s="376" t="s">
        <v>162</v>
      </c>
      <c r="C13" s="376" t="s">
        <v>238</v>
      </c>
      <c r="D13" s="376" t="s">
        <v>239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240</v>
      </c>
      <c r="L13" s="376" t="s">
        <v>237</v>
      </c>
      <c r="M13" s="376" t="s">
        <v>241</v>
      </c>
      <c r="N13" s="376" t="s">
        <v>242</v>
      </c>
      <c r="O13" s="379">
        <v>0</v>
      </c>
      <c r="P13" s="384">
        <v>1</v>
      </c>
      <c r="Q13" s="384">
        <v>0</v>
      </c>
      <c r="R13" s="380">
        <v>0</v>
      </c>
      <c r="S13" s="384">
        <v>0</v>
      </c>
      <c r="T13" s="380">
        <v>0</v>
      </c>
      <c r="U13" s="380">
        <v>0</v>
      </c>
      <c r="V13" s="380">
        <v>0</v>
      </c>
      <c r="W13" s="380">
        <v>0</v>
      </c>
      <c r="X13" s="380">
        <v>0</v>
      </c>
      <c r="Y13" s="380">
        <v>0</v>
      </c>
      <c r="Z13" s="380">
        <v>0</v>
      </c>
      <c r="AA13" s="378"/>
      <c r="AB13" s="376" t="s">
        <v>45</v>
      </c>
      <c r="AC13" s="376" t="s">
        <v>45</v>
      </c>
      <c r="AD13" s="378"/>
      <c r="AE13" s="378"/>
      <c r="AF13" s="378"/>
      <c r="AG13" s="378"/>
      <c r="AH13" s="379">
        <v>0</v>
      </c>
      <c r="AI13" s="379">
        <v>0</v>
      </c>
      <c r="AJ13" s="378"/>
      <c r="AK13" s="378"/>
      <c r="AL13" s="376" t="s">
        <v>180</v>
      </c>
      <c r="AM13" s="378"/>
      <c r="AN13" s="378"/>
      <c r="AO13" s="379">
        <v>0</v>
      </c>
      <c r="AP13" s="384">
        <v>0</v>
      </c>
      <c r="AQ13" s="384">
        <v>0</v>
      </c>
      <c r="AR13" s="383"/>
      <c r="AS13" s="386">
        <f t="shared" si="27"/>
        <v>0</v>
      </c>
      <c r="AT13">
        <f t="shared" si="28"/>
        <v>0</v>
      </c>
      <c r="AU13" s="386" t="str">
        <f>IF(AT13=0,"",IF(AND(AT13=1,M13="F",SUMIF(C2:C29,C13,AS2:AS29)&lt;=1),SUMIF(C2:C29,C13,AS2:AS29),IF(AND(AT13=1,M13="F",SUMIF(C2:C29,C13,AS2:AS29)&gt;1),1,"")))</f>
        <v/>
      </c>
      <c r="AV13" s="386" t="str">
        <f>IF(AT13=0,"",IF(AND(AT13=3,M13="F",SUMIF(C2:C29,C13,AS2:AS29)&lt;=1),SUMIF(C2:C29,C13,AS2:AS29),IF(AND(AT13=3,M13="F",SUMIF(C2:C29,C13,AS2:AS29)&gt;1),1,"")))</f>
        <v/>
      </c>
      <c r="AW13" s="386">
        <f>SUMIF(C2:C29,C13,O2:O29)</f>
        <v>0</v>
      </c>
      <c r="AX13" s="386">
        <f>IF(AND(M13="F",AS13&lt;&gt;0),SUMIF(C2:C29,C13,W2:W29),0)</f>
        <v>0</v>
      </c>
      <c r="AY13" s="386" t="str">
        <f t="shared" si="29"/>
        <v/>
      </c>
      <c r="AZ13" s="386" t="str">
        <f t="shared" si="30"/>
        <v/>
      </c>
      <c r="BA13" s="386">
        <f t="shared" si="31"/>
        <v>0</v>
      </c>
      <c r="BB13" s="386">
        <f t="shared" si="0"/>
        <v>0</v>
      </c>
      <c r="BC13" s="386">
        <f t="shared" si="1"/>
        <v>0</v>
      </c>
      <c r="BD13" s="386">
        <f t="shared" si="2"/>
        <v>0</v>
      </c>
      <c r="BE13" s="386">
        <f t="shared" si="3"/>
        <v>0</v>
      </c>
      <c r="BF13" s="386">
        <f t="shared" si="4"/>
        <v>0</v>
      </c>
      <c r="BG13" s="386">
        <f t="shared" si="5"/>
        <v>0</v>
      </c>
      <c r="BH13" s="386">
        <f t="shared" si="6"/>
        <v>0</v>
      </c>
      <c r="BI13" s="386">
        <f t="shared" si="7"/>
        <v>0</v>
      </c>
      <c r="BJ13" s="386">
        <f t="shared" si="8"/>
        <v>0</v>
      </c>
      <c r="BK13" s="386">
        <f t="shared" si="9"/>
        <v>0</v>
      </c>
      <c r="BL13" s="386">
        <f t="shared" si="32"/>
        <v>0</v>
      </c>
      <c r="BM13" s="386">
        <f t="shared" si="33"/>
        <v>0</v>
      </c>
      <c r="BN13" s="386">
        <f t="shared" si="10"/>
        <v>0</v>
      </c>
      <c r="BO13" s="386">
        <f t="shared" si="11"/>
        <v>0</v>
      </c>
      <c r="BP13" s="386">
        <f t="shared" si="12"/>
        <v>0</v>
      </c>
      <c r="BQ13" s="386">
        <f t="shared" si="13"/>
        <v>0</v>
      </c>
      <c r="BR13" s="386">
        <f t="shared" si="14"/>
        <v>0</v>
      </c>
      <c r="BS13" s="386">
        <f t="shared" si="15"/>
        <v>0</v>
      </c>
      <c r="BT13" s="386">
        <f t="shared" si="16"/>
        <v>0</v>
      </c>
      <c r="BU13" s="386">
        <f t="shared" si="17"/>
        <v>0</v>
      </c>
      <c r="BV13" s="386">
        <f t="shared" si="18"/>
        <v>0</v>
      </c>
      <c r="BW13" s="386">
        <f t="shared" si="19"/>
        <v>0</v>
      </c>
      <c r="BX13" s="386">
        <f t="shared" si="34"/>
        <v>0</v>
      </c>
      <c r="BY13" s="386">
        <f t="shared" si="35"/>
        <v>0</v>
      </c>
      <c r="BZ13" s="386">
        <f t="shared" si="36"/>
        <v>0</v>
      </c>
      <c r="CA13" s="386">
        <f t="shared" si="37"/>
        <v>0</v>
      </c>
      <c r="CB13" s="386">
        <f t="shared" si="38"/>
        <v>0</v>
      </c>
      <c r="CC13" s="386">
        <f t="shared" si="20"/>
        <v>0</v>
      </c>
      <c r="CD13" s="386">
        <f t="shared" si="21"/>
        <v>0</v>
      </c>
      <c r="CE13" s="386">
        <f t="shared" si="22"/>
        <v>0</v>
      </c>
      <c r="CF13" s="386">
        <f t="shared" si="23"/>
        <v>0</v>
      </c>
      <c r="CG13" s="386">
        <f t="shared" si="24"/>
        <v>0</v>
      </c>
      <c r="CH13" s="386">
        <f t="shared" si="25"/>
        <v>0</v>
      </c>
      <c r="CI13" s="386">
        <f t="shared" si="26"/>
        <v>0</v>
      </c>
      <c r="CJ13" s="386">
        <f t="shared" si="39"/>
        <v>0</v>
      </c>
      <c r="CK13" s="386" t="str">
        <f t="shared" si="40"/>
        <v/>
      </c>
      <c r="CL13" s="386">
        <f t="shared" si="41"/>
        <v>0</v>
      </c>
      <c r="CM13" s="386">
        <f t="shared" si="42"/>
        <v>0</v>
      </c>
      <c r="CN13" s="386" t="str">
        <f t="shared" si="43"/>
        <v>0001-00</v>
      </c>
    </row>
    <row r="14" spans="1:92" ht="15.75" thickBot="1" x14ac:dyDescent="0.3">
      <c r="A14" s="376" t="s">
        <v>161</v>
      </c>
      <c r="B14" s="376" t="s">
        <v>162</v>
      </c>
      <c r="C14" s="376" t="s">
        <v>243</v>
      </c>
      <c r="D14" s="376" t="s">
        <v>244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245</v>
      </c>
      <c r="L14" s="376" t="s">
        <v>177</v>
      </c>
      <c r="M14" s="376" t="s">
        <v>170</v>
      </c>
      <c r="N14" s="376" t="s">
        <v>171</v>
      </c>
      <c r="O14" s="379">
        <v>1</v>
      </c>
      <c r="P14" s="384">
        <v>1</v>
      </c>
      <c r="Q14" s="384">
        <v>1</v>
      </c>
      <c r="R14" s="380">
        <v>80</v>
      </c>
      <c r="S14" s="384">
        <v>1</v>
      </c>
      <c r="T14" s="380">
        <v>43139.199999999997</v>
      </c>
      <c r="U14" s="380">
        <v>0</v>
      </c>
      <c r="V14" s="380">
        <v>20440.73</v>
      </c>
      <c r="W14" s="380">
        <v>46321.599999999999</v>
      </c>
      <c r="X14" s="380">
        <v>21354.799999999999</v>
      </c>
      <c r="Y14" s="380">
        <v>46321.599999999999</v>
      </c>
      <c r="Z14" s="380">
        <v>21137.09</v>
      </c>
      <c r="AA14" s="376" t="s">
        <v>246</v>
      </c>
      <c r="AB14" s="376" t="s">
        <v>247</v>
      </c>
      <c r="AC14" s="376" t="s">
        <v>248</v>
      </c>
      <c r="AD14" s="376" t="s">
        <v>249</v>
      </c>
      <c r="AE14" s="376" t="s">
        <v>245</v>
      </c>
      <c r="AF14" s="376" t="s">
        <v>176</v>
      </c>
      <c r="AG14" s="376" t="s">
        <v>177</v>
      </c>
      <c r="AH14" s="381">
        <v>22.27</v>
      </c>
      <c r="AI14" s="379">
        <v>6714</v>
      </c>
      <c r="AJ14" s="376" t="s">
        <v>178</v>
      </c>
      <c r="AK14" s="376" t="s">
        <v>179</v>
      </c>
      <c r="AL14" s="376" t="s">
        <v>180</v>
      </c>
      <c r="AM14" s="376" t="s">
        <v>181</v>
      </c>
      <c r="AN14" s="376" t="s">
        <v>68</v>
      </c>
      <c r="AO14" s="379">
        <v>80</v>
      </c>
      <c r="AP14" s="384">
        <v>1</v>
      </c>
      <c r="AQ14" s="384">
        <v>1</v>
      </c>
      <c r="AR14" s="382" t="s">
        <v>182</v>
      </c>
      <c r="AS14" s="386">
        <f t="shared" si="27"/>
        <v>1</v>
      </c>
      <c r="AT14">
        <f t="shared" si="28"/>
        <v>1</v>
      </c>
      <c r="AU14" s="386">
        <f>IF(AT14=0,"",IF(AND(AT14=1,M14="F",SUMIF(C2:C29,C14,AS2:AS29)&lt;=1),SUMIF(C2:C29,C14,AS2:AS29),IF(AND(AT14=1,M14="F",SUMIF(C2:C29,C14,AS2:AS29)&gt;1),1,"")))</f>
        <v>1</v>
      </c>
      <c r="AV14" s="386" t="str">
        <f>IF(AT14=0,"",IF(AND(AT14=3,M14="F",SUMIF(C2:C29,C14,AS2:AS29)&lt;=1),SUMIF(C2:C29,C14,AS2:AS29),IF(AND(AT14=3,M14="F",SUMIF(C2:C29,C14,AS2:AS29)&gt;1),1,"")))</f>
        <v/>
      </c>
      <c r="AW14" s="386">
        <f>SUMIF(C2:C29,C14,O2:O29)</f>
        <v>1</v>
      </c>
      <c r="AX14" s="386">
        <f>IF(AND(M14="F",AS14&lt;&gt;0),SUMIF(C2:C29,C14,W2:W29),0)</f>
        <v>46321.599999999999</v>
      </c>
      <c r="AY14" s="386">
        <f t="shared" si="29"/>
        <v>46321.599999999999</v>
      </c>
      <c r="AZ14" s="386" t="str">
        <f t="shared" si="30"/>
        <v/>
      </c>
      <c r="BA14" s="386">
        <f t="shared" si="31"/>
        <v>0</v>
      </c>
      <c r="BB14" s="386">
        <f t="shared" si="0"/>
        <v>11650</v>
      </c>
      <c r="BC14" s="386">
        <f t="shared" si="1"/>
        <v>0</v>
      </c>
      <c r="BD14" s="386">
        <f t="shared" si="2"/>
        <v>2871.9391999999998</v>
      </c>
      <c r="BE14" s="386">
        <f t="shared" si="3"/>
        <v>671.66319999999996</v>
      </c>
      <c r="BF14" s="386">
        <f t="shared" si="4"/>
        <v>5530.7990399999999</v>
      </c>
      <c r="BG14" s="386">
        <f t="shared" si="5"/>
        <v>333.97873600000003</v>
      </c>
      <c r="BH14" s="386">
        <f t="shared" si="6"/>
        <v>226.97583999999998</v>
      </c>
      <c r="BI14" s="386">
        <f t="shared" si="7"/>
        <v>0</v>
      </c>
      <c r="BJ14" s="386">
        <f t="shared" si="8"/>
        <v>69.482399999999998</v>
      </c>
      <c r="BK14" s="386">
        <f t="shared" si="9"/>
        <v>0</v>
      </c>
      <c r="BL14" s="386">
        <f t="shared" si="32"/>
        <v>9704.8384159999987</v>
      </c>
      <c r="BM14" s="386">
        <f t="shared" si="33"/>
        <v>0</v>
      </c>
      <c r="BN14" s="386">
        <f t="shared" si="10"/>
        <v>11650</v>
      </c>
      <c r="BO14" s="386">
        <f t="shared" si="11"/>
        <v>0</v>
      </c>
      <c r="BP14" s="386">
        <f t="shared" si="12"/>
        <v>2871.9391999999998</v>
      </c>
      <c r="BQ14" s="386">
        <f t="shared" si="13"/>
        <v>671.66319999999996</v>
      </c>
      <c r="BR14" s="386">
        <f t="shared" si="14"/>
        <v>5530.7990399999999</v>
      </c>
      <c r="BS14" s="386">
        <f t="shared" si="15"/>
        <v>333.97873600000003</v>
      </c>
      <c r="BT14" s="386">
        <f t="shared" si="16"/>
        <v>0</v>
      </c>
      <c r="BU14" s="386">
        <f t="shared" si="17"/>
        <v>0</v>
      </c>
      <c r="BV14" s="386">
        <f t="shared" si="18"/>
        <v>78.746719999999996</v>
      </c>
      <c r="BW14" s="386">
        <f t="shared" si="19"/>
        <v>0</v>
      </c>
      <c r="BX14" s="386">
        <f t="shared" si="34"/>
        <v>9487.1268959999979</v>
      </c>
      <c r="BY14" s="386">
        <f t="shared" si="35"/>
        <v>0</v>
      </c>
      <c r="BZ14" s="386">
        <f t="shared" si="36"/>
        <v>0</v>
      </c>
      <c r="CA14" s="386">
        <f t="shared" si="37"/>
        <v>0</v>
      </c>
      <c r="CB14" s="386">
        <f t="shared" si="38"/>
        <v>0</v>
      </c>
      <c r="CC14" s="386">
        <f t="shared" si="20"/>
        <v>0</v>
      </c>
      <c r="CD14" s="386">
        <f t="shared" si="21"/>
        <v>0</v>
      </c>
      <c r="CE14" s="386">
        <f t="shared" si="22"/>
        <v>0</v>
      </c>
      <c r="CF14" s="386">
        <f t="shared" si="23"/>
        <v>-226.97583999999998</v>
      </c>
      <c r="CG14" s="386">
        <f t="shared" si="24"/>
        <v>0</v>
      </c>
      <c r="CH14" s="386">
        <f t="shared" si="25"/>
        <v>9.2643199999999943</v>
      </c>
      <c r="CI14" s="386">
        <f t="shared" si="26"/>
        <v>0</v>
      </c>
      <c r="CJ14" s="386">
        <f t="shared" si="39"/>
        <v>-217.71151999999998</v>
      </c>
      <c r="CK14" s="386" t="str">
        <f t="shared" si="40"/>
        <v/>
      </c>
      <c r="CL14" s="386" t="str">
        <f t="shared" si="41"/>
        <v/>
      </c>
      <c r="CM14" s="386" t="str">
        <f t="shared" si="42"/>
        <v/>
      </c>
      <c r="CN14" s="386" t="str">
        <f t="shared" si="43"/>
        <v>0001-00</v>
      </c>
    </row>
    <row r="15" spans="1:92" ht="15.75" thickBot="1" x14ac:dyDescent="0.3">
      <c r="A15" s="376" t="s">
        <v>161</v>
      </c>
      <c r="B15" s="376" t="s">
        <v>162</v>
      </c>
      <c r="C15" s="376" t="s">
        <v>250</v>
      </c>
      <c r="D15" s="376" t="s">
        <v>239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240</v>
      </c>
      <c r="L15" s="376" t="s">
        <v>237</v>
      </c>
      <c r="M15" s="376" t="s">
        <v>241</v>
      </c>
      <c r="N15" s="376" t="s">
        <v>242</v>
      </c>
      <c r="O15" s="379">
        <v>0</v>
      </c>
      <c r="P15" s="384">
        <v>1</v>
      </c>
      <c r="Q15" s="384">
        <v>0</v>
      </c>
      <c r="R15" s="380">
        <v>0</v>
      </c>
      <c r="S15" s="384">
        <v>0</v>
      </c>
      <c r="T15" s="380">
        <v>0</v>
      </c>
      <c r="U15" s="380">
        <v>0</v>
      </c>
      <c r="V15" s="380">
        <v>0</v>
      </c>
      <c r="W15" s="380">
        <v>0</v>
      </c>
      <c r="X15" s="380">
        <v>0</v>
      </c>
      <c r="Y15" s="380">
        <v>0</v>
      </c>
      <c r="Z15" s="380">
        <v>0</v>
      </c>
      <c r="AA15" s="378"/>
      <c r="AB15" s="376" t="s">
        <v>45</v>
      </c>
      <c r="AC15" s="376" t="s">
        <v>45</v>
      </c>
      <c r="AD15" s="378"/>
      <c r="AE15" s="378"/>
      <c r="AF15" s="378"/>
      <c r="AG15" s="378"/>
      <c r="AH15" s="379">
        <v>0</v>
      </c>
      <c r="AI15" s="379">
        <v>0</v>
      </c>
      <c r="AJ15" s="378"/>
      <c r="AK15" s="378"/>
      <c r="AL15" s="376" t="s">
        <v>180</v>
      </c>
      <c r="AM15" s="378"/>
      <c r="AN15" s="378"/>
      <c r="AO15" s="379">
        <v>0</v>
      </c>
      <c r="AP15" s="384">
        <v>0</v>
      </c>
      <c r="AQ15" s="384">
        <v>0</v>
      </c>
      <c r="AR15" s="383"/>
      <c r="AS15" s="386">
        <f t="shared" si="27"/>
        <v>0</v>
      </c>
      <c r="AT15">
        <f t="shared" si="28"/>
        <v>0</v>
      </c>
      <c r="AU15" s="386" t="str">
        <f>IF(AT15=0,"",IF(AND(AT15=1,M15="F",SUMIF(C2:C29,C15,AS2:AS29)&lt;=1),SUMIF(C2:C29,C15,AS2:AS29),IF(AND(AT15=1,M15="F",SUMIF(C2:C29,C15,AS2:AS29)&gt;1),1,"")))</f>
        <v/>
      </c>
      <c r="AV15" s="386" t="str">
        <f>IF(AT15=0,"",IF(AND(AT15=3,M15="F",SUMIF(C2:C29,C15,AS2:AS29)&lt;=1),SUMIF(C2:C29,C15,AS2:AS29),IF(AND(AT15=3,M15="F",SUMIF(C2:C29,C15,AS2:AS29)&gt;1),1,"")))</f>
        <v/>
      </c>
      <c r="AW15" s="386">
        <f>SUMIF(C2:C29,C15,O2:O29)</f>
        <v>0</v>
      </c>
      <c r="AX15" s="386">
        <f>IF(AND(M15="F",AS15&lt;&gt;0),SUMIF(C2:C29,C15,W2:W29),0)</f>
        <v>0</v>
      </c>
      <c r="AY15" s="386" t="str">
        <f t="shared" si="29"/>
        <v/>
      </c>
      <c r="AZ15" s="386" t="str">
        <f t="shared" si="30"/>
        <v/>
      </c>
      <c r="BA15" s="386">
        <f t="shared" si="31"/>
        <v>0</v>
      </c>
      <c r="BB15" s="386">
        <f t="shared" si="0"/>
        <v>0</v>
      </c>
      <c r="BC15" s="386">
        <f t="shared" si="1"/>
        <v>0</v>
      </c>
      <c r="BD15" s="386">
        <f t="shared" si="2"/>
        <v>0</v>
      </c>
      <c r="BE15" s="386">
        <f t="shared" si="3"/>
        <v>0</v>
      </c>
      <c r="BF15" s="386">
        <f t="shared" si="4"/>
        <v>0</v>
      </c>
      <c r="BG15" s="386">
        <f t="shared" si="5"/>
        <v>0</v>
      </c>
      <c r="BH15" s="386">
        <f t="shared" si="6"/>
        <v>0</v>
      </c>
      <c r="BI15" s="386">
        <f t="shared" si="7"/>
        <v>0</v>
      </c>
      <c r="BJ15" s="386">
        <f t="shared" si="8"/>
        <v>0</v>
      </c>
      <c r="BK15" s="386">
        <f t="shared" si="9"/>
        <v>0</v>
      </c>
      <c r="BL15" s="386">
        <f t="shared" si="32"/>
        <v>0</v>
      </c>
      <c r="BM15" s="386">
        <f t="shared" si="33"/>
        <v>0</v>
      </c>
      <c r="BN15" s="386">
        <f t="shared" si="10"/>
        <v>0</v>
      </c>
      <c r="BO15" s="386">
        <f t="shared" si="11"/>
        <v>0</v>
      </c>
      <c r="BP15" s="386">
        <f t="shared" si="12"/>
        <v>0</v>
      </c>
      <c r="BQ15" s="386">
        <f t="shared" si="13"/>
        <v>0</v>
      </c>
      <c r="BR15" s="386">
        <f t="shared" si="14"/>
        <v>0</v>
      </c>
      <c r="BS15" s="386">
        <f t="shared" si="15"/>
        <v>0</v>
      </c>
      <c r="BT15" s="386">
        <f t="shared" si="16"/>
        <v>0</v>
      </c>
      <c r="BU15" s="386">
        <f t="shared" si="17"/>
        <v>0</v>
      </c>
      <c r="BV15" s="386">
        <f t="shared" si="18"/>
        <v>0</v>
      </c>
      <c r="BW15" s="386">
        <f t="shared" si="19"/>
        <v>0</v>
      </c>
      <c r="BX15" s="386">
        <f t="shared" si="34"/>
        <v>0</v>
      </c>
      <c r="BY15" s="386">
        <f t="shared" si="35"/>
        <v>0</v>
      </c>
      <c r="BZ15" s="386">
        <f t="shared" si="36"/>
        <v>0</v>
      </c>
      <c r="CA15" s="386">
        <f t="shared" si="37"/>
        <v>0</v>
      </c>
      <c r="CB15" s="386">
        <f t="shared" si="38"/>
        <v>0</v>
      </c>
      <c r="CC15" s="386">
        <f t="shared" si="20"/>
        <v>0</v>
      </c>
      <c r="CD15" s="386">
        <f t="shared" si="21"/>
        <v>0</v>
      </c>
      <c r="CE15" s="386">
        <f t="shared" si="22"/>
        <v>0</v>
      </c>
      <c r="CF15" s="386">
        <f t="shared" si="23"/>
        <v>0</v>
      </c>
      <c r="CG15" s="386">
        <f t="shared" si="24"/>
        <v>0</v>
      </c>
      <c r="CH15" s="386">
        <f t="shared" si="25"/>
        <v>0</v>
      </c>
      <c r="CI15" s="386">
        <f t="shared" si="26"/>
        <v>0</v>
      </c>
      <c r="CJ15" s="386">
        <f t="shared" si="39"/>
        <v>0</v>
      </c>
      <c r="CK15" s="386" t="str">
        <f t="shared" si="40"/>
        <v/>
      </c>
      <c r="CL15" s="386">
        <f t="shared" si="41"/>
        <v>0</v>
      </c>
      <c r="CM15" s="386">
        <f t="shared" si="42"/>
        <v>0</v>
      </c>
      <c r="CN15" s="386" t="str">
        <f t="shared" si="43"/>
        <v>0001-00</v>
      </c>
    </row>
    <row r="16" spans="1:92" ht="15.75" thickBot="1" x14ac:dyDescent="0.3">
      <c r="A16" s="376" t="s">
        <v>161</v>
      </c>
      <c r="B16" s="376" t="s">
        <v>162</v>
      </c>
      <c r="C16" s="376" t="s">
        <v>251</v>
      </c>
      <c r="D16" s="376" t="s">
        <v>252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253</v>
      </c>
      <c r="L16" s="376" t="s">
        <v>166</v>
      </c>
      <c r="M16" s="376" t="s">
        <v>170</v>
      </c>
      <c r="N16" s="376" t="s">
        <v>171</v>
      </c>
      <c r="O16" s="379">
        <v>1</v>
      </c>
      <c r="P16" s="384">
        <v>1</v>
      </c>
      <c r="Q16" s="384">
        <v>1</v>
      </c>
      <c r="R16" s="380">
        <v>80</v>
      </c>
      <c r="S16" s="384">
        <v>1</v>
      </c>
      <c r="T16" s="380">
        <v>53352.03</v>
      </c>
      <c r="U16" s="380">
        <v>0</v>
      </c>
      <c r="V16" s="380">
        <v>22405.52</v>
      </c>
      <c r="W16" s="380">
        <v>57158.400000000001</v>
      </c>
      <c r="X16" s="380">
        <v>23625.23</v>
      </c>
      <c r="Y16" s="380">
        <v>57158.400000000001</v>
      </c>
      <c r="Z16" s="380">
        <v>23356.59</v>
      </c>
      <c r="AA16" s="376" t="s">
        <v>254</v>
      </c>
      <c r="AB16" s="376" t="s">
        <v>255</v>
      </c>
      <c r="AC16" s="376" t="s">
        <v>256</v>
      </c>
      <c r="AD16" s="376" t="s">
        <v>206</v>
      </c>
      <c r="AE16" s="376" t="s">
        <v>257</v>
      </c>
      <c r="AF16" s="376" t="s">
        <v>176</v>
      </c>
      <c r="AG16" s="376" t="s">
        <v>177</v>
      </c>
      <c r="AH16" s="381">
        <v>27.48</v>
      </c>
      <c r="AI16" s="381">
        <v>36505.1</v>
      </c>
      <c r="AJ16" s="376" t="s">
        <v>178</v>
      </c>
      <c r="AK16" s="376" t="s">
        <v>179</v>
      </c>
      <c r="AL16" s="376" t="s">
        <v>180</v>
      </c>
      <c r="AM16" s="376" t="s">
        <v>181</v>
      </c>
      <c r="AN16" s="376" t="s">
        <v>68</v>
      </c>
      <c r="AO16" s="379">
        <v>80</v>
      </c>
      <c r="AP16" s="384">
        <v>1</v>
      </c>
      <c r="AQ16" s="384">
        <v>1</v>
      </c>
      <c r="AR16" s="382" t="s">
        <v>182</v>
      </c>
      <c r="AS16" s="386">
        <f t="shared" si="27"/>
        <v>1</v>
      </c>
      <c r="AT16">
        <f t="shared" si="28"/>
        <v>1</v>
      </c>
      <c r="AU16" s="386">
        <f>IF(AT16=0,"",IF(AND(AT16=1,M16="F",SUMIF(C2:C29,C16,AS2:AS29)&lt;=1),SUMIF(C2:C29,C16,AS2:AS29),IF(AND(AT16=1,M16="F",SUMIF(C2:C29,C16,AS2:AS29)&gt;1),1,"")))</f>
        <v>1</v>
      </c>
      <c r="AV16" s="386" t="str">
        <f>IF(AT16=0,"",IF(AND(AT16=3,M16="F",SUMIF(C2:C29,C16,AS2:AS29)&lt;=1),SUMIF(C2:C29,C16,AS2:AS29),IF(AND(AT16=3,M16="F",SUMIF(C2:C29,C16,AS2:AS29)&gt;1),1,"")))</f>
        <v/>
      </c>
      <c r="AW16" s="386">
        <f>SUMIF(C2:C29,C16,O2:O29)</f>
        <v>1</v>
      </c>
      <c r="AX16" s="386">
        <f>IF(AND(M16="F",AS16&lt;&gt;0),SUMIF(C2:C29,C16,W2:W29),0)</f>
        <v>57158.400000000001</v>
      </c>
      <c r="AY16" s="386">
        <f t="shared" si="29"/>
        <v>57158.400000000001</v>
      </c>
      <c r="AZ16" s="386" t="str">
        <f t="shared" si="30"/>
        <v/>
      </c>
      <c r="BA16" s="386">
        <f t="shared" si="31"/>
        <v>0</v>
      </c>
      <c r="BB16" s="386">
        <f t="shared" si="0"/>
        <v>11650</v>
      </c>
      <c r="BC16" s="386">
        <f t="shared" si="1"/>
        <v>0</v>
      </c>
      <c r="BD16" s="386">
        <f t="shared" si="2"/>
        <v>3543.8208</v>
      </c>
      <c r="BE16" s="386">
        <f t="shared" si="3"/>
        <v>828.79680000000008</v>
      </c>
      <c r="BF16" s="386">
        <f t="shared" si="4"/>
        <v>6824.7129600000007</v>
      </c>
      <c r="BG16" s="386">
        <f t="shared" si="5"/>
        <v>412.11206400000003</v>
      </c>
      <c r="BH16" s="386">
        <f t="shared" si="6"/>
        <v>280.07616000000002</v>
      </c>
      <c r="BI16" s="386">
        <f t="shared" si="7"/>
        <v>0</v>
      </c>
      <c r="BJ16" s="386">
        <f t="shared" si="8"/>
        <v>85.7376</v>
      </c>
      <c r="BK16" s="386">
        <f t="shared" si="9"/>
        <v>0</v>
      </c>
      <c r="BL16" s="386">
        <f t="shared" si="32"/>
        <v>11975.256384000002</v>
      </c>
      <c r="BM16" s="386">
        <f t="shared" si="33"/>
        <v>0</v>
      </c>
      <c r="BN16" s="386">
        <f t="shared" si="10"/>
        <v>11650</v>
      </c>
      <c r="BO16" s="386">
        <f t="shared" si="11"/>
        <v>0</v>
      </c>
      <c r="BP16" s="386">
        <f t="shared" si="12"/>
        <v>3543.8208</v>
      </c>
      <c r="BQ16" s="386">
        <f t="shared" si="13"/>
        <v>828.79680000000008</v>
      </c>
      <c r="BR16" s="386">
        <f t="shared" si="14"/>
        <v>6824.7129600000007</v>
      </c>
      <c r="BS16" s="386">
        <f t="shared" si="15"/>
        <v>412.11206400000003</v>
      </c>
      <c r="BT16" s="386">
        <f t="shared" si="16"/>
        <v>0</v>
      </c>
      <c r="BU16" s="386">
        <f t="shared" si="17"/>
        <v>0</v>
      </c>
      <c r="BV16" s="386">
        <f t="shared" si="18"/>
        <v>97.169280000000001</v>
      </c>
      <c r="BW16" s="386">
        <f t="shared" si="19"/>
        <v>0</v>
      </c>
      <c r="BX16" s="386">
        <f t="shared" si="34"/>
        <v>11706.611904000001</v>
      </c>
      <c r="BY16" s="386">
        <f t="shared" si="35"/>
        <v>0</v>
      </c>
      <c r="BZ16" s="386">
        <f t="shared" si="36"/>
        <v>0</v>
      </c>
      <c r="CA16" s="386">
        <f t="shared" si="37"/>
        <v>0</v>
      </c>
      <c r="CB16" s="386">
        <f t="shared" si="38"/>
        <v>0</v>
      </c>
      <c r="CC16" s="386">
        <f t="shared" si="20"/>
        <v>0</v>
      </c>
      <c r="CD16" s="386">
        <f t="shared" si="21"/>
        <v>0</v>
      </c>
      <c r="CE16" s="386">
        <f t="shared" si="22"/>
        <v>0</v>
      </c>
      <c r="CF16" s="386">
        <f t="shared" si="23"/>
        <v>-280.07616000000002</v>
      </c>
      <c r="CG16" s="386">
        <f t="shared" si="24"/>
        <v>0</v>
      </c>
      <c r="CH16" s="386">
        <f t="shared" si="25"/>
        <v>11.431679999999993</v>
      </c>
      <c r="CI16" s="386">
        <f t="shared" si="26"/>
        <v>0</v>
      </c>
      <c r="CJ16" s="386">
        <f t="shared" si="39"/>
        <v>-268.64448000000004</v>
      </c>
      <c r="CK16" s="386" t="str">
        <f t="shared" si="40"/>
        <v/>
      </c>
      <c r="CL16" s="386" t="str">
        <f t="shared" si="41"/>
        <v/>
      </c>
      <c r="CM16" s="386" t="str">
        <f t="shared" si="42"/>
        <v/>
      </c>
      <c r="CN16" s="386" t="str">
        <f t="shared" si="43"/>
        <v>0001-00</v>
      </c>
    </row>
    <row r="17" spans="1:92" ht="15.75" thickBot="1" x14ac:dyDescent="0.3">
      <c r="A17" s="376" t="s">
        <v>161</v>
      </c>
      <c r="B17" s="376" t="s">
        <v>162</v>
      </c>
      <c r="C17" s="376" t="s">
        <v>258</v>
      </c>
      <c r="D17" s="376" t="s">
        <v>239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240</v>
      </c>
      <c r="L17" s="376" t="s">
        <v>237</v>
      </c>
      <c r="M17" s="376" t="s">
        <v>241</v>
      </c>
      <c r="N17" s="376" t="s">
        <v>242</v>
      </c>
      <c r="O17" s="379">
        <v>0</v>
      </c>
      <c r="P17" s="384">
        <v>1</v>
      </c>
      <c r="Q17" s="384">
        <v>0</v>
      </c>
      <c r="R17" s="380">
        <v>0</v>
      </c>
      <c r="S17" s="384">
        <v>0</v>
      </c>
      <c r="T17" s="380">
        <v>0</v>
      </c>
      <c r="U17" s="380">
        <v>0</v>
      </c>
      <c r="V17" s="380">
        <v>0</v>
      </c>
      <c r="W17" s="380">
        <v>0</v>
      </c>
      <c r="X17" s="380">
        <v>0</v>
      </c>
      <c r="Y17" s="380">
        <v>0</v>
      </c>
      <c r="Z17" s="380">
        <v>0</v>
      </c>
      <c r="AA17" s="378"/>
      <c r="AB17" s="376" t="s">
        <v>45</v>
      </c>
      <c r="AC17" s="376" t="s">
        <v>45</v>
      </c>
      <c r="AD17" s="378"/>
      <c r="AE17" s="378"/>
      <c r="AF17" s="378"/>
      <c r="AG17" s="378"/>
      <c r="AH17" s="379">
        <v>0</v>
      </c>
      <c r="AI17" s="379">
        <v>0</v>
      </c>
      <c r="AJ17" s="378"/>
      <c r="AK17" s="378"/>
      <c r="AL17" s="376" t="s">
        <v>180</v>
      </c>
      <c r="AM17" s="378"/>
      <c r="AN17" s="378"/>
      <c r="AO17" s="379">
        <v>0</v>
      </c>
      <c r="AP17" s="384">
        <v>0</v>
      </c>
      <c r="AQ17" s="384">
        <v>0</v>
      </c>
      <c r="AR17" s="383"/>
      <c r="AS17" s="386">
        <f t="shared" si="27"/>
        <v>0</v>
      </c>
      <c r="AT17">
        <f t="shared" si="28"/>
        <v>0</v>
      </c>
      <c r="AU17" s="386" t="str">
        <f>IF(AT17=0,"",IF(AND(AT17=1,M17="F",SUMIF(C2:C29,C17,AS2:AS29)&lt;=1),SUMIF(C2:C29,C17,AS2:AS29),IF(AND(AT17=1,M17="F",SUMIF(C2:C29,C17,AS2:AS29)&gt;1),1,"")))</f>
        <v/>
      </c>
      <c r="AV17" s="386" t="str">
        <f>IF(AT17=0,"",IF(AND(AT17=3,M17="F",SUMIF(C2:C29,C17,AS2:AS29)&lt;=1),SUMIF(C2:C29,C17,AS2:AS29),IF(AND(AT17=3,M17="F",SUMIF(C2:C29,C17,AS2:AS29)&gt;1),1,"")))</f>
        <v/>
      </c>
      <c r="AW17" s="386">
        <f>SUMIF(C2:C29,C17,O2:O29)</f>
        <v>0</v>
      </c>
      <c r="AX17" s="386">
        <f>IF(AND(M17="F",AS17&lt;&gt;0),SUMIF(C2:C29,C17,W2:W29),0)</f>
        <v>0</v>
      </c>
      <c r="AY17" s="386" t="str">
        <f t="shared" si="29"/>
        <v/>
      </c>
      <c r="AZ17" s="386" t="str">
        <f t="shared" si="30"/>
        <v/>
      </c>
      <c r="BA17" s="386">
        <f t="shared" si="31"/>
        <v>0</v>
      </c>
      <c r="BB17" s="386">
        <f t="shared" si="0"/>
        <v>0</v>
      </c>
      <c r="BC17" s="386">
        <f t="shared" si="1"/>
        <v>0</v>
      </c>
      <c r="BD17" s="386">
        <f t="shared" si="2"/>
        <v>0</v>
      </c>
      <c r="BE17" s="386">
        <f t="shared" si="3"/>
        <v>0</v>
      </c>
      <c r="BF17" s="386">
        <f t="shared" si="4"/>
        <v>0</v>
      </c>
      <c r="BG17" s="386">
        <f t="shared" si="5"/>
        <v>0</v>
      </c>
      <c r="BH17" s="386">
        <f t="shared" si="6"/>
        <v>0</v>
      </c>
      <c r="BI17" s="386">
        <f t="shared" si="7"/>
        <v>0</v>
      </c>
      <c r="BJ17" s="386">
        <f t="shared" si="8"/>
        <v>0</v>
      </c>
      <c r="BK17" s="386">
        <f t="shared" si="9"/>
        <v>0</v>
      </c>
      <c r="BL17" s="386">
        <f t="shared" si="32"/>
        <v>0</v>
      </c>
      <c r="BM17" s="386">
        <f t="shared" si="33"/>
        <v>0</v>
      </c>
      <c r="BN17" s="386">
        <f t="shared" si="10"/>
        <v>0</v>
      </c>
      <c r="BO17" s="386">
        <f t="shared" si="11"/>
        <v>0</v>
      </c>
      <c r="BP17" s="386">
        <f t="shared" si="12"/>
        <v>0</v>
      </c>
      <c r="BQ17" s="386">
        <f t="shared" si="13"/>
        <v>0</v>
      </c>
      <c r="BR17" s="386">
        <f t="shared" si="14"/>
        <v>0</v>
      </c>
      <c r="BS17" s="386">
        <f t="shared" si="15"/>
        <v>0</v>
      </c>
      <c r="BT17" s="386">
        <f t="shared" si="16"/>
        <v>0</v>
      </c>
      <c r="BU17" s="386">
        <f t="shared" si="17"/>
        <v>0</v>
      </c>
      <c r="BV17" s="386">
        <f t="shared" si="18"/>
        <v>0</v>
      </c>
      <c r="BW17" s="386">
        <f t="shared" si="19"/>
        <v>0</v>
      </c>
      <c r="BX17" s="386">
        <f t="shared" si="34"/>
        <v>0</v>
      </c>
      <c r="BY17" s="386">
        <f t="shared" si="35"/>
        <v>0</v>
      </c>
      <c r="BZ17" s="386">
        <f t="shared" si="36"/>
        <v>0</v>
      </c>
      <c r="CA17" s="386">
        <f t="shared" si="37"/>
        <v>0</v>
      </c>
      <c r="CB17" s="386">
        <f t="shared" si="38"/>
        <v>0</v>
      </c>
      <c r="CC17" s="386">
        <f t="shared" si="20"/>
        <v>0</v>
      </c>
      <c r="CD17" s="386">
        <f t="shared" si="21"/>
        <v>0</v>
      </c>
      <c r="CE17" s="386">
        <f t="shared" si="22"/>
        <v>0</v>
      </c>
      <c r="CF17" s="386">
        <f t="shared" si="23"/>
        <v>0</v>
      </c>
      <c r="CG17" s="386">
        <f t="shared" si="24"/>
        <v>0</v>
      </c>
      <c r="CH17" s="386">
        <f t="shared" si="25"/>
        <v>0</v>
      </c>
      <c r="CI17" s="386">
        <f t="shared" si="26"/>
        <v>0</v>
      </c>
      <c r="CJ17" s="386">
        <f t="shared" si="39"/>
        <v>0</v>
      </c>
      <c r="CK17" s="386" t="str">
        <f t="shared" si="40"/>
        <v/>
      </c>
      <c r="CL17" s="386">
        <f t="shared" si="41"/>
        <v>0</v>
      </c>
      <c r="CM17" s="386">
        <f t="shared" si="42"/>
        <v>0</v>
      </c>
      <c r="CN17" s="386" t="str">
        <f t="shared" si="43"/>
        <v>0001-00</v>
      </c>
    </row>
    <row r="18" spans="1:92" ht="15.75" thickBot="1" x14ac:dyDescent="0.3">
      <c r="A18" s="376" t="s">
        <v>161</v>
      </c>
      <c r="B18" s="376" t="s">
        <v>162</v>
      </c>
      <c r="C18" s="376" t="s">
        <v>259</v>
      </c>
      <c r="D18" s="376" t="s">
        <v>244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245</v>
      </c>
      <c r="L18" s="376" t="s">
        <v>177</v>
      </c>
      <c r="M18" s="376" t="s">
        <v>170</v>
      </c>
      <c r="N18" s="376" t="s">
        <v>171</v>
      </c>
      <c r="O18" s="379">
        <v>1</v>
      </c>
      <c r="P18" s="384">
        <v>1</v>
      </c>
      <c r="Q18" s="384">
        <v>1</v>
      </c>
      <c r="R18" s="380">
        <v>80</v>
      </c>
      <c r="S18" s="384">
        <v>1</v>
      </c>
      <c r="T18" s="380">
        <v>43388.82</v>
      </c>
      <c r="U18" s="380">
        <v>0</v>
      </c>
      <c r="V18" s="380">
        <v>20370.21</v>
      </c>
      <c r="W18" s="380">
        <v>46571.199999999997</v>
      </c>
      <c r="X18" s="380">
        <v>21407.1</v>
      </c>
      <c r="Y18" s="380">
        <v>46571.199999999997</v>
      </c>
      <c r="Z18" s="380">
        <v>21188.23</v>
      </c>
      <c r="AA18" s="376" t="s">
        <v>260</v>
      </c>
      <c r="AB18" s="376" t="s">
        <v>261</v>
      </c>
      <c r="AC18" s="376" t="s">
        <v>262</v>
      </c>
      <c r="AD18" s="376" t="s">
        <v>263</v>
      </c>
      <c r="AE18" s="376" t="s">
        <v>245</v>
      </c>
      <c r="AF18" s="376" t="s">
        <v>176</v>
      </c>
      <c r="AG18" s="376" t="s">
        <v>177</v>
      </c>
      <c r="AH18" s="381">
        <v>22.39</v>
      </c>
      <c r="AI18" s="381">
        <v>11978.8</v>
      </c>
      <c r="AJ18" s="376" t="s">
        <v>178</v>
      </c>
      <c r="AK18" s="376" t="s">
        <v>179</v>
      </c>
      <c r="AL18" s="376" t="s">
        <v>180</v>
      </c>
      <c r="AM18" s="376" t="s">
        <v>181</v>
      </c>
      <c r="AN18" s="376" t="s">
        <v>68</v>
      </c>
      <c r="AO18" s="379">
        <v>80</v>
      </c>
      <c r="AP18" s="384">
        <v>1</v>
      </c>
      <c r="AQ18" s="384">
        <v>1</v>
      </c>
      <c r="AR18" s="382" t="s">
        <v>182</v>
      </c>
      <c r="AS18" s="386">
        <f t="shared" si="27"/>
        <v>1</v>
      </c>
      <c r="AT18">
        <f t="shared" si="28"/>
        <v>1</v>
      </c>
      <c r="AU18" s="386">
        <f>IF(AT18=0,"",IF(AND(AT18=1,M18="F",SUMIF(C2:C29,C18,AS2:AS29)&lt;=1),SUMIF(C2:C29,C18,AS2:AS29),IF(AND(AT18=1,M18="F",SUMIF(C2:C29,C18,AS2:AS29)&gt;1),1,"")))</f>
        <v>1</v>
      </c>
      <c r="AV18" s="386" t="str">
        <f>IF(AT18=0,"",IF(AND(AT18=3,M18="F",SUMIF(C2:C29,C18,AS2:AS29)&lt;=1),SUMIF(C2:C29,C18,AS2:AS29),IF(AND(AT18=3,M18="F",SUMIF(C2:C29,C18,AS2:AS29)&gt;1),1,"")))</f>
        <v/>
      </c>
      <c r="AW18" s="386">
        <f>SUMIF(C2:C29,C18,O2:O29)</f>
        <v>1</v>
      </c>
      <c r="AX18" s="386">
        <f>IF(AND(M18="F",AS18&lt;&gt;0),SUMIF(C2:C29,C18,W2:W29),0)</f>
        <v>46571.199999999997</v>
      </c>
      <c r="AY18" s="386">
        <f t="shared" si="29"/>
        <v>46571.199999999997</v>
      </c>
      <c r="AZ18" s="386" t="str">
        <f t="shared" si="30"/>
        <v/>
      </c>
      <c r="BA18" s="386">
        <f t="shared" si="31"/>
        <v>0</v>
      </c>
      <c r="BB18" s="386">
        <f t="shared" si="0"/>
        <v>11650</v>
      </c>
      <c r="BC18" s="386">
        <f t="shared" si="1"/>
        <v>0</v>
      </c>
      <c r="BD18" s="386">
        <f t="shared" si="2"/>
        <v>2887.4143999999997</v>
      </c>
      <c r="BE18" s="386">
        <f t="shared" si="3"/>
        <v>675.28239999999994</v>
      </c>
      <c r="BF18" s="386">
        <f t="shared" si="4"/>
        <v>5560.6012799999999</v>
      </c>
      <c r="BG18" s="386">
        <f t="shared" si="5"/>
        <v>335.77835199999998</v>
      </c>
      <c r="BH18" s="386">
        <f t="shared" si="6"/>
        <v>228.19887999999997</v>
      </c>
      <c r="BI18" s="386">
        <f t="shared" si="7"/>
        <v>0</v>
      </c>
      <c r="BJ18" s="386">
        <f t="shared" si="8"/>
        <v>69.856799999999993</v>
      </c>
      <c r="BK18" s="386">
        <f t="shared" si="9"/>
        <v>0</v>
      </c>
      <c r="BL18" s="386">
        <f t="shared" si="32"/>
        <v>9757.1321119999993</v>
      </c>
      <c r="BM18" s="386">
        <f t="shared" si="33"/>
        <v>0</v>
      </c>
      <c r="BN18" s="386">
        <f t="shared" si="10"/>
        <v>11650</v>
      </c>
      <c r="BO18" s="386">
        <f t="shared" si="11"/>
        <v>0</v>
      </c>
      <c r="BP18" s="386">
        <f t="shared" si="12"/>
        <v>2887.4143999999997</v>
      </c>
      <c r="BQ18" s="386">
        <f t="shared" si="13"/>
        <v>675.28239999999994</v>
      </c>
      <c r="BR18" s="386">
        <f t="shared" si="14"/>
        <v>5560.6012799999999</v>
      </c>
      <c r="BS18" s="386">
        <f t="shared" si="15"/>
        <v>335.77835199999998</v>
      </c>
      <c r="BT18" s="386">
        <f t="shared" si="16"/>
        <v>0</v>
      </c>
      <c r="BU18" s="386">
        <f t="shared" si="17"/>
        <v>0</v>
      </c>
      <c r="BV18" s="386">
        <f t="shared" si="18"/>
        <v>79.171039999999991</v>
      </c>
      <c r="BW18" s="386">
        <f t="shared" si="19"/>
        <v>0</v>
      </c>
      <c r="BX18" s="386">
        <f t="shared" si="34"/>
        <v>9538.2474719999991</v>
      </c>
      <c r="BY18" s="386">
        <f t="shared" si="35"/>
        <v>0</v>
      </c>
      <c r="BZ18" s="386">
        <f t="shared" si="36"/>
        <v>0</v>
      </c>
      <c r="CA18" s="386">
        <f t="shared" si="37"/>
        <v>0</v>
      </c>
      <c r="CB18" s="386">
        <f t="shared" si="38"/>
        <v>0</v>
      </c>
      <c r="CC18" s="386">
        <f t="shared" si="20"/>
        <v>0</v>
      </c>
      <c r="CD18" s="386">
        <f t="shared" si="21"/>
        <v>0</v>
      </c>
      <c r="CE18" s="386">
        <f t="shared" si="22"/>
        <v>0</v>
      </c>
      <c r="CF18" s="386">
        <f t="shared" si="23"/>
        <v>-228.19887999999997</v>
      </c>
      <c r="CG18" s="386">
        <f t="shared" si="24"/>
        <v>0</v>
      </c>
      <c r="CH18" s="386">
        <f t="shared" si="25"/>
        <v>9.3142399999999927</v>
      </c>
      <c r="CI18" s="386">
        <f t="shared" si="26"/>
        <v>0</v>
      </c>
      <c r="CJ18" s="386">
        <f t="shared" si="39"/>
        <v>-218.88463999999999</v>
      </c>
      <c r="CK18" s="386" t="str">
        <f t="shared" si="40"/>
        <v/>
      </c>
      <c r="CL18" s="386" t="str">
        <f t="shared" si="41"/>
        <v/>
      </c>
      <c r="CM18" s="386" t="str">
        <f t="shared" si="42"/>
        <v/>
      </c>
      <c r="CN18" s="386" t="str">
        <f t="shared" si="43"/>
        <v>0001-00</v>
      </c>
    </row>
    <row r="19" spans="1:92" ht="15.75" thickBot="1" x14ac:dyDescent="0.3">
      <c r="A19" s="376" t="s">
        <v>161</v>
      </c>
      <c r="B19" s="376" t="s">
        <v>162</v>
      </c>
      <c r="C19" s="376" t="s">
        <v>264</v>
      </c>
      <c r="D19" s="376" t="s">
        <v>244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245</v>
      </c>
      <c r="L19" s="376" t="s">
        <v>177</v>
      </c>
      <c r="M19" s="376" t="s">
        <v>170</v>
      </c>
      <c r="N19" s="376" t="s">
        <v>171</v>
      </c>
      <c r="O19" s="379">
        <v>1</v>
      </c>
      <c r="P19" s="384">
        <v>1</v>
      </c>
      <c r="Q19" s="384">
        <v>1</v>
      </c>
      <c r="R19" s="380">
        <v>80</v>
      </c>
      <c r="S19" s="384">
        <v>1</v>
      </c>
      <c r="T19" s="380">
        <v>40684.800000000003</v>
      </c>
      <c r="U19" s="380">
        <v>0</v>
      </c>
      <c r="V19" s="380">
        <v>19942.59</v>
      </c>
      <c r="W19" s="380">
        <v>43950.400000000001</v>
      </c>
      <c r="X19" s="380">
        <v>20858.02</v>
      </c>
      <c r="Y19" s="380">
        <v>43950.400000000001</v>
      </c>
      <c r="Z19" s="380">
        <v>20651.46</v>
      </c>
      <c r="AA19" s="376" t="s">
        <v>265</v>
      </c>
      <c r="AB19" s="376" t="s">
        <v>266</v>
      </c>
      <c r="AC19" s="376" t="s">
        <v>267</v>
      </c>
      <c r="AD19" s="376" t="s">
        <v>268</v>
      </c>
      <c r="AE19" s="376" t="s">
        <v>245</v>
      </c>
      <c r="AF19" s="376" t="s">
        <v>176</v>
      </c>
      <c r="AG19" s="376" t="s">
        <v>177</v>
      </c>
      <c r="AH19" s="381">
        <v>21.13</v>
      </c>
      <c r="AI19" s="381">
        <v>5942.5</v>
      </c>
      <c r="AJ19" s="376" t="s">
        <v>178</v>
      </c>
      <c r="AK19" s="376" t="s">
        <v>179</v>
      </c>
      <c r="AL19" s="376" t="s">
        <v>180</v>
      </c>
      <c r="AM19" s="376" t="s">
        <v>181</v>
      </c>
      <c r="AN19" s="376" t="s">
        <v>68</v>
      </c>
      <c r="AO19" s="379">
        <v>80</v>
      </c>
      <c r="AP19" s="384">
        <v>1</v>
      </c>
      <c r="AQ19" s="384">
        <v>1</v>
      </c>
      <c r="AR19" s="382" t="s">
        <v>182</v>
      </c>
      <c r="AS19" s="386">
        <f t="shared" si="27"/>
        <v>1</v>
      </c>
      <c r="AT19">
        <f t="shared" si="28"/>
        <v>1</v>
      </c>
      <c r="AU19" s="386">
        <f>IF(AT19=0,"",IF(AND(AT19=1,M19="F",SUMIF(C2:C29,C19,AS2:AS29)&lt;=1),SUMIF(C2:C29,C19,AS2:AS29),IF(AND(AT19=1,M19="F",SUMIF(C2:C29,C19,AS2:AS29)&gt;1),1,"")))</f>
        <v>1</v>
      </c>
      <c r="AV19" s="386" t="str">
        <f>IF(AT19=0,"",IF(AND(AT19=3,M19="F",SUMIF(C2:C29,C19,AS2:AS29)&lt;=1),SUMIF(C2:C29,C19,AS2:AS29),IF(AND(AT19=3,M19="F",SUMIF(C2:C29,C19,AS2:AS29)&gt;1),1,"")))</f>
        <v/>
      </c>
      <c r="AW19" s="386">
        <f>SUMIF(C2:C29,C19,O2:O29)</f>
        <v>1</v>
      </c>
      <c r="AX19" s="386">
        <f>IF(AND(M19="F",AS19&lt;&gt;0),SUMIF(C2:C29,C19,W2:W29),0)</f>
        <v>43950.400000000001</v>
      </c>
      <c r="AY19" s="386">
        <f t="shared" si="29"/>
        <v>43950.400000000001</v>
      </c>
      <c r="AZ19" s="386" t="str">
        <f t="shared" si="30"/>
        <v/>
      </c>
      <c r="BA19" s="386">
        <f t="shared" si="31"/>
        <v>0</v>
      </c>
      <c r="BB19" s="386">
        <f t="shared" si="0"/>
        <v>11650</v>
      </c>
      <c r="BC19" s="386">
        <f t="shared" si="1"/>
        <v>0</v>
      </c>
      <c r="BD19" s="386">
        <f t="shared" si="2"/>
        <v>2724.9248000000002</v>
      </c>
      <c r="BE19" s="386">
        <f t="shared" si="3"/>
        <v>637.2808</v>
      </c>
      <c r="BF19" s="386">
        <f t="shared" si="4"/>
        <v>5247.6777600000005</v>
      </c>
      <c r="BG19" s="386">
        <f t="shared" si="5"/>
        <v>316.882384</v>
      </c>
      <c r="BH19" s="386">
        <f t="shared" si="6"/>
        <v>215.35695999999999</v>
      </c>
      <c r="BI19" s="386">
        <f t="shared" si="7"/>
        <v>0</v>
      </c>
      <c r="BJ19" s="386">
        <f t="shared" si="8"/>
        <v>65.925600000000003</v>
      </c>
      <c r="BK19" s="386">
        <f t="shared" si="9"/>
        <v>0</v>
      </c>
      <c r="BL19" s="386">
        <f t="shared" si="32"/>
        <v>9208.0483039999999</v>
      </c>
      <c r="BM19" s="386">
        <f t="shared" si="33"/>
        <v>0</v>
      </c>
      <c r="BN19" s="386">
        <f t="shared" si="10"/>
        <v>11650</v>
      </c>
      <c r="BO19" s="386">
        <f t="shared" si="11"/>
        <v>0</v>
      </c>
      <c r="BP19" s="386">
        <f t="shared" si="12"/>
        <v>2724.9248000000002</v>
      </c>
      <c r="BQ19" s="386">
        <f t="shared" si="13"/>
        <v>637.2808</v>
      </c>
      <c r="BR19" s="386">
        <f t="shared" si="14"/>
        <v>5247.6777600000005</v>
      </c>
      <c r="BS19" s="386">
        <f t="shared" si="15"/>
        <v>316.882384</v>
      </c>
      <c r="BT19" s="386">
        <f t="shared" si="16"/>
        <v>0</v>
      </c>
      <c r="BU19" s="386">
        <f t="shared" si="17"/>
        <v>0</v>
      </c>
      <c r="BV19" s="386">
        <f t="shared" si="18"/>
        <v>74.715679999999992</v>
      </c>
      <c r="BW19" s="386">
        <f t="shared" si="19"/>
        <v>0</v>
      </c>
      <c r="BX19" s="386">
        <f t="shared" si="34"/>
        <v>9001.4814239999996</v>
      </c>
      <c r="BY19" s="386">
        <f t="shared" si="35"/>
        <v>0</v>
      </c>
      <c r="BZ19" s="386">
        <f t="shared" si="36"/>
        <v>0</v>
      </c>
      <c r="CA19" s="386">
        <f t="shared" si="37"/>
        <v>0</v>
      </c>
      <c r="CB19" s="386">
        <f t="shared" si="38"/>
        <v>0</v>
      </c>
      <c r="CC19" s="386">
        <f t="shared" si="20"/>
        <v>0</v>
      </c>
      <c r="CD19" s="386">
        <f t="shared" si="21"/>
        <v>0</v>
      </c>
      <c r="CE19" s="386">
        <f t="shared" si="22"/>
        <v>0</v>
      </c>
      <c r="CF19" s="386">
        <f t="shared" si="23"/>
        <v>-215.35695999999999</v>
      </c>
      <c r="CG19" s="386">
        <f t="shared" si="24"/>
        <v>0</v>
      </c>
      <c r="CH19" s="386">
        <f t="shared" si="25"/>
        <v>8.7900799999999943</v>
      </c>
      <c r="CI19" s="386">
        <f t="shared" si="26"/>
        <v>0</v>
      </c>
      <c r="CJ19" s="386">
        <f t="shared" si="39"/>
        <v>-206.56688</v>
      </c>
      <c r="CK19" s="386" t="str">
        <f t="shared" si="40"/>
        <v/>
      </c>
      <c r="CL19" s="386" t="str">
        <f t="shared" si="41"/>
        <v/>
      </c>
      <c r="CM19" s="386" t="str">
        <f t="shared" si="42"/>
        <v/>
      </c>
      <c r="CN19" s="386" t="str">
        <f t="shared" si="43"/>
        <v>0001-00</v>
      </c>
    </row>
    <row r="20" spans="1:92" ht="15.75" thickBot="1" x14ac:dyDescent="0.3">
      <c r="A20" s="376" t="s">
        <v>161</v>
      </c>
      <c r="B20" s="376" t="s">
        <v>162</v>
      </c>
      <c r="C20" s="376" t="s">
        <v>269</v>
      </c>
      <c r="D20" s="376" t="s">
        <v>270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168</v>
      </c>
      <c r="K20" s="376" t="s">
        <v>257</v>
      </c>
      <c r="L20" s="376" t="s">
        <v>166</v>
      </c>
      <c r="M20" s="376" t="s">
        <v>170</v>
      </c>
      <c r="N20" s="376" t="s">
        <v>171</v>
      </c>
      <c r="O20" s="379">
        <v>1</v>
      </c>
      <c r="P20" s="384">
        <v>1</v>
      </c>
      <c r="Q20" s="384">
        <v>1</v>
      </c>
      <c r="R20" s="380">
        <v>80</v>
      </c>
      <c r="S20" s="384">
        <v>1</v>
      </c>
      <c r="T20" s="380">
        <v>43471.040000000001</v>
      </c>
      <c r="U20" s="380">
        <v>0</v>
      </c>
      <c r="V20" s="380">
        <v>20512.689999999999</v>
      </c>
      <c r="W20" s="380">
        <v>46800</v>
      </c>
      <c r="X20" s="380">
        <v>21455.06</v>
      </c>
      <c r="Y20" s="380">
        <v>46800</v>
      </c>
      <c r="Z20" s="380">
        <v>21235.1</v>
      </c>
      <c r="AA20" s="376" t="s">
        <v>271</v>
      </c>
      <c r="AB20" s="376" t="s">
        <v>272</v>
      </c>
      <c r="AC20" s="376" t="s">
        <v>273</v>
      </c>
      <c r="AD20" s="376" t="s">
        <v>274</v>
      </c>
      <c r="AE20" s="376" t="s">
        <v>257</v>
      </c>
      <c r="AF20" s="376" t="s">
        <v>176</v>
      </c>
      <c r="AG20" s="376" t="s">
        <v>177</v>
      </c>
      <c r="AH20" s="381">
        <v>22.5</v>
      </c>
      <c r="AI20" s="381">
        <v>12995.3</v>
      </c>
      <c r="AJ20" s="376" t="s">
        <v>178</v>
      </c>
      <c r="AK20" s="376" t="s">
        <v>179</v>
      </c>
      <c r="AL20" s="376" t="s">
        <v>180</v>
      </c>
      <c r="AM20" s="376" t="s">
        <v>181</v>
      </c>
      <c r="AN20" s="376" t="s">
        <v>68</v>
      </c>
      <c r="AO20" s="379">
        <v>80</v>
      </c>
      <c r="AP20" s="384">
        <v>1</v>
      </c>
      <c r="AQ20" s="384">
        <v>1</v>
      </c>
      <c r="AR20" s="382" t="s">
        <v>182</v>
      </c>
      <c r="AS20" s="386">
        <f t="shared" si="27"/>
        <v>1</v>
      </c>
      <c r="AT20">
        <f t="shared" si="28"/>
        <v>1</v>
      </c>
      <c r="AU20" s="386">
        <f>IF(AT20=0,"",IF(AND(AT20=1,M20="F",SUMIF(C2:C29,C20,AS2:AS29)&lt;=1),SUMIF(C2:C29,C20,AS2:AS29),IF(AND(AT20=1,M20="F",SUMIF(C2:C29,C20,AS2:AS29)&gt;1),1,"")))</f>
        <v>1</v>
      </c>
      <c r="AV20" s="386" t="str">
        <f>IF(AT20=0,"",IF(AND(AT20=3,M20="F",SUMIF(C2:C29,C20,AS2:AS29)&lt;=1),SUMIF(C2:C29,C20,AS2:AS29),IF(AND(AT20=3,M20="F",SUMIF(C2:C29,C20,AS2:AS29)&gt;1),1,"")))</f>
        <v/>
      </c>
      <c r="AW20" s="386">
        <f>SUMIF(C2:C29,C20,O2:O29)</f>
        <v>1</v>
      </c>
      <c r="AX20" s="386">
        <f>IF(AND(M20="F",AS20&lt;&gt;0),SUMIF(C2:C29,C20,W2:W29),0)</f>
        <v>46800</v>
      </c>
      <c r="AY20" s="386">
        <f t="shared" si="29"/>
        <v>46800</v>
      </c>
      <c r="AZ20" s="386" t="str">
        <f t="shared" si="30"/>
        <v/>
      </c>
      <c r="BA20" s="386">
        <f t="shared" si="31"/>
        <v>0</v>
      </c>
      <c r="BB20" s="386">
        <f t="shared" si="0"/>
        <v>11650</v>
      </c>
      <c r="BC20" s="386">
        <f t="shared" si="1"/>
        <v>0</v>
      </c>
      <c r="BD20" s="386">
        <f t="shared" si="2"/>
        <v>2901.6</v>
      </c>
      <c r="BE20" s="386">
        <f t="shared" si="3"/>
        <v>678.6</v>
      </c>
      <c r="BF20" s="386">
        <f t="shared" si="4"/>
        <v>5587.92</v>
      </c>
      <c r="BG20" s="386">
        <f t="shared" si="5"/>
        <v>337.428</v>
      </c>
      <c r="BH20" s="386">
        <f t="shared" si="6"/>
        <v>229.32</v>
      </c>
      <c r="BI20" s="386">
        <f t="shared" si="7"/>
        <v>0</v>
      </c>
      <c r="BJ20" s="386">
        <f t="shared" si="8"/>
        <v>70.2</v>
      </c>
      <c r="BK20" s="386">
        <f t="shared" si="9"/>
        <v>0</v>
      </c>
      <c r="BL20" s="386">
        <f t="shared" si="32"/>
        <v>9805.0679999999993</v>
      </c>
      <c r="BM20" s="386">
        <f t="shared" si="33"/>
        <v>0</v>
      </c>
      <c r="BN20" s="386">
        <f t="shared" si="10"/>
        <v>11650</v>
      </c>
      <c r="BO20" s="386">
        <f t="shared" si="11"/>
        <v>0</v>
      </c>
      <c r="BP20" s="386">
        <f t="shared" si="12"/>
        <v>2901.6</v>
      </c>
      <c r="BQ20" s="386">
        <f t="shared" si="13"/>
        <v>678.6</v>
      </c>
      <c r="BR20" s="386">
        <f t="shared" si="14"/>
        <v>5587.92</v>
      </c>
      <c r="BS20" s="386">
        <f t="shared" si="15"/>
        <v>337.428</v>
      </c>
      <c r="BT20" s="386">
        <f t="shared" si="16"/>
        <v>0</v>
      </c>
      <c r="BU20" s="386">
        <f t="shared" si="17"/>
        <v>0</v>
      </c>
      <c r="BV20" s="386">
        <f t="shared" si="18"/>
        <v>79.56</v>
      </c>
      <c r="BW20" s="386">
        <f t="shared" si="19"/>
        <v>0</v>
      </c>
      <c r="BX20" s="386">
        <f t="shared" si="34"/>
        <v>9585.1079999999984</v>
      </c>
      <c r="BY20" s="386">
        <f t="shared" si="35"/>
        <v>0</v>
      </c>
      <c r="BZ20" s="386">
        <f t="shared" si="36"/>
        <v>0</v>
      </c>
      <c r="CA20" s="386">
        <f t="shared" si="37"/>
        <v>0</v>
      </c>
      <c r="CB20" s="386">
        <f t="shared" si="38"/>
        <v>0</v>
      </c>
      <c r="CC20" s="386">
        <f t="shared" si="20"/>
        <v>0</v>
      </c>
      <c r="CD20" s="386">
        <f t="shared" si="21"/>
        <v>0</v>
      </c>
      <c r="CE20" s="386">
        <f t="shared" si="22"/>
        <v>0</v>
      </c>
      <c r="CF20" s="386">
        <f t="shared" si="23"/>
        <v>-229.32</v>
      </c>
      <c r="CG20" s="386">
        <f t="shared" si="24"/>
        <v>0</v>
      </c>
      <c r="CH20" s="386">
        <f t="shared" si="25"/>
        <v>9.3599999999999941</v>
      </c>
      <c r="CI20" s="386">
        <f t="shared" si="26"/>
        <v>0</v>
      </c>
      <c r="CJ20" s="386">
        <f t="shared" si="39"/>
        <v>-219.96</v>
      </c>
      <c r="CK20" s="386" t="str">
        <f t="shared" si="40"/>
        <v/>
      </c>
      <c r="CL20" s="386" t="str">
        <f t="shared" si="41"/>
        <v/>
      </c>
      <c r="CM20" s="386" t="str">
        <f t="shared" si="42"/>
        <v/>
      </c>
      <c r="CN20" s="386" t="str">
        <f t="shared" si="43"/>
        <v>0001-00</v>
      </c>
    </row>
    <row r="21" spans="1:92" ht="15.75" thickBot="1" x14ac:dyDescent="0.3">
      <c r="A21" s="376" t="s">
        <v>161</v>
      </c>
      <c r="B21" s="376" t="s">
        <v>162</v>
      </c>
      <c r="C21" s="376" t="s">
        <v>275</v>
      </c>
      <c r="D21" s="376" t="s">
        <v>164</v>
      </c>
      <c r="E21" s="376" t="s">
        <v>165</v>
      </c>
      <c r="F21" s="377" t="s">
        <v>166</v>
      </c>
      <c r="G21" s="376" t="s">
        <v>167</v>
      </c>
      <c r="H21" s="378"/>
      <c r="I21" s="378"/>
      <c r="J21" s="376" t="s">
        <v>168</v>
      </c>
      <c r="K21" s="376" t="s">
        <v>169</v>
      </c>
      <c r="L21" s="376" t="s">
        <v>166</v>
      </c>
      <c r="M21" s="376" t="s">
        <v>170</v>
      </c>
      <c r="N21" s="376" t="s">
        <v>171</v>
      </c>
      <c r="O21" s="379">
        <v>1</v>
      </c>
      <c r="P21" s="384">
        <v>1</v>
      </c>
      <c r="Q21" s="384">
        <v>1</v>
      </c>
      <c r="R21" s="380">
        <v>80</v>
      </c>
      <c r="S21" s="384">
        <v>1</v>
      </c>
      <c r="T21" s="380">
        <v>30680</v>
      </c>
      <c r="U21" s="380">
        <v>0</v>
      </c>
      <c r="V21" s="380">
        <v>13042.04</v>
      </c>
      <c r="W21" s="380">
        <v>65748.800000000003</v>
      </c>
      <c r="X21" s="380">
        <v>25424.99</v>
      </c>
      <c r="Y21" s="380">
        <v>65748.800000000003</v>
      </c>
      <c r="Z21" s="380">
        <v>25115.98</v>
      </c>
      <c r="AA21" s="376" t="s">
        <v>276</v>
      </c>
      <c r="AB21" s="376" t="s">
        <v>277</v>
      </c>
      <c r="AC21" s="376" t="s">
        <v>278</v>
      </c>
      <c r="AD21" s="376" t="s">
        <v>274</v>
      </c>
      <c r="AE21" s="376" t="s">
        <v>169</v>
      </c>
      <c r="AF21" s="376" t="s">
        <v>176</v>
      </c>
      <c r="AG21" s="376" t="s">
        <v>177</v>
      </c>
      <c r="AH21" s="381">
        <v>31.61</v>
      </c>
      <c r="AI21" s="381">
        <v>1123.8</v>
      </c>
      <c r="AJ21" s="376" t="s">
        <v>178</v>
      </c>
      <c r="AK21" s="376" t="s">
        <v>179</v>
      </c>
      <c r="AL21" s="376" t="s">
        <v>180</v>
      </c>
      <c r="AM21" s="376" t="s">
        <v>181</v>
      </c>
      <c r="AN21" s="376" t="s">
        <v>68</v>
      </c>
      <c r="AO21" s="379">
        <v>80</v>
      </c>
      <c r="AP21" s="384">
        <v>1</v>
      </c>
      <c r="AQ21" s="384">
        <v>1</v>
      </c>
      <c r="AR21" s="382" t="s">
        <v>182</v>
      </c>
      <c r="AS21" s="386">
        <f t="shared" si="27"/>
        <v>1</v>
      </c>
      <c r="AT21">
        <f t="shared" si="28"/>
        <v>1</v>
      </c>
      <c r="AU21" s="386">
        <f>IF(AT21=0,"",IF(AND(AT21=1,M21="F",SUMIF(C2:C29,C21,AS2:AS29)&lt;=1),SUMIF(C2:C29,C21,AS2:AS29),IF(AND(AT21=1,M21="F",SUMIF(C2:C29,C21,AS2:AS29)&gt;1),1,"")))</f>
        <v>1</v>
      </c>
      <c r="AV21" s="386" t="str">
        <f>IF(AT21=0,"",IF(AND(AT21=3,M21="F",SUMIF(C2:C29,C21,AS2:AS29)&lt;=1),SUMIF(C2:C29,C21,AS2:AS29),IF(AND(AT21=3,M21="F",SUMIF(C2:C29,C21,AS2:AS29)&gt;1),1,"")))</f>
        <v/>
      </c>
      <c r="AW21" s="386">
        <f>SUMIF(C2:C29,C21,O2:O29)</f>
        <v>1</v>
      </c>
      <c r="AX21" s="386">
        <f>IF(AND(M21="F",AS21&lt;&gt;0),SUMIF(C2:C29,C21,W2:W29),0)</f>
        <v>65748.800000000003</v>
      </c>
      <c r="AY21" s="386">
        <f t="shared" si="29"/>
        <v>65748.800000000003</v>
      </c>
      <c r="AZ21" s="386" t="str">
        <f t="shared" si="30"/>
        <v/>
      </c>
      <c r="BA21" s="386">
        <f t="shared" si="31"/>
        <v>0</v>
      </c>
      <c r="BB21" s="386">
        <f t="shared" si="0"/>
        <v>11650</v>
      </c>
      <c r="BC21" s="386">
        <f t="shared" si="1"/>
        <v>0</v>
      </c>
      <c r="BD21" s="386">
        <f t="shared" si="2"/>
        <v>4076.4256</v>
      </c>
      <c r="BE21" s="386">
        <f t="shared" si="3"/>
        <v>953.35760000000005</v>
      </c>
      <c r="BF21" s="386">
        <f t="shared" si="4"/>
        <v>7850.4067200000009</v>
      </c>
      <c r="BG21" s="386">
        <f t="shared" si="5"/>
        <v>474.04884800000002</v>
      </c>
      <c r="BH21" s="386">
        <f t="shared" si="6"/>
        <v>322.16912000000002</v>
      </c>
      <c r="BI21" s="386">
        <f t="shared" si="7"/>
        <v>0</v>
      </c>
      <c r="BJ21" s="386">
        <f t="shared" si="8"/>
        <v>98.623200000000011</v>
      </c>
      <c r="BK21" s="386">
        <f t="shared" si="9"/>
        <v>0</v>
      </c>
      <c r="BL21" s="386">
        <f t="shared" si="32"/>
        <v>13775.031088000002</v>
      </c>
      <c r="BM21" s="386">
        <f t="shared" si="33"/>
        <v>0</v>
      </c>
      <c r="BN21" s="386">
        <f t="shared" si="10"/>
        <v>11650</v>
      </c>
      <c r="BO21" s="386">
        <f t="shared" si="11"/>
        <v>0</v>
      </c>
      <c r="BP21" s="386">
        <f t="shared" si="12"/>
        <v>4076.4256</v>
      </c>
      <c r="BQ21" s="386">
        <f t="shared" si="13"/>
        <v>953.35760000000005</v>
      </c>
      <c r="BR21" s="386">
        <f t="shared" si="14"/>
        <v>7850.4067200000009</v>
      </c>
      <c r="BS21" s="386">
        <f t="shared" si="15"/>
        <v>474.04884800000002</v>
      </c>
      <c r="BT21" s="386">
        <f t="shared" si="16"/>
        <v>0</v>
      </c>
      <c r="BU21" s="386">
        <f t="shared" si="17"/>
        <v>0</v>
      </c>
      <c r="BV21" s="386">
        <f t="shared" si="18"/>
        <v>111.77296</v>
      </c>
      <c r="BW21" s="386">
        <f t="shared" si="19"/>
        <v>0</v>
      </c>
      <c r="BX21" s="386">
        <f t="shared" si="34"/>
        <v>13466.011728000001</v>
      </c>
      <c r="BY21" s="386">
        <f t="shared" si="35"/>
        <v>0</v>
      </c>
      <c r="BZ21" s="386">
        <f t="shared" si="36"/>
        <v>0</v>
      </c>
      <c r="CA21" s="386">
        <f t="shared" si="37"/>
        <v>0</v>
      </c>
      <c r="CB21" s="386">
        <f t="shared" si="38"/>
        <v>0</v>
      </c>
      <c r="CC21" s="386">
        <f t="shared" si="20"/>
        <v>0</v>
      </c>
      <c r="CD21" s="386">
        <f t="shared" si="21"/>
        <v>0</v>
      </c>
      <c r="CE21" s="386">
        <f t="shared" si="22"/>
        <v>0</v>
      </c>
      <c r="CF21" s="386">
        <f t="shared" si="23"/>
        <v>-322.16912000000002</v>
      </c>
      <c r="CG21" s="386">
        <f t="shared" si="24"/>
        <v>0</v>
      </c>
      <c r="CH21" s="386">
        <f t="shared" si="25"/>
        <v>13.149759999999992</v>
      </c>
      <c r="CI21" s="386">
        <f t="shared" si="26"/>
        <v>0</v>
      </c>
      <c r="CJ21" s="386">
        <f t="shared" si="39"/>
        <v>-309.01936000000001</v>
      </c>
      <c r="CK21" s="386" t="str">
        <f t="shared" si="40"/>
        <v/>
      </c>
      <c r="CL21" s="386" t="str">
        <f t="shared" si="41"/>
        <v/>
      </c>
      <c r="CM21" s="386" t="str">
        <f t="shared" si="42"/>
        <v/>
      </c>
      <c r="CN21" s="386" t="str">
        <f t="shared" si="43"/>
        <v>0001-00</v>
      </c>
    </row>
    <row r="22" spans="1:92" ht="15.75" thickBot="1" x14ac:dyDescent="0.3">
      <c r="A22" s="376" t="s">
        <v>161</v>
      </c>
      <c r="B22" s="376" t="s">
        <v>162</v>
      </c>
      <c r="C22" s="376" t="s">
        <v>279</v>
      </c>
      <c r="D22" s="376" t="s">
        <v>164</v>
      </c>
      <c r="E22" s="376" t="s">
        <v>165</v>
      </c>
      <c r="F22" s="377" t="s">
        <v>166</v>
      </c>
      <c r="G22" s="376" t="s">
        <v>167</v>
      </c>
      <c r="H22" s="378"/>
      <c r="I22" s="378"/>
      <c r="J22" s="376" t="s">
        <v>168</v>
      </c>
      <c r="K22" s="376" t="s">
        <v>169</v>
      </c>
      <c r="L22" s="376" t="s">
        <v>166</v>
      </c>
      <c r="M22" s="376" t="s">
        <v>170</v>
      </c>
      <c r="N22" s="376" t="s">
        <v>171</v>
      </c>
      <c r="O22" s="379">
        <v>1</v>
      </c>
      <c r="P22" s="384">
        <v>1</v>
      </c>
      <c r="Q22" s="384">
        <v>1</v>
      </c>
      <c r="R22" s="380">
        <v>80</v>
      </c>
      <c r="S22" s="384">
        <v>1</v>
      </c>
      <c r="T22" s="380">
        <v>68240</v>
      </c>
      <c r="U22" s="380">
        <v>0</v>
      </c>
      <c r="V22" s="380">
        <v>25060.85</v>
      </c>
      <c r="W22" s="380">
        <v>73257.600000000006</v>
      </c>
      <c r="X22" s="380">
        <v>26998.17</v>
      </c>
      <c r="Y22" s="380">
        <v>73257.600000000006</v>
      </c>
      <c r="Z22" s="380">
        <v>26653.86</v>
      </c>
      <c r="AA22" s="376" t="s">
        <v>280</v>
      </c>
      <c r="AB22" s="376" t="s">
        <v>281</v>
      </c>
      <c r="AC22" s="376" t="s">
        <v>282</v>
      </c>
      <c r="AD22" s="376" t="s">
        <v>283</v>
      </c>
      <c r="AE22" s="376" t="s">
        <v>169</v>
      </c>
      <c r="AF22" s="376" t="s">
        <v>176</v>
      </c>
      <c r="AG22" s="376" t="s">
        <v>177</v>
      </c>
      <c r="AH22" s="381">
        <v>35.22</v>
      </c>
      <c r="AI22" s="381">
        <v>2321.3000000000002</v>
      </c>
      <c r="AJ22" s="376" t="s">
        <v>178</v>
      </c>
      <c r="AK22" s="376" t="s">
        <v>179</v>
      </c>
      <c r="AL22" s="376" t="s">
        <v>180</v>
      </c>
      <c r="AM22" s="376" t="s">
        <v>181</v>
      </c>
      <c r="AN22" s="376" t="s">
        <v>68</v>
      </c>
      <c r="AO22" s="379">
        <v>80</v>
      </c>
      <c r="AP22" s="384">
        <v>1</v>
      </c>
      <c r="AQ22" s="384">
        <v>1</v>
      </c>
      <c r="AR22" s="382" t="s">
        <v>182</v>
      </c>
      <c r="AS22" s="386">
        <f t="shared" si="27"/>
        <v>1</v>
      </c>
      <c r="AT22">
        <f t="shared" si="28"/>
        <v>1</v>
      </c>
      <c r="AU22" s="386">
        <f>IF(AT22=0,"",IF(AND(AT22=1,M22="F",SUMIF(C2:C29,C22,AS2:AS29)&lt;=1),SUMIF(C2:C29,C22,AS2:AS29),IF(AND(AT22=1,M22="F",SUMIF(C2:C29,C22,AS2:AS29)&gt;1),1,"")))</f>
        <v>1</v>
      </c>
      <c r="AV22" s="386" t="str">
        <f>IF(AT22=0,"",IF(AND(AT22=3,M22="F",SUMIF(C2:C29,C22,AS2:AS29)&lt;=1),SUMIF(C2:C29,C22,AS2:AS29),IF(AND(AT22=3,M22="F",SUMIF(C2:C29,C22,AS2:AS29)&gt;1),1,"")))</f>
        <v/>
      </c>
      <c r="AW22" s="386">
        <f>SUMIF(C2:C29,C22,O2:O29)</f>
        <v>1</v>
      </c>
      <c r="AX22" s="386">
        <f>IF(AND(M22="F",AS22&lt;&gt;0),SUMIF(C2:C29,C22,W2:W29),0)</f>
        <v>73257.600000000006</v>
      </c>
      <c r="AY22" s="386">
        <f t="shared" si="29"/>
        <v>73257.600000000006</v>
      </c>
      <c r="AZ22" s="386" t="str">
        <f t="shared" si="30"/>
        <v/>
      </c>
      <c r="BA22" s="386">
        <f t="shared" si="31"/>
        <v>0</v>
      </c>
      <c r="BB22" s="386">
        <f t="shared" si="0"/>
        <v>11650</v>
      </c>
      <c r="BC22" s="386">
        <f t="shared" si="1"/>
        <v>0</v>
      </c>
      <c r="BD22" s="386">
        <f t="shared" si="2"/>
        <v>4541.9712</v>
      </c>
      <c r="BE22" s="386">
        <f t="shared" si="3"/>
        <v>1062.2352000000001</v>
      </c>
      <c r="BF22" s="386">
        <f t="shared" si="4"/>
        <v>8746.957440000002</v>
      </c>
      <c r="BG22" s="386">
        <f t="shared" si="5"/>
        <v>528.18729600000006</v>
      </c>
      <c r="BH22" s="386">
        <f t="shared" si="6"/>
        <v>358.96224000000001</v>
      </c>
      <c r="BI22" s="386">
        <f t="shared" si="7"/>
        <v>0</v>
      </c>
      <c r="BJ22" s="386">
        <f t="shared" si="8"/>
        <v>109.88640000000001</v>
      </c>
      <c r="BK22" s="386">
        <f t="shared" si="9"/>
        <v>0</v>
      </c>
      <c r="BL22" s="386">
        <f t="shared" si="32"/>
        <v>15348.199776000001</v>
      </c>
      <c r="BM22" s="386">
        <f t="shared" si="33"/>
        <v>0</v>
      </c>
      <c r="BN22" s="386">
        <f t="shared" si="10"/>
        <v>11650</v>
      </c>
      <c r="BO22" s="386">
        <f t="shared" si="11"/>
        <v>0</v>
      </c>
      <c r="BP22" s="386">
        <f t="shared" si="12"/>
        <v>4541.9712</v>
      </c>
      <c r="BQ22" s="386">
        <f t="shared" si="13"/>
        <v>1062.2352000000001</v>
      </c>
      <c r="BR22" s="386">
        <f t="shared" si="14"/>
        <v>8746.957440000002</v>
      </c>
      <c r="BS22" s="386">
        <f t="shared" si="15"/>
        <v>528.18729600000006</v>
      </c>
      <c r="BT22" s="386">
        <f t="shared" si="16"/>
        <v>0</v>
      </c>
      <c r="BU22" s="386">
        <f t="shared" si="17"/>
        <v>0</v>
      </c>
      <c r="BV22" s="386">
        <f t="shared" si="18"/>
        <v>124.53792</v>
      </c>
      <c r="BW22" s="386">
        <f t="shared" si="19"/>
        <v>0</v>
      </c>
      <c r="BX22" s="386">
        <f t="shared" si="34"/>
        <v>15003.889056000002</v>
      </c>
      <c r="BY22" s="386">
        <f t="shared" si="35"/>
        <v>0</v>
      </c>
      <c r="BZ22" s="386">
        <f t="shared" si="36"/>
        <v>0</v>
      </c>
      <c r="CA22" s="386">
        <f t="shared" si="37"/>
        <v>0</v>
      </c>
      <c r="CB22" s="386">
        <f t="shared" si="38"/>
        <v>0</v>
      </c>
      <c r="CC22" s="386">
        <f t="shared" si="20"/>
        <v>0</v>
      </c>
      <c r="CD22" s="386">
        <f t="shared" si="21"/>
        <v>0</v>
      </c>
      <c r="CE22" s="386">
        <f t="shared" si="22"/>
        <v>0</v>
      </c>
      <c r="CF22" s="386">
        <f t="shared" si="23"/>
        <v>-358.96224000000001</v>
      </c>
      <c r="CG22" s="386">
        <f t="shared" si="24"/>
        <v>0</v>
      </c>
      <c r="CH22" s="386">
        <f t="shared" si="25"/>
        <v>14.651519999999993</v>
      </c>
      <c r="CI22" s="386">
        <f t="shared" si="26"/>
        <v>0</v>
      </c>
      <c r="CJ22" s="386">
        <f t="shared" si="39"/>
        <v>-344.31072</v>
      </c>
      <c r="CK22" s="386" t="str">
        <f t="shared" si="40"/>
        <v/>
      </c>
      <c r="CL22" s="386" t="str">
        <f t="shared" si="41"/>
        <v/>
      </c>
      <c r="CM22" s="386" t="str">
        <f t="shared" si="42"/>
        <v/>
      </c>
      <c r="CN22" s="386" t="str">
        <f t="shared" si="43"/>
        <v>0001-00</v>
      </c>
    </row>
    <row r="23" spans="1:92" ht="15.75" thickBot="1" x14ac:dyDescent="0.3">
      <c r="A23" s="376" t="s">
        <v>161</v>
      </c>
      <c r="B23" s="376" t="s">
        <v>162</v>
      </c>
      <c r="C23" s="376" t="s">
        <v>284</v>
      </c>
      <c r="D23" s="376" t="s">
        <v>164</v>
      </c>
      <c r="E23" s="376" t="s">
        <v>165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169</v>
      </c>
      <c r="L23" s="376" t="s">
        <v>166</v>
      </c>
      <c r="M23" s="376" t="s">
        <v>170</v>
      </c>
      <c r="N23" s="376" t="s">
        <v>171</v>
      </c>
      <c r="O23" s="379">
        <v>1</v>
      </c>
      <c r="P23" s="384">
        <v>1</v>
      </c>
      <c r="Q23" s="384">
        <v>1</v>
      </c>
      <c r="R23" s="380">
        <v>80</v>
      </c>
      <c r="S23" s="384">
        <v>1</v>
      </c>
      <c r="T23" s="380">
        <v>70428.800000000003</v>
      </c>
      <c r="U23" s="380">
        <v>0</v>
      </c>
      <c r="V23" s="380">
        <v>25848.55</v>
      </c>
      <c r="W23" s="380">
        <v>73736</v>
      </c>
      <c r="X23" s="380">
        <v>27098.400000000001</v>
      </c>
      <c r="Y23" s="380">
        <v>73736</v>
      </c>
      <c r="Z23" s="380">
        <v>26751.85</v>
      </c>
      <c r="AA23" s="376" t="s">
        <v>285</v>
      </c>
      <c r="AB23" s="376" t="s">
        <v>286</v>
      </c>
      <c r="AC23" s="376" t="s">
        <v>287</v>
      </c>
      <c r="AD23" s="376" t="s">
        <v>288</v>
      </c>
      <c r="AE23" s="376" t="s">
        <v>169</v>
      </c>
      <c r="AF23" s="376" t="s">
        <v>176</v>
      </c>
      <c r="AG23" s="376" t="s">
        <v>177</v>
      </c>
      <c r="AH23" s="381">
        <v>35.450000000000003</v>
      </c>
      <c r="AI23" s="381">
        <v>16586.8</v>
      </c>
      <c r="AJ23" s="376" t="s">
        <v>178</v>
      </c>
      <c r="AK23" s="376" t="s">
        <v>179</v>
      </c>
      <c r="AL23" s="376" t="s">
        <v>180</v>
      </c>
      <c r="AM23" s="376" t="s">
        <v>181</v>
      </c>
      <c r="AN23" s="376" t="s">
        <v>68</v>
      </c>
      <c r="AO23" s="379">
        <v>80</v>
      </c>
      <c r="AP23" s="384">
        <v>1</v>
      </c>
      <c r="AQ23" s="384">
        <v>1</v>
      </c>
      <c r="AR23" s="382" t="s">
        <v>182</v>
      </c>
      <c r="AS23" s="386">
        <f t="shared" si="27"/>
        <v>1</v>
      </c>
      <c r="AT23">
        <f t="shared" si="28"/>
        <v>1</v>
      </c>
      <c r="AU23" s="386">
        <f>IF(AT23=0,"",IF(AND(AT23=1,M23="F",SUMIF(C2:C29,C23,AS2:AS29)&lt;=1),SUMIF(C2:C29,C23,AS2:AS29),IF(AND(AT23=1,M23="F",SUMIF(C2:C29,C23,AS2:AS29)&gt;1),1,"")))</f>
        <v>1</v>
      </c>
      <c r="AV23" s="386" t="str">
        <f>IF(AT23=0,"",IF(AND(AT23=3,M23="F",SUMIF(C2:C29,C23,AS2:AS29)&lt;=1),SUMIF(C2:C29,C23,AS2:AS29),IF(AND(AT23=3,M23="F",SUMIF(C2:C29,C23,AS2:AS29)&gt;1),1,"")))</f>
        <v/>
      </c>
      <c r="AW23" s="386">
        <f>SUMIF(C2:C29,C23,O2:O29)</f>
        <v>1</v>
      </c>
      <c r="AX23" s="386">
        <f>IF(AND(M23="F",AS23&lt;&gt;0),SUMIF(C2:C29,C23,W2:W29),0)</f>
        <v>73736</v>
      </c>
      <c r="AY23" s="386">
        <f t="shared" si="29"/>
        <v>73736</v>
      </c>
      <c r="AZ23" s="386" t="str">
        <f t="shared" si="30"/>
        <v/>
      </c>
      <c r="BA23" s="386">
        <f t="shared" si="31"/>
        <v>0</v>
      </c>
      <c r="BB23" s="386">
        <f t="shared" si="0"/>
        <v>11650</v>
      </c>
      <c r="BC23" s="386">
        <f t="shared" si="1"/>
        <v>0</v>
      </c>
      <c r="BD23" s="386">
        <f t="shared" si="2"/>
        <v>4571.6319999999996</v>
      </c>
      <c r="BE23" s="386">
        <f t="shared" si="3"/>
        <v>1069.172</v>
      </c>
      <c r="BF23" s="386">
        <f t="shared" si="4"/>
        <v>8804.0784000000003</v>
      </c>
      <c r="BG23" s="386">
        <f t="shared" si="5"/>
        <v>531.63656000000003</v>
      </c>
      <c r="BH23" s="386">
        <f t="shared" si="6"/>
        <v>361.3064</v>
      </c>
      <c r="BI23" s="386">
        <f t="shared" si="7"/>
        <v>0</v>
      </c>
      <c r="BJ23" s="386">
        <f t="shared" si="8"/>
        <v>110.604</v>
      </c>
      <c r="BK23" s="386">
        <f t="shared" si="9"/>
        <v>0</v>
      </c>
      <c r="BL23" s="386">
        <f t="shared" si="32"/>
        <v>15448.42936</v>
      </c>
      <c r="BM23" s="386">
        <f t="shared" si="33"/>
        <v>0</v>
      </c>
      <c r="BN23" s="386">
        <f t="shared" si="10"/>
        <v>11650</v>
      </c>
      <c r="BO23" s="386">
        <f t="shared" si="11"/>
        <v>0</v>
      </c>
      <c r="BP23" s="386">
        <f t="shared" si="12"/>
        <v>4571.6319999999996</v>
      </c>
      <c r="BQ23" s="386">
        <f t="shared" si="13"/>
        <v>1069.172</v>
      </c>
      <c r="BR23" s="386">
        <f t="shared" si="14"/>
        <v>8804.0784000000003</v>
      </c>
      <c r="BS23" s="386">
        <f t="shared" si="15"/>
        <v>531.63656000000003</v>
      </c>
      <c r="BT23" s="386">
        <f t="shared" si="16"/>
        <v>0</v>
      </c>
      <c r="BU23" s="386">
        <f t="shared" si="17"/>
        <v>0</v>
      </c>
      <c r="BV23" s="386">
        <f t="shared" si="18"/>
        <v>125.35119999999999</v>
      </c>
      <c r="BW23" s="386">
        <f t="shared" si="19"/>
        <v>0</v>
      </c>
      <c r="BX23" s="386">
        <f t="shared" si="34"/>
        <v>15101.87016</v>
      </c>
      <c r="BY23" s="386">
        <f t="shared" si="35"/>
        <v>0</v>
      </c>
      <c r="BZ23" s="386">
        <f t="shared" si="36"/>
        <v>0</v>
      </c>
      <c r="CA23" s="386">
        <f t="shared" si="37"/>
        <v>0</v>
      </c>
      <c r="CB23" s="386">
        <f t="shared" si="38"/>
        <v>0</v>
      </c>
      <c r="CC23" s="386">
        <f t="shared" si="20"/>
        <v>0</v>
      </c>
      <c r="CD23" s="386">
        <f t="shared" si="21"/>
        <v>0</v>
      </c>
      <c r="CE23" s="386">
        <f t="shared" si="22"/>
        <v>0</v>
      </c>
      <c r="CF23" s="386">
        <f t="shared" si="23"/>
        <v>-361.3064</v>
      </c>
      <c r="CG23" s="386">
        <f t="shared" si="24"/>
        <v>0</v>
      </c>
      <c r="CH23" s="386">
        <f t="shared" si="25"/>
        <v>14.747199999999991</v>
      </c>
      <c r="CI23" s="386">
        <f t="shared" si="26"/>
        <v>0</v>
      </c>
      <c r="CJ23" s="386">
        <f t="shared" si="39"/>
        <v>-346.55920000000003</v>
      </c>
      <c r="CK23" s="386" t="str">
        <f t="shared" si="40"/>
        <v/>
      </c>
      <c r="CL23" s="386" t="str">
        <f t="shared" si="41"/>
        <v/>
      </c>
      <c r="CM23" s="386" t="str">
        <f t="shared" si="42"/>
        <v/>
      </c>
      <c r="CN23" s="386" t="str">
        <f t="shared" si="43"/>
        <v>0001-00</v>
      </c>
    </row>
    <row r="24" spans="1:92" ht="15.75" thickBot="1" x14ac:dyDescent="0.3">
      <c r="A24" s="376" t="s">
        <v>161</v>
      </c>
      <c r="B24" s="376" t="s">
        <v>162</v>
      </c>
      <c r="C24" s="376" t="s">
        <v>289</v>
      </c>
      <c r="D24" s="376" t="s">
        <v>194</v>
      </c>
      <c r="E24" s="376" t="s">
        <v>165</v>
      </c>
      <c r="F24" s="377" t="s">
        <v>166</v>
      </c>
      <c r="G24" s="376" t="s">
        <v>167</v>
      </c>
      <c r="H24" s="378"/>
      <c r="I24" s="378"/>
      <c r="J24" s="376" t="s">
        <v>168</v>
      </c>
      <c r="K24" s="376" t="s">
        <v>195</v>
      </c>
      <c r="L24" s="376" t="s">
        <v>166</v>
      </c>
      <c r="M24" s="376" t="s">
        <v>170</v>
      </c>
      <c r="N24" s="376" t="s">
        <v>171</v>
      </c>
      <c r="O24" s="379">
        <v>1</v>
      </c>
      <c r="P24" s="384">
        <v>1</v>
      </c>
      <c r="Q24" s="384">
        <v>1</v>
      </c>
      <c r="R24" s="380">
        <v>80</v>
      </c>
      <c r="S24" s="384">
        <v>1</v>
      </c>
      <c r="T24" s="380">
        <v>66040</v>
      </c>
      <c r="U24" s="380">
        <v>0</v>
      </c>
      <c r="V24" s="380">
        <v>24999.759999999998</v>
      </c>
      <c r="W24" s="380">
        <v>69035.199999999997</v>
      </c>
      <c r="X24" s="380">
        <v>26113.55</v>
      </c>
      <c r="Y24" s="380">
        <v>69035.199999999997</v>
      </c>
      <c r="Z24" s="380">
        <v>25789.08</v>
      </c>
      <c r="AA24" s="376" t="s">
        <v>290</v>
      </c>
      <c r="AB24" s="376" t="s">
        <v>291</v>
      </c>
      <c r="AC24" s="376" t="s">
        <v>292</v>
      </c>
      <c r="AD24" s="376" t="s">
        <v>293</v>
      </c>
      <c r="AE24" s="376" t="s">
        <v>195</v>
      </c>
      <c r="AF24" s="376" t="s">
        <v>176</v>
      </c>
      <c r="AG24" s="376" t="s">
        <v>177</v>
      </c>
      <c r="AH24" s="381">
        <v>33.19</v>
      </c>
      <c r="AI24" s="381">
        <v>11560.8</v>
      </c>
      <c r="AJ24" s="376" t="s">
        <v>178</v>
      </c>
      <c r="AK24" s="376" t="s">
        <v>179</v>
      </c>
      <c r="AL24" s="376" t="s">
        <v>180</v>
      </c>
      <c r="AM24" s="376" t="s">
        <v>181</v>
      </c>
      <c r="AN24" s="376" t="s">
        <v>68</v>
      </c>
      <c r="AO24" s="379">
        <v>80</v>
      </c>
      <c r="AP24" s="384">
        <v>1</v>
      </c>
      <c r="AQ24" s="384">
        <v>1</v>
      </c>
      <c r="AR24" s="382" t="s">
        <v>182</v>
      </c>
      <c r="AS24" s="386">
        <f t="shared" si="27"/>
        <v>1</v>
      </c>
      <c r="AT24">
        <f t="shared" si="28"/>
        <v>1</v>
      </c>
      <c r="AU24" s="386">
        <f>IF(AT24=0,"",IF(AND(AT24=1,M24="F",SUMIF(C2:C29,C24,AS2:AS29)&lt;=1),SUMIF(C2:C29,C24,AS2:AS29),IF(AND(AT24=1,M24="F",SUMIF(C2:C29,C24,AS2:AS29)&gt;1),1,"")))</f>
        <v>1</v>
      </c>
      <c r="AV24" s="386" t="str">
        <f>IF(AT24=0,"",IF(AND(AT24=3,M24="F",SUMIF(C2:C29,C24,AS2:AS29)&lt;=1),SUMIF(C2:C29,C24,AS2:AS29),IF(AND(AT24=3,M24="F",SUMIF(C2:C29,C24,AS2:AS29)&gt;1),1,"")))</f>
        <v/>
      </c>
      <c r="AW24" s="386">
        <f>SUMIF(C2:C29,C24,O2:O29)</f>
        <v>1</v>
      </c>
      <c r="AX24" s="386">
        <f>IF(AND(M24="F",AS24&lt;&gt;0),SUMIF(C2:C29,C24,W2:W29),0)</f>
        <v>69035.199999999997</v>
      </c>
      <c r="AY24" s="386">
        <f t="shared" si="29"/>
        <v>69035.199999999997</v>
      </c>
      <c r="AZ24" s="386" t="str">
        <f t="shared" si="30"/>
        <v/>
      </c>
      <c r="BA24" s="386">
        <f t="shared" si="31"/>
        <v>0</v>
      </c>
      <c r="BB24" s="386">
        <f t="shared" si="0"/>
        <v>11650</v>
      </c>
      <c r="BC24" s="386">
        <f t="shared" si="1"/>
        <v>0</v>
      </c>
      <c r="BD24" s="386">
        <f t="shared" si="2"/>
        <v>4280.1823999999997</v>
      </c>
      <c r="BE24" s="386">
        <f t="shared" si="3"/>
        <v>1001.0104</v>
      </c>
      <c r="BF24" s="386">
        <f t="shared" si="4"/>
        <v>8242.8028799999993</v>
      </c>
      <c r="BG24" s="386">
        <f t="shared" si="5"/>
        <v>497.74379199999998</v>
      </c>
      <c r="BH24" s="386">
        <f t="shared" si="6"/>
        <v>338.27247999999997</v>
      </c>
      <c r="BI24" s="386">
        <f t="shared" si="7"/>
        <v>0</v>
      </c>
      <c r="BJ24" s="386">
        <f t="shared" si="8"/>
        <v>103.5528</v>
      </c>
      <c r="BK24" s="386">
        <f t="shared" si="9"/>
        <v>0</v>
      </c>
      <c r="BL24" s="386">
        <f t="shared" si="32"/>
        <v>14463.564751999998</v>
      </c>
      <c r="BM24" s="386">
        <f t="shared" si="33"/>
        <v>0</v>
      </c>
      <c r="BN24" s="386">
        <f t="shared" si="10"/>
        <v>11650</v>
      </c>
      <c r="BO24" s="386">
        <f t="shared" si="11"/>
        <v>0</v>
      </c>
      <c r="BP24" s="386">
        <f t="shared" si="12"/>
        <v>4280.1823999999997</v>
      </c>
      <c r="BQ24" s="386">
        <f t="shared" si="13"/>
        <v>1001.0104</v>
      </c>
      <c r="BR24" s="386">
        <f t="shared" si="14"/>
        <v>8242.8028799999993</v>
      </c>
      <c r="BS24" s="386">
        <f t="shared" si="15"/>
        <v>497.74379199999998</v>
      </c>
      <c r="BT24" s="386">
        <f t="shared" si="16"/>
        <v>0</v>
      </c>
      <c r="BU24" s="386">
        <f t="shared" si="17"/>
        <v>0</v>
      </c>
      <c r="BV24" s="386">
        <f t="shared" si="18"/>
        <v>117.35983999999999</v>
      </c>
      <c r="BW24" s="386">
        <f t="shared" si="19"/>
        <v>0</v>
      </c>
      <c r="BX24" s="386">
        <f t="shared" si="34"/>
        <v>14139.099311999998</v>
      </c>
      <c r="BY24" s="386">
        <f t="shared" si="35"/>
        <v>0</v>
      </c>
      <c r="BZ24" s="386">
        <f t="shared" si="36"/>
        <v>0</v>
      </c>
      <c r="CA24" s="386">
        <f t="shared" si="37"/>
        <v>0</v>
      </c>
      <c r="CB24" s="386">
        <f t="shared" si="38"/>
        <v>0</v>
      </c>
      <c r="CC24" s="386">
        <f t="shared" si="20"/>
        <v>0</v>
      </c>
      <c r="CD24" s="386">
        <f t="shared" si="21"/>
        <v>0</v>
      </c>
      <c r="CE24" s="386">
        <f t="shared" si="22"/>
        <v>0</v>
      </c>
      <c r="CF24" s="386">
        <f t="shared" si="23"/>
        <v>-338.27247999999997</v>
      </c>
      <c r="CG24" s="386">
        <f t="shared" si="24"/>
        <v>0</v>
      </c>
      <c r="CH24" s="386">
        <f t="shared" si="25"/>
        <v>13.80703999999999</v>
      </c>
      <c r="CI24" s="386">
        <f t="shared" si="26"/>
        <v>0</v>
      </c>
      <c r="CJ24" s="386">
        <f t="shared" si="39"/>
        <v>-324.46544</v>
      </c>
      <c r="CK24" s="386" t="str">
        <f t="shared" si="40"/>
        <v/>
      </c>
      <c r="CL24" s="386" t="str">
        <f t="shared" si="41"/>
        <v/>
      </c>
      <c r="CM24" s="386" t="str">
        <f t="shared" si="42"/>
        <v/>
      </c>
      <c r="CN24" s="386" t="str">
        <f t="shared" si="43"/>
        <v>0001-00</v>
      </c>
    </row>
    <row r="25" spans="1:92" ht="15.75" thickBot="1" x14ac:dyDescent="0.3">
      <c r="A25" s="376" t="s">
        <v>161</v>
      </c>
      <c r="B25" s="376" t="s">
        <v>162</v>
      </c>
      <c r="C25" s="376" t="s">
        <v>294</v>
      </c>
      <c r="D25" s="376" t="s">
        <v>226</v>
      </c>
      <c r="E25" s="376" t="s">
        <v>165</v>
      </c>
      <c r="F25" s="377" t="s">
        <v>166</v>
      </c>
      <c r="G25" s="376" t="s">
        <v>167</v>
      </c>
      <c r="H25" s="378"/>
      <c r="I25" s="378"/>
      <c r="J25" s="376" t="s">
        <v>168</v>
      </c>
      <c r="K25" s="376" t="s">
        <v>227</v>
      </c>
      <c r="L25" s="376" t="s">
        <v>166</v>
      </c>
      <c r="M25" s="376" t="s">
        <v>170</v>
      </c>
      <c r="N25" s="376" t="s">
        <v>171</v>
      </c>
      <c r="O25" s="379">
        <v>1</v>
      </c>
      <c r="P25" s="384">
        <v>1</v>
      </c>
      <c r="Q25" s="384">
        <v>1</v>
      </c>
      <c r="R25" s="380">
        <v>80</v>
      </c>
      <c r="S25" s="384">
        <v>1</v>
      </c>
      <c r="T25" s="380">
        <v>107328</v>
      </c>
      <c r="U25" s="380">
        <v>0</v>
      </c>
      <c r="V25" s="380">
        <v>33573.19</v>
      </c>
      <c r="W25" s="380">
        <v>111841.60000000001</v>
      </c>
      <c r="X25" s="380">
        <v>35081.9</v>
      </c>
      <c r="Y25" s="380">
        <v>111841.60000000001</v>
      </c>
      <c r="Z25" s="380">
        <v>34556.25</v>
      </c>
      <c r="AA25" s="376" t="s">
        <v>295</v>
      </c>
      <c r="AB25" s="376" t="s">
        <v>296</v>
      </c>
      <c r="AC25" s="376" t="s">
        <v>297</v>
      </c>
      <c r="AD25" s="376" t="s">
        <v>180</v>
      </c>
      <c r="AE25" s="376" t="s">
        <v>227</v>
      </c>
      <c r="AF25" s="376" t="s">
        <v>176</v>
      </c>
      <c r="AG25" s="376" t="s">
        <v>177</v>
      </c>
      <c r="AH25" s="381">
        <v>53.77</v>
      </c>
      <c r="AI25" s="381">
        <v>35122.9</v>
      </c>
      <c r="AJ25" s="376" t="s">
        <v>178</v>
      </c>
      <c r="AK25" s="376" t="s">
        <v>179</v>
      </c>
      <c r="AL25" s="376" t="s">
        <v>180</v>
      </c>
      <c r="AM25" s="376" t="s">
        <v>181</v>
      </c>
      <c r="AN25" s="376" t="s">
        <v>68</v>
      </c>
      <c r="AO25" s="379">
        <v>80</v>
      </c>
      <c r="AP25" s="384">
        <v>1</v>
      </c>
      <c r="AQ25" s="384">
        <v>1</v>
      </c>
      <c r="AR25" s="382" t="s">
        <v>182</v>
      </c>
      <c r="AS25" s="386">
        <f t="shared" si="27"/>
        <v>1</v>
      </c>
      <c r="AT25">
        <f t="shared" si="28"/>
        <v>1</v>
      </c>
      <c r="AU25" s="386">
        <f>IF(AT25=0,"",IF(AND(AT25=1,M25="F",SUMIF(C2:C29,C25,AS2:AS29)&lt;=1),SUMIF(C2:C29,C25,AS2:AS29),IF(AND(AT25=1,M25="F",SUMIF(C2:C29,C25,AS2:AS29)&gt;1),1,"")))</f>
        <v>1</v>
      </c>
      <c r="AV25" s="386" t="str">
        <f>IF(AT25=0,"",IF(AND(AT25=3,M25="F",SUMIF(C2:C29,C25,AS2:AS29)&lt;=1),SUMIF(C2:C29,C25,AS2:AS29),IF(AND(AT25=3,M25="F",SUMIF(C2:C29,C25,AS2:AS29)&gt;1),1,"")))</f>
        <v/>
      </c>
      <c r="AW25" s="386">
        <f>SUMIF(C2:C29,C25,O2:O29)</f>
        <v>1</v>
      </c>
      <c r="AX25" s="386">
        <f>IF(AND(M25="F",AS25&lt;&gt;0),SUMIF(C2:C29,C25,W2:W29),0)</f>
        <v>111841.60000000001</v>
      </c>
      <c r="AY25" s="386">
        <f t="shared" si="29"/>
        <v>111841.60000000001</v>
      </c>
      <c r="AZ25" s="386" t="str">
        <f t="shared" si="30"/>
        <v/>
      </c>
      <c r="BA25" s="386">
        <f t="shared" si="31"/>
        <v>0</v>
      </c>
      <c r="BB25" s="386">
        <f t="shared" si="0"/>
        <v>11650</v>
      </c>
      <c r="BC25" s="386">
        <f t="shared" si="1"/>
        <v>0</v>
      </c>
      <c r="BD25" s="386">
        <f t="shared" si="2"/>
        <v>6934.1792000000005</v>
      </c>
      <c r="BE25" s="386">
        <f t="shared" si="3"/>
        <v>1621.7032000000002</v>
      </c>
      <c r="BF25" s="386">
        <f t="shared" si="4"/>
        <v>13353.887040000001</v>
      </c>
      <c r="BG25" s="386">
        <f t="shared" si="5"/>
        <v>806.37793600000009</v>
      </c>
      <c r="BH25" s="386">
        <f t="shared" si="6"/>
        <v>548.02384000000006</v>
      </c>
      <c r="BI25" s="386">
        <f t="shared" si="7"/>
        <v>0</v>
      </c>
      <c r="BJ25" s="386">
        <f t="shared" si="8"/>
        <v>167.76240000000001</v>
      </c>
      <c r="BK25" s="386">
        <f t="shared" si="9"/>
        <v>0</v>
      </c>
      <c r="BL25" s="386">
        <f t="shared" si="32"/>
        <v>23431.933616000006</v>
      </c>
      <c r="BM25" s="386">
        <f t="shared" si="33"/>
        <v>0</v>
      </c>
      <c r="BN25" s="386">
        <f t="shared" si="10"/>
        <v>11650</v>
      </c>
      <c r="BO25" s="386">
        <f t="shared" si="11"/>
        <v>0</v>
      </c>
      <c r="BP25" s="386">
        <f t="shared" si="12"/>
        <v>6934.1792000000005</v>
      </c>
      <c r="BQ25" s="386">
        <f t="shared" si="13"/>
        <v>1621.7032000000002</v>
      </c>
      <c r="BR25" s="386">
        <f t="shared" si="14"/>
        <v>13353.887040000001</v>
      </c>
      <c r="BS25" s="386">
        <f t="shared" si="15"/>
        <v>806.37793600000009</v>
      </c>
      <c r="BT25" s="386">
        <f t="shared" si="16"/>
        <v>0</v>
      </c>
      <c r="BU25" s="386">
        <f t="shared" si="17"/>
        <v>0</v>
      </c>
      <c r="BV25" s="386">
        <f t="shared" si="18"/>
        <v>190.13072</v>
      </c>
      <c r="BW25" s="386">
        <f t="shared" si="19"/>
        <v>0</v>
      </c>
      <c r="BX25" s="386">
        <f t="shared" si="34"/>
        <v>22906.278096000005</v>
      </c>
      <c r="BY25" s="386">
        <f t="shared" si="35"/>
        <v>0</v>
      </c>
      <c r="BZ25" s="386">
        <f t="shared" si="36"/>
        <v>0</v>
      </c>
      <c r="CA25" s="386">
        <f t="shared" si="37"/>
        <v>0</v>
      </c>
      <c r="CB25" s="386">
        <f t="shared" si="38"/>
        <v>0</v>
      </c>
      <c r="CC25" s="386">
        <f t="shared" si="20"/>
        <v>0</v>
      </c>
      <c r="CD25" s="386">
        <f t="shared" si="21"/>
        <v>0</v>
      </c>
      <c r="CE25" s="386">
        <f t="shared" si="22"/>
        <v>0</v>
      </c>
      <c r="CF25" s="386">
        <f t="shared" si="23"/>
        <v>-548.02384000000006</v>
      </c>
      <c r="CG25" s="386">
        <f t="shared" si="24"/>
        <v>0</v>
      </c>
      <c r="CH25" s="386">
        <f t="shared" si="25"/>
        <v>22.368319999999986</v>
      </c>
      <c r="CI25" s="386">
        <f t="shared" si="26"/>
        <v>0</v>
      </c>
      <c r="CJ25" s="386">
        <f t="shared" si="39"/>
        <v>-525.65552000000002</v>
      </c>
      <c r="CK25" s="386" t="str">
        <f t="shared" si="40"/>
        <v/>
      </c>
      <c r="CL25" s="386" t="str">
        <f t="shared" si="41"/>
        <v/>
      </c>
      <c r="CM25" s="386" t="str">
        <f t="shared" si="42"/>
        <v/>
      </c>
      <c r="CN25" s="386" t="str">
        <f t="shared" si="43"/>
        <v>0001-00</v>
      </c>
    </row>
    <row r="26" spans="1:92" ht="15.75" thickBot="1" x14ac:dyDescent="0.3">
      <c r="A26" s="376" t="s">
        <v>161</v>
      </c>
      <c r="B26" s="376" t="s">
        <v>162</v>
      </c>
      <c r="C26" s="376" t="s">
        <v>298</v>
      </c>
      <c r="D26" s="376" t="s">
        <v>299</v>
      </c>
      <c r="E26" s="376" t="s">
        <v>165</v>
      </c>
      <c r="F26" s="377" t="s">
        <v>166</v>
      </c>
      <c r="G26" s="376" t="s">
        <v>167</v>
      </c>
      <c r="H26" s="378"/>
      <c r="I26" s="378"/>
      <c r="J26" s="376" t="s">
        <v>168</v>
      </c>
      <c r="K26" s="376" t="s">
        <v>300</v>
      </c>
      <c r="L26" s="376" t="s">
        <v>166</v>
      </c>
      <c r="M26" s="376" t="s">
        <v>170</v>
      </c>
      <c r="N26" s="376" t="s">
        <v>171</v>
      </c>
      <c r="O26" s="379">
        <v>1</v>
      </c>
      <c r="P26" s="384">
        <v>1</v>
      </c>
      <c r="Q26" s="384">
        <v>1</v>
      </c>
      <c r="R26" s="380">
        <v>80</v>
      </c>
      <c r="S26" s="384">
        <v>1</v>
      </c>
      <c r="T26" s="380">
        <v>100089.64</v>
      </c>
      <c r="U26" s="380">
        <v>0</v>
      </c>
      <c r="V26" s="380">
        <v>32029.53</v>
      </c>
      <c r="W26" s="380">
        <v>105310.39999999999</v>
      </c>
      <c r="X26" s="380">
        <v>33713.56</v>
      </c>
      <c r="Y26" s="380">
        <v>105310.39999999999</v>
      </c>
      <c r="Z26" s="380">
        <v>33218.6</v>
      </c>
      <c r="AA26" s="376" t="s">
        <v>301</v>
      </c>
      <c r="AB26" s="376" t="s">
        <v>302</v>
      </c>
      <c r="AC26" s="376" t="s">
        <v>303</v>
      </c>
      <c r="AD26" s="376" t="s">
        <v>304</v>
      </c>
      <c r="AE26" s="376" t="s">
        <v>300</v>
      </c>
      <c r="AF26" s="376" t="s">
        <v>176</v>
      </c>
      <c r="AG26" s="376" t="s">
        <v>177</v>
      </c>
      <c r="AH26" s="381">
        <v>50.63</v>
      </c>
      <c r="AI26" s="381">
        <v>35606.1</v>
      </c>
      <c r="AJ26" s="376" t="s">
        <v>178</v>
      </c>
      <c r="AK26" s="376" t="s">
        <v>179</v>
      </c>
      <c r="AL26" s="376" t="s">
        <v>180</v>
      </c>
      <c r="AM26" s="376" t="s">
        <v>181</v>
      </c>
      <c r="AN26" s="376" t="s">
        <v>68</v>
      </c>
      <c r="AO26" s="379">
        <v>80</v>
      </c>
      <c r="AP26" s="384">
        <v>1</v>
      </c>
      <c r="AQ26" s="384">
        <v>1</v>
      </c>
      <c r="AR26" s="382" t="s">
        <v>182</v>
      </c>
      <c r="AS26" s="386">
        <f t="shared" si="27"/>
        <v>1</v>
      </c>
      <c r="AT26">
        <f t="shared" si="28"/>
        <v>1</v>
      </c>
      <c r="AU26" s="386">
        <f>IF(AT26=0,"",IF(AND(AT26=1,M26="F",SUMIF(C2:C29,C26,AS2:AS29)&lt;=1),SUMIF(C2:C29,C26,AS2:AS29),IF(AND(AT26=1,M26="F",SUMIF(C2:C29,C26,AS2:AS29)&gt;1),1,"")))</f>
        <v>1</v>
      </c>
      <c r="AV26" s="386" t="str">
        <f>IF(AT26=0,"",IF(AND(AT26=3,M26="F",SUMIF(C2:C29,C26,AS2:AS29)&lt;=1),SUMIF(C2:C29,C26,AS2:AS29),IF(AND(AT26=3,M26="F",SUMIF(C2:C29,C26,AS2:AS29)&gt;1),1,"")))</f>
        <v/>
      </c>
      <c r="AW26" s="386">
        <f>SUMIF(C2:C29,C26,O2:O29)</f>
        <v>1</v>
      </c>
      <c r="AX26" s="386">
        <f>IF(AND(M26="F",AS26&lt;&gt;0),SUMIF(C2:C29,C26,W2:W29),0)</f>
        <v>105310.39999999999</v>
      </c>
      <c r="AY26" s="386">
        <f t="shared" si="29"/>
        <v>105310.39999999999</v>
      </c>
      <c r="AZ26" s="386" t="str">
        <f t="shared" si="30"/>
        <v/>
      </c>
      <c r="BA26" s="386">
        <f t="shared" si="31"/>
        <v>0</v>
      </c>
      <c r="BB26" s="386">
        <f t="shared" si="0"/>
        <v>11650</v>
      </c>
      <c r="BC26" s="386">
        <f t="shared" si="1"/>
        <v>0</v>
      </c>
      <c r="BD26" s="386">
        <f t="shared" si="2"/>
        <v>6529.2447999999995</v>
      </c>
      <c r="BE26" s="386">
        <f t="shared" si="3"/>
        <v>1527.0008</v>
      </c>
      <c r="BF26" s="386">
        <f t="shared" si="4"/>
        <v>12574.061760000001</v>
      </c>
      <c r="BG26" s="386">
        <f t="shared" si="5"/>
        <v>759.28798399999994</v>
      </c>
      <c r="BH26" s="386">
        <f t="shared" si="6"/>
        <v>516.02095999999995</v>
      </c>
      <c r="BI26" s="386">
        <f t="shared" si="7"/>
        <v>0</v>
      </c>
      <c r="BJ26" s="386">
        <f t="shared" si="8"/>
        <v>157.96559999999999</v>
      </c>
      <c r="BK26" s="386">
        <f t="shared" si="9"/>
        <v>0</v>
      </c>
      <c r="BL26" s="386">
        <f t="shared" si="32"/>
        <v>22063.581903999999</v>
      </c>
      <c r="BM26" s="386">
        <f t="shared" si="33"/>
        <v>0</v>
      </c>
      <c r="BN26" s="386">
        <f t="shared" si="10"/>
        <v>11650</v>
      </c>
      <c r="BO26" s="386">
        <f t="shared" si="11"/>
        <v>0</v>
      </c>
      <c r="BP26" s="386">
        <f t="shared" si="12"/>
        <v>6529.2447999999995</v>
      </c>
      <c r="BQ26" s="386">
        <f t="shared" si="13"/>
        <v>1527.0008</v>
      </c>
      <c r="BR26" s="386">
        <f t="shared" si="14"/>
        <v>12574.061760000001</v>
      </c>
      <c r="BS26" s="386">
        <f t="shared" si="15"/>
        <v>759.28798399999994</v>
      </c>
      <c r="BT26" s="386">
        <f t="shared" si="16"/>
        <v>0</v>
      </c>
      <c r="BU26" s="386">
        <f t="shared" si="17"/>
        <v>0</v>
      </c>
      <c r="BV26" s="386">
        <f t="shared" si="18"/>
        <v>179.02767999999998</v>
      </c>
      <c r="BW26" s="386">
        <f t="shared" si="19"/>
        <v>0</v>
      </c>
      <c r="BX26" s="386">
        <f t="shared" si="34"/>
        <v>21568.623023999997</v>
      </c>
      <c r="BY26" s="386">
        <f t="shared" si="35"/>
        <v>0</v>
      </c>
      <c r="BZ26" s="386">
        <f t="shared" si="36"/>
        <v>0</v>
      </c>
      <c r="CA26" s="386">
        <f t="shared" si="37"/>
        <v>0</v>
      </c>
      <c r="CB26" s="386">
        <f t="shared" si="38"/>
        <v>0</v>
      </c>
      <c r="CC26" s="386">
        <f t="shared" si="20"/>
        <v>0</v>
      </c>
      <c r="CD26" s="386">
        <f t="shared" si="21"/>
        <v>0</v>
      </c>
      <c r="CE26" s="386">
        <f t="shared" si="22"/>
        <v>0</v>
      </c>
      <c r="CF26" s="386">
        <f t="shared" si="23"/>
        <v>-516.02095999999995</v>
      </c>
      <c r="CG26" s="386">
        <f t="shared" si="24"/>
        <v>0</v>
      </c>
      <c r="CH26" s="386">
        <f t="shared" si="25"/>
        <v>21.062079999999984</v>
      </c>
      <c r="CI26" s="386">
        <f t="shared" si="26"/>
        <v>0</v>
      </c>
      <c r="CJ26" s="386">
        <f t="shared" si="39"/>
        <v>-494.95887999999997</v>
      </c>
      <c r="CK26" s="386" t="str">
        <f t="shared" si="40"/>
        <v/>
      </c>
      <c r="CL26" s="386" t="str">
        <f t="shared" si="41"/>
        <v/>
      </c>
      <c r="CM26" s="386" t="str">
        <f t="shared" si="42"/>
        <v/>
      </c>
      <c r="CN26" s="386" t="str">
        <f t="shared" si="43"/>
        <v>0001-00</v>
      </c>
    </row>
    <row r="27" spans="1:92" ht="15.75" thickBot="1" x14ac:dyDescent="0.3">
      <c r="A27" s="376" t="s">
        <v>161</v>
      </c>
      <c r="B27" s="376" t="s">
        <v>162</v>
      </c>
      <c r="C27" s="376" t="s">
        <v>305</v>
      </c>
      <c r="D27" s="376" t="s">
        <v>164</v>
      </c>
      <c r="E27" s="376" t="s">
        <v>165</v>
      </c>
      <c r="F27" s="377" t="s">
        <v>166</v>
      </c>
      <c r="G27" s="376" t="s">
        <v>167</v>
      </c>
      <c r="H27" s="378"/>
      <c r="I27" s="378"/>
      <c r="J27" s="376" t="s">
        <v>168</v>
      </c>
      <c r="K27" s="376" t="s">
        <v>169</v>
      </c>
      <c r="L27" s="376" t="s">
        <v>166</v>
      </c>
      <c r="M27" s="376" t="s">
        <v>170</v>
      </c>
      <c r="N27" s="376" t="s">
        <v>171</v>
      </c>
      <c r="O27" s="379">
        <v>1</v>
      </c>
      <c r="P27" s="384">
        <v>1</v>
      </c>
      <c r="Q27" s="384">
        <v>1</v>
      </c>
      <c r="R27" s="380">
        <v>80</v>
      </c>
      <c r="S27" s="384">
        <v>1</v>
      </c>
      <c r="T27" s="380">
        <v>72675.199999999997</v>
      </c>
      <c r="U27" s="380">
        <v>0</v>
      </c>
      <c r="V27" s="380">
        <v>25638.6</v>
      </c>
      <c r="W27" s="380">
        <v>75732.800000000003</v>
      </c>
      <c r="X27" s="380">
        <v>27516.75</v>
      </c>
      <c r="Y27" s="380">
        <v>75732.800000000003</v>
      </c>
      <c r="Z27" s="380">
        <v>27160.81</v>
      </c>
      <c r="AA27" s="376" t="s">
        <v>306</v>
      </c>
      <c r="AB27" s="376" t="s">
        <v>307</v>
      </c>
      <c r="AC27" s="376" t="s">
        <v>308</v>
      </c>
      <c r="AD27" s="376" t="s">
        <v>309</v>
      </c>
      <c r="AE27" s="376" t="s">
        <v>169</v>
      </c>
      <c r="AF27" s="376" t="s">
        <v>176</v>
      </c>
      <c r="AG27" s="376" t="s">
        <v>177</v>
      </c>
      <c r="AH27" s="381">
        <v>36.409999999999997</v>
      </c>
      <c r="AI27" s="379">
        <v>11372</v>
      </c>
      <c r="AJ27" s="376" t="s">
        <v>178</v>
      </c>
      <c r="AK27" s="376" t="s">
        <v>179</v>
      </c>
      <c r="AL27" s="376" t="s">
        <v>180</v>
      </c>
      <c r="AM27" s="376" t="s">
        <v>181</v>
      </c>
      <c r="AN27" s="376" t="s">
        <v>68</v>
      </c>
      <c r="AO27" s="379">
        <v>80</v>
      </c>
      <c r="AP27" s="384">
        <v>1</v>
      </c>
      <c r="AQ27" s="384">
        <v>1</v>
      </c>
      <c r="AR27" s="382" t="s">
        <v>182</v>
      </c>
      <c r="AS27" s="386">
        <f t="shared" si="27"/>
        <v>1</v>
      </c>
      <c r="AT27">
        <f t="shared" si="28"/>
        <v>1</v>
      </c>
      <c r="AU27" s="386">
        <f>IF(AT27=0,"",IF(AND(AT27=1,M27="F",SUMIF(C2:C29,C27,AS2:AS29)&lt;=1),SUMIF(C2:C29,C27,AS2:AS29),IF(AND(AT27=1,M27="F",SUMIF(C2:C29,C27,AS2:AS29)&gt;1),1,"")))</f>
        <v>1</v>
      </c>
      <c r="AV27" s="386" t="str">
        <f>IF(AT27=0,"",IF(AND(AT27=3,M27="F",SUMIF(C2:C29,C27,AS2:AS29)&lt;=1),SUMIF(C2:C29,C27,AS2:AS29),IF(AND(AT27=3,M27="F",SUMIF(C2:C29,C27,AS2:AS29)&gt;1),1,"")))</f>
        <v/>
      </c>
      <c r="AW27" s="386">
        <f>SUMIF(C2:C29,C27,O2:O29)</f>
        <v>1</v>
      </c>
      <c r="AX27" s="386">
        <f>IF(AND(M27="F",AS27&lt;&gt;0),SUMIF(C2:C29,C27,W2:W29),0)</f>
        <v>75732.800000000003</v>
      </c>
      <c r="AY27" s="386">
        <f t="shared" si="29"/>
        <v>75732.800000000003</v>
      </c>
      <c r="AZ27" s="386" t="str">
        <f t="shared" si="30"/>
        <v/>
      </c>
      <c r="BA27" s="386">
        <f t="shared" si="31"/>
        <v>0</v>
      </c>
      <c r="BB27" s="386">
        <f t="shared" si="0"/>
        <v>11650</v>
      </c>
      <c r="BC27" s="386">
        <f t="shared" si="1"/>
        <v>0</v>
      </c>
      <c r="BD27" s="386">
        <f t="shared" si="2"/>
        <v>4695.4336000000003</v>
      </c>
      <c r="BE27" s="386">
        <f t="shared" si="3"/>
        <v>1098.1256000000001</v>
      </c>
      <c r="BF27" s="386">
        <f t="shared" si="4"/>
        <v>9042.4963200000002</v>
      </c>
      <c r="BG27" s="386">
        <f t="shared" si="5"/>
        <v>546.03348800000003</v>
      </c>
      <c r="BH27" s="386">
        <f t="shared" si="6"/>
        <v>371.09071999999998</v>
      </c>
      <c r="BI27" s="386">
        <f t="shared" si="7"/>
        <v>0</v>
      </c>
      <c r="BJ27" s="386">
        <f t="shared" si="8"/>
        <v>113.59920000000001</v>
      </c>
      <c r="BK27" s="386">
        <f t="shared" si="9"/>
        <v>0</v>
      </c>
      <c r="BL27" s="386">
        <f t="shared" si="32"/>
        <v>15866.778928000003</v>
      </c>
      <c r="BM27" s="386">
        <f t="shared" si="33"/>
        <v>0</v>
      </c>
      <c r="BN27" s="386">
        <f t="shared" si="10"/>
        <v>11650</v>
      </c>
      <c r="BO27" s="386">
        <f t="shared" si="11"/>
        <v>0</v>
      </c>
      <c r="BP27" s="386">
        <f t="shared" si="12"/>
        <v>4695.4336000000003</v>
      </c>
      <c r="BQ27" s="386">
        <f t="shared" si="13"/>
        <v>1098.1256000000001</v>
      </c>
      <c r="BR27" s="386">
        <f t="shared" si="14"/>
        <v>9042.4963200000002</v>
      </c>
      <c r="BS27" s="386">
        <f t="shared" si="15"/>
        <v>546.03348800000003</v>
      </c>
      <c r="BT27" s="386">
        <f t="shared" si="16"/>
        <v>0</v>
      </c>
      <c r="BU27" s="386">
        <f t="shared" si="17"/>
        <v>0</v>
      </c>
      <c r="BV27" s="386">
        <f t="shared" si="18"/>
        <v>128.74575999999999</v>
      </c>
      <c r="BW27" s="386">
        <f t="shared" si="19"/>
        <v>0</v>
      </c>
      <c r="BX27" s="386">
        <f t="shared" si="34"/>
        <v>15510.834768000002</v>
      </c>
      <c r="BY27" s="386">
        <f t="shared" si="35"/>
        <v>0</v>
      </c>
      <c r="BZ27" s="386">
        <f t="shared" si="36"/>
        <v>0</v>
      </c>
      <c r="CA27" s="386">
        <f t="shared" si="37"/>
        <v>0</v>
      </c>
      <c r="CB27" s="386">
        <f t="shared" si="38"/>
        <v>0</v>
      </c>
      <c r="CC27" s="386">
        <f t="shared" si="20"/>
        <v>0</v>
      </c>
      <c r="CD27" s="386">
        <f t="shared" si="21"/>
        <v>0</v>
      </c>
      <c r="CE27" s="386">
        <f t="shared" si="22"/>
        <v>0</v>
      </c>
      <c r="CF27" s="386">
        <f t="shared" si="23"/>
        <v>-371.09071999999998</v>
      </c>
      <c r="CG27" s="386">
        <f t="shared" si="24"/>
        <v>0</v>
      </c>
      <c r="CH27" s="386">
        <f t="shared" si="25"/>
        <v>15.14655999999999</v>
      </c>
      <c r="CI27" s="386">
        <f t="shared" si="26"/>
        <v>0</v>
      </c>
      <c r="CJ27" s="386">
        <f t="shared" si="39"/>
        <v>-355.94416000000001</v>
      </c>
      <c r="CK27" s="386" t="str">
        <f t="shared" si="40"/>
        <v/>
      </c>
      <c r="CL27" s="386" t="str">
        <f t="shared" si="41"/>
        <v/>
      </c>
      <c r="CM27" s="386" t="str">
        <f t="shared" si="42"/>
        <v/>
      </c>
      <c r="CN27" s="386" t="str">
        <f t="shared" si="43"/>
        <v>0001-00</v>
      </c>
    </row>
    <row r="28" spans="1:92" ht="15.75" thickBot="1" x14ac:dyDescent="0.3">
      <c r="A28" s="376" t="s">
        <v>161</v>
      </c>
      <c r="B28" s="376" t="s">
        <v>162</v>
      </c>
      <c r="C28" s="376" t="s">
        <v>310</v>
      </c>
      <c r="D28" s="376" t="s">
        <v>164</v>
      </c>
      <c r="E28" s="376" t="s">
        <v>165</v>
      </c>
      <c r="F28" s="377" t="s">
        <v>166</v>
      </c>
      <c r="G28" s="376" t="s">
        <v>167</v>
      </c>
      <c r="H28" s="378"/>
      <c r="I28" s="378"/>
      <c r="J28" s="376" t="s">
        <v>168</v>
      </c>
      <c r="K28" s="376" t="s">
        <v>169</v>
      </c>
      <c r="L28" s="376" t="s">
        <v>166</v>
      </c>
      <c r="M28" s="376" t="s">
        <v>170</v>
      </c>
      <c r="N28" s="376" t="s">
        <v>171</v>
      </c>
      <c r="O28" s="379">
        <v>1</v>
      </c>
      <c r="P28" s="384">
        <v>1</v>
      </c>
      <c r="Q28" s="384">
        <v>1</v>
      </c>
      <c r="R28" s="380">
        <v>80</v>
      </c>
      <c r="S28" s="384">
        <v>1</v>
      </c>
      <c r="T28" s="380">
        <v>58216.1</v>
      </c>
      <c r="U28" s="380">
        <v>0</v>
      </c>
      <c r="V28" s="380">
        <v>21933.14</v>
      </c>
      <c r="W28" s="380">
        <v>72217.600000000006</v>
      </c>
      <c r="X28" s="380">
        <v>26780.28</v>
      </c>
      <c r="Y28" s="380">
        <v>72217.600000000006</v>
      </c>
      <c r="Z28" s="380">
        <v>26440.86</v>
      </c>
      <c r="AA28" s="376" t="s">
        <v>311</v>
      </c>
      <c r="AB28" s="376" t="s">
        <v>312</v>
      </c>
      <c r="AC28" s="376" t="s">
        <v>313</v>
      </c>
      <c r="AD28" s="376" t="s">
        <v>314</v>
      </c>
      <c r="AE28" s="376" t="s">
        <v>169</v>
      </c>
      <c r="AF28" s="376" t="s">
        <v>176</v>
      </c>
      <c r="AG28" s="376" t="s">
        <v>177</v>
      </c>
      <c r="AH28" s="381">
        <v>34.72</v>
      </c>
      <c r="AI28" s="381">
        <v>4723.6000000000004</v>
      </c>
      <c r="AJ28" s="376" t="s">
        <v>178</v>
      </c>
      <c r="AK28" s="376" t="s">
        <v>179</v>
      </c>
      <c r="AL28" s="376" t="s">
        <v>180</v>
      </c>
      <c r="AM28" s="376" t="s">
        <v>181</v>
      </c>
      <c r="AN28" s="376" t="s">
        <v>68</v>
      </c>
      <c r="AO28" s="379">
        <v>80</v>
      </c>
      <c r="AP28" s="384">
        <v>1</v>
      </c>
      <c r="AQ28" s="384">
        <v>1</v>
      </c>
      <c r="AR28" s="382" t="s">
        <v>182</v>
      </c>
      <c r="AS28" s="386">
        <f t="shared" si="27"/>
        <v>1</v>
      </c>
      <c r="AT28">
        <f t="shared" si="28"/>
        <v>1</v>
      </c>
      <c r="AU28" s="386">
        <f>IF(AT28=0,"",IF(AND(AT28=1,M28="F",SUMIF(C2:C29,C28,AS2:AS29)&lt;=1),SUMIF(C2:C29,C28,AS2:AS29),IF(AND(AT28=1,M28="F",SUMIF(C2:C29,C28,AS2:AS29)&gt;1),1,"")))</f>
        <v>1</v>
      </c>
      <c r="AV28" s="386" t="str">
        <f>IF(AT28=0,"",IF(AND(AT28=3,M28="F",SUMIF(C2:C29,C28,AS2:AS29)&lt;=1),SUMIF(C2:C29,C28,AS2:AS29),IF(AND(AT28=3,M28="F",SUMIF(C2:C29,C28,AS2:AS29)&gt;1),1,"")))</f>
        <v/>
      </c>
      <c r="AW28" s="386">
        <f>SUMIF(C2:C29,C28,O2:O29)</f>
        <v>1</v>
      </c>
      <c r="AX28" s="386">
        <f>IF(AND(M28="F",AS28&lt;&gt;0),SUMIF(C2:C29,C28,W2:W29),0)</f>
        <v>72217.600000000006</v>
      </c>
      <c r="AY28" s="386">
        <f t="shared" si="29"/>
        <v>72217.600000000006</v>
      </c>
      <c r="AZ28" s="386" t="str">
        <f t="shared" si="30"/>
        <v/>
      </c>
      <c r="BA28" s="386">
        <f t="shared" si="31"/>
        <v>0</v>
      </c>
      <c r="BB28" s="386">
        <f t="shared" si="0"/>
        <v>11650</v>
      </c>
      <c r="BC28" s="386">
        <f t="shared" si="1"/>
        <v>0</v>
      </c>
      <c r="BD28" s="386">
        <f t="shared" si="2"/>
        <v>4477.4912000000004</v>
      </c>
      <c r="BE28" s="386">
        <f t="shared" si="3"/>
        <v>1047.1552000000001</v>
      </c>
      <c r="BF28" s="386">
        <f t="shared" si="4"/>
        <v>8622.7814400000007</v>
      </c>
      <c r="BG28" s="386">
        <f t="shared" si="5"/>
        <v>520.68889600000011</v>
      </c>
      <c r="BH28" s="386">
        <f t="shared" si="6"/>
        <v>353.86624</v>
      </c>
      <c r="BI28" s="386">
        <f t="shared" si="7"/>
        <v>0</v>
      </c>
      <c r="BJ28" s="386">
        <f t="shared" si="8"/>
        <v>108.32640000000001</v>
      </c>
      <c r="BK28" s="386">
        <f t="shared" si="9"/>
        <v>0</v>
      </c>
      <c r="BL28" s="386">
        <f t="shared" si="32"/>
        <v>15130.309375999999</v>
      </c>
      <c r="BM28" s="386">
        <f t="shared" si="33"/>
        <v>0</v>
      </c>
      <c r="BN28" s="386">
        <f t="shared" si="10"/>
        <v>11650</v>
      </c>
      <c r="BO28" s="386">
        <f t="shared" si="11"/>
        <v>0</v>
      </c>
      <c r="BP28" s="386">
        <f t="shared" si="12"/>
        <v>4477.4912000000004</v>
      </c>
      <c r="BQ28" s="386">
        <f t="shared" si="13"/>
        <v>1047.1552000000001</v>
      </c>
      <c r="BR28" s="386">
        <f t="shared" si="14"/>
        <v>8622.7814400000007</v>
      </c>
      <c r="BS28" s="386">
        <f t="shared" si="15"/>
        <v>520.68889600000011</v>
      </c>
      <c r="BT28" s="386">
        <f t="shared" si="16"/>
        <v>0</v>
      </c>
      <c r="BU28" s="386">
        <f t="shared" si="17"/>
        <v>0</v>
      </c>
      <c r="BV28" s="386">
        <f t="shared" si="18"/>
        <v>122.76992</v>
      </c>
      <c r="BW28" s="386">
        <f t="shared" si="19"/>
        <v>0</v>
      </c>
      <c r="BX28" s="386">
        <f t="shared" si="34"/>
        <v>14790.886656000001</v>
      </c>
      <c r="BY28" s="386">
        <f t="shared" si="35"/>
        <v>0</v>
      </c>
      <c r="BZ28" s="386">
        <f t="shared" si="36"/>
        <v>0</v>
      </c>
      <c r="CA28" s="386">
        <f t="shared" si="37"/>
        <v>0</v>
      </c>
      <c r="CB28" s="386">
        <f t="shared" si="38"/>
        <v>0</v>
      </c>
      <c r="CC28" s="386">
        <f t="shared" si="20"/>
        <v>0</v>
      </c>
      <c r="CD28" s="386">
        <f t="shared" si="21"/>
        <v>0</v>
      </c>
      <c r="CE28" s="386">
        <f t="shared" si="22"/>
        <v>0</v>
      </c>
      <c r="CF28" s="386">
        <f t="shared" si="23"/>
        <v>-353.86624</v>
      </c>
      <c r="CG28" s="386">
        <f t="shared" si="24"/>
        <v>0</v>
      </c>
      <c r="CH28" s="386">
        <f t="shared" si="25"/>
        <v>14.443519999999992</v>
      </c>
      <c r="CI28" s="386">
        <f t="shared" si="26"/>
        <v>0</v>
      </c>
      <c r="CJ28" s="386">
        <f t="shared" si="39"/>
        <v>-339.42272000000003</v>
      </c>
      <c r="CK28" s="386" t="str">
        <f t="shared" si="40"/>
        <v/>
      </c>
      <c r="CL28" s="386" t="str">
        <f t="shared" si="41"/>
        <v/>
      </c>
      <c r="CM28" s="386" t="str">
        <f t="shared" si="42"/>
        <v/>
      </c>
      <c r="CN28" s="386" t="str">
        <f t="shared" si="43"/>
        <v>0001-00</v>
      </c>
    </row>
    <row r="29" spans="1:92" ht="15.75" thickBot="1" x14ac:dyDescent="0.3">
      <c r="A29" s="376" t="s">
        <v>161</v>
      </c>
      <c r="B29" s="376" t="s">
        <v>162</v>
      </c>
      <c r="C29" s="376" t="s">
        <v>315</v>
      </c>
      <c r="D29" s="376" t="s">
        <v>164</v>
      </c>
      <c r="E29" s="376" t="s">
        <v>165</v>
      </c>
      <c r="F29" s="377" t="s">
        <v>166</v>
      </c>
      <c r="G29" s="376" t="s">
        <v>167</v>
      </c>
      <c r="H29" s="378"/>
      <c r="I29" s="378"/>
      <c r="J29" s="376" t="s">
        <v>168</v>
      </c>
      <c r="K29" s="376" t="s">
        <v>169</v>
      </c>
      <c r="L29" s="376" t="s">
        <v>166</v>
      </c>
      <c r="M29" s="376" t="s">
        <v>170</v>
      </c>
      <c r="N29" s="376" t="s">
        <v>171</v>
      </c>
      <c r="O29" s="379">
        <v>1</v>
      </c>
      <c r="P29" s="384">
        <v>1</v>
      </c>
      <c r="Q29" s="384">
        <v>1</v>
      </c>
      <c r="R29" s="380">
        <v>80</v>
      </c>
      <c r="S29" s="384">
        <v>1</v>
      </c>
      <c r="T29" s="380">
        <v>86257.64</v>
      </c>
      <c r="U29" s="380">
        <v>0</v>
      </c>
      <c r="V29" s="380">
        <v>29127.78</v>
      </c>
      <c r="W29" s="380">
        <v>89876.800000000003</v>
      </c>
      <c r="X29" s="380">
        <v>30480.06</v>
      </c>
      <c r="Y29" s="380">
        <v>89876.800000000003</v>
      </c>
      <c r="Z29" s="380">
        <v>30057.65</v>
      </c>
      <c r="AA29" s="376" t="s">
        <v>316</v>
      </c>
      <c r="AB29" s="376" t="s">
        <v>317</v>
      </c>
      <c r="AC29" s="376" t="s">
        <v>318</v>
      </c>
      <c r="AD29" s="376" t="s">
        <v>319</v>
      </c>
      <c r="AE29" s="376" t="s">
        <v>169</v>
      </c>
      <c r="AF29" s="376" t="s">
        <v>176</v>
      </c>
      <c r="AG29" s="376" t="s">
        <v>177</v>
      </c>
      <c r="AH29" s="381">
        <v>43.21</v>
      </c>
      <c r="AI29" s="381">
        <v>3721.9</v>
      </c>
      <c r="AJ29" s="376" t="s">
        <v>178</v>
      </c>
      <c r="AK29" s="376" t="s">
        <v>179</v>
      </c>
      <c r="AL29" s="376" t="s">
        <v>180</v>
      </c>
      <c r="AM29" s="376" t="s">
        <v>181</v>
      </c>
      <c r="AN29" s="376" t="s">
        <v>68</v>
      </c>
      <c r="AO29" s="379">
        <v>80</v>
      </c>
      <c r="AP29" s="384">
        <v>1</v>
      </c>
      <c r="AQ29" s="384">
        <v>1</v>
      </c>
      <c r="AR29" s="382" t="s">
        <v>182</v>
      </c>
      <c r="AS29" s="386">
        <f t="shared" si="27"/>
        <v>1</v>
      </c>
      <c r="AT29">
        <f t="shared" si="28"/>
        <v>1</v>
      </c>
      <c r="AU29" s="386">
        <f>IF(AT29=0,"",IF(AND(AT29=1,M29="F",SUMIF(C2:C29,C29,AS2:AS29)&lt;=1),SUMIF(C2:C29,C29,AS2:AS29),IF(AND(AT29=1,M29="F",SUMIF(C2:C29,C29,AS2:AS29)&gt;1),1,"")))</f>
        <v>1</v>
      </c>
      <c r="AV29" s="386" t="str">
        <f>IF(AT29=0,"",IF(AND(AT29=3,M29="F",SUMIF(C2:C29,C29,AS2:AS29)&lt;=1),SUMIF(C2:C29,C29,AS2:AS29),IF(AND(AT29=3,M29="F",SUMIF(C2:C29,C29,AS2:AS29)&gt;1),1,"")))</f>
        <v/>
      </c>
      <c r="AW29" s="386">
        <f>SUMIF(C2:C29,C29,O2:O29)</f>
        <v>1</v>
      </c>
      <c r="AX29" s="386">
        <f>IF(AND(M29="F",AS29&lt;&gt;0),SUMIF(C2:C29,C29,W2:W29),0)</f>
        <v>89876.800000000003</v>
      </c>
      <c r="AY29" s="386">
        <f t="shared" si="29"/>
        <v>89876.800000000003</v>
      </c>
      <c r="AZ29" s="386" t="str">
        <f t="shared" si="30"/>
        <v/>
      </c>
      <c r="BA29" s="386">
        <f t="shared" si="31"/>
        <v>0</v>
      </c>
      <c r="BB29" s="386">
        <f t="shared" si="0"/>
        <v>11650</v>
      </c>
      <c r="BC29" s="386">
        <f t="shared" si="1"/>
        <v>0</v>
      </c>
      <c r="BD29" s="386">
        <f t="shared" si="2"/>
        <v>5572.3616000000002</v>
      </c>
      <c r="BE29" s="386">
        <f t="shared" si="3"/>
        <v>1303.2136</v>
      </c>
      <c r="BF29" s="386">
        <f t="shared" si="4"/>
        <v>10731.289920000001</v>
      </c>
      <c r="BG29" s="386">
        <f t="shared" si="5"/>
        <v>648.01172800000006</v>
      </c>
      <c r="BH29" s="386">
        <f t="shared" si="6"/>
        <v>440.39632</v>
      </c>
      <c r="BI29" s="386">
        <f t="shared" si="7"/>
        <v>0</v>
      </c>
      <c r="BJ29" s="386">
        <f t="shared" si="8"/>
        <v>134.8152</v>
      </c>
      <c r="BK29" s="386">
        <f t="shared" si="9"/>
        <v>0</v>
      </c>
      <c r="BL29" s="386">
        <f t="shared" si="32"/>
        <v>18830.088368000004</v>
      </c>
      <c r="BM29" s="386">
        <f t="shared" si="33"/>
        <v>0</v>
      </c>
      <c r="BN29" s="386">
        <f t="shared" si="10"/>
        <v>11650</v>
      </c>
      <c r="BO29" s="386">
        <f t="shared" si="11"/>
        <v>0</v>
      </c>
      <c r="BP29" s="386">
        <f t="shared" si="12"/>
        <v>5572.3616000000002</v>
      </c>
      <c r="BQ29" s="386">
        <f t="shared" si="13"/>
        <v>1303.2136</v>
      </c>
      <c r="BR29" s="386">
        <f t="shared" si="14"/>
        <v>10731.289920000001</v>
      </c>
      <c r="BS29" s="386">
        <f t="shared" si="15"/>
        <v>648.01172800000006</v>
      </c>
      <c r="BT29" s="386">
        <f t="shared" si="16"/>
        <v>0</v>
      </c>
      <c r="BU29" s="386">
        <f t="shared" si="17"/>
        <v>0</v>
      </c>
      <c r="BV29" s="386">
        <f t="shared" si="18"/>
        <v>152.79056</v>
      </c>
      <c r="BW29" s="386">
        <f t="shared" si="19"/>
        <v>0</v>
      </c>
      <c r="BX29" s="386">
        <f t="shared" si="34"/>
        <v>18407.667408000005</v>
      </c>
      <c r="BY29" s="386">
        <f t="shared" si="35"/>
        <v>0</v>
      </c>
      <c r="BZ29" s="386">
        <f t="shared" si="36"/>
        <v>0</v>
      </c>
      <c r="CA29" s="386">
        <f t="shared" si="37"/>
        <v>0</v>
      </c>
      <c r="CB29" s="386">
        <f t="shared" si="38"/>
        <v>0</v>
      </c>
      <c r="CC29" s="386">
        <f t="shared" si="20"/>
        <v>0</v>
      </c>
      <c r="CD29" s="386">
        <f t="shared" si="21"/>
        <v>0</v>
      </c>
      <c r="CE29" s="386">
        <f t="shared" si="22"/>
        <v>0</v>
      </c>
      <c r="CF29" s="386">
        <f t="shared" si="23"/>
        <v>-440.39632</v>
      </c>
      <c r="CG29" s="386">
        <f t="shared" si="24"/>
        <v>0</v>
      </c>
      <c r="CH29" s="386">
        <f t="shared" si="25"/>
        <v>17.975359999999988</v>
      </c>
      <c r="CI29" s="386">
        <f t="shared" si="26"/>
        <v>0</v>
      </c>
      <c r="CJ29" s="386">
        <f t="shared" si="39"/>
        <v>-422.42096000000004</v>
      </c>
      <c r="CK29" s="386" t="str">
        <f t="shared" si="40"/>
        <v/>
      </c>
      <c r="CL29" s="386" t="str">
        <f t="shared" si="41"/>
        <v/>
      </c>
      <c r="CM29" s="386" t="str">
        <f t="shared" si="42"/>
        <v/>
      </c>
      <c r="CN29" s="386" t="str">
        <f t="shared" si="43"/>
        <v>0001-00</v>
      </c>
    </row>
    <row r="31" spans="1:92" ht="21" x14ac:dyDescent="0.35">
      <c r="AQ31" s="251" t="s">
        <v>377</v>
      </c>
    </row>
    <row r="32" spans="1:92" ht="15.75" thickBot="1" x14ac:dyDescent="0.3">
      <c r="AR32" t="s">
        <v>368</v>
      </c>
      <c r="AS32" s="386">
        <f>SUMIFS(AS2:AS29,G2:G29,"SGDA",E2:E29,"0001",F2:F29,"00",AT2:AT29,1)</f>
        <v>25</v>
      </c>
      <c r="AT32" s="386">
        <f>SUMIFS(AS2:AS29,G2:G29,"SGDA",E2:E29,"0001",F2:F29,"00",AT2:AT29,3)</f>
        <v>0</v>
      </c>
      <c r="AU32" s="386">
        <f>SUMIFS(AU2:AU29,G2:G29,"SGDA",E2:E29,"0001",F2:F29,"00")</f>
        <v>25</v>
      </c>
      <c r="AV32" s="386">
        <f>SUMIFS(AV2:AV29,G2:G29,"SGDA",E2:E29,"0001",F2:F29,"00")</f>
        <v>0</v>
      </c>
      <c r="AW32" s="386">
        <f>SUMIFS(AW2:AW29,G2:G29,"SGDA",E2:E29,"0001",F2:F29,"00")</f>
        <v>25</v>
      </c>
      <c r="AX32" s="386">
        <f>SUMIFS(AX2:AX29,G2:G29,"SGDA",E2:E29,"0001",F2:F29,"00")</f>
        <v>1907172.8000000003</v>
      </c>
      <c r="AY32" s="386">
        <f>SUMIFS(AY2:AY29,G2:G29,"SGDA",E2:E29,"0001",F2:F29,"00")</f>
        <v>1907172.8000000003</v>
      </c>
      <c r="AZ32" s="386">
        <f>SUMIFS(AZ2:AZ29,G2:G29,"SGDA",E2:E29,"0001",F2:F29,"00")</f>
        <v>0</v>
      </c>
      <c r="BA32" s="386">
        <f>SUMIFS(BA2:BA29,G2:G29,"SGDA",E2:E29,"0001",F2:F29,"00")</f>
        <v>0</v>
      </c>
      <c r="BB32" s="386">
        <f>SUMIFS(BB2:BB29,G2:G29,"SGDA",E2:E29,"0001",F2:F29,"00")</f>
        <v>291250</v>
      </c>
      <c r="BC32" s="386">
        <f>SUMIFS(BC2:BC29,G2:G29,"SGDA",E2:E29,"0001",F2:F29,"00")</f>
        <v>0</v>
      </c>
      <c r="BD32" s="386">
        <f>SUMIFS(BD2:BD29,G2:G29,"SGDA",E2:E29,"0001",F2:F29,"00")</f>
        <v>118244.71360000002</v>
      </c>
      <c r="BE32" s="386">
        <f>SUMIFS(BE2:BE29,G2:G29,"SGDA",E2:E29,"0001",F2:F29,"00")</f>
        <v>27654.005599999997</v>
      </c>
      <c r="BF32" s="386">
        <f>SUMIFS(BF2:BF29,G2:G29,"SGDA",E2:E29,"0001",F2:F29,"00")</f>
        <v>227716.43232000005</v>
      </c>
      <c r="BG32" s="386">
        <f>SUMIFS(BG2:BG29,G2:G29,"SGDA",E2:E29,"0001",F2:F29,"00")</f>
        <v>13750.715888000004</v>
      </c>
      <c r="BH32" s="386">
        <f>SUMIFS(BH2:BH29,G2:G29,"SGDA",E2:E29,"0001",F2:F29,"00")</f>
        <v>8760.635519999998</v>
      </c>
      <c r="BI32" s="386">
        <f>SUMIFS(BI2:BI29,G2:G29,"SGDA",E2:E29,"0001",F2:F29,"00")</f>
        <v>0</v>
      </c>
      <c r="BJ32" s="386">
        <f>SUMIFS(BJ2:BJ29,G2:G29,"SGDA",E2:E29,"0001",F2:F29,"00")</f>
        <v>2860.7592000000004</v>
      </c>
      <c r="BK32" s="386">
        <f>SUMIFS(BK2:BK29,G2:G29,"SGDA",E2:E29,"0001",F2:F29,"00")</f>
        <v>0</v>
      </c>
      <c r="BL32" s="386">
        <f>SUMIFS(BL2:BL29,G2:G29,"SGDA",E2:E29,"0001",F2:F29,"00")</f>
        <v>398987.26212800003</v>
      </c>
      <c r="BM32" s="386">
        <f>SUMIFS(BM2:BM29,G2:G29,"SGDA",E2:E29,"0001",F2:F29,"00")</f>
        <v>0</v>
      </c>
      <c r="BN32" s="386">
        <f>SUMIFS(BN2:BN29,G2:G29,"SGDA",E2:E29,"0001",F2:F29,"00")</f>
        <v>291250</v>
      </c>
      <c r="BO32" s="386">
        <f>SUMIFS(BO2:BO29,G2:G29,"SGDA",E2:E29,"0001",F2:F29,"00")</f>
        <v>0</v>
      </c>
      <c r="BP32" s="386">
        <f>SUMIFS(BP2:BP29,G2:G29,"SGDA",E2:E29,"0001",F2:F29,"00")</f>
        <v>118244.71360000002</v>
      </c>
      <c r="BQ32" s="386">
        <f>SUMIFS(BQ2:BQ29,G2:G29,"SGDA",E2:E29,"0001",F2:F29,"00")</f>
        <v>27654.005599999997</v>
      </c>
      <c r="BR32" s="386">
        <f>SUMIFS(BR2:BR29,G2:G29,"SGDA",E2:E29,"0001",F2:F29,"00")</f>
        <v>227716.43232000005</v>
      </c>
      <c r="BS32" s="386">
        <f>SUMIFS(BS2:BS29,G2:G29,"SGDA",E2:E29,"0001",F2:F29,"00")</f>
        <v>13750.715888000004</v>
      </c>
      <c r="BT32" s="386">
        <f>SUMIFS(BT2:BT29,G2:G29,"SGDA",E2:E29,"0001",F2:F29,"00")</f>
        <v>0</v>
      </c>
      <c r="BU32" s="386">
        <f>SUMIFS(BU2:BU29,G2:G29,"SGDA",E2:E29,"0001",F2:F29,"00")</f>
        <v>0</v>
      </c>
      <c r="BV32" s="386">
        <f>SUMIFS(BV2:BV29,G2:G29,"SGDA",E2:E29,"0001",F2:F29,"00")</f>
        <v>3242.1937600000006</v>
      </c>
      <c r="BW32" s="386">
        <f>SUMIFS(BW2:BW29,G2:G29,"SGDA",E2:E29,"0001",F2:F29,"00")</f>
        <v>0</v>
      </c>
      <c r="BX32" s="386">
        <f>SUMIFS(BX2:BX29,G2:G29,"SGDA",E2:E29,"0001",F2:F29,"00")</f>
        <v>390608.06116799993</v>
      </c>
      <c r="BY32" s="386">
        <f>SUMIFS(BY2:BY29,G2:G29,"SGDA",E2:E29,"0001",F2:F29,"00")</f>
        <v>0</v>
      </c>
      <c r="BZ32" s="386">
        <f>SUMIFS(BZ2:BZ29,G2:G29,"SGDA",E2:E29,"0001",F2:F29,"00")</f>
        <v>0</v>
      </c>
      <c r="CA32" s="386">
        <f>SUMIFS(CA2:CA29,G2:G29,"SGDA",E2:E29,"0001",F2:F29,"00")</f>
        <v>0</v>
      </c>
      <c r="CB32" s="386">
        <f>SUMIFS(CB2:CB29,G2:G29,"SGDA",E2:E29,"0001",F2:F29,"00")</f>
        <v>0</v>
      </c>
      <c r="CC32" s="386">
        <f>SUMIFS(CC2:CC29,G2:G29,"SGDA",E2:E29,"0001",F2:F29,"00")</f>
        <v>0</v>
      </c>
      <c r="CD32" s="386">
        <f>SUMIFS(CD2:CD29,G2:G29,"SGDA",E2:E29,"0001",F2:F29,"00")</f>
        <v>0</v>
      </c>
      <c r="CE32" s="386">
        <f>SUMIFS(CE2:CE29,G2:G29,"SGDA",E2:E29,"0001",F2:F29,"00")</f>
        <v>0</v>
      </c>
      <c r="CF32" s="386">
        <f>SUMIFS(CF2:CF29,G2:G29,"SGDA",E2:E29,"0001",F2:F29,"00")</f>
        <v>-8760.635519999998</v>
      </c>
      <c r="CG32" s="386">
        <f>SUMIFS(CG2:CG29,G2:G29,"SGDA",E2:E29,"0001",F2:F29,"00")</f>
        <v>0</v>
      </c>
      <c r="CH32" s="386">
        <f>SUMIFS(CH2:CH29,G2:G29,"SGDA",E2:E29,"0001",F2:F29,"00")</f>
        <v>381.43455999999964</v>
      </c>
      <c r="CI32" s="386">
        <f>SUMIFS(CI2:CI29,G2:G29,"SGDA",E2:E29,"0001",F2:F29,"00")</f>
        <v>0</v>
      </c>
      <c r="CJ32" s="386">
        <f>SUMIFS(CJ2:CJ29,G2:G29,"SGDA",E2:E29,"0001",F2:F29,"00")</f>
        <v>-8379.2009600000001</v>
      </c>
      <c r="CK32" s="386">
        <f>SUMIFS(CK2:CK29,G2:G29,"SGDA",E2:E29,"0001",F2:F29,"00")</f>
        <v>0</v>
      </c>
      <c r="CL32" s="386">
        <f>SUMIFS(CL2:CL29,G2:G29,"SGDA",E2:E29,"0001",F2:F29,"00")</f>
        <v>0</v>
      </c>
      <c r="CM32" s="386">
        <f>SUMIFS(CM2:CM29,G2:G29,"SGDA",E2:E29,"0001",F2:F29,"00")</f>
        <v>0</v>
      </c>
    </row>
    <row r="33" spans="41:91" ht="18.75" x14ac:dyDescent="0.3">
      <c r="AQ33" s="392" t="s">
        <v>369</v>
      </c>
      <c r="AS33" s="393">
        <f t="shared" ref="AS33:CM33" si="44">SUM(AS32:AS32)</f>
        <v>25</v>
      </c>
      <c r="AT33" s="393">
        <f t="shared" si="44"/>
        <v>0</v>
      </c>
      <c r="AU33" s="393">
        <f t="shared" si="44"/>
        <v>25</v>
      </c>
      <c r="AV33" s="393">
        <f t="shared" si="44"/>
        <v>0</v>
      </c>
      <c r="AW33" s="393">
        <f t="shared" si="44"/>
        <v>25</v>
      </c>
      <c r="AX33" s="393">
        <f t="shared" si="44"/>
        <v>1907172.8000000003</v>
      </c>
      <c r="AY33" s="393">
        <f t="shared" si="44"/>
        <v>1907172.8000000003</v>
      </c>
      <c r="AZ33" s="393">
        <f t="shared" si="44"/>
        <v>0</v>
      </c>
      <c r="BA33" s="393">
        <f t="shared" si="44"/>
        <v>0</v>
      </c>
      <c r="BB33" s="393">
        <f t="shared" si="44"/>
        <v>291250</v>
      </c>
      <c r="BC33" s="393">
        <f t="shared" si="44"/>
        <v>0</v>
      </c>
      <c r="BD33" s="393">
        <f t="shared" si="44"/>
        <v>118244.71360000002</v>
      </c>
      <c r="BE33" s="393">
        <f t="shared" si="44"/>
        <v>27654.005599999997</v>
      </c>
      <c r="BF33" s="393">
        <f t="shared" si="44"/>
        <v>227716.43232000005</v>
      </c>
      <c r="BG33" s="393">
        <f t="shared" si="44"/>
        <v>13750.715888000004</v>
      </c>
      <c r="BH33" s="393">
        <f t="shared" si="44"/>
        <v>8760.635519999998</v>
      </c>
      <c r="BI33" s="393">
        <f t="shared" si="44"/>
        <v>0</v>
      </c>
      <c r="BJ33" s="393">
        <f t="shared" si="44"/>
        <v>2860.7592000000004</v>
      </c>
      <c r="BK33" s="393">
        <f t="shared" si="44"/>
        <v>0</v>
      </c>
      <c r="BL33" s="393">
        <f t="shared" si="44"/>
        <v>398987.26212800003</v>
      </c>
      <c r="BM33" s="393">
        <f t="shared" si="44"/>
        <v>0</v>
      </c>
      <c r="BN33" s="393">
        <f t="shared" si="44"/>
        <v>291250</v>
      </c>
      <c r="BO33" s="393">
        <f t="shared" si="44"/>
        <v>0</v>
      </c>
      <c r="BP33" s="393">
        <f t="shared" si="44"/>
        <v>118244.71360000002</v>
      </c>
      <c r="BQ33" s="393">
        <f t="shared" si="44"/>
        <v>27654.005599999997</v>
      </c>
      <c r="BR33" s="393">
        <f t="shared" si="44"/>
        <v>227716.43232000005</v>
      </c>
      <c r="BS33" s="393">
        <f t="shared" si="44"/>
        <v>13750.715888000004</v>
      </c>
      <c r="BT33" s="393">
        <f t="shared" si="44"/>
        <v>0</v>
      </c>
      <c r="BU33" s="393">
        <f t="shared" si="44"/>
        <v>0</v>
      </c>
      <c r="BV33" s="393">
        <f t="shared" si="44"/>
        <v>3242.1937600000006</v>
      </c>
      <c r="BW33" s="393">
        <f t="shared" si="44"/>
        <v>0</v>
      </c>
      <c r="BX33" s="393">
        <f t="shared" si="44"/>
        <v>390608.06116799993</v>
      </c>
      <c r="BY33" s="393">
        <f t="shared" si="44"/>
        <v>0</v>
      </c>
      <c r="BZ33" s="393">
        <f t="shared" si="44"/>
        <v>0</v>
      </c>
      <c r="CA33" s="393">
        <f t="shared" si="44"/>
        <v>0</v>
      </c>
      <c r="CB33" s="393">
        <f t="shared" si="44"/>
        <v>0</v>
      </c>
      <c r="CC33" s="393">
        <f t="shared" si="44"/>
        <v>0</v>
      </c>
      <c r="CD33" s="393">
        <f t="shared" si="44"/>
        <v>0</v>
      </c>
      <c r="CE33" s="393">
        <f t="shared" si="44"/>
        <v>0</v>
      </c>
      <c r="CF33" s="393">
        <f t="shared" si="44"/>
        <v>-8760.635519999998</v>
      </c>
      <c r="CG33" s="393">
        <f t="shared" si="44"/>
        <v>0</v>
      </c>
      <c r="CH33" s="393">
        <f t="shared" si="44"/>
        <v>381.43455999999964</v>
      </c>
      <c r="CI33" s="393">
        <f t="shared" si="44"/>
        <v>0</v>
      </c>
      <c r="CJ33" s="393">
        <f t="shared" si="44"/>
        <v>-8379.2009600000001</v>
      </c>
      <c r="CK33" s="393">
        <f t="shared" si="44"/>
        <v>0</v>
      </c>
      <c r="CL33" s="393">
        <f t="shared" si="44"/>
        <v>0</v>
      </c>
      <c r="CM33" s="393">
        <f t="shared" si="44"/>
        <v>0</v>
      </c>
    </row>
    <row r="34" spans="41:91" x14ac:dyDescent="0.25"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</row>
    <row r="35" spans="41:91" ht="21" x14ac:dyDescent="0.35">
      <c r="AO35" s="251" t="s">
        <v>97</v>
      </c>
      <c r="AP35" s="251"/>
      <c r="AQ35" s="251"/>
    </row>
    <row r="37" spans="41:91" ht="21" x14ac:dyDescent="0.35">
      <c r="AO37" s="252"/>
      <c r="AP37" s="252"/>
      <c r="AQ37" s="252"/>
    </row>
    <row r="38" spans="41:91" ht="15.75" x14ac:dyDescent="0.25">
      <c r="AS38" s="373" t="s">
        <v>83</v>
      </c>
      <c r="AT38" s="474" t="s">
        <v>380</v>
      </c>
      <c r="AU38" s="474"/>
      <c r="AV38" s="475" t="s">
        <v>378</v>
      </c>
      <c r="AW38" s="474" t="s">
        <v>381</v>
      </c>
      <c r="AX38" s="474"/>
      <c r="AY38" s="475" t="s">
        <v>379</v>
      </c>
      <c r="AZ38" s="474" t="s">
        <v>382</v>
      </c>
      <c r="BA38" s="474"/>
    </row>
    <row r="39" spans="41:91" ht="15.75" x14ac:dyDescent="0.25">
      <c r="AS39" s="249"/>
      <c r="AT39" s="373" t="s">
        <v>94</v>
      </c>
      <c r="AU39" s="372" t="s">
        <v>96</v>
      </c>
      <c r="AV39" s="476"/>
      <c r="AW39" s="373" t="s">
        <v>98</v>
      </c>
      <c r="AX39" s="372" t="s">
        <v>95</v>
      </c>
      <c r="AY39" s="476"/>
      <c r="AZ39" s="373" t="s">
        <v>98</v>
      </c>
      <c r="BA39" s="372" t="s">
        <v>95</v>
      </c>
    </row>
    <row r="40" spans="41:91" x14ac:dyDescent="0.25">
      <c r="AO40" s="391" t="s">
        <v>383</v>
      </c>
    </row>
    <row r="41" spans="41:91" x14ac:dyDescent="0.25">
      <c r="AQ41" t="s">
        <v>374</v>
      </c>
      <c r="AS41" s="386">
        <f>SUM(SUMIFS(AS2:AS29,CN2:CN29,AQ41,E2:E29,"0001",F2:F29,"00",AT2:AT29,{1,3}))</f>
        <v>25</v>
      </c>
      <c r="AT41" s="386">
        <f>SUMPRODUCT(--(CN2:CN29=AQ41),--(N2:N29&lt;&gt;"NG"),--(AG2:AG29&lt;&gt;"D"),--(AR2:AR29&lt;&gt;6),--(AR2:AR29&lt;&gt;36),--(AR2:AR29&lt;&gt;56),T2:T29)+SUMPRODUCT(--(CN2:CN29=AQ41),--(N2:N29&lt;&gt;"NG"),--(AG2:AG29&lt;&gt;"D"),--(AR2:AR29&lt;&gt;6),--(AR2:AR29&lt;&gt;36),--(AR2:AR29&lt;&gt;56),U2:U29)</f>
        <v>1769930.0999999999</v>
      </c>
      <c r="AU41" s="386">
        <f>SUMPRODUCT(--(CN2:CN29=AQ41),--(N2:N29&lt;&gt;"NG"),--(AG2:AG29&lt;&gt;"D"),--(AR2:AR29&lt;&gt;6),--(AR2:AR29&lt;&gt;36),--(AR2:AR29&lt;&gt;56),V2:V29)</f>
        <v>639458.5</v>
      </c>
      <c r="AV41" s="386">
        <f>SUMPRODUCT(--(CN2:CN29=AQ41),AY2:AY29)+SUMPRODUCT(--(CN2:CN29=AQ41),AZ2:AZ29)</f>
        <v>1907172.8000000003</v>
      </c>
      <c r="AW41" s="386">
        <f>SUMPRODUCT(--(CN2:CN29=AQ41),BB2:BB29)+SUMPRODUCT(--(CN2:CN29=AQ41),BC2:BC29)</f>
        <v>291250</v>
      </c>
      <c r="AX41" s="386">
        <f>SUMPRODUCT(--(CN2:CN29=AQ41),BL2:BL29)+SUMPRODUCT(--(CN2:CN29=AQ41),BM2:BM29)</f>
        <v>398987.26212800003</v>
      </c>
      <c r="AY41" s="386">
        <f>SUMPRODUCT(--(CN2:CN29=AQ41),AY2:AY29)+SUMPRODUCT(--(CN2:CN29=AQ41),AZ2:AZ29)+SUMPRODUCT(--(CN2:CN29=AQ41),BA2:BA29)</f>
        <v>1907172.8000000003</v>
      </c>
      <c r="AZ41" s="386">
        <f>SUMPRODUCT(--(CN2:CN29=AQ41),BN2:BN29)+SUMPRODUCT(--(CN2:CN29=AQ41),BO2:BO29)</f>
        <v>291250</v>
      </c>
      <c r="BA41" s="386">
        <f>SUMPRODUCT(--(CN2:CN29=AQ41),BX2:BX29)+SUMPRODUCT(--(CN2:CN29=AQ41),BY2:BY29)</f>
        <v>390608.06116799993</v>
      </c>
    </row>
    <row r="42" spans="41:91" x14ac:dyDescent="0.25">
      <c r="AP42" t="s">
        <v>384</v>
      </c>
      <c r="AS42" s="397">
        <f t="shared" ref="AS42:BA42" si="45">SUM(AS41:AS41)</f>
        <v>25</v>
      </c>
      <c r="AT42" s="397">
        <f t="shared" si="45"/>
        <v>1769930.0999999999</v>
      </c>
      <c r="AU42" s="397">
        <f t="shared" si="45"/>
        <v>639458.5</v>
      </c>
      <c r="AV42" s="397">
        <f t="shared" si="45"/>
        <v>1907172.8000000003</v>
      </c>
      <c r="AW42" s="397">
        <f t="shared" si="45"/>
        <v>291250</v>
      </c>
      <c r="AX42" s="397">
        <f t="shared" si="45"/>
        <v>398987.26212800003</v>
      </c>
      <c r="AY42" s="397">
        <f t="shared" si="45"/>
        <v>1907172.8000000003</v>
      </c>
      <c r="AZ42" s="397">
        <f t="shared" si="45"/>
        <v>291250</v>
      </c>
      <c r="BA42" s="397">
        <f t="shared" si="45"/>
        <v>390608.06116799993</v>
      </c>
    </row>
    <row r="43" spans="41:91" x14ac:dyDescent="0.25">
      <c r="AS43" s="386"/>
      <c r="AT43" s="386"/>
      <c r="AU43" s="386"/>
      <c r="AV43" s="386"/>
      <c r="AW43" s="386"/>
      <c r="AX43" s="386"/>
      <c r="AY43" s="386"/>
      <c r="AZ43" s="386"/>
      <c r="BA43" s="386"/>
    </row>
    <row r="44" spans="41:91" x14ac:dyDescent="0.25">
      <c r="AO44" s="395" t="s">
        <v>385</v>
      </c>
      <c r="AS44" s="398">
        <f t="shared" ref="AS44:BA44" si="46">SUM(AS42)</f>
        <v>25</v>
      </c>
      <c r="AT44" s="398">
        <f t="shared" si="46"/>
        <v>1769930.0999999999</v>
      </c>
      <c r="AU44" s="398">
        <f t="shared" si="46"/>
        <v>639458.5</v>
      </c>
      <c r="AV44" s="398">
        <f t="shared" si="46"/>
        <v>1907172.8000000003</v>
      </c>
      <c r="AW44" s="398">
        <f t="shared" si="46"/>
        <v>291250</v>
      </c>
      <c r="AX44" s="398">
        <f t="shared" si="46"/>
        <v>398987.26212800003</v>
      </c>
      <c r="AY44" s="398">
        <f t="shared" si="46"/>
        <v>1907172.8000000003</v>
      </c>
      <c r="AZ44" s="398">
        <f t="shared" si="46"/>
        <v>291250</v>
      </c>
      <c r="BA44" s="398">
        <f t="shared" si="46"/>
        <v>390608.06116799993</v>
      </c>
    </row>
    <row r="45" spans="41:91" x14ac:dyDescent="0.25">
      <c r="AS45" s="386"/>
      <c r="AT45" s="386"/>
      <c r="AU45" s="386"/>
      <c r="AV45" s="386"/>
      <c r="AW45" s="386"/>
      <c r="AX45" s="386"/>
      <c r="AY45" s="386"/>
      <c r="AZ45" s="386"/>
      <c r="BA45" s="386"/>
    </row>
    <row r="46" spans="41:91" x14ac:dyDescent="0.25">
      <c r="AO46" s="391" t="s">
        <v>386</v>
      </c>
      <c r="AS46" s="386"/>
      <c r="AT46" s="386"/>
      <c r="AU46" s="386"/>
      <c r="AV46" s="386"/>
      <c r="AW46" s="386"/>
      <c r="AX46" s="386"/>
      <c r="AY46" s="386"/>
      <c r="AZ46" s="386"/>
      <c r="BA46" s="386"/>
    </row>
    <row r="47" spans="41:91" x14ac:dyDescent="0.25">
      <c r="AS47" s="386"/>
      <c r="AT47" s="386"/>
      <c r="AU47" s="386"/>
      <c r="AV47" s="386"/>
      <c r="AW47" s="386"/>
      <c r="AX47" s="386"/>
      <c r="AY47" s="386"/>
      <c r="AZ47" s="386"/>
      <c r="BA47" s="386"/>
    </row>
    <row r="48" spans="41:91" x14ac:dyDescent="0.25">
      <c r="AO48" s="395" t="s">
        <v>387</v>
      </c>
      <c r="AS48" s="386"/>
      <c r="AT48" s="386"/>
      <c r="AU48" s="386"/>
      <c r="AV48" s="386"/>
      <c r="AW48" s="386"/>
      <c r="AX48" s="386"/>
      <c r="AY48" s="386"/>
      <c r="AZ48" s="386"/>
      <c r="BA48" s="386"/>
      <c r="CK48" s="391"/>
    </row>
    <row r="49" spans="41:53" x14ac:dyDescent="0.25">
      <c r="AS49" s="386"/>
      <c r="AT49" s="386"/>
      <c r="AU49" s="386"/>
      <c r="AV49" s="386"/>
      <c r="AW49" s="386"/>
      <c r="AX49" s="386"/>
      <c r="AY49" s="386"/>
      <c r="AZ49" s="386"/>
      <c r="BA49" s="386"/>
    </row>
    <row r="50" spans="41:53" x14ac:dyDescent="0.25">
      <c r="AO50" s="396" t="s">
        <v>388</v>
      </c>
      <c r="AS50" s="399">
        <f t="shared" ref="AS50:BA50" si="47">SUM(AS44)</f>
        <v>25</v>
      </c>
      <c r="AT50" s="400">
        <f t="shared" si="47"/>
        <v>1769930.0999999999</v>
      </c>
      <c r="AU50" s="400">
        <f t="shared" si="47"/>
        <v>639458.5</v>
      </c>
      <c r="AV50" s="400">
        <f t="shared" si="47"/>
        <v>1907172.8000000003</v>
      </c>
      <c r="AW50" s="400">
        <f t="shared" si="47"/>
        <v>291250</v>
      </c>
      <c r="AX50" s="400">
        <f t="shared" si="47"/>
        <v>398987.26212800003</v>
      </c>
      <c r="AY50" s="400">
        <f t="shared" si="47"/>
        <v>1907172.8000000003</v>
      </c>
      <c r="AZ50" s="400">
        <f t="shared" si="47"/>
        <v>291250</v>
      </c>
      <c r="BA50" s="400">
        <f t="shared" si="47"/>
        <v>390608.06116799993</v>
      </c>
    </row>
  </sheetData>
  <mergeCells count="5">
    <mergeCell ref="AT38:AU38"/>
    <mergeCell ref="AV38:AV39"/>
    <mergeCell ref="AW38:AX38"/>
    <mergeCell ref="AY38:AY39"/>
    <mergeCell ref="AZ38:BA38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abSelected="1" zoomScaleNormal="100" workbookViewId="0">
      <selection activeCell="F11" sqref="F11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7"/>
      <c r="B1" s="477"/>
      <c r="C1" s="477"/>
      <c r="D1" s="477"/>
      <c r="E1" s="477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1.5E-3</v>
      </c>
      <c r="D8" s="234">
        <v>1.6999999999999999E-3</v>
      </c>
      <c r="E8" s="314">
        <f t="shared" si="0"/>
        <v>1.9999999999999987E-4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5.3499999999999997E-3</v>
      </c>
      <c r="D11" s="348">
        <v>5.3499999999999997E-3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9.5459999999999989E-2</v>
      </c>
      <c r="D12" s="234">
        <f>SUM(D5:D11)</f>
        <v>9.075999999999998E-2</v>
      </c>
      <c r="E12" s="315">
        <f>D12-C12</f>
        <v>-4.7000000000000097E-3</v>
      </c>
      <c r="M12" s="320"/>
    </row>
    <row r="13" spans="1:15" x14ac:dyDescent="0.3">
      <c r="A13" s="3"/>
      <c r="B13" s="231" t="s">
        <v>9</v>
      </c>
      <c r="C13" s="226">
        <f>SUM(C5:C8)</f>
        <v>8.2900000000000001E-2</v>
      </c>
      <c r="D13" s="226">
        <f>SUM(D5:D8)</f>
        <v>7.8199999999999992E-2</v>
      </c>
      <c r="E13" s="313">
        <f t="shared" si="0"/>
        <v>-4.7000000000000097E-3</v>
      </c>
      <c r="F13" s="8"/>
    </row>
    <row r="14" spans="1:15" x14ac:dyDescent="0.3">
      <c r="A14" s="230"/>
      <c r="B14" s="232" t="s">
        <v>102</v>
      </c>
      <c r="C14" s="226">
        <f>SUM(C5:C6,C8:C9)</f>
        <v>8.5209999999999994E-2</v>
      </c>
      <c r="D14" s="226">
        <f>SUM(D5:D6,D8:D9)</f>
        <v>8.5409999999999986E-2</v>
      </c>
      <c r="E14" s="313">
        <f>D14-C14</f>
        <v>1.9999999999999185E-4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8" t="s">
        <v>110</v>
      </c>
      <c r="B28" s="478"/>
      <c r="C28" s="478"/>
      <c r="D28" s="478"/>
      <c r="E28" s="478"/>
    </row>
    <row r="29" spans="1:11" x14ac:dyDescent="0.3">
      <c r="A29" s="478" t="s">
        <v>111</v>
      </c>
      <c r="B29" s="478"/>
      <c r="C29" s="478"/>
      <c r="D29" s="478"/>
      <c r="E29" s="478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7"/>
      <c r="N1" s="468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69"/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7"/>
      <c r="N3" s="468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/>
      <c r="J5" s="471"/>
      <c r="K5" s="471"/>
      <c r="L5" s="470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2" t="s">
        <v>22</v>
      </c>
      <c r="D8" s="473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5" priority="5">
      <formula>$J$44&lt;0</formula>
    </cfRule>
  </conditionalFormatting>
  <conditionalFormatting sqref="K43">
    <cfRule type="expression" dxfId="4" priority="4">
      <formula>$J$43&lt;0</formula>
    </cfRule>
  </conditionalFormatting>
  <conditionalFormatting sqref="L16">
    <cfRule type="expression" dxfId="3" priority="3">
      <formula>$J$16&lt;0</formula>
    </cfRule>
  </conditionalFormatting>
  <conditionalFormatting sqref="K45">
    <cfRule type="expression" dxfId="2" priority="2">
      <formula>$J$44&lt;0</formula>
    </cfRule>
  </conditionalFormatting>
  <conditionalFormatting sqref="K43:N45">
    <cfRule type="containsText" dxfId="1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10"/>
  <sheetViews>
    <sheetView workbookViewId="0">
      <selection activeCell="A2" sqref="A2:L10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4" t="s">
        <v>376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9" x14ac:dyDescent="0.25">
      <c r="A2" s="472" t="s">
        <v>22</v>
      </c>
      <c r="B2" s="473"/>
      <c r="C2" s="370" t="s">
        <v>23</v>
      </c>
      <c r="D2" s="49" t="s">
        <v>24</v>
      </c>
      <c r="E2" s="50" t="str">
        <f>"FY "&amp;'SGDA|0001-00'!FiscalYear-1&amp;" SALARY"</f>
        <v>FY 2022 SALARY</v>
      </c>
      <c r="F2" s="50" t="str">
        <f>"FY "&amp;'SGDA|0001-00'!FiscalYear-1&amp;" HEALTH BENEFITS"</f>
        <v>FY 2022 HEALTH BENEFITS</v>
      </c>
      <c r="G2" s="50" t="str">
        <f>"FY "&amp;'SGDA|0001-00'!FiscalYear-1&amp;" VAR BENEFITS"</f>
        <v>FY 2022 VAR BENEFITS</v>
      </c>
      <c r="H2" s="50" t="str">
        <f>"FY "&amp;'SGDA|0001-00'!FiscalYear-1&amp;" TOTAL"</f>
        <v>FY 2022 TOTAL</v>
      </c>
      <c r="I2" s="50" t="str">
        <f>"FY "&amp;'SGDA|0001-00'!FiscalYear&amp;" SALARY CHANGE"</f>
        <v>FY 2023 SALARY CHANGE</v>
      </c>
      <c r="J2" s="50" t="str">
        <f>"FY "&amp;'SGDA|0001-00'!FiscalYear&amp;" CHG HEALTH BENEFITS"</f>
        <v>FY 2023 CHG HEALTH BENEFITS</v>
      </c>
      <c r="K2" s="50" t="str">
        <f>"FY "&amp;'SGDA|0001-00'!FiscalYear&amp;" CHG VAR BENEFITS"</f>
        <v>FY 2023 CHG VAR BENEFITS</v>
      </c>
      <c r="L2" s="50" t="s">
        <v>25</v>
      </c>
    </row>
    <row r="3" spans="1:12" x14ac:dyDescent="0.25">
      <c r="A3" s="464" t="s">
        <v>26</v>
      </c>
      <c r="B3" s="465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3" t="s">
        <v>27</v>
      </c>
      <c r="B4" s="466"/>
      <c r="C4" s="217">
        <v>1</v>
      </c>
      <c r="D4" s="288">
        <f>[0]!SGDA000100col_INC_FTI</f>
        <v>25</v>
      </c>
      <c r="E4" s="218">
        <f>[0]!SGDA000100col_FTI_SALARY_PERM</f>
        <v>1907172.8000000003</v>
      </c>
      <c r="F4" s="218">
        <f>[0]!SGDA000100col_HEALTH_PERM</f>
        <v>291250</v>
      </c>
      <c r="G4" s="218">
        <f>[0]!SGDA000100col_TOT_VB_PERM</f>
        <v>398987.26212800003</v>
      </c>
      <c r="H4" s="219">
        <f>SUM(E4:G4)</f>
        <v>2597410.0621280004</v>
      </c>
      <c r="I4" s="219">
        <f>[0]!SGDA000100col_1_27TH_PP</f>
        <v>0</v>
      </c>
      <c r="J4" s="218">
        <f>[0]!SGDA000100col_HEALTH_PERM_CHG</f>
        <v>0</v>
      </c>
      <c r="K4" s="218">
        <f>[0]!SGDA000100col_TOT_VB_PERM_CHG</f>
        <v>-8379.2009600000001</v>
      </c>
      <c r="L4" s="218">
        <f>SUM(J4:K4)</f>
        <v>-8379.2009600000001</v>
      </c>
    </row>
    <row r="5" spans="1:12" x14ac:dyDescent="0.25">
      <c r="A5" s="443" t="s">
        <v>28</v>
      </c>
      <c r="B5" s="466"/>
      <c r="C5" s="217">
        <v>2</v>
      </c>
      <c r="D5" s="288"/>
      <c r="E5" s="218">
        <f>[0]!SGDA000100col_Group_Salary</f>
        <v>0</v>
      </c>
      <c r="F5" s="218">
        <v>0</v>
      </c>
      <c r="G5" s="218">
        <f>[0]!SGDA000100col_Group_Ben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43" t="s">
        <v>29</v>
      </c>
      <c r="B6" s="444"/>
      <c r="C6" s="217">
        <v>3</v>
      </c>
      <c r="D6" s="288">
        <f>[0]!SGDA000100col_TOTAL_ELECT_PCN_FTI</f>
        <v>0</v>
      </c>
      <c r="E6" s="218">
        <f>[0]!SGDA000100col_FTI_SALARY_ELECT</f>
        <v>0</v>
      </c>
      <c r="F6" s="218">
        <f>[0]!SGDA000100col_HEALTH_ELECT</f>
        <v>0</v>
      </c>
      <c r="G6" s="218">
        <f>[0]!SGDA000100col_TOT_VB_ELECT</f>
        <v>0</v>
      </c>
      <c r="H6" s="219">
        <f>SUM(E6:G6)</f>
        <v>0</v>
      </c>
      <c r="I6" s="268"/>
      <c r="J6" s="218">
        <f>[0]!SGDA000100col_HEALTH_ELECT_CHG</f>
        <v>0</v>
      </c>
      <c r="K6" s="218">
        <f>[0]!SGDA000100col_TOT_VB_ELECT_CHG</f>
        <v>0</v>
      </c>
      <c r="L6" s="219">
        <f>SUM(J6:K6)</f>
        <v>0</v>
      </c>
    </row>
    <row r="7" spans="1:12" x14ac:dyDescent="0.25">
      <c r="A7" s="443" t="s">
        <v>30</v>
      </c>
      <c r="B7" s="466"/>
      <c r="C7" s="217"/>
      <c r="D7" s="220">
        <f>SUM(D4:D6)</f>
        <v>25</v>
      </c>
      <c r="E7" s="221">
        <f>SUM(E4:E6)</f>
        <v>1907172.8000000003</v>
      </c>
      <c r="F7" s="221">
        <f>SUM(F4:F6)</f>
        <v>291250</v>
      </c>
      <c r="G7" s="221">
        <f>SUM(G4:G6)</f>
        <v>398987.26212800003</v>
      </c>
      <c r="H7" s="219">
        <f>SUM(E7:G7)</f>
        <v>2597410.0621280004</v>
      </c>
      <c r="I7" s="268"/>
      <c r="J7" s="219">
        <f>SUM(J4:J6)</f>
        <v>0</v>
      </c>
      <c r="K7" s="219">
        <f>SUM(K4:K6)</f>
        <v>-8379.2009600000001</v>
      </c>
      <c r="L7" s="219">
        <f>SUM(L4:L6)</f>
        <v>-8379.2009600000001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"&amp;'SGDA|0001-00'!FiscalYear-1</f>
        <v>FY 2022</v>
      </c>
      <c r="B9" s="158" t="s">
        <v>31</v>
      </c>
      <c r="C9" s="355">
        <v>2651700</v>
      </c>
      <c r="D9" s="55">
        <v>25</v>
      </c>
      <c r="E9" s="223">
        <f>IF('SGDA|0001-00'!OrigApprop=0,0,(E7/H7)*'SGDA|0001-00'!OrigApprop)</f>
        <v>1947035.6981741681</v>
      </c>
      <c r="F9" s="223">
        <f>IF('SGDA|0001-00'!OrigApprop=0,0,(F7/H7)*'SGDA|0001-00'!OrigApprop)</f>
        <v>297337.58110079297</v>
      </c>
      <c r="G9" s="223">
        <f>IF(E9=0,0,(G7/H7)*'SGDA|0001-00'!OrigApprop)</f>
        <v>407326.72072503879</v>
      </c>
      <c r="H9" s="223">
        <f>SUM(E9:G9)</f>
        <v>2651700</v>
      </c>
      <c r="I9" s="268"/>
      <c r="J9" s="224"/>
      <c r="K9" s="224"/>
      <c r="L9" s="224"/>
    </row>
    <row r="10" spans="1:12" x14ac:dyDescent="0.25">
      <c r="A10" s="453" t="s">
        <v>32</v>
      </c>
      <c r="B10" s="454"/>
      <c r="C10" s="160" t="s">
        <v>33</v>
      </c>
      <c r="D10" s="161">
        <f>D9-D7</f>
        <v>0</v>
      </c>
      <c r="E10" s="162">
        <f>E9-E7</f>
        <v>39862.898174167844</v>
      </c>
      <c r="F10" s="162">
        <f>F9-F7</f>
        <v>6087.5811007929733</v>
      </c>
      <c r="G10" s="162">
        <f>G9-G7</f>
        <v>8339.4585970387561</v>
      </c>
      <c r="H10" s="162">
        <f>H9-H7</f>
        <v>54289.937871999573</v>
      </c>
      <c r="I10" s="269"/>
      <c r="J10" s="56" t="str">
        <f>IF('SGDA|0001-00'!OrigApprop=0,"ERROR! Enter Original Appropriation amount in DU 3.00!","Calculated "&amp;IF('SGDA|0001-00'!AdjustedTotal&gt;0,"overfunding ","underfunding ")&amp;"is "&amp;TEXT('SGDA|0001-00'!AdjustedTotal/'SGDA|0001-00'!AppropTotal,"#.0%;(#.0% );0% ;")&amp;" of Original Appropriation")</f>
        <v>Calculated overfunding is 2.0% of Original Appropriation</v>
      </c>
      <c r="K10" s="163"/>
      <c r="L10" s="164"/>
    </row>
  </sheetData>
  <mergeCells count="7">
    <mergeCell ref="A10:B10"/>
    <mergeCell ref="A2:B2"/>
    <mergeCell ref="A3:B3"/>
    <mergeCell ref="A4:B4"/>
    <mergeCell ref="A5:B5"/>
    <mergeCell ref="A6:B6"/>
    <mergeCell ref="A7:B7"/>
  </mergeCells>
  <conditionalFormatting sqref="J10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Self-Governing Agencies&amp;R&amp;"Arial"&amp;10 Agency 443</oddHeader>
    <oddFooter>&amp;L&amp;"Arial"&amp;10 B6:Summary by Program, by Fund&amp;R&amp;"Arial"&amp;10 FY 2022 Request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7"/>
  <sheetViews>
    <sheetView workbookViewId="0">
      <selection activeCell="E8" sqref="E8:M17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4" t="s">
        <v>380</v>
      </c>
      <c r="G5" s="474"/>
      <c r="H5" s="475" t="s">
        <v>378</v>
      </c>
      <c r="I5" s="474" t="s">
        <v>381</v>
      </c>
      <c r="J5" s="474"/>
      <c r="K5" s="475" t="s">
        <v>379</v>
      </c>
      <c r="L5" s="474" t="s">
        <v>382</v>
      </c>
      <c r="M5" s="474"/>
    </row>
    <row r="6" spans="1:13" ht="15.75" x14ac:dyDescent="0.25">
      <c r="E6" s="249"/>
      <c r="F6" s="253" t="s">
        <v>94</v>
      </c>
      <c r="G6" s="254" t="s">
        <v>96</v>
      </c>
      <c r="H6" s="476"/>
      <c r="I6" s="253" t="s">
        <v>98</v>
      </c>
      <c r="J6" s="254" t="s">
        <v>95</v>
      </c>
      <c r="K6" s="476"/>
      <c r="L6" s="278" t="s">
        <v>98</v>
      </c>
      <c r="M6" s="254" t="s">
        <v>95</v>
      </c>
    </row>
    <row r="7" spans="1:13" x14ac:dyDescent="0.25">
      <c r="A7" s="391" t="s">
        <v>383</v>
      </c>
      <c r="D7" s="250"/>
    </row>
    <row r="8" spans="1:13" x14ac:dyDescent="0.25">
      <c r="C8" t="s">
        <v>374</v>
      </c>
      <c r="D8" s="250"/>
      <c r="E8" s="401">
        <f>Data!AS41</f>
        <v>25</v>
      </c>
      <c r="F8" s="401">
        <f>Data!AT41</f>
        <v>1769930.0999999999</v>
      </c>
      <c r="G8" s="401">
        <f>Data!AU41</f>
        <v>639458.5</v>
      </c>
      <c r="H8" s="401">
        <f>Data!AV41</f>
        <v>1907172.8000000003</v>
      </c>
      <c r="I8" s="401">
        <f>Data!AW41</f>
        <v>291250</v>
      </c>
      <c r="J8" s="401">
        <f>Data!AX41</f>
        <v>398987.26212800003</v>
      </c>
      <c r="K8" s="401">
        <f>Data!AY41</f>
        <v>1907172.8000000003</v>
      </c>
      <c r="L8" s="401">
        <f>Data!AZ41</f>
        <v>291250</v>
      </c>
      <c r="M8" s="401">
        <f>Data!BA41</f>
        <v>390608.06116799993</v>
      </c>
    </row>
    <row r="9" spans="1:13" x14ac:dyDescent="0.25">
      <c r="B9" t="s">
        <v>384</v>
      </c>
      <c r="D9" s="250"/>
      <c r="E9" s="402">
        <f>Data!AS42</f>
        <v>25</v>
      </c>
      <c r="F9" s="402">
        <f>Data!AT42</f>
        <v>1769930.0999999999</v>
      </c>
      <c r="G9" s="402">
        <f>Data!AU42</f>
        <v>639458.5</v>
      </c>
      <c r="H9" s="402">
        <f>Data!AV42</f>
        <v>1907172.8000000003</v>
      </c>
      <c r="I9" s="402">
        <f>Data!AW42</f>
        <v>291250</v>
      </c>
      <c r="J9" s="402">
        <f>Data!AX42</f>
        <v>398987.26212800003</v>
      </c>
      <c r="K9" s="402">
        <f>Data!AY42</f>
        <v>1907172.8000000003</v>
      </c>
      <c r="L9" s="402">
        <f>Data!AZ42</f>
        <v>291250</v>
      </c>
      <c r="M9" s="402">
        <f>Data!BA42</f>
        <v>390608.06116799993</v>
      </c>
    </row>
    <row r="10" spans="1:13" x14ac:dyDescent="0.25">
      <c r="D10" s="250"/>
      <c r="E10" s="401">
        <f>Data!AS43</f>
        <v>0</v>
      </c>
      <c r="F10" s="401">
        <f>Data!AT43</f>
        <v>0</v>
      </c>
      <c r="G10" s="401">
        <f>Data!AU43</f>
        <v>0</v>
      </c>
      <c r="H10" s="401">
        <f>Data!AV43</f>
        <v>0</v>
      </c>
      <c r="I10" s="401">
        <f>Data!AW43</f>
        <v>0</v>
      </c>
      <c r="J10" s="401">
        <f>Data!AX43</f>
        <v>0</v>
      </c>
      <c r="K10" s="401">
        <f>Data!AY43</f>
        <v>0</v>
      </c>
      <c r="L10" s="401">
        <f>Data!AZ43</f>
        <v>0</v>
      </c>
      <c r="M10" s="401">
        <f>Data!BA43</f>
        <v>0</v>
      </c>
    </row>
    <row r="11" spans="1:13" x14ac:dyDescent="0.25">
      <c r="A11" s="395" t="s">
        <v>385</v>
      </c>
      <c r="D11" s="250"/>
      <c r="E11" s="403">
        <f>Data!AS44</f>
        <v>25</v>
      </c>
      <c r="F11" s="403">
        <f>Data!AT44</f>
        <v>1769930.0999999999</v>
      </c>
      <c r="G11" s="403">
        <f>Data!AU44</f>
        <v>639458.5</v>
      </c>
      <c r="H11" s="403">
        <f>Data!AV44</f>
        <v>1907172.8000000003</v>
      </c>
      <c r="I11" s="403">
        <f>Data!AW44</f>
        <v>291250</v>
      </c>
      <c r="J11" s="403">
        <f>Data!AX44</f>
        <v>398987.26212800003</v>
      </c>
      <c r="K11" s="403">
        <f>Data!AY44</f>
        <v>1907172.8000000003</v>
      </c>
      <c r="L11" s="403">
        <f>Data!AZ44</f>
        <v>291250</v>
      </c>
      <c r="M11" s="403">
        <f>Data!BA44</f>
        <v>390608.06116799993</v>
      </c>
    </row>
    <row r="12" spans="1:13" x14ac:dyDescent="0.25">
      <c r="D12" s="250"/>
      <c r="E12" s="401">
        <f>Data!AS45</f>
        <v>0</v>
      </c>
      <c r="F12" s="401">
        <f>Data!AT45</f>
        <v>0</v>
      </c>
      <c r="G12" s="401">
        <f>Data!AU45</f>
        <v>0</v>
      </c>
      <c r="H12" s="401">
        <f>Data!AV45</f>
        <v>0</v>
      </c>
      <c r="I12" s="401">
        <f>Data!AW45</f>
        <v>0</v>
      </c>
      <c r="J12" s="401">
        <f>Data!AX45</f>
        <v>0</v>
      </c>
      <c r="K12" s="401">
        <f>Data!AY45</f>
        <v>0</v>
      </c>
      <c r="L12" s="401">
        <f>Data!AZ45</f>
        <v>0</v>
      </c>
      <c r="M12" s="401">
        <f>Data!BA45</f>
        <v>0</v>
      </c>
    </row>
    <row r="13" spans="1:13" x14ac:dyDescent="0.25">
      <c r="A13" s="391" t="s">
        <v>386</v>
      </c>
      <c r="D13" s="250"/>
      <c r="E13" s="401">
        <f>Data!AS46</f>
        <v>0</v>
      </c>
      <c r="F13" s="401">
        <f>Data!AT46</f>
        <v>0</v>
      </c>
      <c r="G13" s="401">
        <f>Data!AU46</f>
        <v>0</v>
      </c>
      <c r="H13" s="401">
        <f>Data!AV46</f>
        <v>0</v>
      </c>
      <c r="I13" s="401">
        <f>Data!AW46</f>
        <v>0</v>
      </c>
      <c r="J13" s="401">
        <f>Data!AX46</f>
        <v>0</v>
      </c>
      <c r="K13" s="401">
        <f>Data!AY46</f>
        <v>0</v>
      </c>
      <c r="L13" s="401">
        <f>Data!AZ46</f>
        <v>0</v>
      </c>
      <c r="M13" s="401">
        <f>Data!BA46</f>
        <v>0</v>
      </c>
    </row>
    <row r="14" spans="1:13" x14ac:dyDescent="0.25">
      <c r="E14" s="401">
        <f>Data!AS47</f>
        <v>0</v>
      </c>
      <c r="F14" s="401">
        <f>Data!AT47</f>
        <v>0</v>
      </c>
      <c r="G14" s="401">
        <f>Data!AU47</f>
        <v>0</v>
      </c>
      <c r="H14" s="401">
        <f>Data!AV47</f>
        <v>0</v>
      </c>
      <c r="I14" s="401">
        <f>Data!AW47</f>
        <v>0</v>
      </c>
      <c r="J14" s="401">
        <f>Data!AX47</f>
        <v>0</v>
      </c>
      <c r="K14" s="401">
        <f>Data!AY47</f>
        <v>0</v>
      </c>
      <c r="L14" s="401">
        <f>Data!AZ47</f>
        <v>0</v>
      </c>
      <c r="M14" s="401">
        <f>Data!BA47</f>
        <v>0</v>
      </c>
    </row>
    <row r="15" spans="1:13" x14ac:dyDescent="0.25">
      <c r="A15" s="395" t="s">
        <v>387</v>
      </c>
      <c r="E15" s="401">
        <f>Data!AS48</f>
        <v>0</v>
      </c>
      <c r="F15" s="401">
        <f>Data!AT48</f>
        <v>0</v>
      </c>
      <c r="G15" s="401">
        <f>Data!AU48</f>
        <v>0</v>
      </c>
      <c r="H15" s="401">
        <f>Data!AV48</f>
        <v>0</v>
      </c>
      <c r="I15" s="401">
        <f>Data!AW48</f>
        <v>0</v>
      </c>
      <c r="J15" s="401">
        <f>Data!AX48</f>
        <v>0</v>
      </c>
      <c r="K15" s="401">
        <f>Data!AY48</f>
        <v>0</v>
      </c>
      <c r="L15" s="401">
        <f>Data!AZ48</f>
        <v>0</v>
      </c>
      <c r="M15" s="401">
        <f>Data!BA48</f>
        <v>0</v>
      </c>
    </row>
    <row r="16" spans="1:13" x14ac:dyDescent="0.25">
      <c r="E16" s="401">
        <f>Data!AS49</f>
        <v>0</v>
      </c>
      <c r="F16" s="401">
        <f>Data!AT49</f>
        <v>0</v>
      </c>
      <c r="G16" s="401">
        <f>Data!AU49</f>
        <v>0</v>
      </c>
      <c r="H16" s="401">
        <f>Data!AV49</f>
        <v>0</v>
      </c>
      <c r="I16" s="401">
        <f>Data!AW49</f>
        <v>0</v>
      </c>
      <c r="J16" s="401">
        <f>Data!AX49</f>
        <v>0</v>
      </c>
      <c r="K16" s="401">
        <f>Data!AY49</f>
        <v>0</v>
      </c>
      <c r="L16" s="401">
        <f>Data!AZ49</f>
        <v>0</v>
      </c>
      <c r="M16" s="401">
        <f>Data!BA49</f>
        <v>0</v>
      </c>
    </row>
    <row r="17" spans="1:13" x14ac:dyDescent="0.25">
      <c r="A17" s="396" t="s">
        <v>388</v>
      </c>
      <c r="E17" s="399">
        <f>Data!AS50</f>
        <v>25</v>
      </c>
      <c r="F17" s="400">
        <f>Data!AT50</f>
        <v>1769930.0999999999</v>
      </c>
      <c r="G17" s="400">
        <f>Data!AU50</f>
        <v>639458.5</v>
      </c>
      <c r="H17" s="400">
        <f>Data!AV50</f>
        <v>1907172.8000000003</v>
      </c>
      <c r="I17" s="400">
        <f>Data!AW50</f>
        <v>291250</v>
      </c>
      <c r="J17" s="400">
        <f>Data!AX50</f>
        <v>398987.26212800003</v>
      </c>
      <c r="K17" s="400">
        <f>Data!AY50</f>
        <v>1907172.8000000003</v>
      </c>
      <c r="L17" s="400">
        <f>Data!AZ50</f>
        <v>291250</v>
      </c>
      <c r="M17" s="400">
        <f>Data!BA50</f>
        <v>390608.06116799993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Self-Governing Agencies&amp;R&amp;"Arial"&amp;10 Agency 443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289</vt:i4>
      </vt:variant>
    </vt:vector>
  </HeadingPairs>
  <TitlesOfParts>
    <vt:vector size="295" baseType="lpstr">
      <vt:lpstr>SGDA|0001-00</vt:lpstr>
      <vt:lpstr>Data</vt:lpstr>
      <vt:lpstr>Benefits</vt:lpstr>
      <vt:lpstr>B6</vt:lpstr>
      <vt:lpstr>Summary</vt:lpstr>
      <vt:lpstr>FundSummary</vt:lpstr>
      <vt:lpstr>'SGDA|0001-00'!AdjGroupHlth</vt:lpstr>
      <vt:lpstr>AdjGroupHlth</vt:lpstr>
      <vt:lpstr>'SGDA|0001-00'!AdjGroupSalary</vt:lpstr>
      <vt:lpstr>AdjGroupSalary</vt:lpstr>
      <vt:lpstr>'SGDA|0001-00'!AdjGroupVB</vt:lpstr>
      <vt:lpstr>AdjGroupVB</vt:lpstr>
      <vt:lpstr>'SGDA|0001-00'!AdjGroupVBBY</vt:lpstr>
      <vt:lpstr>AdjGroupVBBY</vt:lpstr>
      <vt:lpstr>'SGDA|0001-00'!AdjPermHlth</vt:lpstr>
      <vt:lpstr>AdjPermHlth</vt:lpstr>
      <vt:lpstr>'SGDA|0001-00'!AdjPermHlthBY</vt:lpstr>
      <vt:lpstr>AdjPermHlthBY</vt:lpstr>
      <vt:lpstr>'SGDA|0001-00'!AdjPermSalary</vt:lpstr>
      <vt:lpstr>AdjPermSalary</vt:lpstr>
      <vt:lpstr>'SGDA|0001-00'!AdjPermVB</vt:lpstr>
      <vt:lpstr>AdjPermVB</vt:lpstr>
      <vt:lpstr>'SGDA|0001-00'!AdjPermVBBY</vt:lpstr>
      <vt:lpstr>AdjPermVBBY</vt:lpstr>
      <vt:lpstr>'SGDA|0001-00'!AdjustedTotal</vt:lpstr>
      <vt:lpstr>AdjustedTotal</vt:lpstr>
      <vt:lpstr>'SGDA|0001-00'!AgencyNum</vt:lpstr>
      <vt:lpstr>AgencyNum</vt:lpstr>
      <vt:lpstr>'SGDA|0001-00'!AppropFTP</vt:lpstr>
      <vt:lpstr>AppropFTP</vt:lpstr>
      <vt:lpstr>'SGDA|0001-00'!AppropTotal</vt:lpstr>
      <vt:lpstr>AppropTotal</vt:lpstr>
      <vt:lpstr>'SGDA|0001-00'!AtZHealth</vt:lpstr>
      <vt:lpstr>AtZHealth</vt:lpstr>
      <vt:lpstr>'SGDA|0001-00'!AtZSalary</vt:lpstr>
      <vt:lpstr>AtZSalary</vt:lpstr>
      <vt:lpstr>'SGDA|0001-00'!AtZTotal</vt:lpstr>
      <vt:lpstr>AtZTotal</vt:lpstr>
      <vt:lpstr>'SGDA|0001-00'!AtZVarBen</vt:lpstr>
      <vt:lpstr>AtZVarBen</vt:lpstr>
      <vt:lpstr>'SGDA|0001-00'!BudgetUnit</vt:lpstr>
      <vt:lpstr>BudgetUnit</vt:lpstr>
      <vt:lpstr>BudgetYear</vt:lpstr>
      <vt:lpstr>CECGroup</vt:lpstr>
      <vt:lpstr>'SGDA|0001-00'!CECOrigElectSalary</vt:lpstr>
      <vt:lpstr>CECOrigElectSalary</vt:lpstr>
      <vt:lpstr>'SGDA|0001-00'!CECOrigElectVB</vt:lpstr>
      <vt:lpstr>CECOrigElectVB</vt:lpstr>
      <vt:lpstr>'SGDA|0001-00'!CECOrigGroupSalary</vt:lpstr>
      <vt:lpstr>CECOrigGroupSalary</vt:lpstr>
      <vt:lpstr>'SGDA|0001-00'!CECOrigGroupVB</vt:lpstr>
      <vt:lpstr>CECOrigGroupVB</vt:lpstr>
      <vt:lpstr>'SGDA|0001-00'!CECOrigPermSalary</vt:lpstr>
      <vt:lpstr>CECOrigPermSalary</vt:lpstr>
      <vt:lpstr>'SGDA|0001-00'!CECOrigPermVB</vt:lpstr>
      <vt:lpstr>CECOrigPermVB</vt:lpstr>
      <vt:lpstr>CECPerm</vt:lpstr>
      <vt:lpstr>'SGDA|0001-00'!CECpermCalc</vt:lpstr>
      <vt:lpstr>CECpermCalc</vt:lpstr>
      <vt:lpstr>'SGDA|0001-00'!Department</vt:lpstr>
      <vt:lpstr>Department</vt:lpstr>
      <vt:lpstr>DHR</vt:lpstr>
      <vt:lpstr>DHRBY</vt:lpstr>
      <vt:lpstr>DHRCHG</vt:lpstr>
      <vt:lpstr>'SGDA|0001-00'!Division</vt:lpstr>
      <vt:lpstr>Division</vt:lpstr>
      <vt:lpstr>'SGDA|0001-00'!DUCECElect</vt:lpstr>
      <vt:lpstr>DUCECElect</vt:lpstr>
      <vt:lpstr>'SGDA|0001-00'!DUCECGroup</vt:lpstr>
      <vt:lpstr>DUCECGroup</vt:lpstr>
      <vt:lpstr>'SGDA|0001-00'!DUCECPerm</vt:lpstr>
      <vt:lpstr>DUCECPerm</vt:lpstr>
      <vt:lpstr>'SGDA|0001-00'!DUEleven</vt:lpstr>
      <vt:lpstr>DUEleven</vt:lpstr>
      <vt:lpstr>'SGDA|0001-00'!DUHealthBen</vt:lpstr>
      <vt:lpstr>DUHealthBen</vt:lpstr>
      <vt:lpstr>'SGDA|0001-00'!DUNine</vt:lpstr>
      <vt:lpstr>DUNine</vt:lpstr>
      <vt:lpstr>'SGDA|0001-00'!DUThirteen</vt:lpstr>
      <vt:lpstr>DUThirteen</vt:lpstr>
      <vt:lpstr>'SGDA|0001-00'!DUVariableBen</vt:lpstr>
      <vt:lpstr>DUVariableBen</vt:lpstr>
      <vt:lpstr>'SGDA|0001-00'!Elect_chg_health</vt:lpstr>
      <vt:lpstr>Elect_chg_health</vt:lpstr>
      <vt:lpstr>'SGDA|0001-00'!Elect_chg_Var</vt:lpstr>
      <vt:lpstr>Elect_chg_Var</vt:lpstr>
      <vt:lpstr>'SGDA|0001-00'!elect_FTP</vt:lpstr>
      <vt:lpstr>elect_FTP</vt:lpstr>
      <vt:lpstr>'SGDA|0001-00'!Elect_health</vt:lpstr>
      <vt:lpstr>Elect_health</vt:lpstr>
      <vt:lpstr>'SGDA|0001-00'!Elect_name</vt:lpstr>
      <vt:lpstr>Elect_name</vt:lpstr>
      <vt:lpstr>'SGDA|0001-00'!Elect_salary</vt:lpstr>
      <vt:lpstr>Elect_salary</vt:lpstr>
      <vt:lpstr>'SGDA|0001-00'!Elect_Var</vt:lpstr>
      <vt:lpstr>Elect_Var</vt:lpstr>
      <vt:lpstr>'SGDA|0001-00'!Elect_VarBen</vt:lpstr>
      <vt:lpstr>Elect_VarBen</vt:lpstr>
      <vt:lpstr>ElectVB</vt:lpstr>
      <vt:lpstr>ElectVBBY</vt:lpstr>
      <vt:lpstr>ElectVBCHG</vt:lpstr>
      <vt:lpstr>FillRate_Avg</vt:lpstr>
      <vt:lpstr>'SGDA|0001-00'!FiscalYear</vt:lpstr>
      <vt:lpstr>FiscalYear</vt:lpstr>
      <vt:lpstr>'SGDA|0001-00'!FundName</vt:lpstr>
      <vt:lpstr>FundName</vt:lpstr>
      <vt:lpstr>'SGDA|0001-00'!FundNum</vt:lpstr>
      <vt:lpstr>FundNum</vt:lpstr>
      <vt:lpstr>'SGDA|0001-00'!FundNumber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'SGDA|0001-00'!Group_name</vt:lpstr>
      <vt:lpstr>Group_name</vt:lpstr>
      <vt:lpstr>'SGDA|0001-00'!GroupFxdBen</vt:lpstr>
      <vt:lpstr>GroupFxdBen</vt:lpstr>
      <vt:lpstr>'SGDA|0001-00'!GroupSalary</vt:lpstr>
      <vt:lpstr>GroupSalary</vt:lpstr>
      <vt:lpstr>'SGDA|0001-00'!GroupVarBen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'SGDA|0001-00'!LUMAFund</vt:lpstr>
      <vt:lpstr>LUMAFund</vt:lpstr>
      <vt:lpstr>MAXSSDI</vt:lpstr>
      <vt:lpstr>MAXSSDIBY</vt:lpstr>
      <vt:lpstr>'SGDA|0001-00'!NEW_AdjGroup</vt:lpstr>
      <vt:lpstr>NEW_AdjGroup</vt:lpstr>
      <vt:lpstr>'SGDA|0001-00'!NEW_AdjGroupSalary</vt:lpstr>
      <vt:lpstr>NEW_AdjGroupSalary</vt:lpstr>
      <vt:lpstr>'SGDA|0001-00'!NEW_AdjGroupVB</vt:lpstr>
      <vt:lpstr>NEW_AdjGroupVB</vt:lpstr>
      <vt:lpstr>'SGDA|0001-00'!NEW_AdjONLYGroup</vt:lpstr>
      <vt:lpstr>NEW_AdjONLYGroup</vt:lpstr>
      <vt:lpstr>'SGDA|0001-00'!NEW_AdjONLYGroupSalary</vt:lpstr>
      <vt:lpstr>NEW_AdjONLYGroupSalary</vt:lpstr>
      <vt:lpstr>'SGDA|0001-00'!NEW_AdjONLYGroupVB</vt:lpstr>
      <vt:lpstr>NEW_AdjONLYGroupVB</vt:lpstr>
      <vt:lpstr>'SGDA|0001-00'!NEW_AdjONLYPerm</vt:lpstr>
      <vt:lpstr>NEW_AdjONLYPerm</vt:lpstr>
      <vt:lpstr>'SGDA|0001-00'!NEW_AdjONLYPermSalary</vt:lpstr>
      <vt:lpstr>NEW_AdjONLYPermSalary</vt:lpstr>
      <vt:lpstr>'SGDA|0001-00'!NEW_AdjONLYPermVB</vt:lpstr>
      <vt:lpstr>NEW_AdjONLYPermVB</vt:lpstr>
      <vt:lpstr>'SGDA|0001-00'!NEW_AdjPerm</vt:lpstr>
      <vt:lpstr>NEW_AdjPerm</vt:lpstr>
      <vt:lpstr>'SGDA|0001-00'!NEW_AdjPermSalary</vt:lpstr>
      <vt:lpstr>NEW_AdjPermSalary</vt:lpstr>
      <vt:lpstr>'SGDA|0001-00'!NEW_AdjPermVB</vt:lpstr>
      <vt:lpstr>NEW_AdjPermVB</vt:lpstr>
      <vt:lpstr>'SGDA|0001-00'!NEW_GroupFilled</vt:lpstr>
      <vt:lpstr>NEW_GroupFilled</vt:lpstr>
      <vt:lpstr>'SGDA|0001-00'!NEW_GroupSalaryFilled</vt:lpstr>
      <vt:lpstr>NEW_GroupSalaryFilled</vt:lpstr>
      <vt:lpstr>'SGDA|0001-00'!NEW_GroupVBFilled</vt:lpstr>
      <vt:lpstr>NEW_GroupVBFilled</vt:lpstr>
      <vt:lpstr>'SGDA|0001-00'!NEW_PermFilled</vt:lpstr>
      <vt:lpstr>NEW_PermFilled</vt:lpstr>
      <vt:lpstr>'SGDA|0001-00'!NEW_PermSalaryFilled</vt:lpstr>
      <vt:lpstr>NEW_PermSalaryFilled</vt:lpstr>
      <vt:lpstr>'SGDA|0001-00'!NEW_PermVBFilled</vt:lpstr>
      <vt:lpstr>NEW_PermVBFilled</vt:lpstr>
      <vt:lpstr>'SGDA|0001-00'!OneTimePC_Total</vt:lpstr>
      <vt:lpstr>OneTimePC_Total</vt:lpstr>
      <vt:lpstr>'SGDA|0001-00'!OrigApprop</vt:lpstr>
      <vt:lpstr>OrigApprop</vt:lpstr>
      <vt:lpstr>'SGDA|0001-00'!perm_name</vt:lpstr>
      <vt:lpstr>perm_name</vt:lpstr>
      <vt:lpstr>'SGDA|0001-00'!PermFTP</vt:lpstr>
      <vt:lpstr>PermFTP</vt:lpstr>
      <vt:lpstr>'SGDA|0001-00'!PermFxdBen</vt:lpstr>
      <vt:lpstr>PermFxdBen</vt:lpstr>
      <vt:lpstr>'SGDA|0001-00'!PermFxdBenChg</vt:lpstr>
      <vt:lpstr>PermFxdBenChg</vt:lpstr>
      <vt:lpstr>'SGDA|0001-00'!PermFxdChg</vt:lpstr>
      <vt:lpstr>PermFxdChg</vt:lpstr>
      <vt:lpstr>'SGDA|0001-00'!PermSalary</vt:lpstr>
      <vt:lpstr>PermSalary</vt:lpstr>
      <vt:lpstr>'SGDA|0001-00'!PermVarBen</vt:lpstr>
      <vt:lpstr>PermVarBen</vt:lpstr>
      <vt:lpstr>'SGDA|0001-00'!PermVarBenChg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'SGDA|0001-00'!Print_Area</vt:lpstr>
      <vt:lpstr>'SGDA|0001-00'!Prog_Unadjusted_Total</vt:lpstr>
      <vt:lpstr>Prog_Unadjusted_Total</vt:lpstr>
      <vt:lpstr>'SGDA|0001-00'!Program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'SGDA|0001-00'!RoundedAppropSalary</vt:lpstr>
      <vt:lpstr>RoundedAppropSalary</vt:lpstr>
      <vt:lpstr>'SGDA|0001-00'!SalaryChg</vt:lpstr>
      <vt:lpstr>SalaryChg</vt:lpstr>
      <vt:lpstr>SGDA000100col_1_27TH_PP</vt:lpstr>
      <vt:lpstr>SGDA000100col_DHR</vt:lpstr>
      <vt:lpstr>SGDA000100col_DHR_BY</vt:lpstr>
      <vt:lpstr>SGDA000100col_DHR_CHG</vt:lpstr>
      <vt:lpstr>SGDA000100col_FTI_SALARY_ELECT</vt:lpstr>
      <vt:lpstr>SGDA000100col_FTI_SALARY_PERM</vt:lpstr>
      <vt:lpstr>SGDA000100col_FTI_SALARY_SSDI</vt:lpstr>
      <vt:lpstr>SGDA000100col_Group_Ben</vt:lpstr>
      <vt:lpstr>SGDA000100col_Group_Salary</vt:lpstr>
      <vt:lpstr>SGDA000100col_HEALTH_ELECT</vt:lpstr>
      <vt:lpstr>SGDA000100col_HEALTH_ELECT_BY</vt:lpstr>
      <vt:lpstr>SGDA000100col_HEALTH_ELECT_CHG</vt:lpstr>
      <vt:lpstr>SGDA000100col_HEALTH_PERM</vt:lpstr>
      <vt:lpstr>SGDA000100col_HEALTH_PERM_BY</vt:lpstr>
      <vt:lpstr>SGDA000100col_HEALTH_PERM_CHG</vt:lpstr>
      <vt:lpstr>SGDA000100col_INC_FTI</vt:lpstr>
      <vt:lpstr>SGDA000100col_LIFE_INS</vt:lpstr>
      <vt:lpstr>SGDA000100col_LIFE_INS_BY</vt:lpstr>
      <vt:lpstr>SGDA000100col_LIFE_INS_CHG</vt:lpstr>
      <vt:lpstr>SGDA000100col_RETIREMENT</vt:lpstr>
      <vt:lpstr>SGDA000100col_RETIREMENT_BY</vt:lpstr>
      <vt:lpstr>SGDA000100col_RETIREMENT_CHG</vt:lpstr>
      <vt:lpstr>SGDA000100col_ROWS_PER_PCN</vt:lpstr>
      <vt:lpstr>SGDA000100col_SICK</vt:lpstr>
      <vt:lpstr>SGDA000100col_SICK_BY</vt:lpstr>
      <vt:lpstr>SGDA000100col_SICK_CHG</vt:lpstr>
      <vt:lpstr>SGDA000100col_SSDI</vt:lpstr>
      <vt:lpstr>SGDA000100col_SSDI_BY</vt:lpstr>
      <vt:lpstr>SGDA000100col_SSDI_CHG</vt:lpstr>
      <vt:lpstr>SGDA000100col_SSHI</vt:lpstr>
      <vt:lpstr>SGDA000100col_SSHI_BY</vt:lpstr>
      <vt:lpstr>SGDA000100col_SSHI_CHGv</vt:lpstr>
      <vt:lpstr>SGDA000100col_TOT_VB_ELECT</vt:lpstr>
      <vt:lpstr>SGDA000100col_TOT_VB_ELECT_BY</vt:lpstr>
      <vt:lpstr>SGDA000100col_TOT_VB_ELECT_CHG</vt:lpstr>
      <vt:lpstr>SGDA000100col_TOT_VB_PERM</vt:lpstr>
      <vt:lpstr>SGDA000100col_TOT_VB_PERM_BY</vt:lpstr>
      <vt:lpstr>SGDA000100col_TOT_VB_PERM_CHG</vt:lpstr>
      <vt:lpstr>SGDA000100col_TOTAL_ELECT_PCN_FTI</vt:lpstr>
      <vt:lpstr>SGDA000100col_TOTAL_ELECT_PCN_FTI_ALT</vt:lpstr>
      <vt:lpstr>SGDA000100col_TOTAL_PERM_PCN_FTI</vt:lpstr>
      <vt:lpstr>SGDA000100col_UNEMP_INS</vt:lpstr>
      <vt:lpstr>SGDA000100col_UNEMP_INS_BY</vt:lpstr>
      <vt:lpstr>SGDA000100col_UNEMP_INS_CHG</vt:lpstr>
      <vt:lpstr>SGDA000100col_WORKERS_COMP</vt:lpstr>
      <vt:lpstr>SGDA000100col_WORKERS_COMP_BY</vt:lpstr>
      <vt:lpstr>SGDA000100col_WORKERS_COMP_CHG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444 B6</dc:title>
  <dc:subject>B6</dc:subject>
  <dc:creator>Shane Winslow</dc:creator>
  <cp:lastModifiedBy>Jared Hoskins</cp:lastModifiedBy>
  <cp:lastPrinted>2019-06-21T15:46:35Z</cp:lastPrinted>
  <dcterms:created xsi:type="dcterms:W3CDTF">2013-05-01T19:55:41Z</dcterms:created>
  <dcterms:modified xsi:type="dcterms:W3CDTF">2021-07-15T15:40:35Z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